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xr:revisionPtr revIDLastSave="0" documentId="13_ncr:1_{2D7E1866-4A7A-48BF-84D8-06E73203378B}" xr6:coauthVersionLast="41" xr6:coauthVersionMax="41" xr10:uidLastSave="{00000000-0000-0000-0000-000000000000}"/>
  <workbookProtection workbookAlgorithmName="SHA-512" workbookHashValue="f4NQ4DEz4Cd5unOCRfP179YKzqhcJ3gDkQNSNVeQBitIXGgphwaMJAp9lDryLtF2LUU0pgspK2Zdg9CvicBTfg==" workbookSaltValue="AYzIKmJok37EOec9NWsarg==" workbookSpinCount="100000" lockStructure="1"/>
  <bookViews>
    <workbookView xWindow="1515" yWindow="1320" windowWidth="18900" windowHeight="10920" tabRatio="761" firstSheet="15" activeTab="15" xr2:uid="{00000000-000D-0000-FFFF-FFFF00000000}"/>
  </bookViews>
  <sheets>
    <sheet name="(2010)" sheetId="12" state="hidden" r:id="rId1"/>
    <sheet name="(2011)" sheetId="11" state="hidden" r:id="rId2"/>
    <sheet name="(2012)" sheetId="10" state="hidden" r:id="rId3"/>
    <sheet name="(2013)" sheetId="9" state="hidden" r:id="rId4"/>
    <sheet name="(2014)" sheetId="8" state="hidden" r:id="rId5"/>
    <sheet name="(2015)" sheetId="3" state="hidden" r:id="rId6"/>
    <sheet name="Fire2016" sheetId="2" state="hidden" r:id="rId7"/>
    <sheet name="(2016)" sheetId="1" state="hidden" r:id="rId8"/>
    <sheet name="Fire2017" sheetId="13" state="hidden" r:id="rId9"/>
    <sheet name="(2017)" sheetId="14" state="hidden" r:id="rId10"/>
    <sheet name="Fire2018" sheetId="15" state="hidden" r:id="rId11"/>
    <sheet name="(2018)" sheetId="16" state="hidden" r:id="rId12"/>
    <sheet name="Fire2019" sheetId="17" state="hidden" r:id="rId13"/>
    <sheet name="(2019)" sheetId="18" state="hidden" r:id="rId14"/>
    <sheet name="FIRE1403_raw" sheetId="5" state="hidden" r:id="rId15"/>
    <sheet name="FIRE1403" sheetId="6" r:id="rId16"/>
    <sheet name="QA" sheetId="4" state="hidden" r:id="rId17"/>
    <sheet name="oxford" sheetId="19" state="hidden" r:id="rId18"/>
  </sheets>
  <externalReferences>
    <externalReference r:id="rId19"/>
  </externalReferences>
  <definedNames>
    <definedName name="_xlnm._FilterDatabase" localSheetId="0" hidden="1">'(2010)'!#REF!</definedName>
    <definedName name="_xlnm._FilterDatabase" localSheetId="1" hidden="1">'(2011)'!#REF!</definedName>
    <definedName name="_xlnm._FilterDatabase" localSheetId="2" hidden="1">'(2012)'!#REF!</definedName>
    <definedName name="_xlnm._FilterDatabase" localSheetId="3" hidden="1">'(2013)'!#REF!</definedName>
    <definedName name="_xlnm._FilterDatabase" localSheetId="4" hidden="1">'(2014)'!#REF!</definedName>
    <definedName name="_xlnm._FilterDatabase" localSheetId="5" hidden="1">'(2015)'!#REF!</definedName>
    <definedName name="_xlnm._FilterDatabase" localSheetId="8" hidden="1">Fire2017!$A$12:$C$12</definedName>
    <definedName name="_xlnm._FilterDatabase" localSheetId="10" hidden="1">Fire2018!$A$12:$C$12</definedName>
    <definedName name="_xlnm._FilterDatabase" localSheetId="12" hidden="1">Fire2019!$A$12:$C$12</definedName>
    <definedName name="_Order1" hidden="1">255</definedName>
    <definedName name="_Order2" hidden="1">0</definedName>
    <definedName name="Derived" localSheetId="12">[1]Derived!$B$9:$IW$65535</definedName>
    <definedName name="Derived_Codes" localSheetId="12">[1]Derived!$B$9:$IW$9</definedName>
    <definedName name="External" localSheetId="12">[1]External!$B$9:$IK$65535</definedName>
    <definedName name="External_Codes" localSheetId="12">[1]External!$B$9:$IK$9</definedName>
    <definedName name="FIRE0005" localSheetId="12">[1]Raw!$F:$F</definedName>
    <definedName name="FIRE0006" localSheetId="12">[1]Raw!$H:$H</definedName>
    <definedName name="FIRE0007" localSheetId="12">[1]Raw!$I:$I</definedName>
    <definedName name="FIRE0007LY" localSheetId="12">[1]Raw_Errors!$AX:$AX</definedName>
    <definedName name="FIRE0012" localSheetId="12">[1]Raw!$L:$L</definedName>
    <definedName name="FIRE0013" localSheetId="12">[1]Raw!$N:$N</definedName>
    <definedName name="FIRE0014" localSheetId="12">[1]Raw!$O:$O</definedName>
    <definedName name="FIRE0015LY" localSheetId="12">[1]Raw_Errors!$AZ:$AZ</definedName>
    <definedName name="FIRE0029" localSheetId="12">[1]Raw!$W:$W</definedName>
    <definedName name="FIRE0029LY" localSheetId="12">[1]Raw_Errors!$BD:$BD</definedName>
    <definedName name="FIRE0030" localSheetId="12">[1]Raw!$X:$X</definedName>
    <definedName name="FIRE0030LY" localSheetId="12">[1]Raw_Errors!$BF:$BF</definedName>
    <definedName name="FIRE0045" localSheetId="12">[1]Raw!$W:$W</definedName>
    <definedName name="FIRE0045LY" localSheetId="12">[1]Raw_Errors!$BH:$BH</definedName>
    <definedName name="FIRE0046" localSheetId="12">[1]Raw!$X:$X</definedName>
    <definedName name="FIRE0046LY" localSheetId="12">[1]Raw_Errors!$BJ:$BJ</definedName>
    <definedName name="FIRE0047" localSheetId="12">[1]Raw!$Y:$Y</definedName>
    <definedName name="FIRE0047LY" localSheetId="12">[1]Raw_Errors!$BL:$BL</definedName>
    <definedName name="FIRE0058" localSheetId="12">[1]Raw!$Z:$Z</definedName>
    <definedName name="FIRE0063" localSheetId="12">[1]Raw!$AA:$AA</definedName>
    <definedName name="FIRE0064" localSheetId="12">[1]Raw!$AJ:$AJ</definedName>
    <definedName name="FIRE0065" localSheetId="12">[1]Raw!$AQ:$AQ</definedName>
    <definedName name="FIRE0066" localSheetId="12">[1]Raw!$AB:$AB</definedName>
    <definedName name="FIRE0067" localSheetId="12">[1]Raw!$AC:$AC</definedName>
    <definedName name="FIRE0068" localSheetId="12">[1]Raw!$AD:$AD</definedName>
    <definedName name="FIRE0069" localSheetId="12">[1]Raw!$AE:$AE</definedName>
    <definedName name="FIRE0070" localSheetId="12">[1]Raw!$AF:$AF</definedName>
    <definedName name="FIRE0071" localSheetId="12">[1]Raw!$AG:$AG</definedName>
    <definedName name="FIRE0072" localSheetId="12">[1]Raw!$AI:$AI</definedName>
    <definedName name="FIRE0073" localSheetId="12">[1]Raw!$AK:$AK</definedName>
    <definedName name="FIRE0074" localSheetId="12">[1]Raw!$AL:$AL</definedName>
    <definedName name="FIRE0075" localSheetId="12">[1]Raw!$AM:$AM</definedName>
    <definedName name="FIRE0076" localSheetId="12">[1]Raw!$AN:$AN</definedName>
    <definedName name="FIRE0077" localSheetId="12">[1]Raw!$AO:$AO</definedName>
    <definedName name="FIRE0078" localSheetId="12">[1]Raw!$AP:$AP</definedName>
    <definedName name="FIRE0079" localSheetId="12">[1]Raw!$AR:$AR</definedName>
    <definedName name="FIRE0085" localSheetId="12">[1]Raw!$AU:$AU</definedName>
    <definedName name="FIRE0091" localSheetId="12">[1]Raw!$AV:$AV</definedName>
    <definedName name="FIRE0097" localSheetId="12">[1]Raw!$AW:$AW</definedName>
    <definedName name="FIRE0103" localSheetId="12">[1]Raw!$AX:$AX</definedName>
    <definedName name="FIRE0104" localSheetId="12">[1]Raw!$AY:$AY</definedName>
    <definedName name="FIRE0105" localSheetId="12">[1]Raw!$AZ:$AZ</definedName>
    <definedName name="FIRE0106" localSheetId="12">[1]Raw!$BA:$BA</definedName>
    <definedName name="FIRE0107" localSheetId="12">[1]Raw!$BB:$BB</definedName>
    <definedName name="FIRE0108" localSheetId="12">[1]Raw!$BC:$BC</definedName>
    <definedName name="FIRE0109" localSheetId="12">[1]Raw!$BD:$BD</definedName>
    <definedName name="FIRE0111" localSheetId="12">[1]Raw!$BE:$BE</definedName>
    <definedName name="FIRE0112" localSheetId="12">[1]Raw!$BG:$BG</definedName>
    <definedName name="FIRE0113" localSheetId="12">[1]Raw!$BH:$BH</definedName>
    <definedName name="FIRE0114" localSheetId="12">[1]Raw!$BI:$BI</definedName>
    <definedName name="FIRE0115" localSheetId="12">[1]Raw!$BK:$BK</definedName>
    <definedName name="FIRE0116" localSheetId="12">[1]Raw!$BL:$BL</definedName>
    <definedName name="FIRE0117" localSheetId="12">[1]Raw!$BM:$BM</definedName>
    <definedName name="FIRE0118" localSheetId="12">[1]Raw!$BN:$BN</definedName>
    <definedName name="FIRE0119" localSheetId="12">[1]Raw!$BO:$BO</definedName>
    <definedName name="FIRE0125" localSheetId="12">[1]Raw!$CH:$CH</definedName>
    <definedName name="FIRE0131" localSheetId="12">[1]Raw!$CI:$CI</definedName>
    <definedName name="FIRE0137" localSheetId="12">[1]Raw!$CJ:$CJ</definedName>
    <definedName name="FIRE0143" localSheetId="12">[1]Raw!$CK:$CK</definedName>
    <definedName name="FIRE0144" localSheetId="12">[1]Raw!$CL:$CL</definedName>
    <definedName name="FIRE0145" localSheetId="12">[1]Raw!$CM:$CM</definedName>
    <definedName name="FIRE0146" localSheetId="12">[1]Raw!$CN:$CN</definedName>
    <definedName name="FIRE0147" localSheetId="12">[1]Raw!$CO:$CO</definedName>
    <definedName name="FIRE0148" localSheetId="12">[1]Raw!$CP:$CP</definedName>
    <definedName name="FIRE0149" localSheetId="12">[1]Raw!$CQ:$CQ</definedName>
    <definedName name="FIRE0151" localSheetId="12">[1]Raw!$CR:$CR</definedName>
    <definedName name="FIRE0152" localSheetId="12">[1]Raw!$CT:$CT</definedName>
    <definedName name="FIRE0153" localSheetId="12">[1]Raw!$CU:$CU</definedName>
    <definedName name="FIRE0154" localSheetId="12">[1]Raw!$CV:$CV</definedName>
    <definedName name="FIRE0155" localSheetId="12">[1]Raw!$CX:$CX</definedName>
    <definedName name="FIRE0156" localSheetId="12">[1]Raw!$CY:$CY</definedName>
    <definedName name="FIRE0157" localSheetId="12">[1]Raw!$CZ:$CZ</definedName>
    <definedName name="FIRE0158" localSheetId="12">[1]Raw!$DA:$DA</definedName>
    <definedName name="FIRE0159" localSheetId="12">[1]Raw!$DB:$DB</definedName>
    <definedName name="FIRE0160" localSheetId="12">[1]Raw!$EG:$EG</definedName>
    <definedName name="FIRE0161" localSheetId="12">[1]Raw!$EK:$EK</definedName>
    <definedName name="FIRE0162" localSheetId="12">[1]Raw!$EL:$EL</definedName>
    <definedName name="FIRE0163" localSheetId="12">[1]Raw!$EM:$EM</definedName>
    <definedName name="FIRE0164" localSheetId="12">[1]Raw!$EN:$EN</definedName>
    <definedName name="FIRE0165" localSheetId="12">[1]Raw!$EO:$EO</definedName>
    <definedName name="FIRE0178" localSheetId="12">[1]Raw!$FB:$FB</definedName>
    <definedName name="FIRE0183" localSheetId="12">[1]Raw!$FM:$FM</definedName>
    <definedName name="FIRE0188" localSheetId="12">[1]Raw!$FX:$FX</definedName>
    <definedName name="FIRE0188LY" localSheetId="12">[1]Raw_Errors!$BN:$BN</definedName>
    <definedName name="FIRE0189" localSheetId="12">[1]Raw!$FY:$FY</definedName>
    <definedName name="FIRE0190" localSheetId="12">[1]Raw!$FZ:$FZ</definedName>
    <definedName name="FIRE0205" localSheetId="12">[1]Raw!$E:$E</definedName>
    <definedName name="FIRE0205LY" localSheetId="12">[1]Raw_Errors!$AV:$AV</definedName>
    <definedName name="FIRE0206" localSheetId="12">[1]Raw!$G:$G</definedName>
    <definedName name="FIRE0207" localSheetId="12">[1]Raw!$K:$K</definedName>
    <definedName name="FIRE0208" localSheetId="12">[1]Raw!$M:$M</definedName>
    <definedName name="FIRE0209" localSheetId="12">[1]Raw!$T:$T</definedName>
    <definedName name="FIRE0211" localSheetId="12">[1]Raw!$DY:$DY</definedName>
    <definedName name="FIRE0212" localSheetId="12">[1]Raw!$DZ:$DZ</definedName>
    <definedName name="FIRE0213" localSheetId="12">[1]Raw!$EA:$EA</definedName>
    <definedName name="FIRE0215" localSheetId="12">[1]Raw!$ED:$ED</definedName>
    <definedName name="FIRE0216" localSheetId="12">[1]Raw!$FC:$FC</definedName>
    <definedName name="FIRE0217" localSheetId="12">[1]Raw!$FD:$FD</definedName>
    <definedName name="FIRE0218" localSheetId="12">[1]Raw!$FE:$FE</definedName>
    <definedName name="FIRE0219" localSheetId="12">[1]Raw!$FF:$FF</definedName>
    <definedName name="FIRE0220" localSheetId="12">[1]Raw!$FG:$FG</definedName>
    <definedName name="FIRE0221" localSheetId="12">[1]Raw!$FH:$FH</definedName>
    <definedName name="FIRE0222" localSheetId="12">[1]Raw!$FI:$FI</definedName>
    <definedName name="FIRE0223" localSheetId="12">[1]Raw!$FJ:$FJ</definedName>
    <definedName name="FIRE0224" localSheetId="12">[1]Raw!$FN:$FN</definedName>
    <definedName name="FIRE0225" localSheetId="12">[1]Raw!$FO:$FO</definedName>
    <definedName name="FIRE0226" localSheetId="12">[1]Raw!$FP:$FP</definedName>
    <definedName name="FIRE0227" localSheetId="12">[1]Raw!$FQ:$FQ</definedName>
    <definedName name="FIRE0228" localSheetId="12">[1]Raw!$FR:$FR</definedName>
    <definedName name="FIRE0229" localSheetId="12">[1]Raw!$FS:$FS</definedName>
    <definedName name="FIRE0230" localSheetId="12">[1]Raw!$FT:$FT</definedName>
    <definedName name="FIRE0231" localSheetId="12">[1]Raw!$FU:$FU</definedName>
    <definedName name="FIRE0235" localSheetId="12">[1]Raw!$P:$P</definedName>
    <definedName name="FIRE0239" localSheetId="12">[1]Raw!$J:$J</definedName>
    <definedName name="FIRE0249" localSheetId="12">[1]Raw!$CS:$CS</definedName>
    <definedName name="FIRE0250" localSheetId="12">[1]Raw!$CW:$CW</definedName>
    <definedName name="FIRE0251" localSheetId="12">[1]Raw!$S:$S</definedName>
    <definedName name="FIRE0252" localSheetId="12">[1]Raw!$U:$U</definedName>
    <definedName name="FIRE0252LY" localSheetId="12">[1]Raw_Errors!$BB:$BB</definedName>
    <definedName name="FIRE0255" localSheetId="12">[1]Raw!$BF:$BF</definedName>
    <definedName name="FIRE0256" localSheetId="12">[1]Raw!$BJ:$BJ</definedName>
    <definedName name="FIRE0260" localSheetId="12">[1]Raw!$ER:$ER</definedName>
    <definedName name="FIRE0261" localSheetId="12">[1]Raw!$EW:$EW</definedName>
    <definedName name="FIRE0262" localSheetId="12">[1]Raw!$EX:$EX</definedName>
    <definedName name="FIRE0263" localSheetId="12">[1]Raw!$EY:$EY</definedName>
    <definedName name="FIRE0264" localSheetId="12">[1]Raw!$EZ:$EZ</definedName>
    <definedName name="FIRE0265" localSheetId="12">[1]Raw!$FA:$FA</definedName>
    <definedName name="FIRE6000" localSheetId="12">[1]External!$D:$D</definedName>
    <definedName name="FIRE6001" localSheetId="12">[1]External!$E:$E</definedName>
    <definedName name="Gross" localSheetId="12">[1]Gross!$B$9:$ES$1048576</definedName>
    <definedName name="Gross_Codes" localSheetId="12">[1]Gross!$B$9:$D$9</definedName>
    <definedName name="Incoming" localSheetId="12">[1]Incoming!$1:$1048576</definedName>
    <definedName name="input_qdata" localSheetId="12">[1]Incoming!$1:$1</definedName>
    <definedName name="_xlnm.Print_Area" localSheetId="8">Fire2017!$D$13:$X$71</definedName>
    <definedName name="_xlnm.Print_Area" localSheetId="10">Fire2018!$D$13:$CX$71</definedName>
    <definedName name="_xlnm.Print_Area" localSheetId="12">Fire2019!$D$13:$DT$62</definedName>
    <definedName name="_xlnm.Print_Titles" localSheetId="8">Fire2017!$C:$C,Fire2017!$3:$12</definedName>
    <definedName name="_xlnm.Print_Titles" localSheetId="10">Fire2018!$C:$C,Fire2018!$3:$12</definedName>
    <definedName name="_xlnm.Print_Titles" localSheetId="12">Fire2019!$C:$C,Fire2019!$3:$12</definedName>
    <definedName name="Qrecd" localSheetId="12">[1]Raw!$D:$D</definedName>
    <definedName name="Raw" localSheetId="12">[1]Raw!$B$9:$IW$65537</definedName>
    <definedName name="Raw_Codes" localSheetId="12">[1]Raw!$B$9:$IV$9</definedName>
    <definedName name="Year" localSheetId="12">[1]Control!$C$3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19" l="1"/>
  <c r="C27" i="19"/>
  <c r="N51" i="18" l="1"/>
  <c r="N50" i="18"/>
  <c r="N49" i="18"/>
  <c r="N48" i="18"/>
  <c r="N47" i="18"/>
  <c r="N46" i="18"/>
  <c r="N45"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6" i="18"/>
  <c r="P51" i="18" l="1"/>
  <c r="P50" i="18"/>
  <c r="P49" i="18"/>
  <c r="P48" i="18"/>
  <c r="P47" i="18"/>
  <c r="P46" i="18"/>
  <c r="P45"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1" i="18"/>
  <c r="P10" i="18"/>
  <c r="P9" i="18"/>
  <c r="P8" i="18"/>
  <c r="P6" i="18"/>
  <c r="O51" i="18"/>
  <c r="O50" i="18"/>
  <c r="O49" i="18"/>
  <c r="O48" i="18"/>
  <c r="O47" i="18"/>
  <c r="O46" i="18"/>
  <c r="O45"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6" i="18"/>
  <c r="M51" i="18"/>
  <c r="M50" i="18"/>
  <c r="M49" i="18"/>
  <c r="M48" i="18"/>
  <c r="M47" i="18"/>
  <c r="M46" i="18"/>
  <c r="M45" i="18"/>
  <c r="M42" i="18"/>
  <c r="M41" i="18"/>
  <c r="M40" i="18"/>
  <c r="M39" i="18"/>
  <c r="M38" i="18"/>
  <c r="M37"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M8" i="18"/>
  <c r="M6" i="18"/>
  <c r="N43" i="4"/>
  <c r="O43" i="4"/>
  <c r="P43" i="4"/>
  <c r="I43" i="4"/>
  <c r="J43" i="4"/>
  <c r="K43" i="4"/>
  <c r="F51" i="4"/>
  <c r="E51" i="4"/>
  <c r="D51" i="4"/>
  <c r="F50" i="4"/>
  <c r="E50" i="4"/>
  <c r="D50" i="4"/>
  <c r="F49" i="4"/>
  <c r="E49" i="4"/>
  <c r="D49" i="4"/>
  <c r="F48" i="4"/>
  <c r="E48" i="4"/>
  <c r="D48" i="4"/>
  <c r="F47" i="4"/>
  <c r="E47" i="4"/>
  <c r="D47" i="4"/>
  <c r="F46" i="4"/>
  <c r="E46" i="4"/>
  <c r="D46" i="4"/>
  <c r="F45" i="4"/>
  <c r="E45" i="4"/>
  <c r="D45" i="4"/>
  <c r="E44" i="4"/>
  <c r="D19" i="4"/>
  <c r="E19" i="4"/>
  <c r="F19" i="4"/>
  <c r="D20" i="4"/>
  <c r="E20" i="4"/>
  <c r="F20" i="4"/>
  <c r="D21" i="4"/>
  <c r="E21" i="4"/>
  <c r="F21" i="4"/>
  <c r="D22" i="4"/>
  <c r="E22" i="4"/>
  <c r="F22" i="4"/>
  <c r="D23" i="4"/>
  <c r="E23" i="4"/>
  <c r="F23" i="4"/>
  <c r="D24" i="4"/>
  <c r="E24" i="4"/>
  <c r="F24" i="4"/>
  <c r="D25" i="4"/>
  <c r="E25" i="4"/>
  <c r="F25" i="4"/>
  <c r="D26" i="4"/>
  <c r="E26" i="4"/>
  <c r="F26" i="4"/>
  <c r="D27" i="4"/>
  <c r="E27" i="4"/>
  <c r="F27" i="4"/>
  <c r="D28" i="4"/>
  <c r="E28" i="4"/>
  <c r="F28" i="4"/>
  <c r="D29" i="4"/>
  <c r="E29" i="4"/>
  <c r="F29" i="4"/>
  <c r="D30" i="4"/>
  <c r="E30" i="4"/>
  <c r="F30" i="4"/>
  <c r="D31" i="4"/>
  <c r="E31" i="4"/>
  <c r="F31" i="4"/>
  <c r="D32" i="4"/>
  <c r="E32" i="4"/>
  <c r="F32" i="4"/>
  <c r="D33" i="4"/>
  <c r="E33" i="4"/>
  <c r="F33" i="4"/>
  <c r="D34" i="4"/>
  <c r="E34" i="4"/>
  <c r="F34" i="4"/>
  <c r="D35" i="4"/>
  <c r="E35" i="4"/>
  <c r="F35" i="4"/>
  <c r="D36" i="4"/>
  <c r="E36" i="4"/>
  <c r="F36" i="4"/>
  <c r="D37" i="4"/>
  <c r="E37" i="4"/>
  <c r="F37" i="4"/>
  <c r="D38" i="4"/>
  <c r="E38" i="4"/>
  <c r="F38" i="4"/>
  <c r="D39" i="4"/>
  <c r="E39" i="4"/>
  <c r="F39" i="4"/>
  <c r="D40" i="4"/>
  <c r="E40" i="4"/>
  <c r="F40" i="4"/>
  <c r="D41" i="4"/>
  <c r="E41" i="4"/>
  <c r="F41" i="4"/>
  <c r="D42" i="4"/>
  <c r="E42" i="4"/>
  <c r="F42" i="4"/>
  <c r="L51" i="18"/>
  <c r="K51" i="18"/>
  <c r="J51" i="18"/>
  <c r="I51" i="18"/>
  <c r="H51" i="18"/>
  <c r="L50" i="18"/>
  <c r="K50" i="18"/>
  <c r="L49" i="18"/>
  <c r="K49" i="18"/>
  <c r="J49" i="18"/>
  <c r="I49" i="18"/>
  <c r="H49" i="18"/>
  <c r="L48" i="18"/>
  <c r="K48" i="18"/>
  <c r="J48" i="18"/>
  <c r="I48" i="18"/>
  <c r="H48" i="18"/>
  <c r="H44" i="18" s="1"/>
  <c r="D44" i="4" s="1"/>
  <c r="L47" i="18"/>
  <c r="K47" i="18"/>
  <c r="J47" i="18"/>
  <c r="I47" i="18"/>
  <c r="I44" i="18" s="1"/>
  <c r="H47" i="18"/>
  <c r="L46" i="18"/>
  <c r="K46" i="18"/>
  <c r="J46" i="18"/>
  <c r="I46" i="18"/>
  <c r="H46" i="18"/>
  <c r="L45" i="18"/>
  <c r="K45" i="18"/>
  <c r="J45" i="18"/>
  <c r="I45" i="18"/>
  <c r="H45" i="18"/>
  <c r="H7" i="18"/>
  <c r="D7" i="4" s="1"/>
  <c r="I7" i="18"/>
  <c r="E7" i="4" s="1"/>
  <c r="J7" i="18"/>
  <c r="F7" i="4" s="1"/>
  <c r="H8" i="18"/>
  <c r="D8" i="4" s="1"/>
  <c r="I8" i="18"/>
  <c r="E8" i="4" s="1"/>
  <c r="J8" i="18"/>
  <c r="F8" i="4" s="1"/>
  <c r="K8" i="18"/>
  <c r="L8" i="18"/>
  <c r="H9" i="18"/>
  <c r="D9" i="4" s="1"/>
  <c r="I9" i="18"/>
  <c r="E9" i="4" s="1"/>
  <c r="J9" i="18"/>
  <c r="F9" i="4" s="1"/>
  <c r="K9" i="18"/>
  <c r="L9" i="18"/>
  <c r="H10" i="18"/>
  <c r="D10" i="4" s="1"/>
  <c r="I10" i="18"/>
  <c r="E10" i="4" s="1"/>
  <c r="J10" i="18"/>
  <c r="F10" i="4" s="1"/>
  <c r="K10" i="18"/>
  <c r="L10" i="18"/>
  <c r="H11" i="18"/>
  <c r="D11" i="4" s="1"/>
  <c r="I11" i="18"/>
  <c r="E11" i="4" s="1"/>
  <c r="J11" i="18"/>
  <c r="F11" i="4" s="1"/>
  <c r="K11" i="18"/>
  <c r="L11" i="18"/>
  <c r="H12" i="18"/>
  <c r="D12" i="4" s="1"/>
  <c r="I12" i="18"/>
  <c r="E12" i="4" s="1"/>
  <c r="J12" i="18"/>
  <c r="F12" i="4" s="1"/>
  <c r="K12" i="18"/>
  <c r="L12" i="18"/>
  <c r="H13" i="18"/>
  <c r="D13" i="4" s="1"/>
  <c r="I13" i="18"/>
  <c r="E13" i="4" s="1"/>
  <c r="J13" i="18"/>
  <c r="F13" i="4" s="1"/>
  <c r="K13" i="18"/>
  <c r="L13" i="18"/>
  <c r="H14" i="18"/>
  <c r="D14" i="4" s="1"/>
  <c r="I14" i="18"/>
  <c r="E14" i="4" s="1"/>
  <c r="J14" i="18"/>
  <c r="F14" i="4" s="1"/>
  <c r="K14" i="18"/>
  <c r="L14" i="18"/>
  <c r="H15" i="18"/>
  <c r="D15" i="4" s="1"/>
  <c r="I15" i="18"/>
  <c r="E15" i="4" s="1"/>
  <c r="J15" i="18"/>
  <c r="F15" i="4" s="1"/>
  <c r="K15" i="18"/>
  <c r="L15" i="18"/>
  <c r="H16" i="18"/>
  <c r="D16" i="4" s="1"/>
  <c r="I16" i="18"/>
  <c r="E16" i="4" s="1"/>
  <c r="J16" i="18"/>
  <c r="F16" i="4" s="1"/>
  <c r="K16" i="18"/>
  <c r="L16" i="18"/>
  <c r="H17" i="18"/>
  <c r="D17" i="4" s="1"/>
  <c r="I17" i="18"/>
  <c r="E17" i="4" s="1"/>
  <c r="J17" i="18"/>
  <c r="F17" i="4" s="1"/>
  <c r="K17" i="18"/>
  <c r="L17" i="18"/>
  <c r="H18" i="18"/>
  <c r="D18" i="4" s="1"/>
  <c r="I18" i="18"/>
  <c r="E18" i="4" s="1"/>
  <c r="J18" i="18"/>
  <c r="F18" i="4" s="1"/>
  <c r="K18" i="18"/>
  <c r="L18" i="18"/>
  <c r="H19" i="18"/>
  <c r="I19" i="18"/>
  <c r="J19" i="18"/>
  <c r="K19" i="18"/>
  <c r="L19" i="18"/>
  <c r="H20" i="18"/>
  <c r="I20" i="18"/>
  <c r="J20" i="18"/>
  <c r="K20" i="18"/>
  <c r="L20" i="18"/>
  <c r="H21" i="18"/>
  <c r="I21" i="18"/>
  <c r="J21" i="18"/>
  <c r="K21" i="18"/>
  <c r="L21" i="18"/>
  <c r="H22" i="18"/>
  <c r="I22" i="18"/>
  <c r="J22" i="18"/>
  <c r="K22" i="18"/>
  <c r="L22" i="18"/>
  <c r="H23" i="18"/>
  <c r="I23" i="18"/>
  <c r="J23" i="18"/>
  <c r="K23" i="18"/>
  <c r="L23" i="18"/>
  <c r="H24" i="18"/>
  <c r="I24" i="18"/>
  <c r="J24" i="18"/>
  <c r="K24" i="18"/>
  <c r="L24" i="18"/>
  <c r="H25" i="18"/>
  <c r="I25" i="18"/>
  <c r="J25" i="18"/>
  <c r="K25" i="18"/>
  <c r="L25" i="18"/>
  <c r="H26" i="18"/>
  <c r="I26" i="18"/>
  <c r="J26" i="18"/>
  <c r="K26" i="18"/>
  <c r="L26" i="18"/>
  <c r="H27" i="18"/>
  <c r="I27" i="18"/>
  <c r="J27" i="18"/>
  <c r="K27" i="18"/>
  <c r="L27" i="18"/>
  <c r="H28" i="18"/>
  <c r="I28" i="18"/>
  <c r="J28" i="18"/>
  <c r="K28" i="18"/>
  <c r="L28" i="18"/>
  <c r="H29" i="18"/>
  <c r="I29" i="18"/>
  <c r="J29" i="18"/>
  <c r="K29" i="18"/>
  <c r="L29" i="18"/>
  <c r="H30" i="18"/>
  <c r="I30" i="18"/>
  <c r="J30" i="18"/>
  <c r="K30" i="18"/>
  <c r="L30" i="18"/>
  <c r="H31" i="18"/>
  <c r="I31" i="18"/>
  <c r="J31" i="18"/>
  <c r="K31" i="18"/>
  <c r="L31" i="18"/>
  <c r="H32" i="18"/>
  <c r="I32" i="18"/>
  <c r="J32" i="18"/>
  <c r="K32" i="18"/>
  <c r="L32" i="18"/>
  <c r="H33" i="18"/>
  <c r="I33" i="18"/>
  <c r="J33" i="18"/>
  <c r="K33" i="18"/>
  <c r="L33" i="18"/>
  <c r="H34" i="18"/>
  <c r="I34" i="18"/>
  <c r="J34" i="18"/>
  <c r="K34" i="18"/>
  <c r="L34" i="18"/>
  <c r="H35" i="18"/>
  <c r="I35" i="18"/>
  <c r="J35" i="18"/>
  <c r="K35" i="18"/>
  <c r="L35" i="18"/>
  <c r="H36" i="18"/>
  <c r="I36" i="18"/>
  <c r="J36" i="18"/>
  <c r="K36" i="18"/>
  <c r="L36" i="18"/>
  <c r="H37" i="18"/>
  <c r="I37" i="18"/>
  <c r="J37" i="18"/>
  <c r="K37" i="18"/>
  <c r="L37" i="18"/>
  <c r="H38" i="18"/>
  <c r="I38" i="18"/>
  <c r="J38" i="18"/>
  <c r="K38" i="18"/>
  <c r="L38" i="18"/>
  <c r="H39" i="18"/>
  <c r="I39" i="18"/>
  <c r="J39" i="18"/>
  <c r="K39" i="18"/>
  <c r="L39" i="18"/>
  <c r="H40" i="18"/>
  <c r="I40" i="18"/>
  <c r="J40" i="18"/>
  <c r="K40" i="18"/>
  <c r="L40" i="18"/>
  <c r="H41" i="18"/>
  <c r="I41" i="18"/>
  <c r="J41" i="18"/>
  <c r="K41" i="18"/>
  <c r="L41" i="18"/>
  <c r="H42" i="18"/>
  <c r="I42" i="18"/>
  <c r="J42" i="18"/>
  <c r="K42" i="18"/>
  <c r="L42" i="18"/>
  <c r="K43" i="18"/>
  <c r="L43" i="18"/>
  <c r="M43" i="18"/>
  <c r="N43" i="18"/>
  <c r="O43" i="18"/>
  <c r="P43" i="18"/>
  <c r="J44" i="18"/>
  <c r="F44" i="4" s="1"/>
  <c r="L6" i="18"/>
  <c r="K6" i="18"/>
  <c r="J6" i="18"/>
  <c r="F6" i="4" s="1"/>
  <c r="I6" i="18"/>
  <c r="E6" i="4" s="1"/>
  <c r="H6" i="18"/>
  <c r="D6" i="4" s="1"/>
  <c r="M44" i="18" l="1"/>
  <c r="O44" i="18"/>
  <c r="K44" i="18"/>
  <c r="P44" i="18"/>
  <c r="L44" i="18"/>
  <c r="N44" i="18"/>
  <c r="M51" i="4" l="1"/>
  <c r="M50" i="4"/>
  <c r="M49" i="4"/>
  <c r="M48" i="4"/>
  <c r="M47" i="4"/>
  <c r="M46" i="4"/>
  <c r="M45"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H51" i="4"/>
  <c r="H50" i="4"/>
  <c r="H49" i="4"/>
  <c r="H48" i="4"/>
  <c r="H47" i="4"/>
  <c r="H46" i="4"/>
  <c r="H45"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N51" i="16"/>
  <c r="N51" i="4" s="1"/>
  <c r="N50" i="16"/>
  <c r="N50" i="4" s="1"/>
  <c r="N49" i="16"/>
  <c r="N49" i="4" s="1"/>
  <c r="N48" i="16"/>
  <c r="N48" i="4" s="1"/>
  <c r="N47" i="16"/>
  <c r="N47" i="4" s="1"/>
  <c r="N46" i="16"/>
  <c r="N46" i="4" s="1"/>
  <c r="N45" i="16"/>
  <c r="N45" i="4" s="1"/>
  <c r="N7" i="16"/>
  <c r="N7" i="18" s="1"/>
  <c r="N7" i="4" s="1"/>
  <c r="N8" i="16"/>
  <c r="N8" i="4" s="1"/>
  <c r="N9" i="16"/>
  <c r="N9" i="4" s="1"/>
  <c r="N10" i="16"/>
  <c r="N10" i="4" s="1"/>
  <c r="N11" i="16"/>
  <c r="N11" i="4" s="1"/>
  <c r="N12" i="16"/>
  <c r="N12" i="4" s="1"/>
  <c r="N13" i="16"/>
  <c r="N13" i="4" s="1"/>
  <c r="N14" i="16"/>
  <c r="N14" i="4" s="1"/>
  <c r="N15" i="16"/>
  <c r="N15" i="4" s="1"/>
  <c r="N16" i="16"/>
  <c r="N16" i="4" s="1"/>
  <c r="N17" i="16"/>
  <c r="N17" i="4" s="1"/>
  <c r="N18" i="16"/>
  <c r="N18" i="4" s="1"/>
  <c r="N19" i="16"/>
  <c r="N19" i="4" s="1"/>
  <c r="N20" i="16"/>
  <c r="N20" i="4" s="1"/>
  <c r="N21" i="16"/>
  <c r="N21" i="4" s="1"/>
  <c r="N22" i="16"/>
  <c r="N22" i="4" s="1"/>
  <c r="N23" i="16"/>
  <c r="N23" i="4" s="1"/>
  <c r="N24" i="16"/>
  <c r="N24" i="4" s="1"/>
  <c r="N25" i="16"/>
  <c r="N25" i="4" s="1"/>
  <c r="N26" i="16"/>
  <c r="N26" i="4" s="1"/>
  <c r="N27" i="16"/>
  <c r="N27" i="4" s="1"/>
  <c r="N28" i="16"/>
  <c r="N28" i="4" s="1"/>
  <c r="N29" i="16"/>
  <c r="N29" i="4" s="1"/>
  <c r="N30" i="16"/>
  <c r="N30" i="4" s="1"/>
  <c r="N31" i="16"/>
  <c r="N31" i="4" s="1"/>
  <c r="N32" i="16"/>
  <c r="N32" i="4" s="1"/>
  <c r="N33" i="16"/>
  <c r="N33" i="4" s="1"/>
  <c r="N34" i="16"/>
  <c r="N34" i="4" s="1"/>
  <c r="N35" i="16"/>
  <c r="N35" i="4" s="1"/>
  <c r="N36" i="16"/>
  <c r="N36" i="4" s="1"/>
  <c r="N37" i="16"/>
  <c r="N37" i="4" s="1"/>
  <c r="N38" i="16"/>
  <c r="N38" i="4" s="1"/>
  <c r="N39" i="16"/>
  <c r="N39" i="4" s="1"/>
  <c r="N40" i="16"/>
  <c r="N40" i="4" s="1"/>
  <c r="N41" i="16"/>
  <c r="N41" i="4" s="1"/>
  <c r="N42" i="16"/>
  <c r="N42" i="4" s="1"/>
  <c r="N6" i="16"/>
  <c r="N6" i="4" s="1"/>
  <c r="M51" i="16"/>
  <c r="K51" i="4" s="1"/>
  <c r="M50" i="16"/>
  <c r="K50" i="4" s="1"/>
  <c r="M49" i="16"/>
  <c r="K49" i="4" s="1"/>
  <c r="M48" i="16"/>
  <c r="K48" i="4" s="1"/>
  <c r="M47" i="16"/>
  <c r="K47" i="4" s="1"/>
  <c r="M46" i="16"/>
  <c r="K46" i="4" s="1"/>
  <c r="M45" i="16"/>
  <c r="K45" i="4" s="1"/>
  <c r="M42" i="16"/>
  <c r="K42" i="4" s="1"/>
  <c r="M41" i="16"/>
  <c r="K41" i="4" s="1"/>
  <c r="M40" i="16"/>
  <c r="K40" i="4" s="1"/>
  <c r="M39" i="16"/>
  <c r="K39" i="4" s="1"/>
  <c r="M38" i="16"/>
  <c r="K38" i="4" s="1"/>
  <c r="M37" i="16"/>
  <c r="K37" i="4" s="1"/>
  <c r="M36" i="16"/>
  <c r="K36" i="4" s="1"/>
  <c r="M35" i="16"/>
  <c r="K35" i="4" s="1"/>
  <c r="M34" i="16"/>
  <c r="K34" i="4" s="1"/>
  <c r="M33" i="16"/>
  <c r="K33" i="4" s="1"/>
  <c r="M32" i="16"/>
  <c r="K32" i="4" s="1"/>
  <c r="M31" i="16"/>
  <c r="K31" i="4" s="1"/>
  <c r="M30" i="16"/>
  <c r="K30" i="4" s="1"/>
  <c r="M29" i="16"/>
  <c r="K29" i="4" s="1"/>
  <c r="M28" i="16"/>
  <c r="K28" i="4" s="1"/>
  <c r="M27" i="16"/>
  <c r="K27" i="4" s="1"/>
  <c r="M26" i="16"/>
  <c r="K26" i="4" s="1"/>
  <c r="M25" i="16"/>
  <c r="K25" i="4" s="1"/>
  <c r="M24" i="16"/>
  <c r="K24" i="4" s="1"/>
  <c r="M23" i="16"/>
  <c r="K23" i="4" s="1"/>
  <c r="M22" i="16"/>
  <c r="K22" i="4" s="1"/>
  <c r="M21" i="16"/>
  <c r="K21" i="4" s="1"/>
  <c r="M20" i="16"/>
  <c r="K20" i="4" s="1"/>
  <c r="M19" i="16"/>
  <c r="K19" i="4" s="1"/>
  <c r="M18" i="16"/>
  <c r="K18" i="4" s="1"/>
  <c r="M17" i="16"/>
  <c r="K17" i="4" s="1"/>
  <c r="M16" i="16"/>
  <c r="K16" i="4" s="1"/>
  <c r="M15" i="16"/>
  <c r="K15" i="4" s="1"/>
  <c r="M14" i="16"/>
  <c r="K14" i="4" s="1"/>
  <c r="M13" i="16"/>
  <c r="K13" i="4" s="1"/>
  <c r="M12" i="16"/>
  <c r="K12" i="4" s="1"/>
  <c r="M11" i="16"/>
  <c r="K11" i="4" s="1"/>
  <c r="M10" i="16"/>
  <c r="K10" i="4" s="1"/>
  <c r="M9" i="16"/>
  <c r="K9" i="4" s="1"/>
  <c r="M8" i="16"/>
  <c r="K8" i="4" s="1"/>
  <c r="M7" i="16"/>
  <c r="M7" i="18" s="1"/>
  <c r="K7" i="4" s="1"/>
  <c r="M6" i="16"/>
  <c r="K6" i="4" s="1"/>
  <c r="P51" i="16"/>
  <c r="P51" i="4" s="1"/>
  <c r="O51" i="16"/>
  <c r="O51" i="4" s="1"/>
  <c r="P50" i="16"/>
  <c r="P50" i="4" s="1"/>
  <c r="O50" i="16"/>
  <c r="O50" i="4" s="1"/>
  <c r="P49" i="16"/>
  <c r="P49" i="4" s="1"/>
  <c r="O49" i="16"/>
  <c r="O49" i="4" s="1"/>
  <c r="P48" i="16"/>
  <c r="P48" i="4" s="1"/>
  <c r="O48" i="16"/>
  <c r="O48" i="4" s="1"/>
  <c r="P47" i="16"/>
  <c r="P47" i="4" s="1"/>
  <c r="O47" i="16"/>
  <c r="O47" i="4" s="1"/>
  <c r="P46" i="16"/>
  <c r="P46" i="4" s="1"/>
  <c r="O46" i="16"/>
  <c r="O46" i="4" s="1"/>
  <c r="P45" i="16"/>
  <c r="P45" i="4" s="1"/>
  <c r="O45" i="16"/>
  <c r="O45" i="4" s="1"/>
  <c r="O8" i="16"/>
  <c r="O8" i="4" s="1"/>
  <c r="P8" i="16"/>
  <c r="P8" i="4" s="1"/>
  <c r="O9" i="16"/>
  <c r="O9" i="4" s="1"/>
  <c r="P9" i="16"/>
  <c r="P9" i="4" s="1"/>
  <c r="O10" i="16"/>
  <c r="O10" i="4" s="1"/>
  <c r="P10" i="16"/>
  <c r="P10" i="4" s="1"/>
  <c r="O11" i="16"/>
  <c r="O11" i="4" s="1"/>
  <c r="P11" i="16"/>
  <c r="P11" i="4" s="1"/>
  <c r="O12" i="16"/>
  <c r="O12" i="4" s="1"/>
  <c r="P12" i="16"/>
  <c r="P12" i="18" s="1"/>
  <c r="P12" i="4" s="1"/>
  <c r="O13" i="16"/>
  <c r="O13" i="4" s="1"/>
  <c r="P13" i="16"/>
  <c r="P13" i="4" s="1"/>
  <c r="O14" i="16"/>
  <c r="O14" i="4" s="1"/>
  <c r="P14" i="16"/>
  <c r="P14" i="4" s="1"/>
  <c r="O15" i="16"/>
  <c r="O15" i="4" s="1"/>
  <c r="P15" i="16"/>
  <c r="P15" i="4" s="1"/>
  <c r="O16" i="16"/>
  <c r="O16" i="4" s="1"/>
  <c r="P16" i="16"/>
  <c r="P16" i="4" s="1"/>
  <c r="O17" i="16"/>
  <c r="O17" i="4" s="1"/>
  <c r="P17" i="16"/>
  <c r="P17" i="4" s="1"/>
  <c r="O18" i="16"/>
  <c r="O18" i="4" s="1"/>
  <c r="P18" i="16"/>
  <c r="P18" i="4" s="1"/>
  <c r="O19" i="16"/>
  <c r="O19" i="4" s="1"/>
  <c r="P19" i="16"/>
  <c r="P19" i="4" s="1"/>
  <c r="O20" i="16"/>
  <c r="O20" i="4" s="1"/>
  <c r="P20" i="16"/>
  <c r="P20" i="4" s="1"/>
  <c r="O21" i="16"/>
  <c r="O21" i="4" s="1"/>
  <c r="P21" i="16"/>
  <c r="P21" i="4" s="1"/>
  <c r="O22" i="16"/>
  <c r="O22" i="4" s="1"/>
  <c r="P22" i="16"/>
  <c r="P22" i="4" s="1"/>
  <c r="O23" i="16"/>
  <c r="O23" i="4" s="1"/>
  <c r="P23" i="16"/>
  <c r="P23" i="4" s="1"/>
  <c r="O24" i="16"/>
  <c r="O24" i="4" s="1"/>
  <c r="P24" i="16"/>
  <c r="P24" i="4" s="1"/>
  <c r="O25" i="16"/>
  <c r="O25" i="4" s="1"/>
  <c r="P25" i="16"/>
  <c r="P25" i="4" s="1"/>
  <c r="O26" i="16"/>
  <c r="O26" i="4" s="1"/>
  <c r="P26" i="16"/>
  <c r="P26" i="4" s="1"/>
  <c r="O27" i="16"/>
  <c r="O27" i="4" s="1"/>
  <c r="P27" i="16"/>
  <c r="P27" i="4" s="1"/>
  <c r="O28" i="16"/>
  <c r="O28" i="4" s="1"/>
  <c r="P28" i="16"/>
  <c r="P28" i="4" s="1"/>
  <c r="O29" i="16"/>
  <c r="O29" i="4" s="1"/>
  <c r="P29" i="16"/>
  <c r="P29" i="4" s="1"/>
  <c r="O30" i="16"/>
  <c r="O30" i="4" s="1"/>
  <c r="P30" i="16"/>
  <c r="P30" i="4" s="1"/>
  <c r="O31" i="16"/>
  <c r="O31" i="4" s="1"/>
  <c r="P31" i="16"/>
  <c r="P31" i="4" s="1"/>
  <c r="O32" i="16"/>
  <c r="O32" i="4" s="1"/>
  <c r="P32" i="16"/>
  <c r="P32" i="4" s="1"/>
  <c r="O33" i="16"/>
  <c r="O33" i="4" s="1"/>
  <c r="P33" i="16"/>
  <c r="P33" i="4" s="1"/>
  <c r="O34" i="16"/>
  <c r="O34" i="4" s="1"/>
  <c r="P34" i="16"/>
  <c r="P34" i="4" s="1"/>
  <c r="O35" i="16"/>
  <c r="O35" i="4" s="1"/>
  <c r="P35" i="16"/>
  <c r="P35" i="4" s="1"/>
  <c r="O36" i="16"/>
  <c r="O36" i="4" s="1"/>
  <c r="P36" i="16"/>
  <c r="P36" i="4" s="1"/>
  <c r="O37" i="16"/>
  <c r="O37" i="4" s="1"/>
  <c r="P37" i="16"/>
  <c r="P37" i="4" s="1"/>
  <c r="O38" i="16"/>
  <c r="O38" i="4" s="1"/>
  <c r="P38" i="16"/>
  <c r="P38" i="4" s="1"/>
  <c r="O39" i="16"/>
  <c r="O39" i="4" s="1"/>
  <c r="P39" i="16"/>
  <c r="P39" i="4" s="1"/>
  <c r="O40" i="16"/>
  <c r="O40" i="4" s="1"/>
  <c r="P40" i="16"/>
  <c r="P40" i="4" s="1"/>
  <c r="O41" i="16"/>
  <c r="O41" i="4" s="1"/>
  <c r="P41" i="16"/>
  <c r="P41" i="4" s="1"/>
  <c r="O42" i="16"/>
  <c r="O42" i="4" s="1"/>
  <c r="P42" i="16"/>
  <c r="P42" i="4" s="1"/>
  <c r="O7" i="16"/>
  <c r="O7" i="18" s="1"/>
  <c r="P7" i="16"/>
  <c r="P7" i="18" s="1"/>
  <c r="P7" i="4" s="1"/>
  <c r="P6" i="16"/>
  <c r="P6" i="4" s="1"/>
  <c r="O6" i="16"/>
  <c r="O6" i="4" s="1"/>
  <c r="K51" i="16"/>
  <c r="I51" i="4" s="1"/>
  <c r="K50" i="16"/>
  <c r="I50" i="4" s="1"/>
  <c r="K49" i="16"/>
  <c r="I49" i="4" s="1"/>
  <c r="K48" i="16"/>
  <c r="I48" i="4" s="1"/>
  <c r="K47" i="16"/>
  <c r="I47" i="4" s="1"/>
  <c r="K46" i="16"/>
  <c r="I46" i="4" s="1"/>
  <c r="K45" i="16"/>
  <c r="I45" i="4" s="1"/>
  <c r="K7" i="16"/>
  <c r="K7" i="18" s="1"/>
  <c r="K8" i="16"/>
  <c r="I8" i="4" s="1"/>
  <c r="K9" i="16"/>
  <c r="I9" i="4" s="1"/>
  <c r="K10" i="16"/>
  <c r="I10" i="4" s="1"/>
  <c r="K11" i="16"/>
  <c r="I11" i="4" s="1"/>
  <c r="K12" i="16"/>
  <c r="I12" i="4" s="1"/>
  <c r="K13" i="16"/>
  <c r="I13" i="4" s="1"/>
  <c r="K14" i="16"/>
  <c r="I14" i="4" s="1"/>
  <c r="K15" i="16"/>
  <c r="I15" i="4" s="1"/>
  <c r="K16" i="16"/>
  <c r="I16" i="4" s="1"/>
  <c r="K17" i="16"/>
  <c r="I17" i="4" s="1"/>
  <c r="K18" i="16"/>
  <c r="I18" i="4" s="1"/>
  <c r="K19" i="16"/>
  <c r="I19" i="4" s="1"/>
  <c r="K20" i="16"/>
  <c r="I20" i="4" s="1"/>
  <c r="K21" i="16"/>
  <c r="I21" i="4" s="1"/>
  <c r="K22" i="16"/>
  <c r="I22" i="4" s="1"/>
  <c r="K23" i="16"/>
  <c r="I23" i="4" s="1"/>
  <c r="K24" i="16"/>
  <c r="I24" i="4" s="1"/>
  <c r="K25" i="16"/>
  <c r="I25" i="4" s="1"/>
  <c r="K26" i="16"/>
  <c r="I26" i="4" s="1"/>
  <c r="K27" i="16"/>
  <c r="I27" i="4" s="1"/>
  <c r="K28" i="16"/>
  <c r="I28" i="4" s="1"/>
  <c r="K29" i="16"/>
  <c r="I29" i="4" s="1"/>
  <c r="K30" i="16"/>
  <c r="I30" i="4" s="1"/>
  <c r="K31" i="16"/>
  <c r="I31" i="4" s="1"/>
  <c r="K32" i="16"/>
  <c r="I32" i="4" s="1"/>
  <c r="K33" i="16"/>
  <c r="I33" i="4" s="1"/>
  <c r="K34" i="16"/>
  <c r="I34" i="4" s="1"/>
  <c r="K35" i="16"/>
  <c r="I35" i="4" s="1"/>
  <c r="K36" i="16"/>
  <c r="I36" i="4" s="1"/>
  <c r="K37" i="16"/>
  <c r="I37" i="4" s="1"/>
  <c r="K38" i="16"/>
  <c r="I38" i="4" s="1"/>
  <c r="K39" i="16"/>
  <c r="I39" i="4" s="1"/>
  <c r="K40" i="16"/>
  <c r="I40" i="4" s="1"/>
  <c r="K41" i="16"/>
  <c r="I41" i="4" s="1"/>
  <c r="K42" i="16"/>
  <c r="I42" i="4" s="1"/>
  <c r="K6" i="16"/>
  <c r="I6" i="4" s="1"/>
  <c r="P5" i="18" l="1"/>
  <c r="I7" i="4"/>
  <c r="K4" i="18"/>
  <c r="M4" i="18"/>
  <c r="N5" i="18"/>
  <c r="O7" i="4"/>
  <c r="O5" i="18"/>
  <c r="K5" i="18"/>
  <c r="M5" i="18"/>
  <c r="N4" i="18"/>
  <c r="P4" i="18"/>
  <c r="O4" i="18"/>
  <c r="C51" i="4"/>
  <c r="C50" i="4"/>
  <c r="C49" i="4"/>
  <c r="C48" i="4"/>
  <c r="C47" i="4"/>
  <c r="C46" i="4"/>
  <c r="C45"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H35" i="16"/>
  <c r="I35" i="16"/>
  <c r="J35" i="16"/>
  <c r="H24" i="16"/>
  <c r="I24" i="16"/>
  <c r="J24" i="16"/>
  <c r="L24" i="16"/>
  <c r="J24" i="4" s="1"/>
  <c r="H25" i="16"/>
  <c r="I25" i="16"/>
  <c r="J25" i="16"/>
  <c r="L25" i="16"/>
  <c r="J25" i="4" s="1"/>
  <c r="H21" i="16"/>
  <c r="I21" i="16"/>
  <c r="J21" i="16"/>
  <c r="L21" i="16"/>
  <c r="J21" i="4" s="1"/>
  <c r="H22" i="16"/>
  <c r="I22" i="16"/>
  <c r="J22" i="16"/>
  <c r="L22" i="16"/>
  <c r="J22" i="4" s="1"/>
  <c r="H23" i="16"/>
  <c r="I23" i="16"/>
  <c r="J23" i="16"/>
  <c r="L23" i="16"/>
  <c r="J23" i="4" s="1"/>
  <c r="L51" i="16"/>
  <c r="J51" i="4" s="1"/>
  <c r="J51" i="16"/>
  <c r="I51" i="16"/>
  <c r="H51" i="16"/>
  <c r="L50" i="16"/>
  <c r="J50" i="4" s="1"/>
  <c r="J50" i="16"/>
  <c r="I50" i="16"/>
  <c r="H50" i="16"/>
  <c r="L49" i="16"/>
  <c r="J49" i="4" s="1"/>
  <c r="J49" i="16"/>
  <c r="I49" i="16"/>
  <c r="H49" i="16"/>
  <c r="L48" i="16"/>
  <c r="J48" i="4" s="1"/>
  <c r="J48" i="16"/>
  <c r="I48" i="16"/>
  <c r="H48" i="16"/>
  <c r="L47" i="16"/>
  <c r="J47" i="4" s="1"/>
  <c r="J47" i="16"/>
  <c r="I47" i="16"/>
  <c r="H47" i="16"/>
  <c r="L46" i="16"/>
  <c r="J46" i="4" s="1"/>
  <c r="J46" i="16"/>
  <c r="I46" i="16"/>
  <c r="H46" i="16"/>
  <c r="L45" i="16"/>
  <c r="J45" i="4" s="1"/>
  <c r="J45" i="16"/>
  <c r="I45" i="16"/>
  <c r="H45" i="16"/>
  <c r="H44" i="16" s="1"/>
  <c r="S5" i="4" s="1"/>
  <c r="L42" i="16"/>
  <c r="J42" i="4" s="1"/>
  <c r="J42" i="16"/>
  <c r="I42" i="16"/>
  <c r="H42" i="16"/>
  <c r="L41" i="16"/>
  <c r="J41" i="4" s="1"/>
  <c r="J41" i="16"/>
  <c r="I41" i="16"/>
  <c r="H41" i="16"/>
  <c r="L40" i="16"/>
  <c r="J40" i="4" s="1"/>
  <c r="J40" i="16"/>
  <c r="I40" i="16"/>
  <c r="H40" i="16"/>
  <c r="L39" i="16"/>
  <c r="J39" i="4" s="1"/>
  <c r="J39" i="16"/>
  <c r="I39" i="16"/>
  <c r="H39" i="16"/>
  <c r="L38" i="16"/>
  <c r="J38" i="4" s="1"/>
  <c r="J38" i="16"/>
  <c r="I38" i="16"/>
  <c r="H38" i="16"/>
  <c r="L37" i="16"/>
  <c r="J37" i="4" s="1"/>
  <c r="J37" i="16"/>
  <c r="I37" i="16"/>
  <c r="H37" i="16"/>
  <c r="L36" i="16"/>
  <c r="J36" i="4" s="1"/>
  <c r="J36" i="16"/>
  <c r="I36" i="16"/>
  <c r="H36" i="16"/>
  <c r="L35" i="16"/>
  <c r="J35" i="4" s="1"/>
  <c r="L34" i="16"/>
  <c r="J34" i="4" s="1"/>
  <c r="J34" i="16"/>
  <c r="I34" i="16"/>
  <c r="H34" i="16"/>
  <c r="L33" i="16"/>
  <c r="J33" i="4" s="1"/>
  <c r="J33" i="16"/>
  <c r="I33" i="16"/>
  <c r="H33" i="16"/>
  <c r="L32" i="16"/>
  <c r="J32" i="4" s="1"/>
  <c r="J32" i="16"/>
  <c r="I32" i="16"/>
  <c r="H32" i="16"/>
  <c r="L31" i="16"/>
  <c r="J31" i="4" s="1"/>
  <c r="J31" i="16"/>
  <c r="I31" i="16"/>
  <c r="H31" i="16"/>
  <c r="L30" i="16"/>
  <c r="J30" i="4" s="1"/>
  <c r="J30" i="16"/>
  <c r="I30" i="16"/>
  <c r="H30" i="16"/>
  <c r="L29" i="16"/>
  <c r="J29" i="4" s="1"/>
  <c r="J29" i="16"/>
  <c r="I29" i="16"/>
  <c r="H29" i="16"/>
  <c r="L28" i="16"/>
  <c r="J28" i="4" s="1"/>
  <c r="J28" i="16"/>
  <c r="I28" i="16"/>
  <c r="H28" i="16"/>
  <c r="L27" i="16"/>
  <c r="J27" i="4" s="1"/>
  <c r="J27" i="16"/>
  <c r="I27" i="16"/>
  <c r="H27" i="16"/>
  <c r="L26" i="16"/>
  <c r="J26" i="4" s="1"/>
  <c r="J26" i="16"/>
  <c r="I26" i="16"/>
  <c r="H26" i="16"/>
  <c r="L20" i="16"/>
  <c r="J20" i="4" s="1"/>
  <c r="J20" i="16"/>
  <c r="I20" i="16"/>
  <c r="H20" i="16"/>
  <c r="L19" i="16"/>
  <c r="J19" i="4" s="1"/>
  <c r="J19" i="16"/>
  <c r="I19" i="16"/>
  <c r="H19" i="16"/>
  <c r="L18" i="16"/>
  <c r="J18" i="4" s="1"/>
  <c r="J18" i="16"/>
  <c r="I18" i="16"/>
  <c r="H18" i="16"/>
  <c r="L17" i="16"/>
  <c r="J17" i="4" s="1"/>
  <c r="J17" i="16"/>
  <c r="I17" i="16"/>
  <c r="H17" i="16"/>
  <c r="L16" i="16"/>
  <c r="J16" i="4" s="1"/>
  <c r="J16" i="16"/>
  <c r="I16" i="16"/>
  <c r="H16" i="16"/>
  <c r="L15" i="16"/>
  <c r="J15" i="4" s="1"/>
  <c r="J15" i="16"/>
  <c r="I15" i="16"/>
  <c r="H15" i="16"/>
  <c r="L14" i="16"/>
  <c r="J14" i="4" s="1"/>
  <c r="J14" i="16"/>
  <c r="I14" i="16"/>
  <c r="H14" i="16"/>
  <c r="L13" i="16"/>
  <c r="J13" i="4" s="1"/>
  <c r="J13" i="16"/>
  <c r="I13" i="16"/>
  <c r="H13" i="16"/>
  <c r="L12" i="16"/>
  <c r="J12" i="4" s="1"/>
  <c r="J12" i="16"/>
  <c r="I12" i="16"/>
  <c r="H12" i="16"/>
  <c r="L11" i="16"/>
  <c r="J11" i="4" s="1"/>
  <c r="J11" i="16"/>
  <c r="I11" i="16"/>
  <c r="H11" i="16"/>
  <c r="L10" i="16"/>
  <c r="J10" i="4" s="1"/>
  <c r="J10" i="16"/>
  <c r="I10" i="16"/>
  <c r="H10" i="16"/>
  <c r="L9" i="16"/>
  <c r="J9" i="4" s="1"/>
  <c r="J9" i="16"/>
  <c r="I9" i="16"/>
  <c r="H9" i="16"/>
  <c r="L8" i="16"/>
  <c r="J8" i="4" s="1"/>
  <c r="J8" i="16"/>
  <c r="I8" i="16"/>
  <c r="H8" i="16"/>
  <c r="L7" i="16"/>
  <c r="L7" i="18" s="1"/>
  <c r="J7" i="16"/>
  <c r="I7" i="16"/>
  <c r="H7" i="16"/>
  <c r="L6" i="16"/>
  <c r="J6" i="4" s="1"/>
  <c r="J6" i="16"/>
  <c r="I6" i="16"/>
  <c r="H6" i="16"/>
  <c r="L44" i="16"/>
  <c r="W5" i="4" l="1"/>
  <c r="J44" i="4"/>
  <c r="J7" i="4"/>
  <c r="L4" i="18"/>
  <c r="L5" i="18"/>
  <c r="U23" i="4"/>
  <c r="N44" i="16"/>
  <c r="M44" i="16"/>
  <c r="P44" i="16"/>
  <c r="O44" i="16"/>
  <c r="J44" i="16"/>
  <c r="U5" i="4" s="1"/>
  <c r="I44" i="16"/>
  <c r="T5" i="4" s="1"/>
  <c r="K44" i="16"/>
  <c r="C17" i="12"/>
  <c r="E17" i="12"/>
  <c r="F17" i="12"/>
  <c r="G17" i="12"/>
  <c r="H17" i="12"/>
  <c r="I17" i="12"/>
  <c r="K17" i="12"/>
  <c r="L17" i="12"/>
  <c r="M17" i="12"/>
  <c r="N17" i="12"/>
  <c r="O17" i="12"/>
  <c r="P17" i="12"/>
  <c r="B17" i="12"/>
  <c r="E17" i="11"/>
  <c r="F17" i="11"/>
  <c r="G17" i="11"/>
  <c r="H17" i="11"/>
  <c r="I17" i="11"/>
  <c r="K17" i="11"/>
  <c r="L17" i="11"/>
  <c r="M17" i="11"/>
  <c r="N17" i="11"/>
  <c r="O17" i="11"/>
  <c r="P17" i="11"/>
  <c r="D17" i="11"/>
  <c r="E17" i="10"/>
  <c r="F17" i="10"/>
  <c r="G17" i="10"/>
  <c r="H17" i="10"/>
  <c r="I17" i="10"/>
  <c r="K17" i="10"/>
  <c r="L17" i="10"/>
  <c r="M17" i="10"/>
  <c r="N17" i="10"/>
  <c r="O17" i="10"/>
  <c r="P17" i="10"/>
  <c r="D17" i="10"/>
  <c r="E17" i="9"/>
  <c r="F17" i="9"/>
  <c r="G17" i="9"/>
  <c r="H17" i="9"/>
  <c r="I17" i="9"/>
  <c r="K17" i="9"/>
  <c r="L17" i="9"/>
  <c r="M17" i="9"/>
  <c r="N17" i="9"/>
  <c r="O17" i="9"/>
  <c r="P17" i="9"/>
  <c r="D17" i="9"/>
  <c r="E17" i="8"/>
  <c r="F17" i="8"/>
  <c r="G17" i="8"/>
  <c r="H17" i="8"/>
  <c r="I17" i="8"/>
  <c r="K17" i="8"/>
  <c r="L17" i="8"/>
  <c r="M17" i="8"/>
  <c r="N17" i="8"/>
  <c r="O17" i="8"/>
  <c r="P17" i="8"/>
  <c r="D17" i="8"/>
  <c r="E17" i="3"/>
  <c r="F17" i="3"/>
  <c r="G17" i="3"/>
  <c r="H17" i="3"/>
  <c r="I17" i="3"/>
  <c r="J17" i="3"/>
  <c r="K17" i="3"/>
  <c r="L17" i="3"/>
  <c r="M17" i="3"/>
  <c r="N17" i="3"/>
  <c r="O17" i="3"/>
  <c r="P17" i="3"/>
  <c r="D17" i="3"/>
  <c r="P66" i="1"/>
  <c r="O66" i="1"/>
  <c r="N66" i="1"/>
  <c r="L66" i="1"/>
  <c r="K66" i="1"/>
  <c r="J66" i="1"/>
  <c r="J17" i="1" s="1"/>
  <c r="I66" i="1"/>
  <c r="H66" i="1"/>
  <c r="P67" i="1"/>
  <c r="O67" i="1"/>
  <c r="N67" i="1"/>
  <c r="L67" i="1"/>
  <c r="K67" i="1"/>
  <c r="J67" i="1"/>
  <c r="I67" i="1"/>
  <c r="H67" i="1"/>
  <c r="N51" i="14"/>
  <c r="M51" i="14"/>
  <c r="N50" i="14"/>
  <c r="M50" i="14"/>
  <c r="N49" i="14"/>
  <c r="M49" i="14"/>
  <c r="N48" i="14"/>
  <c r="M48" i="14"/>
  <c r="N47" i="14"/>
  <c r="M47" i="14"/>
  <c r="N46" i="14"/>
  <c r="M46" i="14"/>
  <c r="N45" i="14"/>
  <c r="M45" i="14"/>
  <c r="N42" i="14"/>
  <c r="M42" i="14"/>
  <c r="N41" i="14"/>
  <c r="M41" i="14"/>
  <c r="N40" i="14"/>
  <c r="M40" i="14"/>
  <c r="N39" i="14"/>
  <c r="M39" i="14"/>
  <c r="N38" i="14"/>
  <c r="M38" i="14"/>
  <c r="N37" i="14"/>
  <c r="M37" i="14"/>
  <c r="N36" i="14"/>
  <c r="M36" i="14"/>
  <c r="N35" i="14"/>
  <c r="M35" i="14"/>
  <c r="N34" i="14"/>
  <c r="M34" i="14"/>
  <c r="N33" i="14"/>
  <c r="M33" i="14"/>
  <c r="N32" i="14"/>
  <c r="M32" i="14"/>
  <c r="N31" i="14"/>
  <c r="M31" i="14"/>
  <c r="N30" i="14"/>
  <c r="M30" i="14"/>
  <c r="N29" i="14"/>
  <c r="M29" i="14"/>
  <c r="N28" i="14"/>
  <c r="M28" i="14"/>
  <c r="N27" i="14"/>
  <c r="M27" i="14"/>
  <c r="N26" i="14"/>
  <c r="M26" i="14"/>
  <c r="N24" i="14"/>
  <c r="M24" i="14"/>
  <c r="M7" i="14"/>
  <c r="N7" i="14"/>
  <c r="M8" i="14"/>
  <c r="N8" i="14"/>
  <c r="M9" i="14"/>
  <c r="N9" i="14"/>
  <c r="M10" i="14"/>
  <c r="N10" i="14"/>
  <c r="M11" i="14"/>
  <c r="N11" i="14"/>
  <c r="M12" i="14"/>
  <c r="N12" i="14"/>
  <c r="M13" i="14"/>
  <c r="N13" i="14"/>
  <c r="M14" i="14"/>
  <c r="N14" i="14"/>
  <c r="M15" i="14"/>
  <c r="N15" i="14"/>
  <c r="M16" i="14"/>
  <c r="N16" i="14"/>
  <c r="M17" i="14"/>
  <c r="N17" i="14"/>
  <c r="M18" i="14"/>
  <c r="N18" i="14"/>
  <c r="M19" i="14"/>
  <c r="N19" i="14"/>
  <c r="M20" i="14"/>
  <c r="N20" i="14"/>
  <c r="M21" i="14"/>
  <c r="N21" i="14"/>
  <c r="M6" i="14"/>
  <c r="N6" i="14"/>
  <c r="P51" i="14"/>
  <c r="O51" i="14"/>
  <c r="L51" i="14"/>
  <c r="P50" i="14"/>
  <c r="O50" i="14"/>
  <c r="L50" i="14"/>
  <c r="P49" i="14"/>
  <c r="O49" i="14"/>
  <c r="L49" i="14"/>
  <c r="P48" i="14"/>
  <c r="O48" i="14"/>
  <c r="L48" i="14"/>
  <c r="P47" i="14"/>
  <c r="O47" i="14"/>
  <c r="L47" i="14"/>
  <c r="P46" i="14"/>
  <c r="O46" i="14"/>
  <c r="L46" i="14"/>
  <c r="P45" i="14"/>
  <c r="O45" i="14"/>
  <c r="L45" i="14"/>
  <c r="P42" i="14"/>
  <c r="O42" i="14"/>
  <c r="L42" i="14"/>
  <c r="P41" i="14"/>
  <c r="O41" i="14"/>
  <c r="L41" i="14"/>
  <c r="P40" i="14"/>
  <c r="O40" i="14"/>
  <c r="L40" i="14"/>
  <c r="P39" i="14"/>
  <c r="O39" i="14"/>
  <c r="L39" i="14"/>
  <c r="P38" i="14"/>
  <c r="O38" i="14"/>
  <c r="L38" i="14"/>
  <c r="P37" i="14"/>
  <c r="O37" i="14"/>
  <c r="L37" i="14"/>
  <c r="P36" i="14"/>
  <c r="O36" i="14"/>
  <c r="L36" i="14"/>
  <c r="P35" i="14"/>
  <c r="O35" i="14"/>
  <c r="L35" i="14"/>
  <c r="P34" i="14"/>
  <c r="O34" i="14"/>
  <c r="L34" i="14"/>
  <c r="P33" i="14"/>
  <c r="O33" i="14"/>
  <c r="L33" i="14"/>
  <c r="P32" i="14"/>
  <c r="O32" i="14"/>
  <c r="L32" i="14"/>
  <c r="P31" i="14"/>
  <c r="O31" i="14"/>
  <c r="L31" i="14"/>
  <c r="P30" i="14"/>
  <c r="O30" i="14"/>
  <c r="L30" i="14"/>
  <c r="P29" i="14"/>
  <c r="O29" i="14"/>
  <c r="L29" i="14"/>
  <c r="P28" i="14"/>
  <c r="O28" i="14"/>
  <c r="L28" i="14"/>
  <c r="P27" i="14"/>
  <c r="O27" i="14"/>
  <c r="L27" i="14"/>
  <c r="P26" i="14"/>
  <c r="O26" i="14"/>
  <c r="L26" i="14"/>
  <c r="P24" i="14"/>
  <c r="O24" i="14"/>
  <c r="L24" i="14"/>
  <c r="P21" i="14"/>
  <c r="O21" i="14"/>
  <c r="L21" i="14"/>
  <c r="P20" i="14"/>
  <c r="O20" i="14"/>
  <c r="L20" i="14"/>
  <c r="P19" i="14"/>
  <c r="L19" i="14"/>
  <c r="P18" i="14"/>
  <c r="O18" i="14"/>
  <c r="L18" i="14"/>
  <c r="P17" i="14"/>
  <c r="O17" i="14"/>
  <c r="L17" i="14"/>
  <c r="P16" i="14"/>
  <c r="O16" i="14"/>
  <c r="L16" i="14"/>
  <c r="P15" i="14"/>
  <c r="O15" i="14"/>
  <c r="L15" i="14"/>
  <c r="P14" i="14"/>
  <c r="O14" i="14"/>
  <c r="L14" i="14"/>
  <c r="P13" i="14"/>
  <c r="O13" i="14"/>
  <c r="L13" i="14"/>
  <c r="P12" i="14"/>
  <c r="O12" i="14"/>
  <c r="L12" i="14"/>
  <c r="P11" i="14"/>
  <c r="O11" i="14"/>
  <c r="L11" i="14"/>
  <c r="P10" i="14"/>
  <c r="O10" i="14"/>
  <c r="L10" i="14"/>
  <c r="P9" i="14"/>
  <c r="O9" i="14"/>
  <c r="L9" i="14"/>
  <c r="P8" i="14"/>
  <c r="O8" i="14"/>
  <c r="L8" i="14"/>
  <c r="P7" i="14"/>
  <c r="O7" i="14"/>
  <c r="L7" i="14"/>
  <c r="P6" i="14"/>
  <c r="O6" i="14"/>
  <c r="L6" i="14"/>
  <c r="K51" i="14"/>
  <c r="K42" i="14"/>
  <c r="L17" i="1" l="1"/>
  <c r="Y5" i="4"/>
  <c r="N44" i="4"/>
  <c r="X5" i="4"/>
  <c r="K44" i="4"/>
  <c r="Z5" i="4"/>
  <c r="O44" i="4"/>
  <c r="T23" i="4"/>
  <c r="V5" i="4"/>
  <c r="I44" i="4"/>
  <c r="AA5" i="4"/>
  <c r="P44" i="4"/>
  <c r="K17" i="1"/>
  <c r="P17" i="1"/>
  <c r="H17" i="1"/>
  <c r="N17" i="1"/>
  <c r="K12" i="14"/>
  <c r="K37" i="14"/>
  <c r="K10" i="14"/>
  <c r="K14" i="14"/>
  <c r="K18" i="14"/>
  <c r="K21" i="14"/>
  <c r="K28" i="14"/>
  <c r="K32" i="14"/>
  <c r="K36" i="14"/>
  <c r="K40" i="14"/>
  <c r="K46" i="14"/>
  <c r="K50" i="14"/>
  <c r="K6" i="14"/>
  <c r="K45" i="14"/>
  <c r="K49" i="14"/>
  <c r="K9" i="14"/>
  <c r="K8" i="14"/>
  <c r="K16" i="14"/>
  <c r="K26" i="14"/>
  <c r="K34" i="14"/>
  <c r="K38" i="14"/>
  <c r="K11" i="14"/>
  <c r="K19" i="14"/>
  <c r="K17" i="14"/>
  <c r="K27" i="14"/>
  <c r="K31" i="14"/>
  <c r="K39" i="14"/>
  <c r="K7" i="14"/>
  <c r="K15" i="14"/>
  <c r="K24" i="14"/>
  <c r="K41" i="14"/>
  <c r="K47" i="14"/>
  <c r="K33" i="14"/>
  <c r="K35" i="14"/>
  <c r="K13" i="14"/>
  <c r="K20" i="14"/>
  <c r="K29" i="14"/>
  <c r="K30" i="14"/>
  <c r="K48" i="14"/>
  <c r="I17" i="1"/>
  <c r="O17" i="1"/>
  <c r="J51" i="14"/>
  <c r="J50" i="14"/>
  <c r="J49" i="14"/>
  <c r="J48" i="14"/>
  <c r="J47" i="14"/>
  <c r="J46" i="14"/>
  <c r="J45" i="14"/>
  <c r="J43" i="14"/>
  <c r="J42" i="14"/>
  <c r="J41" i="14"/>
  <c r="J40" i="14"/>
  <c r="J39" i="14"/>
  <c r="J38" i="14"/>
  <c r="J37" i="14"/>
  <c r="J36" i="14"/>
  <c r="J34" i="14"/>
  <c r="J33" i="14"/>
  <c r="J32" i="14"/>
  <c r="J31" i="14"/>
  <c r="J30" i="14"/>
  <c r="J29" i="14"/>
  <c r="J28" i="14"/>
  <c r="J27" i="14"/>
  <c r="J26" i="14"/>
  <c r="J24" i="14"/>
  <c r="J21" i="14"/>
  <c r="J20" i="14"/>
  <c r="J19" i="14"/>
  <c r="J18" i="14"/>
  <c r="J17" i="14"/>
  <c r="J16" i="14"/>
  <c r="J15" i="14"/>
  <c r="J14" i="14"/>
  <c r="J13" i="14"/>
  <c r="J12" i="14"/>
  <c r="J11" i="14"/>
  <c r="J10" i="14"/>
  <c r="J9" i="14"/>
  <c r="J8" i="14"/>
  <c r="J7" i="14"/>
  <c r="J6" i="14"/>
  <c r="I51" i="14"/>
  <c r="I50" i="14"/>
  <c r="I49" i="14"/>
  <c r="I48" i="14"/>
  <c r="I47" i="14"/>
  <c r="I46" i="14"/>
  <c r="I45" i="14"/>
  <c r="I43" i="14"/>
  <c r="I42" i="14"/>
  <c r="I41" i="14"/>
  <c r="I40" i="14"/>
  <c r="I39" i="14"/>
  <c r="I38" i="14"/>
  <c r="I37" i="14"/>
  <c r="I36" i="14"/>
  <c r="I34" i="14"/>
  <c r="I33" i="14"/>
  <c r="I32" i="14"/>
  <c r="I31" i="14"/>
  <c r="I30" i="14"/>
  <c r="I29" i="14"/>
  <c r="I28" i="14"/>
  <c r="I27" i="14"/>
  <c r="I26" i="14"/>
  <c r="I24" i="14"/>
  <c r="I21" i="14"/>
  <c r="I20" i="14"/>
  <c r="I19" i="14"/>
  <c r="I18" i="14"/>
  <c r="I17" i="14"/>
  <c r="I16" i="14"/>
  <c r="I15" i="14"/>
  <c r="I14" i="14"/>
  <c r="I13" i="14"/>
  <c r="I12" i="14"/>
  <c r="I11" i="14"/>
  <c r="I10" i="14"/>
  <c r="I9" i="14"/>
  <c r="I8" i="14"/>
  <c r="I7" i="14"/>
  <c r="I6" i="14"/>
  <c r="H51" i="14"/>
  <c r="H50" i="14"/>
  <c r="H49" i="14"/>
  <c r="H48" i="14"/>
  <c r="H47" i="14"/>
  <c r="H46" i="14"/>
  <c r="H45" i="14"/>
  <c r="H43" i="14"/>
  <c r="H42" i="14"/>
  <c r="H41" i="14"/>
  <c r="H40" i="14"/>
  <c r="H39" i="14"/>
  <c r="H38" i="14"/>
  <c r="H37" i="14"/>
  <c r="H36" i="14"/>
  <c r="H34" i="14"/>
  <c r="H33" i="14"/>
  <c r="H32" i="14"/>
  <c r="H31" i="14"/>
  <c r="H30" i="14"/>
  <c r="H29" i="14"/>
  <c r="H28" i="14"/>
  <c r="H27" i="14"/>
  <c r="H26" i="14"/>
  <c r="H24" i="14"/>
  <c r="H21" i="14"/>
  <c r="H20" i="14"/>
  <c r="H19" i="14"/>
  <c r="H18" i="14"/>
  <c r="H17" i="14"/>
  <c r="H16" i="14"/>
  <c r="H15" i="14"/>
  <c r="H14" i="14"/>
  <c r="H13" i="14"/>
  <c r="H12" i="14"/>
  <c r="H11" i="14"/>
  <c r="H10" i="14"/>
  <c r="H9" i="14"/>
  <c r="H8" i="14"/>
  <c r="H7" i="14"/>
  <c r="H6" i="14"/>
  <c r="J23" i="14"/>
  <c r="J22" i="14"/>
  <c r="BA18" i="2"/>
  <c r="BA10" i="2"/>
  <c r="H43" i="16" l="1"/>
  <c r="H43" i="18"/>
  <c r="J43" i="16"/>
  <c r="J43" i="18"/>
  <c r="I43" i="16"/>
  <c r="I43" i="18"/>
  <c r="I4" i="16"/>
  <c r="I5" i="16"/>
  <c r="T6" i="4" s="1"/>
  <c r="J4" i="16"/>
  <c r="J5" i="16"/>
  <c r="U6" i="4" s="1"/>
  <c r="H5" i="16"/>
  <c r="S6" i="4" s="1"/>
  <c r="H4" i="16"/>
  <c r="K44" i="14"/>
  <c r="O44" i="14"/>
  <c r="N44" i="14"/>
  <c r="H44" i="14"/>
  <c r="L44" i="14"/>
  <c r="P44" i="14"/>
  <c r="J44" i="14"/>
  <c r="I44" i="14"/>
  <c r="M44" i="14"/>
  <c r="H34" i="1"/>
  <c r="I34" i="1"/>
  <c r="J34" i="1"/>
  <c r="K34" i="1"/>
  <c r="L34" i="1"/>
  <c r="M34" i="1"/>
  <c r="N34" i="1"/>
  <c r="O34" i="1"/>
  <c r="P34" i="1"/>
  <c r="L13" i="1"/>
  <c r="M13" i="1"/>
  <c r="N13" i="1"/>
  <c r="O13" i="1"/>
  <c r="P13" i="1"/>
  <c r="I13" i="1"/>
  <c r="J13" i="1"/>
  <c r="K13" i="1"/>
  <c r="H13" i="1"/>
  <c r="E43" i="4" l="1"/>
  <c r="I5" i="18"/>
  <c r="E5" i="4" s="1"/>
  <c r="I4" i="18"/>
  <c r="E4" i="4" s="1"/>
  <c r="D43" i="4"/>
  <c r="H4" i="18"/>
  <c r="H5" i="18"/>
  <c r="D5" i="4" s="1"/>
  <c r="F43" i="4"/>
  <c r="J5" i="18"/>
  <c r="F5" i="4" s="1"/>
  <c r="J4" i="18"/>
  <c r="F4" i="4" s="1"/>
  <c r="T4" i="4"/>
  <c r="S22" i="4"/>
  <c r="S4" i="4"/>
  <c r="U4" i="4"/>
  <c r="U14" i="4"/>
  <c r="T14" i="4"/>
  <c r="S14" i="4"/>
  <c r="U15" i="4"/>
  <c r="T15" i="4"/>
  <c r="S15" i="4"/>
  <c r="U16" i="4"/>
  <c r="T16" i="4"/>
  <c r="S16" i="4"/>
  <c r="U17" i="4"/>
  <c r="T17" i="4"/>
  <c r="S17" i="4"/>
  <c r="S18" i="4"/>
  <c r="U18" i="4"/>
  <c r="T18" i="4"/>
  <c r="D4" i="4" l="1"/>
  <c r="S23" i="4"/>
  <c r="A4" i="5"/>
  <c r="B50" i="5"/>
  <c r="B50" i="6" l="1"/>
  <c r="M43" i="1"/>
  <c r="M25" i="1"/>
  <c r="M23" i="1"/>
  <c r="M22" i="1"/>
  <c r="M8" i="1"/>
  <c r="M7" i="1"/>
  <c r="M6" i="1"/>
  <c r="BA12" i="2"/>
  <c r="M21" i="1" s="1"/>
  <c r="BA13" i="2"/>
  <c r="M24" i="1" s="1"/>
  <c r="BA14" i="2"/>
  <c r="M26" i="1" s="1"/>
  <c r="BA15" i="2"/>
  <c r="M30" i="1" s="1"/>
  <c r="BA16" i="2"/>
  <c r="M31" i="1" s="1"/>
  <c r="BA17" i="2"/>
  <c r="M33" i="1" s="1"/>
  <c r="BA19" i="2"/>
  <c r="M36" i="1" s="1"/>
  <c r="BA20" i="2"/>
  <c r="M39" i="1" s="1"/>
  <c r="BA21" i="2"/>
  <c r="M40" i="1" s="1"/>
  <c r="BA22" i="2"/>
  <c r="M41" i="1" s="1"/>
  <c r="BA23" i="2"/>
  <c r="M42" i="1" s="1"/>
  <c r="BA28" i="2"/>
  <c r="M9" i="1" s="1"/>
  <c r="BA29" i="2"/>
  <c r="M10" i="1" s="1"/>
  <c r="BA30" i="2"/>
  <c r="M11" i="1" s="1"/>
  <c r="BA31" i="2"/>
  <c r="M12" i="1" s="1"/>
  <c r="BA32" i="2"/>
  <c r="M15" i="1" s="1"/>
  <c r="BA33" i="2"/>
  <c r="M16" i="1" s="1"/>
  <c r="BA34" i="2"/>
  <c r="M66" i="1" s="1"/>
  <c r="BA35" i="2"/>
  <c r="M18" i="1" s="1"/>
  <c r="BA36" i="2"/>
  <c r="M19" i="1" s="1"/>
  <c r="BA37" i="2"/>
  <c r="M20" i="1" s="1"/>
  <c r="BA41" i="2"/>
  <c r="M27" i="1" s="1"/>
  <c r="BA42" i="2"/>
  <c r="M28" i="1" s="1"/>
  <c r="BA43" i="2"/>
  <c r="M29" i="1" s="1"/>
  <c r="BA44" i="2"/>
  <c r="M32" i="1" s="1"/>
  <c r="BA45" i="2"/>
  <c r="M35" i="1" s="1"/>
  <c r="BA46" i="2"/>
  <c r="M37" i="1" s="1"/>
  <c r="BA47" i="2"/>
  <c r="M38" i="1" s="1"/>
  <c r="BA48" i="2"/>
  <c r="M67" i="1" s="1"/>
  <c r="BA49" i="2"/>
  <c r="M45" i="1" s="1"/>
  <c r="BA50" i="2"/>
  <c r="M46" i="1" s="1"/>
  <c r="BA51" i="2"/>
  <c r="M47" i="1" s="1"/>
  <c r="BA52" i="2"/>
  <c r="M48" i="1" s="1"/>
  <c r="BA53" i="2"/>
  <c r="M49" i="1" s="1"/>
  <c r="BA54" i="2"/>
  <c r="M50" i="1" s="1"/>
  <c r="BA55" i="2"/>
  <c r="M51" i="1" s="1"/>
  <c r="BA57" i="2"/>
  <c r="BA58" i="2"/>
  <c r="BA60" i="2"/>
  <c r="BA11" i="2"/>
  <c r="M14" i="1" s="1"/>
  <c r="P43" i="1"/>
  <c r="O43" i="1"/>
  <c r="N43" i="1"/>
  <c r="P25" i="1"/>
  <c r="O25" i="1"/>
  <c r="N25" i="1"/>
  <c r="P23" i="1"/>
  <c r="O23" i="1"/>
  <c r="N23" i="1"/>
  <c r="P22" i="1"/>
  <c r="O22" i="1"/>
  <c r="N22" i="1"/>
  <c r="P8" i="1"/>
  <c r="O8" i="1"/>
  <c r="N8" i="1"/>
  <c r="P7" i="1"/>
  <c r="O7" i="1"/>
  <c r="N7" i="1"/>
  <c r="P6" i="1"/>
  <c r="O6" i="1"/>
  <c r="N6" i="1"/>
  <c r="P51" i="1"/>
  <c r="O51" i="1"/>
  <c r="N51" i="1"/>
  <c r="P50" i="1"/>
  <c r="O50" i="1"/>
  <c r="N50" i="1"/>
  <c r="P49" i="1"/>
  <c r="O49" i="1"/>
  <c r="N49" i="1"/>
  <c r="P48" i="1"/>
  <c r="O48" i="1"/>
  <c r="N48" i="1"/>
  <c r="P47" i="1"/>
  <c r="O47" i="1"/>
  <c r="N47" i="1"/>
  <c r="P46" i="1"/>
  <c r="O46" i="1"/>
  <c r="N46" i="1"/>
  <c r="P45" i="1"/>
  <c r="O45" i="1"/>
  <c r="N45" i="1"/>
  <c r="N10" i="1"/>
  <c r="O10" i="1"/>
  <c r="P10" i="1"/>
  <c r="N11" i="1"/>
  <c r="O11" i="1"/>
  <c r="P11" i="1"/>
  <c r="N12" i="1"/>
  <c r="O12" i="1"/>
  <c r="P12" i="1"/>
  <c r="N14" i="1"/>
  <c r="O14" i="1"/>
  <c r="P14" i="1"/>
  <c r="N15" i="1"/>
  <c r="O15" i="1"/>
  <c r="P15" i="1"/>
  <c r="N16" i="1"/>
  <c r="O16" i="1"/>
  <c r="P16" i="1"/>
  <c r="N18" i="1"/>
  <c r="O18" i="1"/>
  <c r="P18" i="1"/>
  <c r="N19" i="1"/>
  <c r="O19" i="1"/>
  <c r="O19" i="14" s="1"/>
  <c r="P19" i="1"/>
  <c r="N20" i="1"/>
  <c r="O20" i="1"/>
  <c r="P20" i="1"/>
  <c r="N21" i="1"/>
  <c r="O21" i="1"/>
  <c r="P21" i="1"/>
  <c r="N24" i="1"/>
  <c r="O24" i="1"/>
  <c r="P24" i="1"/>
  <c r="N26" i="1"/>
  <c r="O26" i="1"/>
  <c r="P26" i="1"/>
  <c r="N27" i="1"/>
  <c r="O27" i="1"/>
  <c r="P27" i="1"/>
  <c r="N28" i="1"/>
  <c r="O28" i="1"/>
  <c r="P28" i="1"/>
  <c r="N29" i="1"/>
  <c r="O29" i="1"/>
  <c r="P29" i="1"/>
  <c r="N30" i="1"/>
  <c r="O30" i="1"/>
  <c r="P30" i="1"/>
  <c r="N31" i="1"/>
  <c r="O31" i="1"/>
  <c r="P31" i="1"/>
  <c r="N32" i="1"/>
  <c r="O32" i="1"/>
  <c r="P32" i="1"/>
  <c r="N33" i="1"/>
  <c r="O33" i="1"/>
  <c r="P33" i="1"/>
  <c r="N35" i="1"/>
  <c r="O35" i="1"/>
  <c r="P35" i="1"/>
  <c r="N36" i="1"/>
  <c r="O36" i="1"/>
  <c r="P36" i="1"/>
  <c r="N37" i="1"/>
  <c r="O37" i="1"/>
  <c r="P37" i="1"/>
  <c r="N38" i="1"/>
  <c r="O38" i="1"/>
  <c r="P38" i="1"/>
  <c r="N39" i="1"/>
  <c r="O39" i="1"/>
  <c r="P39" i="1"/>
  <c r="N40" i="1"/>
  <c r="O40" i="1"/>
  <c r="P40" i="1"/>
  <c r="N41" i="1"/>
  <c r="O41" i="1"/>
  <c r="P41" i="1"/>
  <c r="N42" i="1"/>
  <c r="O42" i="1"/>
  <c r="P42" i="1"/>
  <c r="P9" i="1"/>
  <c r="O9" i="1"/>
  <c r="N9" i="1"/>
  <c r="L43" i="1"/>
  <c r="L25" i="1"/>
  <c r="L22" i="1"/>
  <c r="L23" i="1"/>
  <c r="L6" i="1"/>
  <c r="L7" i="1"/>
  <c r="L8" i="1"/>
  <c r="L51" i="1"/>
  <c r="L50" i="1"/>
  <c r="L49" i="1"/>
  <c r="L48" i="1"/>
  <c r="L47" i="1"/>
  <c r="L46" i="1"/>
  <c r="L45" i="1"/>
  <c r="L10" i="1"/>
  <c r="L11" i="1"/>
  <c r="L12" i="1"/>
  <c r="L14" i="1"/>
  <c r="L15" i="1"/>
  <c r="L16" i="1"/>
  <c r="L18" i="1"/>
  <c r="L19" i="1"/>
  <c r="L20" i="1"/>
  <c r="L21" i="1"/>
  <c r="L24" i="1"/>
  <c r="L26" i="1"/>
  <c r="L27" i="1"/>
  <c r="L28" i="1"/>
  <c r="L29" i="1"/>
  <c r="L30" i="1"/>
  <c r="L31" i="1"/>
  <c r="L32" i="1"/>
  <c r="L33" i="1"/>
  <c r="L35" i="1"/>
  <c r="L36" i="1"/>
  <c r="L37" i="1"/>
  <c r="L38" i="1"/>
  <c r="L39" i="1"/>
  <c r="L40" i="1"/>
  <c r="L41" i="1"/>
  <c r="L42" i="1"/>
  <c r="L9" i="1"/>
  <c r="K43" i="1"/>
  <c r="K25" i="1"/>
  <c r="K23" i="1"/>
  <c r="K22" i="1"/>
  <c r="K8" i="1"/>
  <c r="K7" i="1"/>
  <c r="K6" i="1"/>
  <c r="K51" i="1"/>
  <c r="K50" i="1"/>
  <c r="K49" i="1"/>
  <c r="K48" i="1"/>
  <c r="K47" i="1"/>
  <c r="K46" i="1"/>
  <c r="K45" i="1"/>
  <c r="K9" i="1"/>
  <c r="K10" i="1"/>
  <c r="K11" i="1"/>
  <c r="K12" i="1"/>
  <c r="K14" i="1"/>
  <c r="K15" i="1"/>
  <c r="K16" i="1"/>
  <c r="K18" i="1"/>
  <c r="K19" i="1"/>
  <c r="K20" i="1"/>
  <c r="K21" i="1"/>
  <c r="K24" i="1"/>
  <c r="K26" i="1"/>
  <c r="K27" i="1"/>
  <c r="K28" i="1"/>
  <c r="K29" i="1"/>
  <c r="K30" i="1"/>
  <c r="K31" i="1"/>
  <c r="K32" i="1"/>
  <c r="K33" i="1"/>
  <c r="K35" i="1"/>
  <c r="K36" i="1"/>
  <c r="K37" i="1"/>
  <c r="K38" i="1"/>
  <c r="K39" i="1"/>
  <c r="K40" i="1"/>
  <c r="K41" i="1"/>
  <c r="K42" i="1"/>
  <c r="H50" i="5"/>
  <c r="B53" i="5"/>
  <c r="G51" i="5"/>
  <c r="L54" i="5"/>
  <c r="N53" i="5"/>
  <c r="I51" i="5"/>
  <c r="C49" i="5"/>
  <c r="H55" i="5"/>
  <c r="H53" i="5"/>
  <c r="C55" i="5"/>
  <c r="B48" i="5"/>
  <c r="N51" i="5"/>
  <c r="N50" i="5"/>
  <c r="C52" i="5"/>
  <c r="B54" i="5"/>
  <c r="G48" i="5"/>
  <c r="L52" i="5"/>
  <c r="C48" i="5"/>
  <c r="B51" i="5"/>
  <c r="C54" i="5"/>
  <c r="C50" i="5"/>
  <c r="L51" i="5"/>
  <c r="M49" i="5"/>
  <c r="D50" i="5"/>
  <c r="I50" i="5"/>
  <c r="G55" i="5"/>
  <c r="M51" i="5"/>
  <c r="M52" i="5"/>
  <c r="D51" i="5"/>
  <c r="I52" i="5"/>
  <c r="L49" i="5"/>
  <c r="I55" i="5"/>
  <c r="L48" i="5"/>
  <c r="I49" i="5"/>
  <c r="D47" i="5"/>
  <c r="D48" i="5"/>
  <c r="N48" i="5"/>
  <c r="N49" i="5"/>
  <c r="C53" i="5"/>
  <c r="H51" i="5"/>
  <c r="D54" i="5"/>
  <c r="M54" i="5"/>
  <c r="I53" i="5"/>
  <c r="D52" i="5"/>
  <c r="G49" i="5"/>
  <c r="G52" i="5"/>
  <c r="G50" i="5"/>
  <c r="C51" i="5"/>
  <c r="M50" i="5"/>
  <c r="D49" i="5"/>
  <c r="G54" i="5"/>
  <c r="G53" i="5"/>
  <c r="B52" i="5"/>
  <c r="N54" i="5"/>
  <c r="H49" i="5"/>
  <c r="M53" i="5"/>
  <c r="D53" i="5"/>
  <c r="L53" i="5"/>
  <c r="N55" i="5"/>
  <c r="L50" i="5"/>
  <c r="H48" i="5"/>
  <c r="D55" i="5"/>
  <c r="L55" i="5"/>
  <c r="B55" i="5"/>
  <c r="I48" i="5"/>
  <c r="I54" i="5"/>
  <c r="N52" i="5"/>
  <c r="M48" i="5"/>
  <c r="M55" i="5"/>
  <c r="H52" i="5"/>
  <c r="B49" i="5"/>
  <c r="H54" i="5"/>
  <c r="G52" i="6" l="1"/>
  <c r="J52" i="5"/>
  <c r="J52" i="6" s="1"/>
  <c r="D48" i="6"/>
  <c r="L55" i="6"/>
  <c r="O55" i="5"/>
  <c r="O55" i="6" s="1"/>
  <c r="N48" i="6"/>
  <c r="H53" i="6"/>
  <c r="I48" i="6"/>
  <c r="D50" i="6"/>
  <c r="D49" i="6"/>
  <c r="O54" i="5"/>
  <c r="O54" i="6" s="1"/>
  <c r="L54" i="6"/>
  <c r="M53" i="6"/>
  <c r="D47" i="6"/>
  <c r="I54" i="6"/>
  <c r="E49" i="5"/>
  <c r="E49" i="6" s="1"/>
  <c r="B49" i="6"/>
  <c r="G50" i="6"/>
  <c r="J50" i="5"/>
  <c r="J50" i="6" s="1"/>
  <c r="I51" i="6"/>
  <c r="M49" i="6"/>
  <c r="L52" i="6"/>
  <c r="O52" i="5"/>
  <c r="O52" i="6" s="1"/>
  <c r="L49" i="6"/>
  <c r="O49" i="5"/>
  <c r="O49" i="6" s="1"/>
  <c r="O50" i="5"/>
  <c r="O50" i="6" s="1"/>
  <c r="L50" i="6"/>
  <c r="E53" i="5"/>
  <c r="E53" i="6" s="1"/>
  <c r="B53" i="6"/>
  <c r="B52" i="6"/>
  <c r="E52" i="5"/>
  <c r="E52" i="6" s="1"/>
  <c r="I55" i="6"/>
  <c r="E55" i="5"/>
  <c r="E55" i="6" s="1"/>
  <c r="B55" i="6"/>
  <c r="I53" i="6"/>
  <c r="M54" i="6"/>
  <c r="O51" i="5"/>
  <c r="O51" i="6" s="1"/>
  <c r="L51" i="6"/>
  <c r="C54" i="6"/>
  <c r="N54" i="6"/>
  <c r="C51" i="6"/>
  <c r="E51" i="5"/>
  <c r="E51" i="6" s="1"/>
  <c r="B51" i="6"/>
  <c r="E48" i="5"/>
  <c r="E48" i="6" s="1"/>
  <c r="B48" i="6"/>
  <c r="G55" i="6"/>
  <c r="J55" i="5"/>
  <c r="J55" i="6" s="1"/>
  <c r="N55" i="6"/>
  <c r="M52" i="6"/>
  <c r="N49" i="6"/>
  <c r="L48" i="6"/>
  <c r="O48" i="5"/>
  <c r="O48" i="6" s="1"/>
  <c r="N52" i="6"/>
  <c r="B54" i="6"/>
  <c r="E54" i="5"/>
  <c r="E54" i="6" s="1"/>
  <c r="M48" i="6"/>
  <c r="D51" i="6"/>
  <c r="H54" i="6"/>
  <c r="N53" i="6"/>
  <c r="G51" i="6"/>
  <c r="J51" i="5"/>
  <c r="J51" i="6" s="1"/>
  <c r="D53" i="6"/>
  <c r="H55" i="6"/>
  <c r="I50" i="6"/>
  <c r="C50" i="6"/>
  <c r="E50" i="5"/>
  <c r="E50" i="6" s="1"/>
  <c r="H52" i="6"/>
  <c r="H49" i="6"/>
  <c r="G54" i="6"/>
  <c r="J54" i="5"/>
  <c r="J54" i="6" s="1"/>
  <c r="D55" i="6"/>
  <c r="C55" i="6"/>
  <c r="H51" i="6"/>
  <c r="M50" i="6"/>
  <c r="C52" i="6"/>
  <c r="H48" i="6"/>
  <c r="C48" i="6"/>
  <c r="D54" i="6"/>
  <c r="J53" i="5"/>
  <c r="J53" i="6" s="1"/>
  <c r="G53" i="6"/>
  <c r="H50" i="6"/>
  <c r="G48" i="6"/>
  <c r="J48" i="5"/>
  <c r="J48" i="6" s="1"/>
  <c r="D52" i="6"/>
  <c r="I49" i="6"/>
  <c r="N50" i="6"/>
  <c r="J49" i="5"/>
  <c r="J49" i="6" s="1"/>
  <c r="G49" i="6"/>
  <c r="L53" i="6"/>
  <c r="O53" i="5"/>
  <c r="O53" i="6" s="1"/>
  <c r="M55" i="6"/>
  <c r="C49" i="6"/>
  <c r="M51" i="6"/>
  <c r="I52" i="6"/>
  <c r="C53" i="6"/>
  <c r="N51" i="6"/>
  <c r="M17" i="1"/>
  <c r="K25" i="14"/>
  <c r="L23" i="14"/>
  <c r="L43" i="14"/>
  <c r="L43" i="16" s="1"/>
  <c r="N22" i="14"/>
  <c r="O23" i="14"/>
  <c r="P25" i="14"/>
  <c r="N43" i="14"/>
  <c r="N43" i="16" s="1"/>
  <c r="M23" i="14"/>
  <c r="L22" i="14"/>
  <c r="O22" i="14"/>
  <c r="P23" i="14"/>
  <c r="O43" i="14"/>
  <c r="O43" i="16" s="1"/>
  <c r="M25" i="14"/>
  <c r="K22" i="14"/>
  <c r="K43" i="14"/>
  <c r="K43" i="16" s="1"/>
  <c r="L25" i="14"/>
  <c r="P22" i="14"/>
  <c r="N25" i="14"/>
  <c r="P43" i="14"/>
  <c r="P43" i="16" s="1"/>
  <c r="K23" i="14"/>
  <c r="N23" i="14"/>
  <c r="O25" i="14"/>
  <c r="M22" i="14"/>
  <c r="M43" i="14"/>
  <c r="M43" i="16" s="1"/>
  <c r="I43" i="1"/>
  <c r="I25" i="1"/>
  <c r="I23" i="1"/>
  <c r="I22" i="1"/>
  <c r="I8" i="1"/>
  <c r="I7" i="1"/>
  <c r="I6" i="1"/>
  <c r="H43" i="1"/>
  <c r="H25" i="1"/>
  <c r="H23" i="1"/>
  <c r="H22" i="1"/>
  <c r="H8" i="1"/>
  <c r="H7" i="1"/>
  <c r="H6" i="1"/>
  <c r="I9" i="1"/>
  <c r="I51" i="1"/>
  <c r="I50" i="1"/>
  <c r="I49" i="1"/>
  <c r="I48" i="1"/>
  <c r="I47" i="1"/>
  <c r="I46" i="1"/>
  <c r="I45" i="1"/>
  <c r="I42" i="1"/>
  <c r="I41" i="1"/>
  <c r="I40" i="1"/>
  <c r="I39" i="1"/>
  <c r="I38" i="1"/>
  <c r="I37" i="1"/>
  <c r="I36" i="1"/>
  <c r="I35" i="1"/>
  <c r="I33" i="1"/>
  <c r="I32" i="1"/>
  <c r="I31" i="1"/>
  <c r="I30" i="1"/>
  <c r="I29" i="1"/>
  <c r="I28" i="1"/>
  <c r="I27" i="1"/>
  <c r="I26" i="1"/>
  <c r="I24" i="1"/>
  <c r="I21" i="1"/>
  <c r="I20" i="1"/>
  <c r="I19" i="1"/>
  <c r="I18" i="1"/>
  <c r="I16" i="1"/>
  <c r="I15" i="1"/>
  <c r="I14" i="1"/>
  <c r="I12" i="1"/>
  <c r="I11" i="1"/>
  <c r="I10" i="1"/>
  <c r="H51" i="1"/>
  <c r="H50" i="1"/>
  <c r="H49" i="1"/>
  <c r="H48" i="1"/>
  <c r="H47" i="1"/>
  <c r="H46" i="1"/>
  <c r="H45" i="1"/>
  <c r="H42" i="1"/>
  <c r="H41" i="1"/>
  <c r="H40" i="1"/>
  <c r="H39" i="1"/>
  <c r="H38" i="1"/>
  <c r="H37" i="1"/>
  <c r="H36" i="1"/>
  <c r="H35" i="1"/>
  <c r="H33" i="1"/>
  <c r="H32" i="1"/>
  <c r="H31" i="1"/>
  <c r="H30" i="1"/>
  <c r="H29" i="1"/>
  <c r="H28" i="1"/>
  <c r="H27" i="1"/>
  <c r="H26" i="1"/>
  <c r="H24" i="1"/>
  <c r="H21" i="1"/>
  <c r="H20" i="1"/>
  <c r="H19" i="1"/>
  <c r="H18" i="1"/>
  <c r="H16" i="1"/>
  <c r="H15" i="1"/>
  <c r="H14" i="1"/>
  <c r="H12" i="1"/>
  <c r="H11" i="1"/>
  <c r="H10" i="1"/>
  <c r="H9" i="1"/>
  <c r="G51" i="1"/>
  <c r="J25" i="1"/>
  <c r="J8" i="1"/>
  <c r="J7" i="1"/>
  <c r="J6" i="1"/>
  <c r="J51" i="1"/>
  <c r="J50" i="1"/>
  <c r="J49" i="1"/>
  <c r="J48" i="1"/>
  <c r="J47" i="1"/>
  <c r="J46" i="1"/>
  <c r="J45" i="1"/>
  <c r="J42" i="1"/>
  <c r="J41" i="1"/>
  <c r="J40" i="1"/>
  <c r="J39" i="1"/>
  <c r="J38" i="1"/>
  <c r="J37" i="1"/>
  <c r="J36" i="1"/>
  <c r="J35" i="1"/>
  <c r="J33" i="1"/>
  <c r="J32" i="1"/>
  <c r="J31" i="1"/>
  <c r="J30" i="1"/>
  <c r="J29" i="1"/>
  <c r="J28" i="1"/>
  <c r="J27" i="1"/>
  <c r="J26" i="1"/>
  <c r="J24" i="1"/>
  <c r="J21" i="1"/>
  <c r="J20" i="1"/>
  <c r="J19" i="1"/>
  <c r="J18" i="1"/>
  <c r="J16" i="1"/>
  <c r="J15" i="1"/>
  <c r="J14" i="1"/>
  <c r="J12" i="1"/>
  <c r="J11" i="1"/>
  <c r="J10" i="1"/>
  <c r="J9" i="1"/>
  <c r="P44" i="1"/>
  <c r="O44" i="1"/>
  <c r="N44" i="1"/>
  <c r="M44" i="1"/>
  <c r="L44" i="1"/>
  <c r="K44" i="1"/>
  <c r="P5" i="1"/>
  <c r="O5" i="1"/>
  <c r="N5" i="1"/>
  <c r="M5" i="1"/>
  <c r="L5" i="1"/>
  <c r="K5" i="1"/>
  <c r="P4" i="1"/>
  <c r="O4" i="1"/>
  <c r="N4" i="1"/>
  <c r="M4" i="1"/>
  <c r="L4" i="1"/>
  <c r="K4" i="1"/>
  <c r="P44" i="3"/>
  <c r="O44" i="3"/>
  <c r="N44" i="3"/>
  <c r="M44" i="3"/>
  <c r="L44" i="3"/>
  <c r="K44" i="3"/>
  <c r="J44" i="3"/>
  <c r="I44" i="3"/>
  <c r="H44" i="3"/>
  <c r="G44" i="3"/>
  <c r="F44" i="3"/>
  <c r="E44" i="3"/>
  <c r="D44" i="3"/>
  <c r="P5" i="3"/>
  <c r="O5" i="3"/>
  <c r="N5" i="3"/>
  <c r="M5" i="3"/>
  <c r="L5" i="3"/>
  <c r="K5" i="3"/>
  <c r="J5" i="3"/>
  <c r="I5" i="3"/>
  <c r="H5" i="3"/>
  <c r="G5" i="3"/>
  <c r="F5" i="3"/>
  <c r="E5" i="3"/>
  <c r="D5" i="3"/>
  <c r="P4" i="3"/>
  <c r="O4" i="3"/>
  <c r="N4" i="3"/>
  <c r="M4" i="3"/>
  <c r="L4" i="3"/>
  <c r="K4" i="3"/>
  <c r="J4" i="3"/>
  <c r="I4" i="3"/>
  <c r="H4" i="3"/>
  <c r="G4" i="3"/>
  <c r="F4" i="3"/>
  <c r="E4" i="3"/>
  <c r="D4" i="3"/>
  <c r="G47" i="5"/>
  <c r="H47" i="5"/>
  <c r="I47" i="5"/>
  <c r="L47" i="5"/>
  <c r="N47" i="5"/>
  <c r="M47" i="5"/>
  <c r="B47" i="5"/>
  <c r="C47" i="5"/>
  <c r="C47" i="6" l="1"/>
  <c r="B47" i="6"/>
  <c r="P5" i="16"/>
  <c r="P4" i="16"/>
  <c r="K4" i="16"/>
  <c r="I4" i="4" s="1"/>
  <c r="K5" i="16"/>
  <c r="N4" i="16"/>
  <c r="N4" i="4" s="1"/>
  <c r="N5" i="16"/>
  <c r="L4" i="16"/>
  <c r="L5" i="16"/>
  <c r="M5" i="16"/>
  <c r="M4" i="16"/>
  <c r="O4" i="16"/>
  <c r="O4" i="4" s="1"/>
  <c r="O5" i="16"/>
  <c r="M47" i="6"/>
  <c r="N47" i="6"/>
  <c r="L47" i="6"/>
  <c r="E47" i="5"/>
  <c r="E47" i="6" s="1"/>
  <c r="I47" i="6"/>
  <c r="G47" i="6"/>
  <c r="J47" i="5"/>
  <c r="J47" i="6" s="1"/>
  <c r="O47" i="5"/>
  <c r="O47" i="6" s="1"/>
  <c r="H47" i="6"/>
  <c r="J35" i="14"/>
  <c r="J25" i="14"/>
  <c r="H35" i="14"/>
  <c r="I35" i="14"/>
  <c r="I25" i="14"/>
  <c r="K4" i="14"/>
  <c r="K5" i="14"/>
  <c r="O4" i="14"/>
  <c r="O5" i="14"/>
  <c r="N5" i="14"/>
  <c r="N4" i="14"/>
  <c r="H22" i="14"/>
  <c r="H23" i="14"/>
  <c r="I22" i="14"/>
  <c r="M5" i="14"/>
  <c r="M4" i="14"/>
  <c r="P4" i="14"/>
  <c r="P5" i="14"/>
  <c r="L5" i="14"/>
  <c r="L4" i="14"/>
  <c r="H25" i="14"/>
  <c r="I23" i="14"/>
  <c r="T19" i="4"/>
  <c r="S19" i="4"/>
  <c r="J44" i="1"/>
  <c r="U19" i="4"/>
  <c r="J5" i="1"/>
  <c r="T20" i="4"/>
  <c r="U20" i="4"/>
  <c r="I44" i="1"/>
  <c r="H44" i="1"/>
  <c r="H4" i="1"/>
  <c r="I5" i="1"/>
  <c r="I4" i="1"/>
  <c r="J4" i="1"/>
  <c r="H5" i="1"/>
  <c r="W4" i="4" l="1"/>
  <c r="J4" i="4"/>
  <c r="X4" i="4"/>
  <c r="K4" i="4"/>
  <c r="Y6" i="4"/>
  <c r="N5" i="4"/>
  <c r="X6" i="4"/>
  <c r="K5" i="4"/>
  <c r="AA6" i="4"/>
  <c r="P5" i="4"/>
  <c r="AA4" i="4"/>
  <c r="P4" i="4"/>
  <c r="Z6" i="4"/>
  <c r="O5" i="4"/>
  <c r="W6" i="4"/>
  <c r="J5" i="4"/>
  <c r="V6" i="4"/>
  <c r="I5" i="4"/>
  <c r="U22" i="4"/>
  <c r="Y4" i="4"/>
  <c r="Z4" i="4"/>
  <c r="T22" i="4"/>
  <c r="V4" i="4"/>
  <c r="U21" i="4"/>
  <c r="T21" i="4"/>
  <c r="J5" i="14"/>
  <c r="J4" i="14"/>
  <c r="I4" i="14"/>
  <c r="I5" i="14"/>
  <c r="H5" i="14"/>
  <c r="H4" i="14"/>
  <c r="S20" i="4"/>
  <c r="S21" i="4" l="1"/>
  <c r="M38" i="5"/>
  <c r="N8" i="5"/>
  <c r="H18" i="5"/>
  <c r="M10" i="5"/>
  <c r="I12" i="5"/>
  <c r="M9" i="5"/>
  <c r="D30" i="5"/>
  <c r="N35" i="5"/>
  <c r="G24" i="5"/>
  <c r="I28" i="5"/>
  <c r="G27" i="5"/>
  <c r="H16" i="5"/>
  <c r="G42" i="5"/>
  <c r="N33" i="5"/>
  <c r="B39" i="5"/>
  <c r="C43" i="5"/>
  <c r="M39" i="5"/>
  <c r="L12" i="5"/>
  <c r="N22" i="5"/>
  <c r="B36" i="5"/>
  <c r="C35" i="5"/>
  <c r="G44" i="5"/>
  <c r="L32" i="5"/>
  <c r="C28" i="5"/>
  <c r="G19" i="5"/>
  <c r="H37" i="5"/>
  <c r="H21" i="5"/>
  <c r="G40" i="5"/>
  <c r="M13" i="5"/>
  <c r="N39" i="5"/>
  <c r="G11" i="5"/>
  <c r="L11" i="5"/>
  <c r="H38" i="5"/>
  <c r="N30" i="5"/>
  <c r="I10" i="5"/>
  <c r="L34" i="5"/>
  <c r="M44" i="5"/>
  <c r="G41" i="5"/>
  <c r="B11" i="5"/>
  <c r="N46" i="5"/>
  <c r="C11" i="5"/>
  <c r="B12" i="5"/>
  <c r="D10" i="5"/>
  <c r="L29" i="5"/>
  <c r="N42" i="5"/>
  <c r="H35" i="5"/>
  <c r="N13" i="5"/>
  <c r="I43" i="5"/>
  <c r="I20" i="5"/>
  <c r="G31" i="5"/>
  <c r="H31" i="5"/>
  <c r="I35" i="5"/>
  <c r="D27" i="5"/>
  <c r="I40" i="5"/>
  <c r="L28" i="5"/>
  <c r="I29" i="5"/>
  <c r="M33" i="5"/>
  <c r="N18" i="5"/>
  <c r="G23" i="5"/>
  <c r="I38" i="5"/>
  <c r="C23" i="5"/>
  <c r="L41" i="5"/>
  <c r="I37" i="5"/>
  <c r="M22" i="5"/>
  <c r="I39" i="5"/>
  <c r="I45" i="5"/>
  <c r="N15" i="5"/>
  <c r="D25" i="5"/>
  <c r="C15" i="5"/>
  <c r="C30" i="5"/>
  <c r="C12" i="5"/>
  <c r="D37" i="5"/>
  <c r="D29" i="5"/>
  <c r="N26" i="5"/>
  <c r="D21" i="5"/>
  <c r="C39" i="5"/>
  <c r="M16" i="5"/>
  <c r="C24" i="5"/>
  <c r="C20" i="5"/>
  <c r="D24" i="5"/>
  <c r="B35" i="5"/>
  <c r="I14" i="5"/>
  <c r="N21" i="5"/>
  <c r="I22" i="5"/>
  <c r="I24" i="5"/>
  <c r="B23" i="5"/>
  <c r="B20" i="5"/>
  <c r="G17" i="5"/>
  <c r="G38" i="5"/>
  <c r="I33" i="5"/>
  <c r="H19" i="5"/>
  <c r="C22" i="5"/>
  <c r="M21" i="5"/>
  <c r="M17" i="5"/>
  <c r="G33" i="5"/>
  <c r="B46" i="5"/>
  <c r="I16" i="5"/>
  <c r="G10" i="5"/>
  <c r="L30" i="5"/>
  <c r="D34" i="5"/>
  <c r="C8" i="5"/>
  <c r="G36" i="5"/>
  <c r="L43" i="5"/>
  <c r="B21" i="5"/>
  <c r="M11" i="5"/>
  <c r="H23" i="5"/>
  <c r="I25" i="5"/>
  <c r="C33" i="5"/>
  <c r="I26" i="5"/>
  <c r="C32" i="5"/>
  <c r="B34" i="5"/>
  <c r="G34" i="5"/>
  <c r="M14" i="5"/>
  <c r="C27" i="5"/>
  <c r="M36" i="5"/>
  <c r="D33" i="5"/>
  <c r="D16" i="5"/>
  <c r="N34" i="5"/>
  <c r="B18" i="5"/>
  <c r="L22" i="5"/>
  <c r="B14" i="5"/>
  <c r="D38" i="5"/>
  <c r="L26" i="5"/>
  <c r="N25" i="5"/>
  <c r="G46" i="5"/>
  <c r="D44" i="5"/>
  <c r="G18" i="5"/>
  <c r="L14" i="5"/>
  <c r="H39" i="5"/>
  <c r="N28" i="5"/>
  <c r="B17" i="5"/>
  <c r="H43" i="5"/>
  <c r="M31" i="5"/>
  <c r="D45" i="5"/>
  <c r="I17" i="5"/>
  <c r="L10" i="5"/>
  <c r="D40" i="5"/>
  <c r="M23" i="5"/>
  <c r="G25" i="5"/>
  <c r="G32" i="5"/>
  <c r="C44" i="5"/>
  <c r="I30" i="5"/>
  <c r="L44" i="5"/>
  <c r="M29" i="5"/>
  <c r="I44" i="5"/>
  <c r="G20" i="5"/>
  <c r="I46" i="5"/>
  <c r="G45" i="5"/>
  <c r="B37" i="5"/>
  <c r="M15" i="5"/>
  <c r="H13" i="5"/>
  <c r="L39" i="5"/>
  <c r="N24" i="5"/>
  <c r="C46" i="5"/>
  <c r="C17" i="5"/>
  <c r="H29" i="5"/>
  <c r="M24" i="5"/>
  <c r="L16" i="5"/>
  <c r="N23" i="5"/>
  <c r="L31" i="5"/>
  <c r="G43" i="5"/>
  <c r="D14" i="5"/>
  <c r="L24" i="5"/>
  <c r="N29" i="5"/>
  <c r="H12" i="5"/>
  <c r="G14" i="5"/>
  <c r="H17" i="5"/>
  <c r="L23" i="5"/>
  <c r="N44" i="5"/>
  <c r="I11" i="5"/>
  <c r="B22" i="5"/>
  <c r="C14" i="5"/>
  <c r="B33" i="5"/>
  <c r="G35" i="5"/>
  <c r="G21" i="5"/>
  <c r="B44" i="5"/>
  <c r="M35" i="5"/>
  <c r="N43" i="5"/>
  <c r="L46" i="5"/>
  <c r="B24" i="5"/>
  <c r="B32" i="5"/>
  <c r="M25" i="5"/>
  <c r="N12" i="5"/>
  <c r="B16" i="5"/>
  <c r="I27" i="5"/>
  <c r="H40" i="5"/>
  <c r="L40" i="5"/>
  <c r="D20" i="5"/>
  <c r="C9" i="5"/>
  <c r="D11" i="5"/>
  <c r="L17" i="5"/>
  <c r="H30" i="5"/>
  <c r="B45" i="5"/>
  <c r="D28" i="5"/>
  <c r="I23" i="5"/>
  <c r="G13" i="5"/>
  <c r="L9" i="5"/>
  <c r="D13" i="5"/>
  <c r="M46" i="5"/>
  <c r="G15" i="5"/>
  <c r="L33" i="5"/>
  <c r="M28" i="5"/>
  <c r="L18" i="5"/>
  <c r="L42" i="5"/>
  <c r="B42" i="5"/>
  <c r="H9" i="5"/>
  <c r="M37" i="5"/>
  <c r="I42" i="5"/>
  <c r="B27" i="5"/>
  <c r="B30" i="5"/>
  <c r="M20" i="5"/>
  <c r="M19" i="5"/>
  <c r="C31" i="5"/>
  <c r="D19" i="5"/>
  <c r="H20" i="5"/>
  <c r="C16" i="5"/>
  <c r="N17" i="5"/>
  <c r="C18" i="5"/>
  <c r="C26" i="5"/>
  <c r="D31" i="5"/>
  <c r="B15" i="5"/>
  <c r="B26" i="5"/>
  <c r="I19" i="5"/>
  <c r="D15" i="5"/>
  <c r="L8" i="5"/>
  <c r="G9" i="5"/>
  <c r="M34" i="5"/>
  <c r="C37" i="5"/>
  <c r="I36" i="5"/>
  <c r="H45" i="5"/>
  <c r="L36" i="5"/>
  <c r="C40" i="5"/>
  <c r="M26" i="5"/>
  <c r="C45" i="5"/>
  <c r="H32" i="5"/>
  <c r="D35" i="5"/>
  <c r="H27" i="5"/>
  <c r="C41" i="5"/>
  <c r="M43" i="5"/>
  <c r="B8" i="5"/>
  <c r="H41" i="5"/>
  <c r="D26" i="5"/>
  <c r="I8" i="5"/>
  <c r="D36" i="5"/>
  <c r="G30" i="5"/>
  <c r="C10" i="5"/>
  <c r="L21" i="5"/>
  <c r="H28" i="5"/>
  <c r="L19" i="5"/>
  <c r="D17" i="5"/>
  <c r="C13" i="5"/>
  <c r="N36" i="5"/>
  <c r="D23" i="5"/>
  <c r="N11" i="5"/>
  <c r="B19" i="5"/>
  <c r="M32" i="5"/>
  <c r="H11" i="5"/>
  <c r="G8" i="5"/>
  <c r="I34" i="5"/>
  <c r="G37" i="5"/>
  <c r="H22" i="5"/>
  <c r="G28" i="5"/>
  <c r="L13" i="5"/>
  <c r="D39" i="5"/>
  <c r="B13" i="5"/>
  <c r="L15" i="5"/>
  <c r="C38" i="5"/>
  <c r="H36" i="5"/>
  <c r="D46" i="5"/>
  <c r="L38" i="5"/>
  <c r="H8" i="5"/>
  <c r="N37" i="5"/>
  <c r="I9" i="5"/>
  <c r="C19" i="5"/>
  <c r="B41" i="5"/>
  <c r="D9" i="5"/>
  <c r="B9" i="5"/>
  <c r="H46" i="5"/>
  <c r="N19" i="5"/>
  <c r="H15" i="5"/>
  <c r="N14" i="5"/>
  <c r="G26" i="5"/>
  <c r="D41" i="5"/>
  <c r="N10" i="5"/>
  <c r="M18" i="5"/>
  <c r="N32" i="5"/>
  <c r="M30" i="5"/>
  <c r="B10" i="5"/>
  <c r="M27" i="5"/>
  <c r="L25" i="5"/>
  <c r="G39" i="5"/>
  <c r="I31" i="5"/>
  <c r="D8" i="5"/>
  <c r="B29" i="5"/>
  <c r="B38" i="5"/>
  <c r="D43" i="5"/>
  <c r="C36" i="5"/>
  <c r="D22" i="5"/>
  <c r="I41" i="5"/>
  <c r="M42" i="5"/>
  <c r="H44" i="5"/>
  <c r="L37" i="5"/>
  <c r="B28" i="5"/>
  <c r="L35" i="5"/>
  <c r="L45" i="5"/>
  <c r="G29" i="5"/>
  <c r="C34" i="5"/>
  <c r="N31" i="5"/>
  <c r="B31" i="5"/>
  <c r="H14" i="5"/>
  <c r="M45" i="5"/>
  <c r="N45" i="5"/>
  <c r="I15" i="5"/>
  <c r="D12" i="5"/>
  <c r="H10" i="5"/>
  <c r="I21" i="5"/>
  <c r="N20" i="5"/>
  <c r="N38" i="5"/>
  <c r="N16" i="5"/>
  <c r="H33" i="5"/>
  <c r="C42" i="5"/>
  <c r="M41" i="5"/>
  <c r="B25" i="5"/>
  <c r="N27" i="5"/>
  <c r="G12" i="5"/>
  <c r="I32" i="5"/>
  <c r="D18" i="5"/>
  <c r="H34" i="5"/>
  <c r="H24" i="5"/>
  <c r="N40" i="5"/>
  <c r="M40" i="5"/>
  <c r="I13" i="5"/>
  <c r="L27" i="5"/>
  <c r="C29" i="5"/>
  <c r="N9" i="5"/>
  <c r="B40" i="5"/>
  <c r="H26" i="5"/>
  <c r="D32" i="5"/>
  <c r="H42" i="5"/>
  <c r="H25" i="5"/>
  <c r="G16" i="5"/>
  <c r="M12" i="5"/>
  <c r="L20" i="5"/>
  <c r="M8" i="5"/>
  <c r="C21" i="5"/>
  <c r="D42" i="5"/>
  <c r="N41" i="5"/>
  <c r="C25" i="5"/>
  <c r="G22" i="5"/>
  <c r="B43" i="5"/>
  <c r="I18" i="5"/>
  <c r="E40" i="5" l="1"/>
  <c r="E40" i="6" s="1"/>
  <c r="B40" i="6"/>
  <c r="J10" i="5"/>
  <c r="J10" i="6" s="1"/>
  <c r="G10" i="6"/>
  <c r="M20" i="6"/>
  <c r="E20" i="5"/>
  <c r="E20" i="6" s="1"/>
  <c r="B20" i="6"/>
  <c r="I18" i="6"/>
  <c r="N45" i="6"/>
  <c r="E30" i="5"/>
  <c r="E30" i="6" s="1"/>
  <c r="B30" i="6"/>
  <c r="B23" i="6"/>
  <c r="E23" i="5"/>
  <c r="E23" i="6" s="1"/>
  <c r="G30" i="6"/>
  <c r="J30" i="5"/>
  <c r="J30" i="6" s="1"/>
  <c r="B15" i="6"/>
  <c r="E15" i="5"/>
  <c r="E15" i="6" s="1"/>
  <c r="E27" i="5"/>
  <c r="E27" i="6" s="1"/>
  <c r="B27" i="6"/>
  <c r="I24" i="6"/>
  <c r="O26" i="5"/>
  <c r="O26" i="6" s="1"/>
  <c r="L26" i="6"/>
  <c r="I16" i="6"/>
  <c r="I42" i="6"/>
  <c r="I22" i="6"/>
  <c r="N9" i="6"/>
  <c r="D31" i="6"/>
  <c r="M37" i="6"/>
  <c r="N21" i="6"/>
  <c r="B43" i="6"/>
  <c r="E43" i="5"/>
  <c r="E43" i="6" s="1"/>
  <c r="E46" i="5"/>
  <c r="E46" i="6" s="1"/>
  <c r="B46" i="6"/>
  <c r="H9" i="6"/>
  <c r="I14" i="6"/>
  <c r="D36" i="6"/>
  <c r="M45" i="6"/>
  <c r="B42" i="6"/>
  <c r="E42" i="5"/>
  <c r="E42" i="6" s="1"/>
  <c r="E35" i="5"/>
  <c r="E35" i="6" s="1"/>
  <c r="B35" i="6"/>
  <c r="D38" i="6"/>
  <c r="C26" i="6"/>
  <c r="O42" i="5"/>
  <c r="O42" i="6" s="1"/>
  <c r="L42" i="6"/>
  <c r="D24" i="6"/>
  <c r="C29" i="6"/>
  <c r="J33" i="5"/>
  <c r="J33" i="6" s="1"/>
  <c r="G33" i="6"/>
  <c r="O18" i="5"/>
  <c r="O18" i="6" s="1"/>
  <c r="L18" i="6"/>
  <c r="C20" i="6"/>
  <c r="J22" i="5"/>
  <c r="J22" i="6" s="1"/>
  <c r="G22" i="6"/>
  <c r="C18" i="6"/>
  <c r="M28" i="6"/>
  <c r="C24" i="6"/>
  <c r="E14" i="5"/>
  <c r="E14" i="6" s="1"/>
  <c r="B14" i="6"/>
  <c r="M17" i="6"/>
  <c r="L33" i="6"/>
  <c r="O33" i="5"/>
  <c r="O33" i="6" s="1"/>
  <c r="M16" i="6"/>
  <c r="I8" i="6"/>
  <c r="N17" i="6"/>
  <c r="J15" i="5"/>
  <c r="J15" i="6" s="1"/>
  <c r="G15" i="6"/>
  <c r="C39" i="6"/>
  <c r="O27" i="5"/>
  <c r="O27" i="6" s="1"/>
  <c r="L27" i="6"/>
  <c r="M21" i="6"/>
  <c r="M46" i="6"/>
  <c r="D21" i="6"/>
  <c r="C25" i="6"/>
  <c r="H14" i="6"/>
  <c r="D13" i="6"/>
  <c r="N26" i="6"/>
  <c r="L22" i="6"/>
  <c r="O22" i="5"/>
  <c r="O22" i="6" s="1"/>
  <c r="C16" i="6"/>
  <c r="L9" i="6"/>
  <c r="O9" i="5"/>
  <c r="O9" i="6" s="1"/>
  <c r="D29" i="6"/>
  <c r="D26" i="6"/>
  <c r="C22" i="6"/>
  <c r="J13" i="5"/>
  <c r="J13" i="6" s="1"/>
  <c r="G13" i="6"/>
  <c r="D37" i="6"/>
  <c r="N41" i="6"/>
  <c r="H20" i="6"/>
  <c r="I23" i="6"/>
  <c r="C12" i="6"/>
  <c r="I13" i="6"/>
  <c r="H19" i="6"/>
  <c r="D28" i="6"/>
  <c r="C30" i="6"/>
  <c r="E18" i="5"/>
  <c r="E18" i="6" s="1"/>
  <c r="B18" i="6"/>
  <c r="E31" i="5"/>
  <c r="E31" i="6" s="1"/>
  <c r="B31" i="6"/>
  <c r="B45" i="6"/>
  <c r="E45" i="5"/>
  <c r="E45" i="6" s="1"/>
  <c r="C15" i="6"/>
  <c r="H41" i="6"/>
  <c r="D19" i="6"/>
  <c r="H30" i="6"/>
  <c r="D25" i="6"/>
  <c r="D42" i="6"/>
  <c r="I33" i="6"/>
  <c r="O17" i="5"/>
  <c r="O17" i="6" s="1"/>
  <c r="L17" i="6"/>
  <c r="N15" i="6"/>
  <c r="M40" i="6"/>
  <c r="N31" i="6"/>
  <c r="D11" i="6"/>
  <c r="I45" i="6"/>
  <c r="N34" i="6"/>
  <c r="C31" i="6"/>
  <c r="C9" i="6"/>
  <c r="I39" i="6"/>
  <c r="B8" i="6"/>
  <c r="E8" i="5"/>
  <c r="E8" i="6" s="1"/>
  <c r="G38" i="6"/>
  <c r="J38" i="5"/>
  <c r="J38" i="6" s="1"/>
  <c r="D20" i="6"/>
  <c r="M22" i="6"/>
  <c r="C21" i="6"/>
  <c r="J17" i="5"/>
  <c r="J17" i="6" s="1"/>
  <c r="G17" i="6"/>
  <c r="L40" i="6"/>
  <c r="O40" i="5"/>
  <c r="O40" i="6" s="1"/>
  <c r="I37" i="6"/>
  <c r="N40" i="6"/>
  <c r="M19" i="6"/>
  <c r="H40" i="6"/>
  <c r="O41" i="5"/>
  <c r="O41" i="6" s="1"/>
  <c r="L41" i="6"/>
  <c r="D16" i="6"/>
  <c r="C34" i="6"/>
  <c r="I27" i="6"/>
  <c r="C23" i="6"/>
  <c r="M43" i="6"/>
  <c r="J29" i="5"/>
  <c r="J29" i="6" s="1"/>
  <c r="G29" i="6"/>
  <c r="B16" i="6"/>
  <c r="E16" i="5"/>
  <c r="E16" i="6" s="1"/>
  <c r="I38" i="6"/>
  <c r="M8" i="6"/>
  <c r="O45" i="5"/>
  <c r="O45" i="6" s="1"/>
  <c r="L45" i="6"/>
  <c r="N12" i="6"/>
  <c r="J23" i="5"/>
  <c r="J23" i="6" s="1"/>
  <c r="G23" i="6"/>
  <c r="D33" i="6"/>
  <c r="O35" i="5"/>
  <c r="O35" i="6" s="1"/>
  <c r="L35" i="6"/>
  <c r="M25" i="6"/>
  <c r="N18" i="6"/>
  <c r="H24" i="6"/>
  <c r="B28" i="6"/>
  <c r="E28" i="5"/>
  <c r="E28" i="6" s="1"/>
  <c r="B32" i="6"/>
  <c r="E32" i="5"/>
  <c r="E32" i="6" s="1"/>
  <c r="M33" i="6"/>
  <c r="C41" i="6"/>
  <c r="L37" i="6"/>
  <c r="O37" i="5"/>
  <c r="O37" i="6" s="1"/>
  <c r="E24" i="5"/>
  <c r="E24" i="6" s="1"/>
  <c r="B24" i="6"/>
  <c r="I29" i="6"/>
  <c r="M36" i="6"/>
  <c r="H44" i="6"/>
  <c r="O46" i="5"/>
  <c r="O46" i="6" s="1"/>
  <c r="L46" i="6"/>
  <c r="O28" i="5"/>
  <c r="O28" i="6" s="1"/>
  <c r="L28" i="6"/>
  <c r="O20" i="5"/>
  <c r="O20" i="6" s="1"/>
  <c r="L20" i="6"/>
  <c r="M42" i="6"/>
  <c r="N43" i="6"/>
  <c r="I40" i="6"/>
  <c r="H34" i="6"/>
  <c r="I41" i="6"/>
  <c r="M35" i="6"/>
  <c r="D27" i="6"/>
  <c r="C27" i="6"/>
  <c r="D22" i="6"/>
  <c r="B44" i="6"/>
  <c r="E44" i="5"/>
  <c r="E44" i="6" s="1"/>
  <c r="I35" i="6"/>
  <c r="H27" i="6"/>
  <c r="C36" i="6"/>
  <c r="J21" i="5"/>
  <c r="J21" i="6" s="1"/>
  <c r="G21" i="6"/>
  <c r="H31" i="6"/>
  <c r="M12" i="6"/>
  <c r="D43" i="6"/>
  <c r="J35" i="5"/>
  <c r="J35" i="6" s="1"/>
  <c r="G35" i="6"/>
  <c r="J31" i="5"/>
  <c r="J31" i="6" s="1"/>
  <c r="G31" i="6"/>
  <c r="D18" i="6"/>
  <c r="E38" i="5"/>
  <c r="E38" i="6" s="1"/>
  <c r="B38" i="6"/>
  <c r="E33" i="5"/>
  <c r="E33" i="6" s="1"/>
  <c r="B33" i="6"/>
  <c r="I20" i="6"/>
  <c r="M14" i="6"/>
  <c r="E29" i="5"/>
  <c r="E29" i="6" s="1"/>
  <c r="B29" i="6"/>
  <c r="C14" i="6"/>
  <c r="I43" i="6"/>
  <c r="D35" i="6"/>
  <c r="D8" i="6"/>
  <c r="B22" i="6"/>
  <c r="E22" i="5"/>
  <c r="E22" i="6" s="1"/>
  <c r="N13" i="6"/>
  <c r="G16" i="6"/>
  <c r="J16" i="5"/>
  <c r="J16" i="6" s="1"/>
  <c r="I31" i="6"/>
  <c r="I11" i="6"/>
  <c r="H35" i="6"/>
  <c r="I32" i="6"/>
  <c r="G39" i="6"/>
  <c r="J39" i="5"/>
  <c r="J39" i="6" s="1"/>
  <c r="N44" i="6"/>
  <c r="N42" i="6"/>
  <c r="H32" i="6"/>
  <c r="O25" i="5"/>
  <c r="O25" i="6" s="1"/>
  <c r="L25" i="6"/>
  <c r="O23" i="5"/>
  <c r="O23" i="6" s="1"/>
  <c r="L23" i="6"/>
  <c r="L29" i="6"/>
  <c r="O29" i="5"/>
  <c r="O29" i="6" s="1"/>
  <c r="G34" i="6"/>
  <c r="J34" i="5"/>
  <c r="J34" i="6" s="1"/>
  <c r="M27" i="6"/>
  <c r="H17" i="6"/>
  <c r="D10" i="6"/>
  <c r="G12" i="6"/>
  <c r="J12" i="5"/>
  <c r="J12" i="6" s="1"/>
  <c r="E10" i="5"/>
  <c r="E10" i="6" s="1"/>
  <c r="B10" i="6"/>
  <c r="J14" i="5"/>
  <c r="J14" i="6" s="1"/>
  <c r="G14" i="6"/>
  <c r="B12" i="6"/>
  <c r="E12" i="5"/>
  <c r="E12" i="6" s="1"/>
  <c r="H25" i="6"/>
  <c r="M30" i="6"/>
  <c r="H12" i="6"/>
  <c r="C11" i="6"/>
  <c r="C45" i="6"/>
  <c r="N32" i="6"/>
  <c r="N29" i="6"/>
  <c r="N46" i="6"/>
  <c r="E34" i="5"/>
  <c r="E34" i="6" s="1"/>
  <c r="B34" i="6"/>
  <c r="M18" i="6"/>
  <c r="O24" i="5"/>
  <c r="O24" i="6" s="1"/>
  <c r="L24" i="6"/>
  <c r="E11" i="5"/>
  <c r="E11" i="6" s="1"/>
  <c r="B11" i="6"/>
  <c r="N27" i="6"/>
  <c r="N10" i="6"/>
  <c r="D14" i="6"/>
  <c r="G41" i="6"/>
  <c r="J41" i="5"/>
  <c r="J41" i="6" s="1"/>
  <c r="H42" i="6"/>
  <c r="D41" i="6"/>
  <c r="J43" i="5"/>
  <c r="J43" i="6" s="1"/>
  <c r="G43" i="6"/>
  <c r="M44" i="6"/>
  <c r="C32" i="6"/>
  <c r="J26" i="5"/>
  <c r="J26" i="6" s="1"/>
  <c r="G26" i="6"/>
  <c r="O31" i="5"/>
  <c r="O31" i="6" s="1"/>
  <c r="L31" i="6"/>
  <c r="L34" i="6"/>
  <c r="O34" i="5"/>
  <c r="O34" i="6" s="1"/>
  <c r="M26" i="6"/>
  <c r="N14" i="6"/>
  <c r="N23" i="6"/>
  <c r="I10" i="6"/>
  <c r="E25" i="5"/>
  <c r="E25" i="6" s="1"/>
  <c r="B25" i="6"/>
  <c r="H15" i="6"/>
  <c r="O16" i="5"/>
  <c r="O16" i="6" s="1"/>
  <c r="L16" i="6"/>
  <c r="N30" i="6"/>
  <c r="M41" i="6"/>
  <c r="N19" i="6"/>
  <c r="M24" i="6"/>
  <c r="H38" i="6"/>
  <c r="C40" i="6"/>
  <c r="H46" i="6"/>
  <c r="H29" i="6"/>
  <c r="O11" i="5"/>
  <c r="O11" i="6" s="1"/>
  <c r="L11" i="6"/>
  <c r="I26" i="6"/>
  <c r="E9" i="5"/>
  <c r="E9" i="6" s="1"/>
  <c r="B9" i="6"/>
  <c r="C17" i="6"/>
  <c r="G11" i="6"/>
  <c r="J11" i="5"/>
  <c r="J11" i="6" s="1"/>
  <c r="D32" i="6"/>
  <c r="D9" i="6"/>
  <c r="C46" i="6"/>
  <c r="N39" i="6"/>
  <c r="C42" i="6"/>
  <c r="B41" i="6"/>
  <c r="E41" i="5"/>
  <c r="E41" i="6" s="1"/>
  <c r="N24" i="6"/>
  <c r="M13" i="6"/>
  <c r="C33" i="6"/>
  <c r="C19" i="6"/>
  <c r="L39" i="6"/>
  <c r="O39" i="5"/>
  <c r="O39" i="6" s="1"/>
  <c r="J40" i="5"/>
  <c r="J40" i="6" s="1"/>
  <c r="G40" i="6"/>
  <c r="L36" i="6"/>
  <c r="O36" i="5"/>
  <c r="O36" i="6" s="1"/>
  <c r="I9" i="6"/>
  <c r="H13" i="6"/>
  <c r="H21" i="6"/>
  <c r="H33" i="6"/>
  <c r="N37" i="6"/>
  <c r="M15" i="6"/>
  <c r="H37" i="6"/>
  <c r="I25" i="6"/>
  <c r="H8" i="6"/>
  <c r="E37" i="5"/>
  <c r="E37" i="6" s="1"/>
  <c r="B37" i="6"/>
  <c r="J19" i="5"/>
  <c r="J19" i="6" s="1"/>
  <c r="G19" i="6"/>
  <c r="H45" i="6"/>
  <c r="O38" i="5"/>
  <c r="O38" i="6" s="1"/>
  <c r="L38" i="6"/>
  <c r="J45" i="5"/>
  <c r="J45" i="6" s="1"/>
  <c r="G45" i="6"/>
  <c r="C28" i="6"/>
  <c r="N16" i="6"/>
  <c r="D46" i="6"/>
  <c r="I46" i="6"/>
  <c r="L32" i="6"/>
  <c r="O32" i="5"/>
  <c r="O32" i="6" s="1"/>
  <c r="H23" i="6"/>
  <c r="H36" i="6"/>
  <c r="J20" i="5"/>
  <c r="J20" i="6" s="1"/>
  <c r="G20" i="6"/>
  <c r="J44" i="5"/>
  <c r="J44" i="6" s="1"/>
  <c r="G44" i="6"/>
  <c r="I36" i="6"/>
  <c r="C38" i="6"/>
  <c r="I44" i="6"/>
  <c r="C35" i="6"/>
  <c r="N38" i="6"/>
  <c r="L15" i="6"/>
  <c r="O15" i="5"/>
  <c r="O15" i="6" s="1"/>
  <c r="M29" i="6"/>
  <c r="B36" i="6"/>
  <c r="E36" i="5"/>
  <c r="E36" i="6" s="1"/>
  <c r="M11" i="6"/>
  <c r="E13" i="5"/>
  <c r="E13" i="6" s="1"/>
  <c r="B13" i="6"/>
  <c r="L44" i="6"/>
  <c r="O44" i="5"/>
  <c r="O44" i="6" s="1"/>
  <c r="N22" i="6"/>
  <c r="C37" i="6"/>
  <c r="D39" i="6"/>
  <c r="I30" i="6"/>
  <c r="L12" i="6"/>
  <c r="O12" i="5"/>
  <c r="O12" i="6" s="1"/>
  <c r="N20" i="6"/>
  <c r="O13" i="5"/>
  <c r="O13" i="6" s="1"/>
  <c r="L13" i="6"/>
  <c r="C44" i="6"/>
  <c r="M39" i="6"/>
  <c r="E21" i="5"/>
  <c r="E21" i="6" s="1"/>
  <c r="B21" i="6"/>
  <c r="J28" i="5"/>
  <c r="J28" i="6" s="1"/>
  <c r="G28" i="6"/>
  <c r="J32" i="5"/>
  <c r="J32" i="6" s="1"/>
  <c r="G32" i="6"/>
  <c r="C43" i="6"/>
  <c r="M34" i="6"/>
  <c r="H22" i="6"/>
  <c r="J25" i="5"/>
  <c r="J25" i="6" s="1"/>
  <c r="G25" i="6"/>
  <c r="E39" i="5"/>
  <c r="E39" i="6" s="1"/>
  <c r="B39" i="6"/>
  <c r="I21" i="6"/>
  <c r="J37" i="5"/>
  <c r="J37" i="6" s="1"/>
  <c r="G37" i="6"/>
  <c r="M23" i="6"/>
  <c r="N33" i="6"/>
  <c r="O43" i="5"/>
  <c r="O43" i="6" s="1"/>
  <c r="L43" i="6"/>
  <c r="I34" i="6"/>
  <c r="D40" i="6"/>
  <c r="J42" i="5"/>
  <c r="J42" i="6" s="1"/>
  <c r="G42" i="6"/>
  <c r="H10" i="6"/>
  <c r="J8" i="5"/>
  <c r="J8" i="6" s="1"/>
  <c r="G8" i="6"/>
  <c r="L10" i="6"/>
  <c r="O10" i="5"/>
  <c r="O10" i="6" s="1"/>
  <c r="H16" i="6"/>
  <c r="G9" i="6"/>
  <c r="J9" i="5"/>
  <c r="J9" i="6" s="1"/>
  <c r="H11" i="6"/>
  <c r="I17" i="6"/>
  <c r="G27" i="6"/>
  <c r="J27" i="5"/>
  <c r="J27" i="6" s="1"/>
  <c r="G36" i="6"/>
  <c r="J36" i="5"/>
  <c r="J36" i="6" s="1"/>
  <c r="M32" i="6"/>
  <c r="D45" i="6"/>
  <c r="I28" i="6"/>
  <c r="D12" i="6"/>
  <c r="E19" i="5"/>
  <c r="E19" i="6" s="1"/>
  <c r="B19" i="6"/>
  <c r="M31" i="6"/>
  <c r="G24" i="6"/>
  <c r="J24" i="5"/>
  <c r="J24" i="6" s="1"/>
  <c r="O8" i="5"/>
  <c r="O8" i="6" s="1"/>
  <c r="L8" i="6"/>
  <c r="N11" i="6"/>
  <c r="H43" i="6"/>
  <c r="N35" i="6"/>
  <c r="D15" i="6"/>
  <c r="D23" i="6"/>
  <c r="B17" i="6"/>
  <c r="E17" i="5"/>
  <c r="E17" i="6" s="1"/>
  <c r="D30" i="6"/>
  <c r="C8" i="6"/>
  <c r="N36" i="6"/>
  <c r="N28" i="6"/>
  <c r="M9" i="6"/>
  <c r="I19" i="6"/>
  <c r="C13" i="6"/>
  <c r="H39" i="6"/>
  <c r="I12" i="6"/>
  <c r="D34" i="6"/>
  <c r="D17" i="6"/>
  <c r="O14" i="5"/>
  <c r="O14" i="6" s="1"/>
  <c r="L14" i="6"/>
  <c r="M10" i="6"/>
  <c r="H26" i="6"/>
  <c r="L19" i="6"/>
  <c r="O19" i="5"/>
  <c r="O19" i="6" s="1"/>
  <c r="J18" i="5"/>
  <c r="J18" i="6" s="1"/>
  <c r="G18" i="6"/>
  <c r="H18" i="6"/>
  <c r="O30" i="5"/>
  <c r="O30" i="6" s="1"/>
  <c r="L30" i="6"/>
  <c r="H28" i="6"/>
  <c r="D44" i="6"/>
  <c r="N8" i="6"/>
  <c r="I15" i="6"/>
  <c r="O21" i="5"/>
  <c r="O21" i="6" s="1"/>
  <c r="L21" i="6"/>
  <c r="J46" i="5"/>
  <c r="J46" i="6" s="1"/>
  <c r="G46" i="6"/>
  <c r="M38" i="6"/>
  <c r="B26" i="6"/>
  <c r="E26" i="5"/>
  <c r="E26" i="6" s="1"/>
  <c r="C10" i="6"/>
  <c r="N25" i="6"/>
</calcChain>
</file>

<file path=xl/sharedStrings.xml><?xml version="1.0" encoding="utf-8"?>
<sst xmlns="http://schemas.openxmlformats.org/spreadsheetml/2006/main" count="5487" uniqueCount="781">
  <si>
    <t>Northern Ireland</t>
  </si>
  <si>
    <t>N6190</t>
  </si>
  <si>
    <t>NIF</t>
  </si>
  <si>
    <t>..</t>
  </si>
  <si>
    <t>Scotland (SFRS)</t>
  </si>
  <si>
    <t>S6189</t>
  </si>
  <si>
    <t>SF</t>
  </si>
  <si>
    <t>South Wales</t>
  </si>
  <si>
    <t>W6173</t>
  </si>
  <si>
    <t>WF</t>
  </si>
  <si>
    <t>North Wales</t>
  </si>
  <si>
    <t>W6172</t>
  </si>
  <si>
    <t/>
  </si>
  <si>
    <t>Mid and West Wales</t>
  </si>
  <si>
    <t>W6171</t>
  </si>
  <si>
    <t>London (LFEPA)</t>
  </si>
  <si>
    <t>E6160</t>
  </si>
  <si>
    <t>MF</t>
  </si>
  <si>
    <t>West Yorkshire</t>
  </si>
  <si>
    <t>E6147</t>
  </si>
  <si>
    <t>West Midlands</t>
  </si>
  <si>
    <t>E6146</t>
  </si>
  <si>
    <t>Tyne and Wear</t>
  </si>
  <si>
    <t>E6145</t>
  </si>
  <si>
    <t>South Yorkshire</t>
  </si>
  <si>
    <t>E6144</t>
  </si>
  <si>
    <t>Merseyside</t>
  </si>
  <si>
    <t>E6143</t>
  </si>
  <si>
    <t>Greater Manchester</t>
  </si>
  <si>
    <t>E6142</t>
  </si>
  <si>
    <t>Wiltshire</t>
  </si>
  <si>
    <t>E6139</t>
  </si>
  <si>
    <t>Comb</t>
  </si>
  <si>
    <t>Staffordshire</t>
  </si>
  <si>
    <t>E6134</t>
  </si>
  <si>
    <t>Shropshire</t>
  </si>
  <si>
    <t>E6132</t>
  </si>
  <si>
    <t>Nottinghamshire</t>
  </si>
  <si>
    <t>E6130</t>
  </si>
  <si>
    <t>North Yorkshire</t>
  </si>
  <si>
    <t>E6127</t>
  </si>
  <si>
    <t>Leicestershire</t>
  </si>
  <si>
    <t>E6124</t>
  </si>
  <si>
    <t>Lancashire</t>
  </si>
  <si>
    <t>E6123</t>
  </si>
  <si>
    <t>Kent</t>
  </si>
  <si>
    <t>E6122</t>
  </si>
  <si>
    <t>Humberside</t>
  </si>
  <si>
    <t>E6120</t>
  </si>
  <si>
    <t>Hereford and Worcester</t>
  </si>
  <si>
    <t>E6118</t>
  </si>
  <si>
    <t>Hampshire</t>
  </si>
  <si>
    <t>E6117</t>
  </si>
  <si>
    <t>Essex</t>
  </si>
  <si>
    <t>E6115</t>
  </si>
  <si>
    <t>East Sussex</t>
  </si>
  <si>
    <t>E6114</t>
  </si>
  <si>
    <t>Durham</t>
  </si>
  <si>
    <t>E6113</t>
  </si>
  <si>
    <t>Dorset</t>
  </si>
  <si>
    <t>E6112</t>
  </si>
  <si>
    <t>Devon and Somerset</t>
  </si>
  <si>
    <t>E6161</t>
  </si>
  <si>
    <t>Derbyshire</t>
  </si>
  <si>
    <t>E6110</t>
  </si>
  <si>
    <t>Cleveland</t>
  </si>
  <si>
    <t>E6107</t>
  </si>
  <si>
    <t>Cheshire</t>
  </si>
  <si>
    <t>E6106</t>
  </si>
  <si>
    <t>Cambridgeshire</t>
  </si>
  <si>
    <t>E6105</t>
  </si>
  <si>
    <t>Buckinghamshire</t>
  </si>
  <si>
    <t>E6104</t>
  </si>
  <si>
    <t>Berkshire</t>
  </si>
  <si>
    <t>E6103</t>
  </si>
  <si>
    <t>Bedfordshire</t>
  </si>
  <si>
    <t>E6102</t>
  </si>
  <si>
    <t>Avon</t>
  </si>
  <si>
    <t>E6101</t>
  </si>
  <si>
    <t>Isles of Scilly</t>
  </si>
  <si>
    <t>E4001</t>
  </si>
  <si>
    <t>Coun</t>
  </si>
  <si>
    <t>West Sussex</t>
  </si>
  <si>
    <t>E3820</t>
  </si>
  <si>
    <t>Warwickshire</t>
  </si>
  <si>
    <t>E3720</t>
  </si>
  <si>
    <t>Surrey</t>
  </si>
  <si>
    <t>E3620</t>
  </si>
  <si>
    <t>Suffolk</t>
  </si>
  <si>
    <t>E3520</t>
  </si>
  <si>
    <t>Oxfordshire</t>
  </si>
  <si>
    <t>E3120</t>
  </si>
  <si>
    <t>Northumberland</t>
  </si>
  <si>
    <t>E2901</t>
  </si>
  <si>
    <t>Northamptonshire</t>
  </si>
  <si>
    <t>E2820</t>
  </si>
  <si>
    <t>Norfolk</t>
  </si>
  <si>
    <t>E2620</t>
  </si>
  <si>
    <t>Lincolnshire</t>
  </si>
  <si>
    <t>E2520</t>
  </si>
  <si>
    <t>Isle of Wight</t>
  </si>
  <si>
    <t>E2101</t>
  </si>
  <si>
    <t>Hertfordshire</t>
  </si>
  <si>
    <t>E1920</t>
  </si>
  <si>
    <t>Gloucestershire</t>
  </si>
  <si>
    <t>E1620</t>
  </si>
  <si>
    <t>Cumbria</t>
  </si>
  <si>
    <t>E0920</t>
  </si>
  <si>
    <t>Cornwall</t>
  </si>
  <si>
    <t>E0801</t>
  </si>
  <si>
    <t>FIRE0050</t>
  </si>
  <si>
    <t>FIRE0049</t>
  </si>
  <si>
    <t>FIRE0048</t>
  </si>
  <si>
    <t>FIRE0047</t>
  </si>
  <si>
    <t>FIRE0046</t>
  </si>
  <si>
    <t>FIRE0045</t>
  </si>
  <si>
    <t>FIRE0044</t>
  </si>
  <si>
    <t>FIRE0043</t>
  </si>
  <si>
    <t>FIRE0042</t>
  </si>
  <si>
    <t>FIRE0041</t>
  </si>
  <si>
    <t>FIRE0040</t>
  </si>
  <si>
    <t>FIRE0039</t>
  </si>
  <si>
    <t>FIRE0038</t>
  </si>
  <si>
    <t>FIRE0037</t>
  </si>
  <si>
    <t>FIRE0036</t>
  </si>
  <si>
    <t>FIRE0035</t>
  </si>
  <si>
    <t>FIRE0034</t>
  </si>
  <si>
    <t>FIRE0033</t>
  </si>
  <si>
    <t>FIRE0210</t>
  </si>
  <si>
    <t>FIRE0032</t>
  </si>
  <si>
    <t>FIRE0031</t>
  </si>
  <si>
    <t>FIRE0030</t>
  </si>
  <si>
    <t>FIRE0029</t>
  </si>
  <si>
    <t>FIRE0028</t>
  </si>
  <si>
    <t>FIRE0027</t>
  </si>
  <si>
    <t>FIRE0026</t>
  </si>
  <si>
    <t>FIRE0025</t>
  </si>
  <si>
    <t>FIRE0024</t>
  </si>
  <si>
    <t>FIRE0023</t>
  </si>
  <si>
    <t>FIRE0022</t>
  </si>
  <si>
    <t>FIRE0021</t>
  </si>
  <si>
    <t>FIRE0020</t>
  </si>
  <si>
    <t>FIRE0019</t>
  </si>
  <si>
    <t>FIRE0018</t>
  </si>
  <si>
    <t>FIRE0017</t>
  </si>
  <si>
    <t>FIRE0209</t>
  </si>
  <si>
    <t>FIRE0016</t>
  </si>
  <si>
    <t>FIRE0015</t>
  </si>
  <si>
    <t>FIRE0014</t>
  </si>
  <si>
    <t>FIRE0208</t>
  </si>
  <si>
    <t>FIRE0207</t>
  </si>
  <si>
    <t>FIRE0012</t>
  </si>
  <si>
    <t>FIRE0271</t>
  </si>
  <si>
    <t>FIRE0007</t>
  </si>
  <si>
    <t>FIRE0206</t>
  </si>
  <si>
    <t>FIRE0205</t>
  </si>
  <si>
    <t>FIRE0005</t>
  </si>
  <si>
    <t>Qrecd Estimates</t>
  </si>
  <si>
    <t>Qrecd Actuals</t>
  </si>
  <si>
    <t>Authority</t>
  </si>
  <si>
    <t>FLAS</t>
  </si>
  <si>
    <t>Fire and Rescue Actuals Staistics 2015-16</t>
  </si>
  <si>
    <t>Fire and Rescue Estimates Statistics 2016-17</t>
  </si>
  <si>
    <t>Please note that these figures are still provisional and are subject to amendments.</t>
  </si>
  <si>
    <t>Source: CIPFA Fire &amp; Rescue Service Statistics 2016</t>
  </si>
  <si>
    <r>
      <t>Appendix 1. Fire and Rescue Service summary information for England at 31 March 2015</t>
    </r>
    <r>
      <rPr>
        <b/>
        <vertAlign val="superscript"/>
        <sz val="14"/>
        <color indexed="43"/>
        <rFont val="Arial"/>
        <family val="2"/>
      </rPr>
      <t>1</t>
    </r>
  </si>
  <si>
    <t>Staff headcount</t>
  </si>
  <si>
    <t>Number of fire stations</t>
  </si>
  <si>
    <t>Operational appliances</t>
  </si>
  <si>
    <t>Non operational appliances</t>
  </si>
  <si>
    <t>Wholetime</t>
  </si>
  <si>
    <t>Retained duty system</t>
  </si>
  <si>
    <t>Fire control</t>
  </si>
  <si>
    <t>Support staff</t>
  </si>
  <si>
    <t>Mixed wholetime and retained duty system</t>
  </si>
  <si>
    <t>Pumps</t>
  </si>
  <si>
    <t>Aerials (inc. pump/aerial combined)</t>
  </si>
  <si>
    <r>
      <t>Other Operational</t>
    </r>
    <r>
      <rPr>
        <vertAlign val="superscript"/>
        <sz val="11"/>
        <rFont val="Arial"/>
        <family val="2"/>
      </rPr>
      <t>3</t>
    </r>
  </si>
  <si>
    <r>
      <t>Fleet Vehicles</t>
    </r>
    <r>
      <rPr>
        <vertAlign val="superscript"/>
        <sz val="11"/>
        <rFont val="Arial"/>
        <family val="2"/>
      </rPr>
      <t>4</t>
    </r>
  </si>
  <si>
    <t xml:space="preserve">Reserve </t>
  </si>
  <si>
    <t>Training</t>
  </si>
  <si>
    <t>England</t>
  </si>
  <si>
    <t>Non-Metropolitan</t>
  </si>
  <si>
    <t>Devon &amp; Somerset</t>
  </si>
  <si>
    <r>
      <t>Hampshire</t>
    </r>
    <r>
      <rPr>
        <vertAlign val="superscript"/>
        <sz val="10"/>
        <rFont val="Arial"/>
        <family val="2"/>
      </rPr>
      <t>2</t>
    </r>
  </si>
  <si>
    <r>
      <rPr>
        <sz val="10"/>
        <rFont val="Arial"/>
        <family val="2"/>
      </rPr>
      <t>Hereford &amp; Worcester</t>
    </r>
    <r>
      <rPr>
        <vertAlign val="superscript"/>
        <sz val="10"/>
        <rFont val="Arial"/>
        <family val="2"/>
      </rPr>
      <t>2</t>
    </r>
  </si>
  <si>
    <r>
      <rPr>
        <sz val="10"/>
        <rFont val="Arial"/>
        <family val="2"/>
      </rPr>
      <t>Nottinghamshire</t>
    </r>
    <r>
      <rPr>
        <vertAlign val="superscript"/>
        <sz val="10"/>
        <rFont val="Arial"/>
        <family val="2"/>
      </rPr>
      <t>2</t>
    </r>
  </si>
  <si>
    <r>
      <rPr>
        <sz val="10"/>
        <rFont val="Arial"/>
        <family val="2"/>
      </rPr>
      <t>Isles of Scilly</t>
    </r>
    <r>
      <rPr>
        <vertAlign val="superscript"/>
        <sz val="10"/>
        <rFont val="Arial"/>
        <family val="2"/>
      </rPr>
      <t>2</t>
    </r>
  </si>
  <si>
    <t>Metropolitan</t>
  </si>
  <si>
    <t>Tyne &amp; Wear</t>
  </si>
  <si>
    <t>Greater London</t>
  </si>
  <si>
    <t>1. Figures for number of fire stations and appliances are from the Chartered Institute of Public Finance and Accountancy (CIPFA)</t>
  </si>
  <si>
    <t>2. Four fire and rescue services did not provide full data to CIPFA, in which cases we have used previous years' figures.</t>
  </si>
  <si>
    <t>3.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</si>
  <si>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4. Including leased vehicles</t>
  </si>
  <si>
    <t>imputed</t>
  </si>
  <si>
    <t>.. not available</t>
  </si>
  <si>
    <t>Source: DCLG Annual Returns, CIPFA</t>
  </si>
  <si>
    <r>
      <t>Appendix 1. Fire and Rescue Service summary information for England at 31 March 2016</t>
    </r>
    <r>
      <rPr>
        <b/>
        <vertAlign val="superscript"/>
        <sz val="14"/>
        <color indexed="43"/>
        <rFont val="Arial"/>
        <family val="2"/>
      </rPr>
      <t>1</t>
    </r>
  </si>
  <si>
    <t>Select a year from the drop-down list in the orange box below:</t>
  </si>
  <si>
    <t>2015-16</t>
  </si>
  <si>
    <t>FRA</t>
  </si>
  <si>
    <t>Non Metropolitan fire and rescue authorities</t>
  </si>
  <si>
    <t>Isle Of Wight</t>
  </si>
  <si>
    <t>Metropolitan fire and rescue authorities</t>
  </si>
  <si>
    <t>The full set of fire statistics releases, tables and guidance can be found on our landing page, here-</t>
  </si>
  <si>
    <t>https://www.gov.uk/government/collections/fire-statistics</t>
  </si>
  <si>
    <t>The statistics in this table are Official Statistics.</t>
  </si>
  <si>
    <t>2010-11</t>
  </si>
  <si>
    <t>2011-12</t>
  </si>
  <si>
    <t>2012-13</t>
  </si>
  <si>
    <t>2013-14</t>
  </si>
  <si>
    <t>2014-15</t>
  </si>
  <si>
    <t>FIRE STATISTICS TABLE 1403: Fire stations and appliances, by fire and rescue authority</t>
  </si>
  <si>
    <t>Fire Stations</t>
  </si>
  <si>
    <t>Retained Duty System</t>
  </si>
  <si>
    <t>Total</t>
  </si>
  <si>
    <t>Operational Appliances</t>
  </si>
  <si>
    <t>Other Operational3</t>
  </si>
  <si>
    <t>Fleet Vehicles4</t>
  </si>
  <si>
    <t>Other Operational</t>
  </si>
  <si>
    <t>Fleet Vehicles</t>
  </si>
  <si>
    <t>Mixed</t>
  </si>
  <si>
    <t>Source: DCLG Annual Returns, CIPFA, ONS</t>
  </si>
  <si>
    <t>6. Hampshire FRA did not return data to CIPFA for 2013-14. Figures provided here for number of stations and appliances and from their 2012-13 return</t>
  </si>
  <si>
    <t>5. Including leased vehicles</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</si>
  <si>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</si>
  <si>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3. Including Day-crew and nucleus</t>
  </si>
  <si>
    <t>2. Additional information from CIPFA on number of firestations and appliances was unavailable at the time of publication. This appendix will be updated with these figures when it becomes available</t>
  </si>
  <si>
    <t>1. London do not recruit retained duty system (RDS) firefighters</t>
  </si>
  <si>
    <t>Hereford &amp; Worcester</t>
  </si>
  <si>
    <r>
      <t>Hampshire</t>
    </r>
    <r>
      <rPr>
        <vertAlign val="superscript"/>
        <sz val="10"/>
        <rFont val="Arial"/>
        <family val="2"/>
      </rPr>
      <t>6</t>
    </r>
  </si>
  <si>
    <r>
      <t>Fleet Vehicles</t>
    </r>
    <r>
      <rPr>
        <vertAlign val="superscript"/>
        <sz val="11"/>
        <rFont val="Arial"/>
        <family val="2"/>
      </rPr>
      <t>5</t>
    </r>
  </si>
  <si>
    <r>
      <t>Other Operational</t>
    </r>
    <r>
      <rPr>
        <vertAlign val="superscript"/>
        <sz val="11"/>
        <rFont val="Arial"/>
        <family val="2"/>
      </rPr>
      <t>4</t>
    </r>
  </si>
  <si>
    <t>Aerials</t>
  </si>
  <si>
    <r>
      <t>Wholetime</t>
    </r>
    <r>
      <rPr>
        <vertAlign val="superscript"/>
        <sz val="11"/>
        <rFont val="Arial"/>
        <family val="2"/>
      </rPr>
      <t>3</t>
    </r>
  </si>
  <si>
    <r>
      <t>Retained duty system</t>
    </r>
    <r>
      <rPr>
        <vertAlign val="superscript"/>
        <sz val="11"/>
        <rFont val="Arial"/>
        <family val="2"/>
      </rPr>
      <t>1</t>
    </r>
  </si>
  <si>
    <t>% of total population</t>
  </si>
  <si>
    <t>n (000s)</t>
  </si>
  <si>
    <r>
      <t>Appendix 1. Fire and Rescue Service summary information for England at 31 March 2014</t>
    </r>
    <r>
      <rPr>
        <b/>
        <vertAlign val="superscript"/>
        <sz val="14"/>
        <color indexed="43"/>
        <rFont val="Arial"/>
        <family val="2"/>
      </rPr>
      <t>1,2</t>
    </r>
  </si>
  <si>
    <t>10. The control calls for the Isles of Scilly are handled by Cornwall</t>
  </si>
  <si>
    <t>9. Does not include Urban Search and Rescue (USAR) stations</t>
  </si>
  <si>
    <t>8. Wholetime stations include a mixed station (retained and wholetime)</t>
  </si>
  <si>
    <t>7. Cambridgeshire and Suffolk control rooms merged in 2011 and the merged control room is based in Cambridgeshire.</t>
  </si>
  <si>
    <t>6. Including leased vehicles</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</si>
  <si>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</si>
  <si>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4. Including Day-crew</t>
  </si>
  <si>
    <t>3. London and West Midlands do not recruit retained duty system (RDS) firefighters</t>
  </si>
  <si>
    <t>2. Figures for number of fire stations and appliances are from the Chartered Institute of Public Finance and Accountancy (CIPFA)</t>
  </si>
  <si>
    <t>1. Population figures are from the Office for National Statistics (ONS) Mid-Year Estimates</t>
  </si>
  <si>
    <t>H</t>
  </si>
  <si>
    <t>DW</t>
  </si>
  <si>
    <t>FM</t>
  </si>
  <si>
    <t>AT</t>
  </si>
  <si>
    <t>DS</t>
  </si>
  <si>
    <t>BM</t>
  </si>
  <si>
    <t>BG</t>
  </si>
  <si>
    <r>
      <t>Isles of Scilly</t>
    </r>
    <r>
      <rPr>
        <vertAlign val="superscript"/>
        <sz val="10"/>
        <rFont val="Arial"/>
        <family val="2"/>
      </rPr>
      <t>10</t>
    </r>
  </si>
  <si>
    <t>KL</t>
  </si>
  <si>
    <t>JW</t>
  </si>
  <si>
    <t>FS</t>
  </si>
  <si>
    <t>JS</t>
  </si>
  <si>
    <r>
      <t>Suffolk</t>
    </r>
    <r>
      <rPr>
        <vertAlign val="superscript"/>
        <sz val="10"/>
        <rFont val="Arial"/>
        <family val="2"/>
      </rPr>
      <t>7</t>
    </r>
  </si>
  <si>
    <t>GS</t>
  </si>
  <si>
    <t>FT</t>
  </si>
  <si>
    <t>FH</t>
  </si>
  <si>
    <t>JX</t>
  </si>
  <si>
    <t>ET</t>
  </si>
  <si>
    <t>AN</t>
  </si>
  <si>
    <t>EM</t>
  </si>
  <si>
    <t>DN</t>
  </si>
  <si>
    <t>GN</t>
  </si>
  <si>
    <t>EC</t>
  </si>
  <si>
    <t>ES</t>
  </si>
  <si>
    <t>BL</t>
  </si>
  <si>
    <t>JK</t>
  </si>
  <si>
    <t>JT</t>
  </si>
  <si>
    <t>DH</t>
  </si>
  <si>
    <t>GH</t>
  </si>
  <si>
    <t>FE</t>
  </si>
  <si>
    <t>JH</t>
  </si>
  <si>
    <t>KG</t>
  </si>
  <si>
    <r>
      <t>Essex</t>
    </r>
    <r>
      <rPr>
        <vertAlign val="superscript"/>
        <sz val="10"/>
        <rFont val="Arial"/>
        <family val="2"/>
      </rPr>
      <t>9</t>
    </r>
  </si>
  <si>
    <t>GE</t>
  </si>
  <si>
    <t>JE</t>
  </si>
  <si>
    <r>
      <t>Durham</t>
    </r>
    <r>
      <rPr>
        <vertAlign val="superscript"/>
        <sz val="10"/>
        <rFont val="Arial"/>
        <family val="2"/>
      </rPr>
      <t>8</t>
    </r>
  </si>
  <si>
    <t>AD</t>
  </si>
  <si>
    <t>KT</t>
  </si>
  <si>
    <t>KV</t>
  </si>
  <si>
    <t>ED</t>
  </si>
  <si>
    <t>BC</t>
  </si>
  <si>
    <t>KC</t>
  </si>
  <si>
    <t>AC</t>
  </si>
  <si>
    <t>BE</t>
  </si>
  <si>
    <r>
      <t>Cambridgeshire</t>
    </r>
    <r>
      <rPr>
        <vertAlign val="superscript"/>
        <sz val="10"/>
        <rFont val="Arial"/>
        <family val="2"/>
      </rPr>
      <t>7</t>
    </r>
  </si>
  <si>
    <t>GC</t>
  </si>
  <si>
    <t>JC</t>
  </si>
  <si>
    <t>JY</t>
  </si>
  <si>
    <t>GB</t>
  </si>
  <si>
    <t>KA</t>
  </si>
  <si>
    <r>
      <t>Fleet Vehicles</t>
    </r>
    <r>
      <rPr>
        <vertAlign val="superscript"/>
        <sz val="11"/>
        <rFont val="Arial"/>
        <family val="2"/>
      </rPr>
      <t>6</t>
    </r>
  </si>
  <si>
    <r>
      <t>Other Operational</t>
    </r>
    <r>
      <rPr>
        <vertAlign val="superscript"/>
        <sz val="11"/>
        <rFont val="Arial"/>
        <family val="2"/>
      </rPr>
      <t>5</t>
    </r>
  </si>
  <si>
    <r>
      <t>Wholetime</t>
    </r>
    <r>
      <rPr>
        <vertAlign val="superscript"/>
        <sz val="11"/>
        <rFont val="Arial"/>
        <family val="2"/>
      </rPr>
      <t>4</t>
    </r>
  </si>
  <si>
    <r>
      <t>Retained duty system</t>
    </r>
    <r>
      <rPr>
        <vertAlign val="superscript"/>
        <sz val="11"/>
        <rFont val="Arial"/>
        <family val="2"/>
      </rPr>
      <t>3</t>
    </r>
  </si>
  <si>
    <r>
      <t>Appendix 1. Fire and Rescue Service summary information for England at 31 March 2013</t>
    </r>
    <r>
      <rPr>
        <b/>
        <vertAlign val="superscript"/>
        <sz val="14"/>
        <color indexed="43"/>
        <rFont val="Arial"/>
        <family val="2"/>
      </rPr>
      <t>1,2</t>
    </r>
  </si>
  <si>
    <t>9. The control calls for the Isles of Scilly are handled by Cornwall</t>
  </si>
  <si>
    <t>8. CIPFA station on appliances is not available so estimates based on 2010-11 data are shown</t>
  </si>
  <si>
    <t>7. Cambridgeshire and Suffolk control rooms merged in 2011-12 and the merged control room is based in Cambridgeshire.</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</si>
  <si>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 by CIPFA.</t>
  </si>
  <si>
    <t>4. Including Day-crew and stations defined as 'Wholetime/Retained'</t>
  </si>
  <si>
    <r>
      <t>Isles of Scilly</t>
    </r>
    <r>
      <rPr>
        <vertAlign val="superscript"/>
        <sz val="10"/>
        <rFont val="Arial"/>
        <family val="2"/>
      </rPr>
      <t>9</t>
    </r>
  </si>
  <si>
    <r>
      <t>Hereford &amp; Worcester</t>
    </r>
    <r>
      <rPr>
        <vertAlign val="superscript"/>
        <sz val="10"/>
        <rFont val="Arial"/>
        <family val="2"/>
      </rPr>
      <t>8</t>
    </r>
  </si>
  <si>
    <r>
      <t>Appendix 1. Fire and rescue authority summary information for England at 31 March 2012</t>
    </r>
    <r>
      <rPr>
        <b/>
        <vertAlign val="superscript"/>
        <sz val="14"/>
        <color indexed="43"/>
        <rFont val="Arial"/>
        <family val="2"/>
      </rPr>
      <t>1,2</t>
    </r>
  </si>
  <si>
    <r>
      <t>Other Operational</t>
    </r>
    <r>
      <rPr>
        <vertAlign val="superscript"/>
        <sz val="8"/>
        <rFont val="Arial"/>
        <family val="2"/>
      </rPr>
      <t>3</t>
    </r>
  </si>
  <si>
    <r>
      <t>Fleet Vehicles</t>
    </r>
    <r>
      <rPr>
        <vertAlign val="superscript"/>
        <sz val="8"/>
        <rFont val="Arial"/>
        <family val="2"/>
      </rPr>
      <t>4</t>
    </r>
  </si>
  <si>
    <t>YEAR ON YEAR CHANGES (actuals not %ages)</t>
  </si>
  <si>
    <t>Eng=Met+Non Met</t>
  </si>
  <si>
    <t>Met=Sum Mets</t>
  </si>
  <si>
    <t>Non Met=Sum Non Mets</t>
  </si>
  <si>
    <t>BASIC SUMS ADD UP</t>
  </si>
  <si>
    <t>CHECK THAT ENGLAND TOTALS LOOK SENSIBLE</t>
  </si>
  <si>
    <t>Stations</t>
  </si>
  <si>
    <t>Non Operational Appliancs</t>
  </si>
  <si>
    <t>2009-10</t>
  </si>
  <si>
    <t>7. Data for appliances and numbers of stations refer to 2009-10, as the information was not available at the time of the publication</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</si>
  <si>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</si>
  <si>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r>
      <t>Isles of Scilly</t>
    </r>
    <r>
      <rPr>
        <vertAlign val="superscript"/>
        <sz val="10"/>
        <rFont val="Arial"/>
        <family val="2"/>
      </rPr>
      <t>7,10</t>
    </r>
  </si>
  <si>
    <r>
      <t>Lancashire</t>
    </r>
    <r>
      <rPr>
        <vertAlign val="superscript"/>
        <sz val="10"/>
        <rFont val="Arial"/>
        <family val="2"/>
      </rPr>
      <t>9</t>
    </r>
  </si>
  <si>
    <r>
      <t>Cumbria</t>
    </r>
    <r>
      <rPr>
        <vertAlign val="superscript"/>
        <sz val="10"/>
        <rFont val="Arial"/>
        <family val="2"/>
      </rPr>
      <t>7</t>
    </r>
  </si>
  <si>
    <r>
      <t>Appendix 1. Fire and Rescue Service summary information for England at 31 March 2011</t>
    </r>
    <r>
      <rPr>
        <b/>
        <vertAlign val="superscript"/>
        <sz val="14"/>
        <color indexed="43"/>
        <rFont val="Arial"/>
        <family val="2"/>
      </rPr>
      <t>1,2</t>
    </r>
  </si>
  <si>
    <t>Source: CLG Annual Returns, CIPFA, ONS</t>
  </si>
  <si>
    <t>N/a Not available</t>
  </si>
  <si>
    <t>6. The control calls for the Isles of Scilly are handled by Cornwall</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</si>
  <si>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</si>
  <si>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3. Including Day-crew</t>
  </si>
  <si>
    <r>
      <t>Isles of Scilly</t>
    </r>
    <r>
      <rPr>
        <vertAlign val="superscript"/>
        <sz val="10"/>
        <rFont val="Arial"/>
        <family val="2"/>
      </rPr>
      <t>6</t>
    </r>
  </si>
  <si>
    <t xml:space="preserve">Uniformed personnel </t>
  </si>
  <si>
    <t>2009 mid-year population estimates</t>
  </si>
  <si>
    <r>
      <t>Appendix 1. Fire and Rescue Service summary information for England at 31 March 2010</t>
    </r>
    <r>
      <rPr>
        <b/>
        <vertAlign val="superscript"/>
        <sz val="14"/>
        <color indexed="43"/>
        <rFont val="Arial"/>
        <family val="2"/>
      </rPr>
      <t>1,2</t>
    </r>
  </si>
  <si>
    <t>Source: Chartered Institute of Public Finance and Accountancy (CIPFA)</t>
  </si>
  <si>
    <t>When fire and rescue authorities do not provide data to CIPFA we have used previous years' figure.</t>
  </si>
  <si>
    <t>General Note</t>
  </si>
  <si>
    <t>Fire and Rescue Actuals Statistics 2015-16</t>
  </si>
  <si>
    <t>2. Seven fire and rescue services did not provide full data to CIPFA, in which cases we have used previous years' figures, marked with red cells.</t>
  </si>
  <si>
    <t>3. Other operational appliances include Fire-boats, Urban Search and Rescue (USAR), High Volume Pumps (HVPs), Incident Response Units (IRUs), Incident Command Units (ICUs)/Control Units (CUs), Detection, Identification &amp; Monitoring (DIMs), Decontamination Unit (DeConU), Chemical Incident Unit (CIU), Vehicles Primarily for Rescue Work and Small Firefighting Vehicles.</t>
  </si>
  <si>
    <t>Total All Authorities</t>
  </si>
  <si>
    <t>TOT6</t>
  </si>
  <si>
    <t>Total England &amp; Wales</t>
  </si>
  <si>
    <t>TOT5</t>
  </si>
  <si>
    <t>Total Wales</t>
  </si>
  <si>
    <t>TOT4</t>
  </si>
  <si>
    <t>Total England</t>
  </si>
  <si>
    <t>TOT3</t>
  </si>
  <si>
    <t>Total Metropolitans FRSs</t>
  </si>
  <si>
    <t>TOT2</t>
  </si>
  <si>
    <t>Total Shire Areas</t>
  </si>
  <si>
    <t>TOT1</t>
  </si>
  <si>
    <t>Grossed Totals</t>
  </si>
  <si>
    <t>Dorset and Wiltshire</t>
  </si>
  <si>
    <t>E6162</t>
  </si>
  <si>
    <t>Years</t>
  </si>
  <si>
    <t>Area</t>
  </si>
  <si>
    <t>Age</t>
  </si>
  <si>
    <t>Number</t>
  </si>
  <si>
    <t>Appliances</t>
  </si>
  <si>
    <t>Resilience</t>
  </si>
  <si>
    <t>Services</t>
  </si>
  <si>
    <t>Retained</t>
  </si>
  <si>
    <t>System</t>
  </si>
  <si>
    <t>Average</t>
  </si>
  <si>
    <t>Operational</t>
  </si>
  <si>
    <t>Emergency</t>
  </si>
  <si>
    <t>Fire</t>
  </si>
  <si>
    <t>Wholetime/</t>
  </si>
  <si>
    <t>Duty</t>
  </si>
  <si>
    <t>Other</t>
  </si>
  <si>
    <t>of</t>
  </si>
  <si>
    <t>with</t>
  </si>
  <si>
    <t xml:space="preserve"> </t>
  </si>
  <si>
    <t>Vehicles (Direct)</t>
  </si>
  <si>
    <t>Aerial Appliances</t>
  </si>
  <si>
    <t>Shared</t>
  </si>
  <si>
    <t>Total Training Appliances</t>
  </si>
  <si>
    <t>Total Reserve Appliances</t>
  </si>
  <si>
    <t>Other Fleet Vehicles</t>
  </si>
  <si>
    <t>Officer Response</t>
  </si>
  <si>
    <t>of which:</t>
  </si>
  <si>
    <t>Pumping</t>
  </si>
  <si>
    <t>Of which</t>
  </si>
  <si>
    <t>Non-Operational Fleet</t>
  </si>
  <si>
    <t>Appliances at 31 March 2017</t>
  </si>
  <si>
    <t>Fire Stations by Crewing at 31st March 2017</t>
  </si>
  <si>
    <t>CIPFA FIRE AND RESCUE SERVICE STATISTICS | 2016-17 ACTUALS</t>
  </si>
  <si>
    <t>FIRE0254</t>
  </si>
  <si>
    <t>FIRE0252</t>
  </si>
  <si>
    <t>FIRE0253</t>
  </si>
  <si>
    <t>FIRE0251</t>
  </si>
  <si>
    <t>FIRE0239</t>
  </si>
  <si>
    <t>2016-17</t>
  </si>
  <si>
    <t>Dorset &amp; Wiltshire</t>
  </si>
  <si>
    <t>FIRE0006</t>
  </si>
  <si>
    <t>FIRE6008</t>
  </si>
  <si>
    <t>FIRE6010</t>
  </si>
  <si>
    <t>FIRE6012</t>
  </si>
  <si>
    <t>FIRE6014</t>
  </si>
  <si>
    <t>FIRE6016</t>
  </si>
  <si>
    <t>FIRE6018</t>
  </si>
  <si>
    <t>FIRE6020</t>
  </si>
  <si>
    <t>FIRE6022</t>
  </si>
  <si>
    <t>FIRE6023</t>
  </si>
  <si>
    <t>FIRE6037</t>
  </si>
  <si>
    <t>FIRE6024</t>
  </si>
  <si>
    <t>FIRE6026</t>
  </si>
  <si>
    <t>FIRE6028</t>
  </si>
  <si>
    <t>FIRE6030</t>
  </si>
  <si>
    <t>FIRE6032</t>
  </si>
  <si>
    <t>FIRE6033</t>
  </si>
  <si>
    <t>FIRE6034</t>
  </si>
  <si>
    <t>FIRE6035</t>
  </si>
  <si>
    <t>FIRE6036</t>
  </si>
  <si>
    <t>FIRE0188</t>
  </si>
  <si>
    <t>FIRE0189</t>
  </si>
  <si>
    <t>FIRE0190</t>
  </si>
  <si>
    <t>FIRE0191</t>
  </si>
  <si>
    <t>FIRE0192</t>
  </si>
  <si>
    <t>FIRE0193</t>
  </si>
  <si>
    <t>FIRE0266</t>
  </si>
  <si>
    <t>FIRE0267</t>
  </si>
  <si>
    <t>FIRE0194</t>
  </si>
  <si>
    <t>FIRE0234</t>
  </si>
  <si>
    <t>FIRE0268</t>
  </si>
  <si>
    <t>FIRE0269</t>
  </si>
  <si>
    <t>FIRE0085</t>
  </si>
  <si>
    <t>FIRE0091</t>
  </si>
  <si>
    <t>FIRE0097</t>
  </si>
  <si>
    <t>FIRE0103</t>
  </si>
  <si>
    <t>FIRE0104</t>
  </si>
  <si>
    <t>FIRE0105</t>
  </si>
  <si>
    <t>FIRE0106</t>
  </si>
  <si>
    <t>FIRE0107</t>
  </si>
  <si>
    <t>FIRE0108</t>
  </si>
  <si>
    <t>FIRE0109</t>
  </si>
  <si>
    <t>FIRE0111</t>
  </si>
  <si>
    <t>FIRE0240</t>
  </si>
  <si>
    <t>FIRE0255</t>
  </si>
  <si>
    <t>FIRE0112</t>
  </si>
  <si>
    <t>FIRE0113</t>
  </si>
  <si>
    <t>FIRE0114</t>
  </si>
  <si>
    <t>FIRE0241</t>
  </si>
  <si>
    <t>FIRE0256</t>
  </si>
  <si>
    <t>FIRE0115</t>
  </si>
  <si>
    <t>FIRE0116</t>
  </si>
  <si>
    <t>FIRE0117</t>
  </si>
  <si>
    <t>FIRE0118</t>
  </si>
  <si>
    <t>FIRE0119</t>
  </si>
  <si>
    <t>FIRE5101</t>
  </si>
  <si>
    <t>FIRE0272</t>
  </si>
  <si>
    <t>FIRE0257</t>
  </si>
  <si>
    <t>FIRE0258</t>
  </si>
  <si>
    <t>FIRE0259</t>
  </si>
  <si>
    <t>FIRE0160</t>
  </si>
  <si>
    <t>FIRE0161</t>
  </si>
  <si>
    <t>FIRE0162</t>
  </si>
  <si>
    <t>FIRE0163</t>
  </si>
  <si>
    <t>FIRE0164</t>
  </si>
  <si>
    <t>FIRE0165</t>
  </si>
  <si>
    <t>FIRE5103</t>
  </si>
  <si>
    <t>FIRE5104</t>
  </si>
  <si>
    <t>FIRE5105</t>
  </si>
  <si>
    <t>FIRE5106</t>
  </si>
  <si>
    <t>FIRE5107</t>
  </si>
  <si>
    <t>FIRE5108</t>
  </si>
  <si>
    <t>FIRE0178</t>
  </si>
  <si>
    <t>FIRE0216</t>
  </si>
  <si>
    <t>FIRE0217</t>
  </si>
  <si>
    <t>FIRE0218</t>
  </si>
  <si>
    <t>FIRE0219</t>
  </si>
  <si>
    <t>FIRE0220</t>
  </si>
  <si>
    <t>FIRE0221</t>
  </si>
  <si>
    <t>FIRE0222</t>
  </si>
  <si>
    <t>FIRE0223</t>
  </si>
  <si>
    <t>FIRE0232</t>
  </si>
  <si>
    <t>FIRE0195</t>
  </si>
  <si>
    <t>FIRE0196</t>
  </si>
  <si>
    <t>FIRE0197</t>
  </si>
  <si>
    <t>CIPFA FIRE AND RESCUE SERVICE STATISTICS | 2017-18 ACTUALS</t>
  </si>
  <si>
    <t>Fire Stations by Crewing at 31st March 2018</t>
  </si>
  <si>
    <t>Number of Appliances at 31 March 2018</t>
  </si>
  <si>
    <t>Wholetime Firefighters at 31 March 2018</t>
  </si>
  <si>
    <t>Retained Duty System Firefighters at 31 March 2018</t>
  </si>
  <si>
    <t>Other Staff</t>
  </si>
  <si>
    <t>Firefighters' Pension Scheme</t>
  </si>
  <si>
    <t>Subjective Analysis</t>
  </si>
  <si>
    <t>Objective Analysis</t>
  </si>
  <si>
    <t>Proportion of costs included in column 143 which are re-allocated maintenance and support services</t>
  </si>
  <si>
    <t>Firefighters' Pension Fund Account</t>
  </si>
  <si>
    <t>Reserves and Provisions</t>
  </si>
  <si>
    <t>at 31 March 2018</t>
  </si>
  <si>
    <t>Number of FPS Members Actively Contributing</t>
  </si>
  <si>
    <t>Number of FPS Members Who Have Deferred</t>
  </si>
  <si>
    <t>Employees</t>
  </si>
  <si>
    <t>Third Party Payments</t>
  </si>
  <si>
    <t>Income</t>
  </si>
  <si>
    <t>Memorandum</t>
  </si>
  <si>
    <t>at 1 April 2017</t>
  </si>
  <si>
    <t>as at 31 March 2018</t>
  </si>
  <si>
    <t>Estimated</t>
  </si>
  <si>
    <t>Net</t>
  </si>
  <si>
    <t xml:space="preserve"> Service</t>
  </si>
  <si>
    <t>Officer</t>
  </si>
  <si>
    <t>Number of</t>
  </si>
  <si>
    <t>Joined/</t>
  </si>
  <si>
    <t>Expenditure</t>
  </si>
  <si>
    <t xml:space="preserve"> Expenditure</t>
  </si>
  <si>
    <t>Non-Uniform</t>
  </si>
  <si>
    <t>Firefighting</t>
  </si>
  <si>
    <t>Corporate</t>
  </si>
  <si>
    <t>Commutations</t>
  </si>
  <si>
    <t>Response</t>
  </si>
  <si>
    <t xml:space="preserve">Pensioners </t>
  </si>
  <si>
    <t xml:space="preserve">Firefighters </t>
  </si>
  <si>
    <t xml:space="preserve">Ill-Health </t>
  </si>
  <si>
    <t>Control</t>
  </si>
  <si>
    <t xml:space="preserve">Other </t>
  </si>
  <si>
    <t xml:space="preserve">Total </t>
  </si>
  <si>
    <t>Premises</t>
  </si>
  <si>
    <t>Transport</t>
  </si>
  <si>
    <t>Supplies</t>
  </si>
  <si>
    <t>(excluding</t>
  </si>
  <si>
    <t>(including</t>
  </si>
  <si>
    <t>Co-responding</t>
  </si>
  <si>
    <t>LGPS</t>
  </si>
  <si>
    <t>and</t>
  </si>
  <si>
    <t>Planning</t>
  </si>
  <si>
    <t>Non</t>
  </si>
  <si>
    <t>Pension</t>
  </si>
  <si>
    <t>Aerial</t>
  </si>
  <si>
    <t>Vehicles</t>
  </si>
  <si>
    <t>Fleet</t>
  </si>
  <si>
    <t>Reserve</t>
  </si>
  <si>
    <t>Brigade</t>
  </si>
  <si>
    <t>Group</t>
  </si>
  <si>
    <t>Station</t>
  </si>
  <si>
    <t>Watch</t>
  </si>
  <si>
    <t>Crew</t>
  </si>
  <si>
    <t xml:space="preserve">Support </t>
  </si>
  <si>
    <t>as at 31</t>
  </si>
  <si>
    <t xml:space="preserve">who retired </t>
  </si>
  <si>
    <t>Retirements</t>
  </si>
  <si>
    <t>Modified</t>
  </si>
  <si>
    <t>Full-Time</t>
  </si>
  <si>
    <t>Part-Time</t>
  </si>
  <si>
    <t>Room</t>
  </si>
  <si>
    <t>Non-Uniformed</t>
  </si>
  <si>
    <t xml:space="preserve">Training </t>
  </si>
  <si>
    <t xml:space="preserve">Employee </t>
  </si>
  <si>
    <t>Related</t>
  </si>
  <si>
    <t>Support</t>
  </si>
  <si>
    <t>Collaboration</t>
  </si>
  <si>
    <t>Specific</t>
  </si>
  <si>
    <t>Capital</t>
  </si>
  <si>
    <t>Net IAS 19</t>
  </si>
  <si>
    <t>Columns 131</t>
  </si>
  <si>
    <t>Discretionary</t>
  </si>
  <si>
    <t>to</t>
  </si>
  <si>
    <t>Forward</t>
  </si>
  <si>
    <t>Back</t>
  </si>
  <si>
    <t>Community</t>
  </si>
  <si>
    <t>Rescue</t>
  </si>
  <si>
    <t>and Civil</t>
  </si>
  <si>
    <t>Democratic</t>
  </si>
  <si>
    <t>Distributed</t>
  </si>
  <si>
    <t>Service</t>
  </si>
  <si>
    <t>Employer</t>
  </si>
  <si>
    <t xml:space="preserve"> Ill Health</t>
  </si>
  <si>
    <t>Employee</t>
  </si>
  <si>
    <t>Transfers</t>
  </si>
  <si>
    <t>Pensions</t>
  </si>
  <si>
    <t>Lump Sums</t>
  </si>
  <si>
    <t>Fund</t>
  </si>
  <si>
    <t>Injury</t>
  </si>
  <si>
    <t>Earmarked</t>
  </si>
  <si>
    <t>General</t>
  </si>
  <si>
    <t>Volunteer</t>
  </si>
  <si>
    <t>(Direct)</t>
  </si>
  <si>
    <t>Managers</t>
  </si>
  <si>
    <t>Firefighters</t>
  </si>
  <si>
    <t>Staff</t>
  </si>
  <si>
    <t>Staffing</t>
  </si>
  <si>
    <t>March 2018</t>
  </si>
  <si>
    <t>March 2019</t>
  </si>
  <si>
    <t>in 2017-18</t>
  </si>
  <si>
    <t>Scheme</t>
  </si>
  <si>
    <t>Expenses</t>
  </si>
  <si>
    <t>Cost</t>
  </si>
  <si>
    <t>Grants</t>
  </si>
  <si>
    <t>Charges)</t>
  </si>
  <si>
    <t>Charges</t>
  </si>
  <si>
    <t>Adjustment</t>
  </si>
  <si>
    <t>and 132)</t>
  </si>
  <si>
    <t>Incidents</t>
  </si>
  <si>
    <t>Funding Rate</t>
  </si>
  <si>
    <t>Funding Sum</t>
  </si>
  <si>
    <t>Safety</t>
  </si>
  <si>
    <t>Operations</t>
  </si>
  <si>
    <t>Defence</t>
  </si>
  <si>
    <t>Core</t>
  </si>
  <si>
    <t>Costs</t>
  </si>
  <si>
    <t>Contributions</t>
  </si>
  <si>
    <t>In</t>
  </si>
  <si>
    <t>Paid</t>
  </si>
  <si>
    <t>Out</t>
  </si>
  <si>
    <t>Payments</t>
  </si>
  <si>
    <t>Reserves</t>
  </si>
  <si>
    <t>Provisions</t>
  </si>
  <si>
    <t>FTE</t>
  </si>
  <si>
    <t>Headcount</t>
  </si>
  <si>
    <t>£'000</t>
  </si>
  <si>
    <t>%</t>
  </si>
  <si>
    <t>See Note</t>
  </si>
  <si>
    <t>London (LFC)</t>
  </si>
  <si>
    <t>2017-18</t>
  </si>
  <si>
    <t>FIRE0310</t>
  </si>
  <si>
    <t>FIRE0311</t>
  </si>
  <si>
    <t>FIRE0403</t>
  </si>
  <si>
    <t>FIRE0404</t>
  </si>
  <si>
    <t>FIRE0405</t>
  </si>
  <si>
    <t>FIRE0406</t>
  </si>
  <si>
    <t>FIRE0407</t>
  </si>
  <si>
    <t>FIRE0408</t>
  </si>
  <si>
    <t>FIRE0409</t>
  </si>
  <si>
    <t>FIRE0410</t>
  </si>
  <si>
    <t>FIRE0411</t>
  </si>
  <si>
    <t>FIRE0412</t>
  </si>
  <si>
    <t>FIRE0413</t>
  </si>
  <si>
    <t>FIRE0361</t>
  </si>
  <si>
    <t>FIRE0280</t>
  </si>
  <si>
    <t>FIRE0282</t>
  </si>
  <si>
    <t>FIRE0283</t>
  </si>
  <si>
    <t>FIRE0284</t>
  </si>
  <si>
    <t>FIRE0285</t>
  </si>
  <si>
    <t>FIRE0286</t>
  </si>
  <si>
    <t>FIRE0313</t>
  </si>
  <si>
    <t>FIRE0314</t>
  </si>
  <si>
    <t>FIRE0316</t>
  </si>
  <si>
    <t>FIRE0317</t>
  </si>
  <si>
    <t>FIRE0318</t>
  </si>
  <si>
    <t>FIRE0327</t>
  </si>
  <si>
    <t>FIRE0328</t>
  </si>
  <si>
    <t>FIRE0329</t>
  </si>
  <si>
    <t>FIRE0330</t>
  </si>
  <si>
    <t>FIRE0331</t>
  </si>
  <si>
    <t>FIRE0332</t>
  </si>
  <si>
    <t>FIRE0333</t>
  </si>
  <si>
    <t>FIRE0334</t>
  </si>
  <si>
    <t>FIRE0335</t>
  </si>
  <si>
    <t>FIRE0336</t>
  </si>
  <si>
    <t>FIRE0337</t>
  </si>
  <si>
    <t>FIRE0338</t>
  </si>
  <si>
    <t>FIRE0339</t>
  </si>
  <si>
    <t>FIRE0340</t>
  </si>
  <si>
    <t>FIRE0341</t>
  </si>
  <si>
    <t>FIRE0342</t>
  </si>
  <si>
    <t>FIRE0343</t>
  </si>
  <si>
    <t>CIPFA FIRE AND RESCUE SERVICE STATISTICS | 2018-19 ACTUALS</t>
  </si>
  <si>
    <t>Fire Stations by Crewing at 31st March 2019</t>
  </si>
  <si>
    <t>Number of Appliances at 31 March 2019</t>
  </si>
  <si>
    <t>Wholetime Firefighters at 31 March 2019</t>
  </si>
  <si>
    <t>On-Call (Retained Duty System) Firefighters at 31 March 2019</t>
  </si>
  <si>
    <t>Proportion of costs included in column 198 which are re-allocated maintenance and support services</t>
  </si>
  <si>
    <t>Capital Expenditure</t>
  </si>
  <si>
    <t>at 31 March 2019</t>
  </si>
  <si>
    <t>Capital Financing</t>
  </si>
  <si>
    <t>Community Safety</t>
  </si>
  <si>
    <t>Firefighting and Rescue Operations</t>
  </si>
  <si>
    <t>at 1 April 2018</t>
  </si>
  <si>
    <t>Clothing</t>
  </si>
  <si>
    <t>Construction and FM</t>
  </si>
  <si>
    <t>ICT</t>
  </si>
  <si>
    <t>Other Capital Expenditure</t>
  </si>
  <si>
    <t>as at 31 March 2019</t>
  </si>
  <si>
    <t>Interest &amp;</t>
  </si>
  <si>
    <t>Investment</t>
  </si>
  <si>
    <t>Statutory</t>
  </si>
  <si>
    <t>of which were</t>
  </si>
  <si>
    <t>Third</t>
  </si>
  <si>
    <t>Provision</t>
  </si>
  <si>
    <t>Interest:</t>
  </si>
  <si>
    <t>Income:</t>
  </si>
  <si>
    <t>PFI Schemes -</t>
  </si>
  <si>
    <t>Inspection</t>
  </si>
  <si>
    <t>Communications</t>
  </si>
  <si>
    <t>Securing</t>
  </si>
  <si>
    <t>Refurbishments</t>
  </si>
  <si>
    <t>Non-</t>
  </si>
  <si>
    <t>Telephony</t>
  </si>
  <si>
    <t>Grants and</t>
  </si>
  <si>
    <t>Non-Managerial</t>
  </si>
  <si>
    <t>Party</t>
  </si>
  <si>
    <t>Columns 175</t>
  </si>
  <si>
    <t>for Repayment</t>
  </si>
  <si>
    <t>Leasing</t>
  </si>
  <si>
    <t>External</t>
  </si>
  <si>
    <t>External Receipts</t>
  </si>
  <si>
    <t>difference from</t>
  </si>
  <si>
    <t>Certification and</t>
  </si>
  <si>
    <t>Prevention and</t>
  </si>
  <si>
    <t>Water</t>
  </si>
  <si>
    <t>PPE (that has</t>
  </si>
  <si>
    <t>Capitalised</t>
  </si>
  <si>
    <t>New</t>
  </si>
  <si>
    <t>of Exisiting</t>
  </si>
  <si>
    <t>related</t>
  </si>
  <si>
    <t>and Mobilising</t>
  </si>
  <si>
    <t>IT</t>
  </si>
  <si>
    <t>(Primary Roles)</t>
  </si>
  <si>
    <t>(Indirect)</t>
  </si>
  <si>
    <t>March 2020</t>
  </si>
  <si>
    <t>in 2018-19</t>
  </si>
  <si>
    <t>and 176)</t>
  </si>
  <si>
    <t>Receipts</t>
  </si>
  <si>
    <t>of Principal</t>
  </si>
  <si>
    <t>&amp; Dividends</t>
  </si>
  <si>
    <t>Service Charge</t>
  </si>
  <si>
    <t>Enforcement</t>
  </si>
  <si>
    <t>Education</t>
  </si>
  <si>
    <t>Responses</t>
  </si>
  <si>
    <t>Mobilising</t>
  </si>
  <si>
    <t>been capitalised)</t>
  </si>
  <si>
    <t>Builds</t>
  </si>
  <si>
    <t>Facility</t>
  </si>
  <si>
    <t>Systems</t>
  </si>
  <si>
    <t>Equipment</t>
  </si>
  <si>
    <t>REFCUS</t>
  </si>
  <si>
    <t>Contact: FireStatistics@homeoffice.gov.uk</t>
  </si>
  <si>
    <t xml:space="preserve">fleet= </t>
  </si>
  <si>
    <t xml:space="preserve">Fleet = </t>
  </si>
  <si>
    <t>col</t>
  </si>
  <si>
    <t>2018-19</t>
  </si>
  <si>
    <t>Abingdon fire station</t>
  </si>
  <si>
    <t>This is a day crewed and an on-call fire station and not staffed 24 hours a day.</t>
  </si>
  <si>
    <t>Bampton fire station</t>
  </si>
  <si>
    <t>This is an on-call fire station and not staffed 24 hours a day.</t>
  </si>
  <si>
    <t>Banbury fire station</t>
  </si>
  <si>
    <t>This is a 24 hour crewed and an on-call fire station.</t>
  </si>
  <si>
    <t>Bicester fire station</t>
  </si>
  <si>
    <t>Burford fire station</t>
  </si>
  <si>
    <t>Carterton fire station</t>
  </si>
  <si>
    <t>Charlbury fire station</t>
  </si>
  <si>
    <t>Chipping Norton fire station</t>
  </si>
  <si>
    <t>Deddington fire station</t>
  </si>
  <si>
    <t>Didcot fire station</t>
  </si>
  <si>
    <t>This is day crewed and an on-call fire station and not staffed 24 hours a day.</t>
  </si>
  <si>
    <t>Eynsham fire station</t>
  </si>
  <si>
    <t>Faringdon fire station</t>
  </si>
  <si>
    <t>Goring fire station</t>
  </si>
  <si>
    <t>Henley fire station</t>
  </si>
  <si>
    <t>Hook Norton fire station</t>
  </si>
  <si>
    <t>Kidlington fire station</t>
  </si>
  <si>
    <t>Rewley Road fire station</t>
  </si>
  <si>
    <t>Slade Park fire station</t>
  </si>
  <si>
    <t>This is 24 hour crewed and an on-call fire station.</t>
  </si>
  <si>
    <t>Thame fire station</t>
  </si>
  <si>
    <t>Wallingford fire station</t>
  </si>
  <si>
    <t>Wantage fire station</t>
  </si>
  <si>
    <t>Watlington fire station</t>
  </si>
  <si>
    <t>Wheatley fire station</t>
  </si>
  <si>
    <t>Witney fire station</t>
  </si>
  <si>
    <t>Woodstock fire station</t>
  </si>
  <si>
    <t>mix</t>
  </si>
  <si>
    <t>on-call</t>
  </si>
  <si>
    <t>from website</t>
  </si>
  <si>
    <r>
      <t>Other Operational</t>
    </r>
    <r>
      <rPr>
        <vertAlign val="superscript"/>
        <sz val="11"/>
        <color theme="1"/>
        <rFont val="Calibri"/>
        <family val="2"/>
        <scheme val="minor"/>
      </rPr>
      <t>2</t>
    </r>
  </si>
  <si>
    <r>
      <t>Fleet Vehicles</t>
    </r>
    <r>
      <rPr>
        <vertAlign val="superscript"/>
        <sz val="11"/>
        <color theme="1"/>
        <rFont val="Calibri"/>
        <family val="2"/>
        <scheme val="minor"/>
      </rPr>
      <t>3</t>
    </r>
  </si>
  <si>
    <r>
      <t>Total</t>
    </r>
    <r>
      <rPr>
        <b/>
        <vertAlign val="superscript"/>
        <sz val="11"/>
        <color theme="1"/>
        <rFont val="Calibri"/>
        <family val="2"/>
        <scheme val="minor"/>
      </rPr>
      <t>1</t>
    </r>
  </si>
  <si>
    <t>2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</si>
  <si>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3 Including leased vehicles</t>
  </si>
  <si>
    <t>1 Excludes volunteer stations</t>
  </si>
  <si>
    <t>amended as per email 2/6/2019</t>
  </si>
  <si>
    <t>Last updated: 30 January 2020</t>
  </si>
  <si>
    <t>Next update: Winter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</si>
</sst>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_(* #,##0_);_(* \(#,##0\);_(* &quot;-&quot;??_);_(@_)"/>
    <numFmt numFmtId="166" formatCode="_(* #,##0_);_(* \(#,##0\);_(* &quot;-&quot;?_);_(@_)"/>
    <numFmt numFmtId="167" formatCode="#,##0.0"/>
    <numFmt numFmtId="168" formatCode="_(* #,##0_);_(* \(#,##0\);_(* &quot;-&quot;_);_(@_)"/>
    <numFmt numFmtId="169" formatCode="0_);\(0\)"/>
    <numFmt numFmtId="170" formatCode="0.0000000000000000000000000000000000000000000000000000"/>
    <numFmt numFmtId="171" formatCode="_(* #,##0.0_);_(* \(#,##0.0\);_(* &quot;-&quot;_);_(@_)"/>
    <numFmt numFmtId="172" formatCode="_(* #,##0.00_);_(* \(#,##0.00\);_(* &quot;-&quot;_);_(@_)"/>
  </numFmts>
  <fonts count="58" x14ac:knownFonts="1">
    <font>
      <sz val="11"/>
      <color theme="1"/>
      <name val="Calibri"/>
      <family val="2"/>
      <scheme val="minor"/>
    </font>
    <font>
      <sz val="12"/>
      <name val="Arial"/>
      <family val="2"/>
    </font>
    <font>
      <sz val="10"/>
      <name val="Arial"/>
      <family val="2"/>
    </font>
    <font>
      <sz val="10"/>
      <color indexed="8"/>
      <name val="Arial"/>
      <family val="2"/>
    </font>
    <font>
      <sz val="10"/>
      <color indexed="9"/>
      <name val="Arial"/>
      <family val="2"/>
    </font>
    <font>
      <sz val="10"/>
      <color theme="0"/>
      <name val="Arial"/>
      <family val="2"/>
    </font>
    <font>
      <b/>
      <sz val="10"/>
      <name val="Arial"/>
      <family val="2"/>
    </font>
    <font>
      <sz val="10"/>
      <color indexed="10"/>
      <name val="Arial"/>
      <family val="2"/>
    </font>
    <font>
      <sz val="10"/>
      <color indexed="12"/>
      <name val="Arial"/>
      <family val="2"/>
    </font>
    <font>
      <sz val="10"/>
      <color indexed="14"/>
      <name val="Arial"/>
      <family val="2"/>
    </font>
    <font>
      <b/>
      <u/>
      <sz val="10"/>
      <name val="Arial"/>
      <family val="2"/>
    </font>
    <font>
      <b/>
      <sz val="10"/>
      <color indexed="10"/>
      <name val="Arial"/>
      <family val="2"/>
    </font>
    <font>
      <b/>
      <i/>
      <sz val="10"/>
      <color rgb="FFFF0000"/>
      <name val="Arial"/>
      <family val="2"/>
    </font>
    <font>
      <sz val="10"/>
      <color indexed="36"/>
      <name val="Arial"/>
      <family val="2"/>
    </font>
    <font>
      <sz val="10"/>
      <name val="MS Sans Serif"/>
      <family val="2"/>
    </font>
    <font>
      <b/>
      <sz val="14"/>
      <color indexed="43"/>
      <name val="Arial"/>
      <family val="2"/>
    </font>
    <font>
      <b/>
      <vertAlign val="superscript"/>
      <sz val="14"/>
      <color indexed="43"/>
      <name val="Arial"/>
      <family val="2"/>
    </font>
    <font>
      <sz val="12"/>
      <color indexed="9"/>
      <name val="Arial"/>
      <family val="2"/>
    </font>
    <font>
      <i/>
      <sz val="12"/>
      <name val="Arial"/>
      <family val="2"/>
    </font>
    <font>
      <sz val="11"/>
      <name val="Arial"/>
      <family val="2"/>
    </font>
    <font>
      <b/>
      <sz val="11"/>
      <name val="Arial"/>
      <family val="2"/>
    </font>
    <font>
      <vertAlign val="superscript"/>
      <sz val="11"/>
      <name val="Arial"/>
      <family val="2"/>
    </font>
    <font>
      <b/>
      <sz val="11"/>
      <color indexed="9"/>
      <name val="Arial"/>
      <family val="2"/>
    </font>
    <font>
      <i/>
      <sz val="11"/>
      <name val="Arial"/>
      <family val="2"/>
    </font>
    <font>
      <vertAlign val="superscript"/>
      <sz val="10"/>
      <name val="Arial"/>
      <family val="2"/>
    </font>
    <font>
      <i/>
      <sz val="10"/>
      <name val="Arial"/>
      <family val="2"/>
    </font>
    <font>
      <sz val="11"/>
      <color indexed="9"/>
      <name val="Arial"/>
      <family val="2"/>
    </font>
    <font>
      <b/>
      <sz val="10"/>
      <color rgb="FFFFFF00"/>
      <name val="Arial"/>
      <family val="2"/>
    </font>
    <font>
      <b/>
      <sz val="11"/>
      <color theme="1"/>
      <name val="Calibri"/>
      <family val="2"/>
      <scheme val="minor"/>
    </font>
    <font>
      <b/>
      <sz val="11"/>
      <color rgb="FFFFFFFF"/>
      <name val="Arial Black"/>
      <family val="2"/>
    </font>
    <font>
      <b/>
      <sz val="11"/>
      <color rgb="FF000000"/>
      <name val="Calibri"/>
      <family val="2"/>
    </font>
    <font>
      <vertAlign val="superscript"/>
      <sz val="11"/>
      <color theme="1"/>
      <name val="Calibri"/>
      <family val="2"/>
      <scheme val="minor"/>
    </font>
    <font>
      <u/>
      <sz val="11"/>
      <color rgb="FF0563C1"/>
      <name val="Calibri"/>
      <family val="2"/>
    </font>
    <font>
      <sz val="10"/>
      <name val="MS Sans Serif"/>
    </font>
    <font>
      <sz val="10"/>
      <color indexed="9"/>
      <name val="MS Sans Serif"/>
    </font>
    <font>
      <b/>
      <sz val="11"/>
      <color indexed="43"/>
      <name val="Arial"/>
      <family val="2"/>
    </font>
    <font>
      <sz val="8"/>
      <name val="Arial"/>
      <family val="2"/>
    </font>
    <font>
      <b/>
      <sz val="8"/>
      <color indexed="43"/>
      <name val="Arial"/>
      <family val="2"/>
    </font>
    <font>
      <i/>
      <sz val="8"/>
      <name val="Arial"/>
      <family val="2"/>
    </font>
    <font>
      <b/>
      <sz val="8"/>
      <name val="Arial"/>
      <family val="2"/>
    </font>
    <font>
      <vertAlign val="superscript"/>
      <sz val="8"/>
      <name val="Arial"/>
      <family val="2"/>
    </font>
    <font>
      <b/>
      <sz val="8"/>
      <color indexed="9"/>
      <name val="Arial"/>
      <family val="2"/>
    </font>
    <font>
      <b/>
      <sz val="11"/>
      <color rgb="FFFFFF00"/>
      <name val="Arial"/>
      <family val="2"/>
    </font>
    <font>
      <sz val="16"/>
      <color rgb="FFFFFF00"/>
      <name val="Arial"/>
      <family val="2"/>
    </font>
    <font>
      <sz val="8"/>
      <name val="Arial"/>
      <family val="2"/>
    </font>
    <font>
      <u/>
      <sz val="12"/>
      <color indexed="12"/>
      <name val="Arial"/>
      <family val="2"/>
    </font>
    <font>
      <u/>
      <sz val="18"/>
      <color indexed="12"/>
      <name val="Arial"/>
      <family val="2"/>
    </font>
    <font>
      <u/>
      <sz val="10"/>
      <color indexed="12"/>
      <name val="Arial"/>
      <family val="2"/>
    </font>
    <font>
      <sz val="12"/>
      <name val="Arial"/>
      <family val="2"/>
    </font>
    <font>
      <sz val="10"/>
      <color rgb="FFFF0000"/>
      <name val="Arial"/>
      <family val="2"/>
    </font>
    <font>
      <sz val="8"/>
      <name val="Verdana"/>
      <family val="2"/>
    </font>
    <font>
      <b/>
      <sz val="8"/>
      <name val="Verdana"/>
      <family val="2"/>
    </font>
    <font>
      <b/>
      <u/>
      <sz val="8"/>
      <name val="Verdana"/>
      <family val="2"/>
    </font>
    <font>
      <b/>
      <sz val="14"/>
      <name val="Verdana"/>
      <family val="2"/>
    </font>
    <font>
      <sz val="8"/>
      <color indexed="9"/>
      <name val="Verdana"/>
      <family val="2"/>
    </font>
    <font>
      <b/>
      <sz val="8"/>
      <color theme="0"/>
      <name val="Verdana"/>
      <family val="2"/>
    </font>
    <font>
      <sz val="8"/>
      <color theme="0"/>
      <name val="Verdana"/>
      <family val="2"/>
    </font>
    <font>
      <b/>
      <vertAlign val="superscript"/>
      <sz val="11"/>
      <color theme="1"/>
      <name val="Calibri"/>
      <family val="2"/>
      <scheme val="minor"/>
    </font>
  </fonts>
  <fills count="27">
    <fill>
      <patternFill patternType="none"/>
    </fill>
    <fill>
      <patternFill patternType="gray125"/>
    </fill>
    <fill>
      <patternFill patternType="solid">
        <fgColor indexed="29"/>
        <bgColor indexed="64"/>
      </patternFill>
    </fill>
    <fill>
      <patternFill patternType="solid">
        <fgColor indexed="60"/>
        <bgColor indexed="64"/>
      </patternFill>
    </fill>
    <fill>
      <patternFill patternType="solid">
        <fgColor indexed="36"/>
        <bgColor indexed="64"/>
      </patternFill>
    </fill>
    <fill>
      <patternFill patternType="solid">
        <fgColor rgb="FFB06FF7"/>
        <bgColor indexed="64"/>
      </patternFill>
    </fill>
    <fill>
      <patternFill patternType="solid">
        <fgColor theme="2"/>
        <bgColor indexed="64"/>
      </patternFill>
    </fill>
    <fill>
      <patternFill patternType="solid">
        <fgColor theme="2" tint="-9.9978637043366805E-2"/>
        <bgColor indexed="64"/>
      </patternFill>
    </fill>
    <fill>
      <patternFill patternType="solid">
        <fgColor indexed="10"/>
        <bgColor indexed="64"/>
      </patternFill>
    </fill>
    <fill>
      <patternFill patternType="solid">
        <fgColor rgb="FFFFCCFF"/>
        <bgColor indexed="64"/>
      </patternFill>
    </fill>
    <fill>
      <patternFill patternType="solid">
        <fgColor rgb="FFFF00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rgb="FFFFC000"/>
        <bgColor rgb="FFFFC000"/>
      </patternFill>
    </fill>
    <fill>
      <patternFill patternType="solid">
        <fgColor theme="5"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right/>
      <top/>
      <bottom style="medium">
        <color rgb="FFFF0000"/>
      </bottom>
      <diagonal/>
    </border>
    <border>
      <left/>
      <right/>
      <top style="medium">
        <color rgb="FFFF0000"/>
      </top>
      <bottom style="medium">
        <color rgb="FFFF0000"/>
      </bottom>
      <diagonal/>
    </border>
    <border>
      <left/>
      <right/>
      <top style="medium">
        <color rgb="FFFF0000"/>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bottom/>
      <diagonal/>
    </border>
    <border>
      <left/>
      <right style="hair">
        <color indexed="8"/>
      </right>
      <top/>
      <bottom/>
      <diagonal/>
    </border>
    <border>
      <left style="hair">
        <color indexed="8"/>
      </left>
      <right style="hair">
        <color indexed="8"/>
      </right>
      <top style="hair">
        <color indexed="8"/>
      </top>
      <bottom/>
      <diagonal/>
    </border>
    <border>
      <left style="hair">
        <color indexed="64"/>
      </left>
      <right style="hair">
        <color indexed="64"/>
      </right>
      <top style="hair">
        <color indexed="64"/>
      </top>
      <bottom/>
      <diagonal/>
    </border>
    <border>
      <left style="hair">
        <color indexed="8"/>
      </left>
      <right/>
      <top/>
      <bottom style="hair">
        <color indexed="8"/>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bottom/>
      <diagonal/>
    </border>
    <border>
      <left/>
      <right/>
      <top style="hair">
        <color indexed="64"/>
      </top>
      <bottom style="hair">
        <color indexed="64"/>
      </bottom>
      <diagonal/>
    </border>
    <border>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indexed="64"/>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s>
  <cellStyleXfs count="19">
    <xf numFmtId="0" fontId="0" fillId="0" borderId="0"/>
    <xf numFmtId="0" fontId="1" fillId="0" borderId="0"/>
    <xf numFmtId="0" fontId="14" fillId="0" borderId="0"/>
    <xf numFmtId="0" fontId="2" fillId="0" borderId="0"/>
    <xf numFmtId="9" fontId="14" fillId="0" borderId="0" applyFont="0" applyFill="0" applyBorder="0" applyAlignment="0" applyProtection="0"/>
    <xf numFmtId="0" fontId="2" fillId="0" borderId="0"/>
    <xf numFmtId="0" fontId="32" fillId="0" borderId="0" applyNumberFormat="0" applyFill="0" applyBorder="0" applyAlignment="0" applyProtection="0"/>
    <xf numFmtId="0" fontId="33" fillId="0" borderId="0"/>
    <xf numFmtId="9" fontId="33" fillId="0" borderId="0" applyFont="0" applyFill="0" applyBorder="0" applyAlignment="0" applyProtection="0"/>
    <xf numFmtId="0" fontId="44" fillId="0" borderId="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36" fillId="0" borderId="0"/>
    <xf numFmtId="0" fontId="2" fillId="0" borderId="0"/>
    <xf numFmtId="0" fontId="1" fillId="0" borderId="0"/>
    <xf numFmtId="0" fontId="1" fillId="0" borderId="0"/>
    <xf numFmtId="0" fontId="48" fillId="0" borderId="0"/>
  </cellStyleXfs>
  <cellXfs count="411">
    <xf numFmtId="0" fontId="0" fillId="0" borderId="0" xfId="0"/>
    <xf numFmtId="0" fontId="2" fillId="0" borderId="0" xfId="1" applyFont="1"/>
    <xf numFmtId="0" fontId="2" fillId="0" borderId="0" xfId="1" applyFont="1" applyFill="1"/>
    <xf numFmtId="0" fontId="2" fillId="0" borderId="0" xfId="1" applyNumberFormat="1" applyFont="1" applyFill="1" applyAlignment="1">
      <alignment horizontal="left"/>
    </xf>
    <xf numFmtId="0" fontId="2" fillId="0" borderId="0" xfId="1" applyNumberFormat="1" applyFont="1" applyFill="1" applyAlignment="1"/>
    <xf numFmtId="0" fontId="2" fillId="0" borderId="0" xfId="1" applyNumberFormat="1" applyFont="1" applyAlignment="1"/>
    <xf numFmtId="1" fontId="2" fillId="0" borderId="0" xfId="1" applyNumberFormat="1" applyFont="1" applyFill="1" applyAlignment="1">
      <alignment horizontal="left"/>
    </xf>
    <xf numFmtId="1" fontId="2" fillId="0" borderId="0" xfId="1" applyNumberFormat="1" applyFont="1" applyFill="1" applyAlignment="1">
      <alignment horizontal="right"/>
    </xf>
    <xf numFmtId="164" fontId="2" fillId="0" borderId="0" xfId="1" applyNumberFormat="1" applyFont="1" applyFill="1" applyAlignment="1">
      <alignment horizontal="right"/>
    </xf>
    <xf numFmtId="165" fontId="2" fillId="0" borderId="0" xfId="1" applyNumberFormat="1" applyFont="1" applyFill="1" applyAlignment="1"/>
    <xf numFmtId="15" fontId="3" fillId="2" borderId="0" xfId="1" applyNumberFormat="1" applyFont="1" applyFill="1" applyBorder="1" applyAlignment="1">
      <alignment horizontal="left"/>
    </xf>
    <xf numFmtId="0" fontId="3" fillId="2" borderId="0" xfId="1" applyNumberFormat="1" applyFont="1" applyFill="1" applyBorder="1" applyAlignment="1"/>
    <xf numFmtId="0" fontId="2" fillId="2" borderId="0" xfId="1" applyNumberFormat="1" applyFont="1" applyFill="1" applyBorder="1" applyAlignment="1"/>
    <xf numFmtId="0" fontId="2" fillId="0" borderId="0" xfId="1" applyNumberFormat="1" applyFont="1" applyFill="1" applyAlignment="1">
      <alignment horizontal="right"/>
    </xf>
    <xf numFmtId="15" fontId="3" fillId="3" borderId="0" xfId="1" applyNumberFormat="1" applyFont="1" applyFill="1" applyBorder="1" applyAlignment="1">
      <alignment horizontal="left"/>
    </xf>
    <xf numFmtId="0" fontId="3" fillId="3" borderId="0" xfId="1" applyNumberFormat="1" applyFont="1" applyFill="1" applyBorder="1" applyAlignment="1"/>
    <xf numFmtId="0" fontId="2" fillId="3" borderId="0" xfId="1" applyNumberFormat="1" applyFont="1" applyFill="1" applyBorder="1" applyAlignment="1"/>
    <xf numFmtId="1" fontId="2" fillId="0" borderId="0" xfId="0" applyNumberFormat="1" applyFont="1" applyFill="1" applyAlignment="1">
      <alignment horizontal="right"/>
    </xf>
    <xf numFmtId="0" fontId="4" fillId="0" borderId="0" xfId="1" applyNumberFormat="1" applyFont="1" applyFill="1" applyAlignment="1">
      <alignment horizontal="left"/>
    </xf>
    <xf numFmtId="0" fontId="4" fillId="0" borderId="0" xfId="1" applyNumberFormat="1" applyFont="1" applyFill="1" applyAlignment="1">
      <alignment horizontal="right"/>
    </xf>
    <xf numFmtId="0" fontId="4" fillId="4" borderId="0" xfId="1" applyNumberFormat="1" applyFont="1" applyFill="1" applyAlignment="1">
      <alignment horizontal="center" vertical="center"/>
    </xf>
    <xf numFmtId="0" fontId="5" fillId="5" borderId="0" xfId="1" applyNumberFormat="1" applyFont="1" applyFill="1" applyAlignment="1">
      <alignment horizontal="center" vertical="center"/>
    </xf>
    <xf numFmtId="0" fontId="4" fillId="4" borderId="0" xfId="1" applyNumberFormat="1" applyFont="1" applyFill="1" applyAlignment="1">
      <alignment horizontal="center" vertical="center" wrapText="1"/>
    </xf>
    <xf numFmtId="0" fontId="4" fillId="4" borderId="0" xfId="1" applyNumberFormat="1" applyFont="1" applyFill="1" applyAlignment="1">
      <alignment horizontal="right" vertical="center" wrapText="1"/>
    </xf>
    <xf numFmtId="0" fontId="6" fillId="0" borderId="0" xfId="1" applyFont="1" applyFill="1" applyBorder="1" applyAlignment="1">
      <alignment horizontal="left"/>
    </xf>
    <xf numFmtId="0" fontId="7" fillId="0" borderId="0" xfId="1" applyNumberFormat="1" applyFont="1" applyFill="1" applyBorder="1" applyAlignment="1"/>
    <xf numFmtId="0" fontId="8" fillId="0" borderId="0" xfId="1" applyFont="1" applyFill="1" applyAlignment="1">
      <alignment horizontal="left"/>
    </xf>
    <xf numFmtId="0" fontId="8" fillId="0" borderId="0" xfId="1" applyFont="1" applyFill="1" applyAlignment="1">
      <alignment horizontal="right"/>
    </xf>
    <xf numFmtId="166" fontId="8" fillId="0" borderId="0" xfId="1" applyNumberFormat="1" applyFont="1" applyFill="1" applyAlignment="1">
      <alignment horizontal="right"/>
    </xf>
    <xf numFmtId="166" fontId="8" fillId="0" borderId="0" xfId="1" applyNumberFormat="1" applyFont="1" applyAlignment="1">
      <alignment horizontal="right"/>
    </xf>
    <xf numFmtId="0" fontId="7" fillId="0" borderId="0" xfId="1" applyNumberFormat="1" applyFont="1" applyAlignment="1"/>
    <xf numFmtId="0" fontId="9" fillId="0" borderId="0" xfId="1" applyNumberFormat="1" applyFont="1" applyFill="1" applyAlignment="1">
      <alignment horizontal="center"/>
    </xf>
    <xf numFmtId="0" fontId="2" fillId="6" borderId="0" xfId="1" applyNumberFormat="1" applyFont="1" applyFill="1" applyAlignment="1">
      <alignment horizontal="centerContinuous"/>
    </xf>
    <xf numFmtId="0" fontId="2" fillId="7" borderId="0" xfId="1" applyNumberFormat="1" applyFont="1" applyFill="1" applyAlignment="1">
      <alignment horizontal="centerContinuous"/>
    </xf>
    <xf numFmtId="0" fontId="2" fillId="6" borderId="0" xfId="1" applyFont="1" applyFill="1" applyAlignment="1">
      <alignment horizontal="centerContinuous"/>
    </xf>
    <xf numFmtId="0" fontId="10" fillId="0" borderId="0" xfId="1" applyNumberFormat="1" applyFont="1" applyFill="1" applyAlignment="1"/>
    <xf numFmtId="0" fontId="9" fillId="0" borderId="0" xfId="1" applyNumberFormat="1" applyFont="1" applyFill="1" applyAlignment="1">
      <alignment horizontal="left"/>
    </xf>
    <xf numFmtId="1" fontId="9" fillId="0" borderId="0" xfId="1" applyNumberFormat="1" applyFont="1" applyFill="1" applyAlignment="1">
      <alignment horizontal="center"/>
    </xf>
    <xf numFmtId="0" fontId="9" fillId="0" borderId="0" xfId="1" applyNumberFormat="1" applyFont="1" applyAlignment="1">
      <alignment horizontal="center"/>
    </xf>
    <xf numFmtId="0" fontId="2" fillId="0" borderId="0" xfId="1" quotePrefix="1" applyNumberFormat="1" applyFont="1" applyFill="1" applyAlignment="1"/>
    <xf numFmtId="0" fontId="10" fillId="0" borderId="0" xfId="1" applyNumberFormat="1" applyFont="1" applyAlignment="1"/>
    <xf numFmtId="0" fontId="11" fillId="0" borderId="0" xfId="1" applyNumberFormat="1" applyFont="1" applyAlignment="1"/>
    <xf numFmtId="0" fontId="11" fillId="0" borderId="0" xfId="1" applyNumberFormat="1" applyFont="1" applyAlignment="1">
      <alignment horizontal="center"/>
    </xf>
    <xf numFmtId="0" fontId="12" fillId="0" borderId="0" xfId="1" applyFont="1" applyFill="1" applyBorder="1"/>
    <xf numFmtId="0" fontId="13" fillId="0" borderId="0" xfId="1" applyNumberFormat="1" applyFont="1" applyFill="1" applyAlignment="1">
      <alignment horizontal="left"/>
    </xf>
    <xf numFmtId="0" fontId="13" fillId="0" borderId="0" xfId="1" applyNumberFormat="1" applyFont="1" applyFill="1" applyAlignment="1">
      <alignment horizontal="right"/>
    </xf>
    <xf numFmtId="0" fontId="13" fillId="0" borderId="0" xfId="1" applyNumberFormat="1" applyFont="1" applyAlignment="1">
      <alignment horizontal="right"/>
    </xf>
    <xf numFmtId="0" fontId="6" fillId="0" borderId="0" xfId="1" applyFont="1" applyFill="1" applyBorder="1"/>
    <xf numFmtId="0" fontId="2" fillId="0" borderId="0" xfId="2" applyFont="1" applyAlignment="1">
      <alignment vertical="center"/>
    </xf>
    <xf numFmtId="3" fontId="15" fillId="8" borderId="0" xfId="3" applyNumberFormat="1" applyFont="1" applyFill="1" applyBorder="1" applyAlignment="1">
      <alignment vertical="center"/>
    </xf>
    <xf numFmtId="3" fontId="17" fillId="8" borderId="0" xfId="3" applyNumberFormat="1" applyFont="1" applyFill="1" applyBorder="1" applyAlignment="1">
      <alignment vertical="center"/>
    </xf>
    <xf numFmtId="3" fontId="17" fillId="8" borderId="0" xfId="3" applyNumberFormat="1" applyFont="1" applyFill="1" applyBorder="1" applyAlignment="1">
      <alignment horizontal="right" vertical="center"/>
    </xf>
    <xf numFmtId="3" fontId="1" fillId="0" borderId="0" xfId="3" applyNumberFormat="1" applyFont="1" applyBorder="1" applyAlignment="1">
      <alignment vertical="center"/>
    </xf>
    <xf numFmtId="3" fontId="18" fillId="0" borderId="0" xfId="3" applyNumberFormat="1" applyFont="1" applyBorder="1" applyAlignment="1">
      <alignment vertical="center"/>
    </xf>
    <xf numFmtId="3" fontId="19" fillId="0" borderId="0" xfId="3" applyNumberFormat="1" applyFont="1" applyBorder="1" applyAlignment="1">
      <alignment horizontal="center" vertical="center"/>
    </xf>
    <xf numFmtId="3" fontId="20" fillId="0" borderId="0" xfId="3" applyNumberFormat="1" applyFont="1" applyBorder="1" applyAlignment="1">
      <alignment horizontal="center" vertical="center" wrapText="1"/>
    </xf>
    <xf numFmtId="3" fontId="20" fillId="0" borderId="1" xfId="3" applyNumberFormat="1" applyFont="1" applyBorder="1" applyAlignment="1">
      <alignment horizontal="center" vertical="center" wrapText="1"/>
    </xf>
    <xf numFmtId="3" fontId="1" fillId="0" borderId="0" xfId="3" applyNumberFormat="1" applyFont="1" applyAlignment="1">
      <alignment horizontal="center" vertical="center"/>
    </xf>
    <xf numFmtId="3" fontId="18" fillId="0" borderId="0" xfId="3" applyNumberFormat="1" applyFont="1" applyAlignment="1">
      <alignment horizontal="center" vertical="center"/>
    </xf>
    <xf numFmtId="3" fontId="19" fillId="0" borderId="1" xfId="3" applyNumberFormat="1" applyFont="1" applyBorder="1" applyAlignment="1">
      <alignment horizontal="right" vertical="center" wrapText="1"/>
    </xf>
    <xf numFmtId="3" fontId="19" fillId="0" borderId="2" xfId="3" applyNumberFormat="1" applyFont="1" applyBorder="1" applyAlignment="1">
      <alignment horizontal="right" vertical="center" wrapText="1"/>
    </xf>
    <xf numFmtId="3" fontId="19" fillId="0" borderId="2" xfId="3" applyNumberFormat="1" applyFont="1" applyBorder="1" applyAlignment="1">
      <alignment horizontal="right" vertical="center"/>
    </xf>
    <xf numFmtId="3" fontId="20" fillId="0" borderId="0" xfId="3" applyNumberFormat="1" applyFont="1" applyBorder="1" applyAlignment="1">
      <alignment vertical="center"/>
    </xf>
    <xf numFmtId="167" fontId="20" fillId="0" borderId="0" xfId="3" applyNumberFormat="1" applyFont="1" applyFill="1" applyBorder="1" applyAlignment="1">
      <alignment vertical="center"/>
    </xf>
    <xf numFmtId="3" fontId="20" fillId="0" borderId="0" xfId="3" applyNumberFormat="1" applyFont="1" applyFill="1" applyBorder="1" applyAlignment="1">
      <alignment vertical="center"/>
    </xf>
    <xf numFmtId="3" fontId="19" fillId="0" borderId="0" xfId="3" applyNumberFormat="1" applyFont="1" applyAlignment="1">
      <alignment vertical="center"/>
    </xf>
    <xf numFmtId="9" fontId="19" fillId="0" borderId="0" xfId="4" applyFont="1" applyAlignment="1">
      <alignment vertical="center"/>
    </xf>
    <xf numFmtId="3" fontId="20" fillId="0" borderId="0" xfId="3" applyNumberFormat="1" applyFont="1" applyAlignment="1">
      <alignment vertical="center"/>
    </xf>
    <xf numFmtId="0" fontId="19" fillId="0" borderId="0" xfId="2" applyFont="1" applyAlignment="1">
      <alignment vertical="center"/>
    </xf>
    <xf numFmtId="167" fontId="20" fillId="0" borderId="0" xfId="3" applyNumberFormat="1" applyFont="1" applyFill="1" applyBorder="1" applyAlignment="1">
      <alignment horizontal="right" vertical="center"/>
    </xf>
    <xf numFmtId="3" fontId="20" fillId="0" borderId="0" xfId="3" applyNumberFormat="1" applyFont="1" applyFill="1" applyBorder="1" applyAlignment="1">
      <alignment horizontal="right" vertical="center"/>
    </xf>
    <xf numFmtId="3" fontId="22" fillId="0" borderId="0" xfId="3" applyNumberFormat="1" applyFont="1" applyAlignment="1">
      <alignment vertical="center"/>
    </xf>
    <xf numFmtId="3" fontId="23" fillId="0" borderId="0" xfId="3" applyNumberFormat="1" applyFont="1" applyAlignment="1">
      <alignment vertical="center"/>
    </xf>
    <xf numFmtId="3" fontId="2" fillId="0" borderId="0" xfId="3" applyNumberFormat="1" applyFont="1" applyFill="1" applyBorder="1" applyAlignment="1">
      <alignment vertical="center"/>
    </xf>
    <xf numFmtId="167" fontId="2" fillId="0" borderId="0" xfId="3" applyNumberFormat="1" applyFont="1" applyFill="1" applyBorder="1" applyAlignment="1">
      <alignment horizontal="right" vertical="center"/>
    </xf>
    <xf numFmtId="3" fontId="2" fillId="0" borderId="0" xfId="3" applyNumberFormat="1" applyFont="1" applyFill="1" applyBorder="1" applyAlignment="1">
      <alignment horizontal="right" vertical="center"/>
    </xf>
    <xf numFmtId="3" fontId="2" fillId="0" borderId="0" xfId="3" applyNumberFormat="1" applyFont="1" applyFill="1" applyAlignment="1">
      <alignment vertical="center"/>
    </xf>
    <xf numFmtId="3" fontId="19" fillId="0" borderId="0" xfId="3" applyNumberFormat="1" applyFont="1" applyFill="1" applyAlignment="1">
      <alignment vertical="center"/>
    </xf>
    <xf numFmtId="3" fontId="23" fillId="0" borderId="0" xfId="3" applyNumberFormat="1" applyFont="1" applyFill="1" applyAlignment="1">
      <alignment vertical="center"/>
    </xf>
    <xf numFmtId="3" fontId="1" fillId="0" borderId="0" xfId="3" applyNumberFormat="1" applyFont="1" applyFill="1" applyAlignment="1">
      <alignment horizontal="center" vertical="center"/>
    </xf>
    <xf numFmtId="9" fontId="19" fillId="0" borderId="0" xfId="4" applyFont="1" applyFill="1" applyAlignment="1">
      <alignment vertical="center"/>
    </xf>
    <xf numFmtId="3" fontId="2" fillId="0" borderId="0" xfId="3" applyNumberFormat="1" applyFont="1" applyAlignment="1">
      <alignment vertical="center"/>
    </xf>
    <xf numFmtId="3" fontId="2" fillId="0" borderId="0" xfId="3" applyNumberFormat="1" applyFont="1" applyBorder="1" applyAlignment="1">
      <alignment vertical="center"/>
    </xf>
    <xf numFmtId="3" fontId="2" fillId="9" borderId="0" xfId="3" applyNumberFormat="1" applyFont="1" applyFill="1" applyBorder="1" applyAlignment="1">
      <alignment horizontal="right" vertical="center"/>
    </xf>
    <xf numFmtId="3" fontId="24" fillId="0" borderId="0" xfId="3" applyNumberFormat="1" applyFont="1" applyBorder="1" applyAlignment="1">
      <alignment vertical="center"/>
    </xf>
    <xf numFmtId="0" fontId="2" fillId="0" borderId="0" xfId="2" applyFont="1" applyBorder="1" applyAlignment="1">
      <alignment vertical="center"/>
    </xf>
    <xf numFmtId="0" fontId="24" fillId="0" borderId="0" xfId="2" applyFont="1" applyBorder="1" applyAlignment="1">
      <alignment vertical="center"/>
    </xf>
    <xf numFmtId="3" fontId="2" fillId="0" borderId="0" xfId="3" applyNumberFormat="1" applyFont="1" applyBorder="1" applyAlignment="1">
      <alignment horizontal="right" vertical="center"/>
    </xf>
    <xf numFmtId="0" fontId="2" fillId="0" borderId="1" xfId="2" applyFont="1" applyBorder="1" applyAlignment="1">
      <alignment vertical="center"/>
    </xf>
    <xf numFmtId="3" fontId="2" fillId="0" borderId="1" xfId="3" applyNumberFormat="1" applyFont="1" applyFill="1" applyBorder="1" applyAlignment="1">
      <alignment vertical="center"/>
    </xf>
    <xf numFmtId="167" fontId="2" fillId="0" borderId="1" xfId="3" applyNumberFormat="1" applyFont="1" applyFill="1" applyBorder="1" applyAlignment="1">
      <alignment horizontal="right" vertical="center"/>
    </xf>
    <xf numFmtId="3" fontId="2" fillId="0" borderId="1" xfId="3" applyNumberFormat="1" applyFont="1" applyBorder="1" applyAlignment="1">
      <alignment horizontal="right" vertical="center"/>
    </xf>
    <xf numFmtId="3" fontId="2" fillId="0" borderId="1" xfId="3" applyNumberFormat="1" applyFont="1" applyFill="1" applyBorder="1" applyAlignment="1">
      <alignment horizontal="right" vertical="center"/>
    </xf>
    <xf numFmtId="3" fontId="19" fillId="0" borderId="0" xfId="3" applyNumberFormat="1" applyFont="1" applyBorder="1" applyAlignment="1">
      <alignment vertical="center"/>
    </xf>
    <xf numFmtId="167" fontId="19" fillId="0" borderId="0" xfId="3" applyNumberFormat="1" applyFont="1" applyBorder="1" applyAlignment="1">
      <alignment vertical="center"/>
    </xf>
    <xf numFmtId="3" fontId="19" fillId="0" borderId="0" xfId="3" applyNumberFormat="1" applyFont="1" applyBorder="1" applyAlignment="1">
      <alignment horizontal="right" vertical="center"/>
    </xf>
    <xf numFmtId="3" fontId="19" fillId="0" borderId="0" xfId="3" applyNumberFormat="1" applyFont="1" applyFill="1" applyBorder="1" applyAlignment="1">
      <alignment vertical="center"/>
    </xf>
    <xf numFmtId="3" fontId="25" fillId="0" borderId="0" xfId="3" applyNumberFormat="1" applyFont="1" applyAlignment="1">
      <alignment vertical="center"/>
    </xf>
    <xf numFmtId="167" fontId="2" fillId="0" borderId="0" xfId="3" applyNumberFormat="1" applyFont="1" applyBorder="1" applyAlignment="1">
      <alignment vertical="center"/>
    </xf>
    <xf numFmtId="3" fontId="2" fillId="9" borderId="0" xfId="3" applyNumberFormat="1" applyFont="1" applyFill="1" applyBorder="1" applyAlignment="1">
      <alignment horizontal="center" vertical="center"/>
    </xf>
    <xf numFmtId="0" fontId="2" fillId="0" borderId="0" xfId="5" applyFont="1" applyBorder="1" applyAlignment="1">
      <alignment vertical="center"/>
    </xf>
    <xf numFmtId="167" fontId="26" fillId="0" borderId="0" xfId="3" applyNumberFormat="1" applyFont="1" applyFill="1" applyBorder="1" applyAlignment="1">
      <alignment vertical="center"/>
    </xf>
    <xf numFmtId="3" fontId="19" fillId="0" borderId="0" xfId="3" applyNumberFormat="1" applyFont="1" applyAlignment="1">
      <alignment horizontal="right" vertical="center"/>
    </xf>
    <xf numFmtId="3" fontId="1" fillId="0" borderId="0" xfId="3" applyNumberFormat="1" applyFont="1" applyAlignment="1">
      <alignment vertical="center"/>
    </xf>
    <xf numFmtId="3" fontId="18" fillId="0" borderId="0" xfId="3" applyNumberFormat="1" applyFont="1" applyAlignment="1">
      <alignment vertical="center"/>
    </xf>
    <xf numFmtId="3" fontId="1" fillId="0" borderId="0" xfId="3" applyNumberFormat="1" applyFont="1" applyAlignment="1">
      <alignment horizontal="right" vertical="center"/>
    </xf>
    <xf numFmtId="3" fontId="27" fillId="10" borderId="0" xfId="3" applyNumberFormat="1" applyFont="1" applyFill="1" applyBorder="1" applyAlignment="1">
      <alignment horizontal="right" vertical="center"/>
    </xf>
    <xf numFmtId="3" fontId="20" fillId="0" borderId="1" xfId="3" applyNumberFormat="1" applyFont="1" applyBorder="1" applyAlignment="1">
      <alignment horizontal="center" vertical="center" wrapText="1"/>
    </xf>
    <xf numFmtId="1" fontId="2" fillId="11" borderId="0" xfId="1" applyNumberFormat="1" applyFont="1" applyFill="1" applyAlignment="1">
      <alignment horizontal="right"/>
    </xf>
    <xf numFmtId="1" fontId="2" fillId="12" borderId="0" xfId="1" applyNumberFormat="1" applyFont="1" applyFill="1" applyAlignment="1">
      <alignment horizontal="right"/>
    </xf>
    <xf numFmtId="1" fontId="2" fillId="13" borderId="0" xfId="1" applyNumberFormat="1" applyFont="1" applyFill="1" applyAlignment="1">
      <alignment horizontal="right"/>
    </xf>
    <xf numFmtId="1" fontId="2" fillId="14" borderId="0" xfId="1" applyNumberFormat="1" applyFont="1" applyFill="1" applyAlignment="1">
      <alignment horizontal="right"/>
    </xf>
    <xf numFmtId="1" fontId="2" fillId="15" borderId="0" xfId="1" applyNumberFormat="1" applyFont="1" applyFill="1" applyAlignment="1">
      <alignment horizontal="right"/>
    </xf>
    <xf numFmtId="0" fontId="29" fillId="17" borderId="0" xfId="0" applyFont="1" applyFill="1" applyAlignment="1">
      <alignment wrapText="1"/>
    </xf>
    <xf numFmtId="0" fontId="0" fillId="18" borderId="0" xfId="0" applyFill="1" applyAlignment="1">
      <alignment wrapText="1"/>
    </xf>
    <xf numFmtId="0" fontId="0" fillId="19" borderId="0" xfId="0" applyFill="1" applyAlignment="1">
      <alignment wrapText="1"/>
    </xf>
    <xf numFmtId="0" fontId="0" fillId="18" borderId="0" xfId="0" applyFill="1"/>
    <xf numFmtId="0" fontId="0" fillId="19" borderId="0" xfId="0" applyFill="1"/>
    <xf numFmtId="0" fontId="30" fillId="18" borderId="0" xfId="2" applyFont="1" applyFill="1" applyAlignment="1">
      <alignment vertical="center"/>
    </xf>
    <xf numFmtId="0" fontId="14" fillId="19" borderId="0" xfId="2" applyFill="1"/>
    <xf numFmtId="0" fontId="0" fillId="18" borderId="3" xfId="0" applyFill="1" applyBorder="1" applyAlignment="1">
      <alignment horizontal="center"/>
    </xf>
    <xf numFmtId="0" fontId="0" fillId="19" borderId="0" xfId="0" applyFill="1" applyAlignment="1">
      <alignment horizontal="center"/>
    </xf>
    <xf numFmtId="0" fontId="0" fillId="19" borderId="0" xfId="0" applyFill="1" applyAlignment="1"/>
    <xf numFmtId="0" fontId="0" fillId="18" borderId="5" xfId="0" applyFill="1" applyBorder="1" applyAlignment="1">
      <alignment horizontal="center" wrapText="1"/>
    </xf>
    <xf numFmtId="0" fontId="0" fillId="19" borderId="0" xfId="0" applyFill="1" applyAlignment="1">
      <alignment horizontal="center" wrapText="1"/>
    </xf>
    <xf numFmtId="0" fontId="0" fillId="18" borderId="3" xfId="0" applyFill="1" applyBorder="1" applyAlignment="1">
      <alignment horizontal="left" vertical="center" wrapText="1"/>
    </xf>
    <xf numFmtId="0" fontId="0" fillId="18" borderId="3" xfId="0" applyFill="1" applyBorder="1" applyAlignment="1">
      <alignment horizontal="right" vertical="center" wrapText="1"/>
    </xf>
    <xf numFmtId="0" fontId="0" fillId="18" borderId="3" xfId="0" applyFill="1" applyBorder="1" applyAlignment="1">
      <alignment horizontal="center" vertical="center" wrapText="1"/>
    </xf>
    <xf numFmtId="0" fontId="0" fillId="18" borderId="0" xfId="0" applyFill="1" applyAlignment="1">
      <alignment horizontal="right" vertical="center" wrapText="1"/>
    </xf>
    <xf numFmtId="0" fontId="28" fillId="18" borderId="5" xfId="0" applyFont="1" applyFill="1" applyBorder="1"/>
    <xf numFmtId="3" fontId="28" fillId="19" borderId="0" xfId="0" applyNumberFormat="1" applyFont="1" applyFill="1" applyBorder="1" applyAlignment="1">
      <alignment horizontal="right"/>
    </xf>
    <xf numFmtId="1" fontId="0" fillId="18" borderId="0" xfId="0" applyNumberFormat="1" applyFill="1"/>
    <xf numFmtId="1" fontId="0" fillId="19" borderId="0" xfId="0" applyNumberFormat="1" applyFill="1"/>
    <xf numFmtId="164" fontId="0" fillId="19" borderId="0" xfId="0" applyNumberFormat="1" applyFill="1"/>
    <xf numFmtId="0" fontId="28" fillId="18" borderId="0" xfId="0" applyFont="1" applyFill="1" applyBorder="1"/>
    <xf numFmtId="3" fontId="0" fillId="19" borderId="0" xfId="0" applyNumberFormat="1" applyFont="1" applyFill="1" applyBorder="1" applyAlignment="1">
      <alignment horizontal="right"/>
    </xf>
    <xf numFmtId="3" fontId="0" fillId="18" borderId="0" xfId="0" applyNumberFormat="1" applyFill="1"/>
    <xf numFmtId="0" fontId="28" fillId="18" borderId="0" xfId="0" applyFont="1" applyFill="1"/>
    <xf numFmtId="0" fontId="0" fillId="18" borderId="0" xfId="0" applyFill="1" applyBorder="1"/>
    <xf numFmtId="0" fontId="0" fillId="18" borderId="3" xfId="0" applyFill="1" applyBorder="1"/>
    <xf numFmtId="3" fontId="0" fillId="19" borderId="3" xfId="0" applyNumberFormat="1" applyFont="1" applyFill="1" applyBorder="1" applyAlignment="1">
      <alignment horizontal="right"/>
    </xf>
    <xf numFmtId="0" fontId="0" fillId="18" borderId="0" xfId="0" applyFill="1" applyAlignment="1">
      <alignment horizontal="left" wrapText="1"/>
    </xf>
    <xf numFmtId="0" fontId="32" fillId="18" borderId="0" xfId="6" applyFont="1" applyFill="1"/>
    <xf numFmtId="0" fontId="28" fillId="18" borderId="3" xfId="0" applyFont="1" applyFill="1" applyBorder="1" applyAlignment="1">
      <alignment horizontal="right" vertical="center" wrapText="1"/>
    </xf>
    <xf numFmtId="0" fontId="0" fillId="18" borderId="0" xfId="0" applyFill="1" applyBorder="1" applyAlignment="1">
      <alignment horizontal="center" wrapText="1"/>
    </xf>
    <xf numFmtId="0" fontId="2" fillId="0" borderId="0" xfId="7" applyFont="1" applyAlignment="1">
      <alignment vertical="center"/>
    </xf>
    <xf numFmtId="0" fontId="2" fillId="0" borderId="1" xfId="7" applyFont="1" applyBorder="1" applyAlignment="1">
      <alignment vertical="center"/>
    </xf>
    <xf numFmtId="0" fontId="19" fillId="0" borderId="0" xfId="7" applyFont="1" applyAlignment="1">
      <alignment vertical="center"/>
    </xf>
    <xf numFmtId="0" fontId="2" fillId="0" borderId="0" xfId="7" applyFont="1" applyBorder="1" applyAlignment="1">
      <alignment vertical="center"/>
    </xf>
    <xf numFmtId="3" fontId="6" fillId="0" borderId="0" xfId="3" applyNumberFormat="1" applyFont="1" applyFill="1" applyBorder="1" applyAlignment="1">
      <alignment horizontal="right" vertical="center"/>
    </xf>
    <xf numFmtId="3" fontId="25" fillId="0" borderId="0" xfId="3" applyNumberFormat="1" applyFont="1" applyFill="1" applyBorder="1" applyAlignment="1">
      <alignment horizontal="right" vertical="center"/>
    </xf>
    <xf numFmtId="3" fontId="1" fillId="10" borderId="0" xfId="3" applyNumberFormat="1" applyFont="1" applyFill="1" applyBorder="1" applyAlignment="1">
      <alignment vertical="center"/>
    </xf>
    <xf numFmtId="0" fontId="4" fillId="0" borderId="0" xfId="7" applyFont="1" applyAlignment="1">
      <alignment vertical="center"/>
    </xf>
    <xf numFmtId="0" fontId="2" fillId="0" borderId="0" xfId="5" applyFont="1" applyFill="1" applyBorder="1" applyAlignment="1">
      <alignment vertical="center"/>
    </xf>
    <xf numFmtId="3" fontId="11" fillId="0" borderId="0" xfId="3" applyNumberFormat="1" applyFont="1" applyBorder="1" applyAlignment="1">
      <alignment horizontal="right" vertical="center"/>
    </xf>
    <xf numFmtId="10" fontId="19" fillId="0" borderId="0" xfId="3" applyNumberFormat="1" applyFont="1" applyAlignment="1">
      <alignment vertical="center"/>
    </xf>
    <xf numFmtId="0" fontId="4" fillId="0" borderId="1" xfId="7" applyFont="1" applyBorder="1" applyAlignment="1">
      <alignment vertical="center"/>
    </xf>
    <xf numFmtId="0" fontId="34" fillId="0" borderId="0" xfId="7" applyFont="1"/>
    <xf numFmtId="0" fontId="26" fillId="0" borderId="0" xfId="7" applyFont="1" applyAlignment="1">
      <alignment vertical="center"/>
    </xf>
    <xf numFmtId="0" fontId="4" fillId="8" borderId="0" xfId="7" applyFont="1" applyFill="1" applyAlignment="1">
      <alignment vertical="center"/>
    </xf>
    <xf numFmtId="3" fontId="36" fillId="0" borderId="0" xfId="3" applyNumberFormat="1" applyFont="1" applyBorder="1" applyAlignment="1">
      <alignment vertical="center"/>
    </xf>
    <xf numFmtId="3" fontId="36" fillId="0" borderId="0" xfId="3" applyNumberFormat="1" applyFont="1" applyBorder="1" applyAlignment="1">
      <alignment horizontal="center" vertical="center"/>
    </xf>
    <xf numFmtId="3" fontId="39" fillId="0" borderId="0" xfId="3" applyNumberFormat="1" applyFont="1" applyBorder="1" applyAlignment="1">
      <alignment horizontal="center" vertical="center" wrapText="1"/>
    </xf>
    <xf numFmtId="3" fontId="39" fillId="0" borderId="1" xfId="3" applyNumberFormat="1" applyFont="1" applyBorder="1" applyAlignment="1">
      <alignment horizontal="center" vertical="center" wrapText="1"/>
    </xf>
    <xf numFmtId="3" fontId="39" fillId="0" borderId="1" xfId="3" applyNumberFormat="1" applyFont="1" applyBorder="1" applyAlignment="1">
      <alignment horizontal="center" vertical="center"/>
    </xf>
    <xf numFmtId="3" fontId="36" fillId="0" borderId="0" xfId="3" applyNumberFormat="1" applyFont="1" applyAlignment="1">
      <alignment horizontal="center" vertical="center"/>
    </xf>
    <xf numFmtId="3" fontId="38" fillId="0" borderId="0" xfId="3" applyNumberFormat="1" applyFont="1" applyAlignment="1">
      <alignment horizontal="center" vertical="center"/>
    </xf>
    <xf numFmtId="3" fontId="36" fillId="0" borderId="1" xfId="3" applyNumberFormat="1" applyFont="1" applyBorder="1" applyAlignment="1">
      <alignment horizontal="right" vertical="center" wrapText="1"/>
    </xf>
    <xf numFmtId="3" fontId="36" fillId="0" borderId="2" xfId="3" applyNumberFormat="1" applyFont="1" applyBorder="1" applyAlignment="1">
      <alignment horizontal="right" vertical="center" wrapText="1"/>
    </xf>
    <xf numFmtId="3" fontId="36" fillId="0" borderId="2" xfId="3" applyNumberFormat="1" applyFont="1" applyBorder="1" applyAlignment="1">
      <alignment horizontal="right" vertical="center"/>
    </xf>
    <xf numFmtId="3" fontId="39" fillId="0" borderId="0" xfId="3" applyNumberFormat="1" applyFont="1" applyBorder="1" applyAlignment="1">
      <alignment vertical="center"/>
    </xf>
    <xf numFmtId="167" fontId="39" fillId="0" borderId="0" xfId="3" applyNumberFormat="1" applyFont="1" applyFill="1" applyBorder="1" applyAlignment="1">
      <alignment vertical="center"/>
    </xf>
    <xf numFmtId="3" fontId="39" fillId="0" borderId="0" xfId="3" applyNumberFormat="1" applyFont="1" applyFill="1" applyBorder="1" applyAlignment="1">
      <alignment vertical="center"/>
    </xf>
    <xf numFmtId="3" fontId="36" fillId="0" borderId="0" xfId="3" applyNumberFormat="1" applyFont="1" applyAlignment="1">
      <alignment vertical="center"/>
    </xf>
    <xf numFmtId="9" fontId="36" fillId="0" borderId="0" xfId="4" applyFont="1" applyAlignment="1">
      <alignment vertical="center"/>
    </xf>
    <xf numFmtId="3" fontId="39" fillId="0" borderId="0" xfId="3" applyNumberFormat="1" applyFont="1" applyAlignment="1">
      <alignment vertical="center"/>
    </xf>
    <xf numFmtId="167" fontId="39" fillId="0" borderId="0" xfId="3" applyNumberFormat="1" applyFont="1" applyFill="1" applyBorder="1" applyAlignment="1">
      <alignment horizontal="right" vertical="center"/>
    </xf>
    <xf numFmtId="3" fontId="39" fillId="0" borderId="0" xfId="3" applyNumberFormat="1" applyFont="1" applyFill="1" applyBorder="1" applyAlignment="1">
      <alignment horizontal="right" vertical="center"/>
    </xf>
    <xf numFmtId="3" fontId="41" fillId="0" borderId="0" xfId="3" applyNumberFormat="1" applyFont="1" applyAlignment="1">
      <alignment vertical="center"/>
    </xf>
    <xf numFmtId="3" fontId="38" fillId="0" borderId="0" xfId="3" applyNumberFormat="1" applyFont="1" applyAlignment="1">
      <alignment vertical="center"/>
    </xf>
    <xf numFmtId="3" fontId="36" fillId="0" borderId="0" xfId="3" applyNumberFormat="1" applyFont="1" applyFill="1" applyBorder="1" applyAlignment="1">
      <alignment vertical="center"/>
    </xf>
    <xf numFmtId="167" fontId="36" fillId="0" borderId="0" xfId="3" applyNumberFormat="1" applyFont="1" applyFill="1" applyBorder="1" applyAlignment="1">
      <alignment horizontal="right" vertical="center"/>
    </xf>
    <xf numFmtId="3" fontId="36" fillId="0" borderId="0" xfId="3" applyNumberFormat="1" applyFont="1" applyFill="1" applyBorder="1" applyAlignment="1">
      <alignment horizontal="right" vertical="center"/>
    </xf>
    <xf numFmtId="3" fontId="36" fillId="0" borderId="0" xfId="3" applyNumberFormat="1" applyFont="1" applyFill="1" applyAlignment="1">
      <alignment vertical="center"/>
    </xf>
    <xf numFmtId="3" fontId="38" fillId="0" borderId="0" xfId="3" applyNumberFormat="1" applyFont="1" applyFill="1" applyAlignment="1">
      <alignment vertical="center"/>
    </xf>
    <xf numFmtId="3" fontId="36" fillId="0" borderId="0" xfId="3" applyNumberFormat="1" applyFont="1" applyFill="1" applyAlignment="1">
      <alignment horizontal="center" vertical="center"/>
    </xf>
    <xf numFmtId="9" fontId="36" fillId="0" borderId="0" xfId="4" applyFont="1" applyFill="1" applyAlignment="1">
      <alignment vertical="center"/>
    </xf>
    <xf numFmtId="3" fontId="36" fillId="9" borderId="0" xfId="3" applyNumberFormat="1" applyFont="1" applyFill="1" applyBorder="1" applyAlignment="1">
      <alignment horizontal="right" vertical="center"/>
    </xf>
    <xf numFmtId="0" fontId="36" fillId="0" borderId="0" xfId="2" applyFont="1" applyBorder="1" applyAlignment="1">
      <alignment vertical="center"/>
    </xf>
    <xf numFmtId="167" fontId="36" fillId="0" borderId="1" xfId="3" applyNumberFormat="1" applyFont="1" applyFill="1" applyBorder="1" applyAlignment="1">
      <alignment horizontal="right" vertical="center"/>
    </xf>
    <xf numFmtId="3" fontId="36" fillId="0" borderId="1" xfId="3" applyNumberFormat="1" applyFont="1" applyFill="1" applyBorder="1" applyAlignment="1">
      <alignment horizontal="right" vertical="center"/>
    </xf>
    <xf numFmtId="3" fontId="36" fillId="0" borderId="0" xfId="3" applyNumberFormat="1" applyFont="1" applyBorder="1" applyAlignment="1">
      <alignment horizontal="right" vertical="center"/>
    </xf>
    <xf numFmtId="3" fontId="36" fillId="9" borderId="0" xfId="3" applyNumberFormat="1" applyFont="1" applyFill="1" applyBorder="1" applyAlignment="1">
      <alignment horizontal="center" vertical="center"/>
    </xf>
    <xf numFmtId="0" fontId="36" fillId="0" borderId="0" xfId="5" applyFont="1" applyBorder="1" applyAlignment="1">
      <alignment vertical="center"/>
    </xf>
    <xf numFmtId="3" fontId="36" fillId="0" borderId="0" xfId="3" applyNumberFormat="1" applyFont="1" applyAlignment="1">
      <alignment horizontal="right" vertical="center"/>
    </xf>
    <xf numFmtId="3" fontId="37" fillId="19" borderId="0" xfId="3" applyNumberFormat="1" applyFont="1" applyFill="1" applyBorder="1" applyAlignment="1">
      <alignment vertical="center"/>
    </xf>
    <xf numFmtId="3" fontId="43" fillId="10" borderId="0" xfId="3" applyNumberFormat="1" applyFont="1" applyFill="1" applyAlignment="1">
      <alignment horizontal="center" vertical="center"/>
    </xf>
    <xf numFmtId="3" fontId="36" fillId="0" borderId="0" xfId="3" applyNumberFormat="1" applyFont="1" applyAlignment="1">
      <alignment horizontal="center" vertical="center" wrapText="1"/>
    </xf>
    <xf numFmtId="3" fontId="43" fillId="0" borderId="0" xfId="3" applyNumberFormat="1" applyFont="1" applyFill="1" applyAlignment="1">
      <alignment horizontal="center" vertical="center"/>
    </xf>
    <xf numFmtId="3" fontId="36" fillId="0" borderId="0" xfId="3" applyNumberFormat="1" applyFont="1" applyFill="1" applyAlignment="1">
      <alignment horizontal="center" vertical="center" wrapText="1"/>
    </xf>
    <xf numFmtId="3" fontId="39" fillId="0" borderId="0" xfId="3" applyNumberFormat="1" applyFont="1" applyFill="1" applyAlignment="1">
      <alignment vertical="center"/>
    </xf>
    <xf numFmtId="3" fontId="2" fillId="0" borderId="1" xfId="3" applyNumberFormat="1" applyFont="1" applyBorder="1" applyAlignment="1">
      <alignment vertical="center"/>
    </xf>
    <xf numFmtId="3" fontId="28" fillId="19" borderId="3" xfId="0" applyNumberFormat="1" applyFont="1" applyFill="1" applyBorder="1" applyAlignment="1">
      <alignment horizontal="right"/>
    </xf>
    <xf numFmtId="3" fontId="49" fillId="0" borderId="0" xfId="3" applyNumberFormat="1" applyFont="1" applyBorder="1" applyAlignment="1">
      <alignment vertic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0" fillId="18" borderId="0" xfId="0" applyFill="1" applyAlignment="1">
      <alignment horizontal="left" wrapText="1"/>
    </xf>
    <xf numFmtId="0" fontId="50" fillId="0" borderId="0" xfId="1" applyNumberFormat="1" applyFont="1" applyFill="1" applyAlignment="1"/>
    <xf numFmtId="0" fontId="50" fillId="0" borderId="0" xfId="1" applyFont="1" applyFill="1" applyBorder="1"/>
    <xf numFmtId="0" fontId="50" fillId="0" borderId="0" xfId="1" applyNumberFormat="1" applyFont="1" applyFill="1" applyBorder="1" applyAlignment="1"/>
    <xf numFmtId="168" fontId="51" fillId="0" borderId="0" xfId="1" applyNumberFormat="1" applyFont="1" applyFill="1" applyAlignment="1">
      <alignment horizontal="right"/>
    </xf>
    <xf numFmtId="0" fontId="51" fillId="0" borderId="0" xfId="1" applyFont="1" applyFill="1" applyBorder="1" applyAlignment="1"/>
    <xf numFmtId="0" fontId="51" fillId="0" borderId="0" xfId="1" applyNumberFormat="1" applyFont="1" applyFill="1" applyBorder="1" applyAlignment="1"/>
    <xf numFmtId="168" fontId="52" fillId="0" borderId="0" xfId="1" applyNumberFormat="1" applyFont="1" applyFill="1" applyBorder="1" applyAlignment="1"/>
    <xf numFmtId="0" fontId="52" fillId="0" borderId="0" xfId="1" applyFont="1" applyFill="1" applyBorder="1" applyAlignment="1">
      <alignment vertical="center"/>
    </xf>
    <xf numFmtId="0" fontId="51" fillId="0" borderId="0" xfId="1" applyFont="1" applyFill="1" applyAlignment="1"/>
    <xf numFmtId="168" fontId="50" fillId="0" borderId="0" xfId="1" applyNumberFormat="1" applyFont="1" applyFill="1" applyAlignment="1">
      <alignment horizontal="right"/>
    </xf>
    <xf numFmtId="0" fontId="50" fillId="21" borderId="0" xfId="1" applyFont="1" applyFill="1" applyAlignment="1"/>
    <xf numFmtId="0" fontId="50" fillId="21" borderId="0" xfId="1" applyNumberFormat="1" applyFont="1" applyFill="1" applyAlignment="1"/>
    <xf numFmtId="0" fontId="50" fillId="15" borderId="0" xfId="1" applyFont="1" applyFill="1" applyAlignment="1"/>
    <xf numFmtId="0" fontId="50" fillId="15" borderId="0" xfId="1" applyNumberFormat="1" applyFont="1" applyFill="1" applyAlignment="1"/>
    <xf numFmtId="0" fontId="50" fillId="0" borderId="0" xfId="1" applyFont="1" applyFill="1" applyBorder="1" applyAlignment="1">
      <alignment horizontal="center"/>
    </xf>
    <xf numFmtId="0" fontId="50" fillId="0" borderId="0" xfId="1" applyFont="1" applyFill="1" applyBorder="1" applyAlignment="1"/>
    <xf numFmtId="169" fontId="50" fillId="0" borderId="6" xfId="1" applyNumberFormat="1" applyFont="1" applyFill="1" applyBorder="1" applyAlignment="1">
      <alignment horizontal="center"/>
    </xf>
    <xf numFmtId="169" fontId="50" fillId="0" borderId="7" xfId="1" applyNumberFormat="1" applyFont="1" applyFill="1" applyBorder="1" applyAlignment="1">
      <alignment horizontal="center"/>
    </xf>
    <xf numFmtId="169" fontId="50" fillId="0" borderId="8" xfId="1" applyNumberFormat="1" applyFont="1" applyFill="1" applyBorder="1" applyAlignment="1">
      <alignment horizontal="center"/>
    </xf>
    <xf numFmtId="169" fontId="50" fillId="0" borderId="9" xfId="1" applyNumberFormat="1" applyFont="1" applyFill="1" applyBorder="1" applyAlignment="1">
      <alignment horizontal="center"/>
    </xf>
    <xf numFmtId="0" fontId="50" fillId="0" borderId="10" xfId="1" applyFont="1" applyFill="1" applyBorder="1" applyAlignment="1">
      <alignment horizontal="center"/>
    </xf>
    <xf numFmtId="0" fontId="50" fillId="0" borderId="11" xfId="1" applyFont="1" applyFill="1" applyBorder="1" applyAlignment="1">
      <alignment horizontal="center"/>
    </xf>
    <xf numFmtId="0" fontId="50" fillId="0" borderId="12" xfId="1" applyFont="1" applyFill="1" applyBorder="1" applyAlignment="1">
      <alignment horizontal="center"/>
    </xf>
    <xf numFmtId="169" fontId="50" fillId="0" borderId="12" xfId="1" applyNumberFormat="1" applyFont="1" applyFill="1" applyBorder="1" applyAlignment="1">
      <alignment horizontal="center"/>
    </xf>
    <xf numFmtId="0" fontId="50" fillId="0" borderId="13" xfId="1" applyFont="1" applyFill="1" applyBorder="1" applyAlignment="1">
      <alignment horizontal="center"/>
    </xf>
    <xf numFmtId="0" fontId="50" fillId="0" borderId="10" xfId="1" applyFont="1" applyFill="1" applyBorder="1" applyAlignment="1"/>
    <xf numFmtId="0" fontId="50" fillId="0" borderId="11" xfId="1" applyFont="1" applyFill="1" applyBorder="1" applyAlignment="1">
      <alignment horizontal="centerContinuous"/>
    </xf>
    <xf numFmtId="0" fontId="50" fillId="0" borderId="11" xfId="1" applyNumberFormat="1" applyFont="1" applyFill="1" applyBorder="1" applyAlignment="1"/>
    <xf numFmtId="0" fontId="50" fillId="0" borderId="12" xfId="1" applyFont="1" applyFill="1" applyBorder="1" applyAlignment="1">
      <alignment horizontal="centerContinuous"/>
    </xf>
    <xf numFmtId="0" fontId="50" fillId="0" borderId="14" xfId="1" applyFont="1" applyFill="1" applyBorder="1" applyAlignment="1">
      <alignment horizontal="centerContinuous"/>
    </xf>
    <xf numFmtId="0" fontId="50" fillId="0" borderId="12" xfId="1" applyFont="1" applyFill="1" applyBorder="1" applyAlignment="1"/>
    <xf numFmtId="0" fontId="50" fillId="0" borderId="13" xfId="1" applyFont="1" applyFill="1" applyBorder="1" applyAlignment="1"/>
    <xf numFmtId="0" fontId="50" fillId="0" borderId="15" xfId="1" applyFont="1" applyFill="1" applyBorder="1" applyAlignment="1">
      <alignment horizontal="centerContinuous"/>
    </xf>
    <xf numFmtId="0" fontId="50" fillId="0" borderId="12" xfId="1" quotePrefix="1" applyFont="1" applyFill="1" applyBorder="1" applyAlignment="1">
      <alignment horizontal="centerContinuous"/>
    </xf>
    <xf numFmtId="0" fontId="50" fillId="0" borderId="9" xfId="1" applyFont="1" applyFill="1" applyBorder="1" applyAlignment="1">
      <alignment horizontal="centerContinuous"/>
    </xf>
    <xf numFmtId="0" fontId="50" fillId="0" borderId="16" xfId="1" applyFont="1" applyFill="1" applyBorder="1" applyAlignment="1">
      <alignment horizontal="centerContinuous"/>
    </xf>
    <xf numFmtId="0" fontId="50" fillId="0" borderId="17" xfId="1" applyFont="1" applyFill="1" applyBorder="1" applyAlignment="1">
      <alignment horizontal="centerContinuous"/>
    </xf>
    <xf numFmtId="0" fontId="50" fillId="0" borderId="18" xfId="1" applyFont="1" applyFill="1" applyBorder="1" applyAlignment="1">
      <alignment horizontal="centerContinuous"/>
    </xf>
    <xf numFmtId="0" fontId="50" fillId="0" borderId="13" xfId="1" applyFont="1" applyFill="1" applyBorder="1" applyAlignment="1">
      <alignment horizontal="centerContinuous"/>
    </xf>
    <xf numFmtId="0" fontId="50" fillId="0" borderId="19" xfId="1" applyFont="1" applyFill="1" applyBorder="1" applyAlignment="1">
      <alignment horizontal="centerContinuous"/>
    </xf>
    <xf numFmtId="0" fontId="50" fillId="0" borderId="20" xfId="1" applyFont="1" applyFill="1" applyBorder="1" applyAlignment="1">
      <alignment horizontal="centerContinuous"/>
    </xf>
    <xf numFmtId="0" fontId="50" fillId="0" borderId="10" xfId="1" applyFont="1" applyFill="1" applyBorder="1" applyAlignment="1">
      <alignment horizontal="centerContinuous"/>
    </xf>
    <xf numFmtId="0" fontId="50" fillId="0" borderId="21" xfId="1" applyFont="1" applyFill="1" applyBorder="1" applyAlignment="1">
      <alignment horizontal="centerContinuous"/>
    </xf>
    <xf numFmtId="0" fontId="50" fillId="0" borderId="22" xfId="1" applyFont="1" applyFill="1" applyBorder="1" applyAlignment="1">
      <alignment horizontal="centerContinuous"/>
    </xf>
    <xf numFmtId="0" fontId="50" fillId="0" borderId="23" xfId="1" applyFont="1" applyFill="1" applyBorder="1" applyAlignment="1">
      <alignment horizontal="centerContinuous"/>
    </xf>
    <xf numFmtId="0" fontId="50" fillId="0" borderId="14" xfId="1" applyNumberFormat="1" applyFont="1" applyFill="1" applyBorder="1" applyAlignment="1"/>
    <xf numFmtId="0" fontId="50" fillId="0" borderId="24" xfId="1" applyFont="1" applyFill="1" applyBorder="1" applyAlignment="1">
      <alignment horizontal="centerContinuous"/>
    </xf>
    <xf numFmtId="0" fontId="50" fillId="0" borderId="22" xfId="1" applyFont="1" applyFill="1" applyBorder="1" applyAlignment="1">
      <alignment horizontal="centerContinuous" vertical="center"/>
    </xf>
    <xf numFmtId="0" fontId="51" fillId="0" borderId="0" xfId="1" applyFont="1" applyFill="1" applyAlignment="1">
      <alignment horizontal="right"/>
    </xf>
    <xf numFmtId="0" fontId="51" fillId="0" borderId="0" xfId="1" applyFont="1" applyFill="1" applyAlignment="1">
      <alignment horizontal="left" vertical="top"/>
    </xf>
    <xf numFmtId="3" fontId="50" fillId="0" borderId="0" xfId="1" applyNumberFormat="1" applyFont="1" applyFill="1" applyAlignment="1">
      <alignment horizontal="left"/>
    </xf>
    <xf numFmtId="0" fontId="53" fillId="0" borderId="0" xfId="1" applyFont="1" applyFill="1" applyAlignment="1">
      <alignment horizontal="left" vertical="center"/>
    </xf>
    <xf numFmtId="0" fontId="50" fillId="22" borderId="0" xfId="1" applyNumberFormat="1" applyFont="1" applyFill="1" applyAlignment="1">
      <alignment horizontal="right"/>
    </xf>
    <xf numFmtId="0" fontId="54" fillId="22" borderId="0" xfId="1" applyNumberFormat="1" applyFont="1" applyFill="1" applyAlignment="1">
      <alignment horizontal="right"/>
    </xf>
    <xf numFmtId="0" fontId="28" fillId="19" borderId="0" xfId="0" applyFont="1" applyFill="1"/>
    <xf numFmtId="1" fontId="28" fillId="18" borderId="0" xfId="0" applyNumberFormat="1" applyFont="1" applyFill="1"/>
    <xf numFmtId="1" fontId="28" fillId="19" borderId="0" xfId="0" applyNumberFormat="1" applyFont="1" applyFill="1"/>
    <xf numFmtId="164" fontId="28" fillId="19" borderId="0" xfId="0" applyNumberFormat="1" applyFont="1" applyFill="1"/>
    <xf numFmtId="3" fontId="2" fillId="23" borderId="0" xfId="3" applyNumberFormat="1" applyFont="1" applyFill="1" applyBorder="1" applyAlignment="1">
      <alignment vertical="center"/>
    </xf>
    <xf numFmtId="167" fontId="2" fillId="23" borderId="0" xfId="3" applyNumberFormat="1" applyFont="1" applyFill="1" applyBorder="1" applyAlignment="1">
      <alignment horizontal="right" vertical="center"/>
    </xf>
    <xf numFmtId="3" fontId="2" fillId="23" borderId="0" xfId="3" applyNumberFormat="1" applyFont="1" applyFill="1" applyBorder="1" applyAlignment="1">
      <alignment horizontal="right" vertical="center"/>
    </xf>
    <xf numFmtId="3" fontId="20" fillId="23" borderId="0" xfId="3" applyNumberFormat="1" applyFont="1" applyFill="1" applyBorder="1" applyAlignment="1">
      <alignment vertical="center"/>
    </xf>
    <xf numFmtId="0" fontId="2" fillId="23" borderId="0" xfId="7" applyFont="1" applyFill="1" applyAlignment="1">
      <alignment vertical="center"/>
    </xf>
    <xf numFmtId="0" fontId="34" fillId="23" borderId="0" xfId="7" applyFont="1" applyFill="1"/>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50" fillId="0" borderId="0" xfId="1" applyFont="1" applyFill="1" applyAlignment="1"/>
    <xf numFmtId="0" fontId="50" fillId="0" borderId="0" xfId="1" applyNumberFormat="1" applyFont="1" applyFill="1" applyAlignment="1">
      <alignment horizontal="right"/>
    </xf>
    <xf numFmtId="0" fontId="51" fillId="0" borderId="0" xfId="1" applyFont="1" applyFill="1" applyBorder="1" applyAlignment="1">
      <alignment horizontal="left" vertical="top"/>
    </xf>
    <xf numFmtId="0" fontId="51" fillId="0" borderId="0" xfId="1" applyFont="1" applyFill="1" applyBorder="1" applyAlignment="1">
      <alignment horizontal="right"/>
    </xf>
    <xf numFmtId="0" fontId="51" fillId="0" borderId="0" xfId="1" applyFont="1" applyFill="1" applyAlignment="1">
      <alignment horizontal="center"/>
    </xf>
    <xf numFmtId="0" fontId="51" fillId="0" borderId="0" xfId="1" applyFont="1" applyFill="1" applyAlignment="1">
      <alignment horizontal="centerContinuous"/>
    </xf>
    <xf numFmtId="0" fontId="51" fillId="0" borderId="0" xfId="1" applyFont="1" applyFill="1" applyAlignment="1">
      <alignment horizontal="centerContinuous" vertical="top"/>
    </xf>
    <xf numFmtId="0" fontId="51" fillId="0" borderId="25" xfId="1" applyFont="1" applyFill="1" applyBorder="1" applyAlignment="1"/>
    <xf numFmtId="0" fontId="50" fillId="0" borderId="26" xfId="1" applyFont="1" applyFill="1" applyBorder="1" applyAlignment="1">
      <alignment horizontal="centerContinuous" vertical="center"/>
    </xf>
    <xf numFmtId="0" fontId="50" fillId="0" borderId="27" xfId="1" applyFont="1" applyFill="1" applyBorder="1" applyAlignment="1">
      <alignment horizontal="centerContinuous"/>
    </xf>
    <xf numFmtId="0" fontId="50" fillId="0" borderId="28" xfId="1" applyFont="1" applyFill="1" applyBorder="1" applyAlignment="1">
      <alignment horizontal="centerContinuous"/>
    </xf>
    <xf numFmtId="0" fontId="50" fillId="0" borderId="26" xfId="1" applyFont="1" applyFill="1" applyBorder="1" applyAlignment="1">
      <alignment horizontal="centerContinuous"/>
    </xf>
    <xf numFmtId="0" fontId="50" fillId="0" borderId="29" xfId="1" applyFont="1" applyFill="1" applyBorder="1" applyAlignment="1">
      <alignment horizontal="centerContinuous"/>
    </xf>
    <xf numFmtId="0" fontId="50" fillId="0" borderId="30" xfId="1" applyFont="1" applyFill="1" applyBorder="1" applyAlignment="1">
      <alignment horizontal="centerContinuous"/>
    </xf>
    <xf numFmtId="0" fontId="50" fillId="0" borderId="31" xfId="1" applyFont="1" applyFill="1" applyBorder="1" applyAlignment="1">
      <alignment horizontal="centerContinuous"/>
    </xf>
    <xf numFmtId="0" fontId="50" fillId="0" borderId="32" xfId="1" applyFont="1" applyFill="1" applyBorder="1" applyAlignment="1"/>
    <xf numFmtId="0" fontId="50" fillId="0" borderId="28" xfId="1" applyFont="1" applyBorder="1" applyAlignment="1">
      <alignment horizontal="centerContinuous"/>
    </xf>
    <xf numFmtId="0" fontId="50" fillId="0" borderId="26" xfId="1" applyFont="1" applyBorder="1" applyAlignment="1">
      <alignment horizontal="centerContinuous"/>
    </xf>
    <xf numFmtId="0" fontId="50" fillId="0" borderId="30" xfId="1" applyFont="1" applyBorder="1" applyAlignment="1">
      <alignment horizontal="centerContinuous"/>
    </xf>
    <xf numFmtId="0" fontId="50" fillId="0" borderId="31" xfId="1" applyFont="1" applyBorder="1" applyAlignment="1">
      <alignment horizontal="centerContinuous"/>
    </xf>
    <xf numFmtId="0" fontId="50" fillId="0" borderId="27" xfId="1" applyFont="1" applyBorder="1" applyAlignment="1">
      <alignment horizontal="centerContinuous"/>
    </xf>
    <xf numFmtId="0" fontId="50" fillId="0" borderId="33" xfId="1" applyFont="1" applyBorder="1" applyAlignment="1">
      <alignment horizontal="centerContinuous"/>
    </xf>
    <xf numFmtId="0" fontId="50" fillId="0" borderId="32" xfId="1" applyFont="1" applyFill="1" applyBorder="1" applyAlignment="1">
      <alignment horizontal="centerContinuous"/>
    </xf>
    <xf numFmtId="0" fontId="50" fillId="0" borderId="33" xfId="1" applyFont="1" applyFill="1" applyBorder="1" applyAlignment="1">
      <alignment horizontal="center"/>
    </xf>
    <xf numFmtId="0" fontId="50" fillId="0" borderId="29" xfId="1" applyFont="1" applyFill="1" applyBorder="1" applyAlignment="1"/>
    <xf numFmtId="0" fontId="50" fillId="0" borderId="31" xfId="1" applyFont="1" applyFill="1" applyBorder="1" applyAlignment="1"/>
    <xf numFmtId="0" fontId="50" fillId="0" borderId="34" xfId="1" applyFont="1" applyFill="1" applyBorder="1" applyAlignment="1">
      <alignment horizontal="centerContinuous"/>
    </xf>
    <xf numFmtId="0" fontId="50" fillId="0" borderId="35" xfId="1" applyFont="1" applyFill="1" applyBorder="1" applyAlignment="1">
      <alignment horizontal="centerContinuous"/>
    </xf>
    <xf numFmtId="0" fontId="50" fillId="0" borderId="29" xfId="1" applyNumberFormat="1" applyFont="1" applyFill="1" applyBorder="1" applyAlignment="1">
      <alignment horizontal="centerContinuous"/>
    </xf>
    <xf numFmtId="0" fontId="50" fillId="0" borderId="30" xfId="1" applyNumberFormat="1" applyFont="1" applyFill="1" applyBorder="1" applyAlignment="1">
      <alignment horizontal="centerContinuous"/>
    </xf>
    <xf numFmtId="0" fontId="50" fillId="0" borderId="31" xfId="1" applyNumberFormat="1" applyFont="1" applyFill="1" applyBorder="1" applyAlignment="1">
      <alignment horizontal="centerContinuous"/>
    </xf>
    <xf numFmtId="0" fontId="50" fillId="0" borderId="28" xfId="1" applyNumberFormat="1" applyFont="1" applyBorder="1" applyAlignment="1">
      <alignment horizontal="centerContinuous"/>
    </xf>
    <xf numFmtId="0" fontId="50" fillId="0" borderId="32" xfId="1" applyFont="1" applyBorder="1"/>
    <xf numFmtId="0" fontId="50" fillId="0" borderId="32" xfId="1" applyFont="1" applyBorder="1" applyAlignment="1"/>
    <xf numFmtId="0" fontId="50" fillId="0" borderId="32" xfId="1" applyFont="1" applyBorder="1" applyAlignment="1">
      <alignment horizontal="center"/>
    </xf>
    <xf numFmtId="0" fontId="50" fillId="0" borderId="11" xfId="1" applyFont="1" applyFill="1" applyBorder="1" applyAlignment="1"/>
    <xf numFmtId="0" fontId="50" fillId="0" borderId="36" xfId="1" applyFont="1" applyFill="1" applyBorder="1" applyAlignment="1">
      <alignment horizontal="centerContinuous"/>
    </xf>
    <xf numFmtId="0" fontId="50" fillId="0" borderId="37" xfId="1" applyFont="1" applyFill="1" applyBorder="1" applyAlignment="1">
      <alignment horizontal="center"/>
    </xf>
    <xf numFmtId="0" fontId="50" fillId="0" borderId="37" xfId="1" applyFont="1" applyFill="1" applyBorder="1" applyAlignment="1"/>
    <xf numFmtId="0" fontId="50" fillId="0" borderId="32" xfId="1" applyFont="1" applyFill="1" applyBorder="1" applyAlignment="1">
      <alignment horizontal="center"/>
    </xf>
    <xf numFmtId="0" fontId="50" fillId="0" borderId="34" xfId="1" applyNumberFormat="1" applyFont="1" applyFill="1" applyBorder="1" applyAlignment="1">
      <alignment horizontal="centerContinuous"/>
    </xf>
    <xf numFmtId="0" fontId="50" fillId="0" borderId="25" xfId="1" applyFont="1" applyFill="1" applyBorder="1" applyAlignment="1">
      <alignment horizontal="centerContinuous"/>
    </xf>
    <xf numFmtId="0" fontId="50" fillId="0" borderId="32" xfId="1" applyFont="1" applyBorder="1" applyAlignment="1">
      <alignment horizontal="centerContinuous"/>
    </xf>
    <xf numFmtId="0" fontId="50" fillId="0" borderId="11" xfId="1" applyFont="1" applyBorder="1"/>
    <xf numFmtId="0" fontId="50" fillId="0" borderId="11" xfId="1" applyFont="1" applyBorder="1" applyAlignment="1"/>
    <xf numFmtId="0" fontId="50" fillId="0" borderId="11" xfId="1" applyFont="1" applyBorder="1" applyAlignment="1">
      <alignment horizontal="center"/>
    </xf>
    <xf numFmtId="0" fontId="50" fillId="0" borderId="32" xfId="1" applyNumberFormat="1" applyFont="1" applyFill="1" applyBorder="1" applyAlignment="1"/>
    <xf numFmtId="0" fontId="50" fillId="0" borderId="37" xfId="1" applyFont="1" applyFill="1" applyBorder="1" applyAlignment="1">
      <alignment horizontal="centerContinuous"/>
    </xf>
    <xf numFmtId="0" fontId="50" fillId="0" borderId="11" xfId="1" applyNumberFormat="1" applyFont="1" applyFill="1" applyBorder="1" applyAlignment="1">
      <alignment horizontal="center"/>
    </xf>
    <xf numFmtId="0" fontId="50" fillId="0" borderId="11" xfId="1" applyFont="1" applyBorder="1" applyAlignment="1">
      <alignment horizontal="centerContinuous"/>
    </xf>
    <xf numFmtId="170" fontId="50" fillId="0" borderId="11" xfId="1" applyNumberFormat="1" applyFont="1" applyBorder="1" applyAlignment="1"/>
    <xf numFmtId="0" fontId="50" fillId="0" borderId="11" xfId="1" applyNumberFormat="1" applyFont="1" applyBorder="1" applyAlignment="1"/>
    <xf numFmtId="0" fontId="50" fillId="0" borderId="11" xfId="1" applyNumberFormat="1" applyFont="1" applyBorder="1" applyAlignment="1">
      <alignment horizontal="center"/>
    </xf>
    <xf numFmtId="169" fontId="50" fillId="0" borderId="11" xfId="1" applyNumberFormat="1" applyFont="1" applyFill="1" applyBorder="1" applyAlignment="1">
      <alignment horizontal="center"/>
    </xf>
    <xf numFmtId="0" fontId="50" fillId="0" borderId="11" xfId="1" quotePrefix="1" applyFont="1" applyBorder="1" applyAlignment="1">
      <alignment horizontal="center"/>
    </xf>
    <xf numFmtId="169" fontId="50" fillId="0" borderId="36" xfId="1" applyNumberFormat="1" applyFont="1" applyFill="1" applyBorder="1" applyAlignment="1">
      <alignment horizontal="center"/>
    </xf>
    <xf numFmtId="169" fontId="50" fillId="0" borderId="34" xfId="1" quotePrefix="1" applyNumberFormat="1" applyFont="1" applyFill="1" applyBorder="1" applyAlignment="1">
      <alignment horizontal="centerContinuous"/>
    </xf>
    <xf numFmtId="169" fontId="50" fillId="0" borderId="36" xfId="1" quotePrefix="1" applyNumberFormat="1" applyFont="1" applyFill="1" applyBorder="1" applyAlignment="1">
      <alignment horizontal="centerContinuous"/>
    </xf>
    <xf numFmtId="169" fontId="50" fillId="0" borderId="36" xfId="1" quotePrefix="1" applyNumberFormat="1" applyFont="1" applyFill="1" applyBorder="1" applyAlignment="1">
      <alignment horizontal="center"/>
    </xf>
    <xf numFmtId="169" fontId="50" fillId="0" borderId="34" xfId="1" applyNumberFormat="1" applyFont="1" applyFill="1" applyBorder="1" applyAlignment="1">
      <alignment horizontal="center"/>
    </xf>
    <xf numFmtId="171" fontId="50" fillId="0" borderId="0" xfId="1" applyNumberFormat="1" applyFont="1" applyFill="1" applyAlignment="1">
      <alignment horizontal="right"/>
    </xf>
    <xf numFmtId="171" fontId="50" fillId="0" borderId="0" xfId="1" applyNumberFormat="1" applyFont="1" applyFill="1" applyAlignment="1"/>
    <xf numFmtId="171" fontId="51" fillId="0" borderId="0" xfId="1" applyNumberFormat="1" applyFont="1" applyFill="1" applyAlignment="1"/>
    <xf numFmtId="171" fontId="51" fillId="0" borderId="0" xfId="1" applyNumberFormat="1" applyFont="1" applyFill="1" applyBorder="1" applyAlignment="1"/>
    <xf numFmtId="171" fontId="52" fillId="0" borderId="0" xfId="1" applyNumberFormat="1" applyFont="1" applyFill="1" applyBorder="1" applyAlignment="1"/>
    <xf numFmtId="0" fontId="51" fillId="0" borderId="0" xfId="1" applyFont="1" applyFill="1" applyBorder="1" applyAlignment="1">
      <alignment vertical="center"/>
    </xf>
    <xf numFmtId="171" fontId="52" fillId="0" borderId="0" xfId="1" applyNumberFormat="1" applyFont="1" applyFill="1" applyBorder="1" applyAlignment="1">
      <alignment vertical="center"/>
    </xf>
    <xf numFmtId="171" fontId="51" fillId="0" borderId="0" xfId="1" applyNumberFormat="1" applyFont="1" applyFill="1" applyBorder="1" applyAlignment="1">
      <alignment vertical="center"/>
    </xf>
    <xf numFmtId="171" fontId="51" fillId="0" borderId="0" xfId="1" applyNumberFormat="1" applyFont="1" applyFill="1" applyAlignment="1">
      <alignment horizontal="right"/>
    </xf>
    <xf numFmtId="168" fontId="50" fillId="0" borderId="0" xfId="1" applyNumberFormat="1" applyFont="1" applyFill="1" applyBorder="1"/>
    <xf numFmtId="168" fontId="50" fillId="10" borderId="0" xfId="1" applyNumberFormat="1" applyFont="1" applyFill="1" applyAlignment="1">
      <alignment horizontal="right"/>
    </xf>
    <xf numFmtId="168" fontId="55" fillId="24" borderId="0" xfId="1" applyNumberFormat="1" applyFont="1" applyFill="1" applyAlignment="1">
      <alignment horizontal="right"/>
    </xf>
    <xf numFmtId="0" fontId="50" fillId="24" borderId="12" xfId="1" applyFont="1" applyFill="1" applyBorder="1" applyAlignment="1">
      <alignment horizontal="center"/>
    </xf>
    <xf numFmtId="0" fontId="50" fillId="24" borderId="11" xfId="1" applyFont="1" applyFill="1" applyBorder="1" applyAlignment="1">
      <alignment horizontal="centerContinuous"/>
    </xf>
    <xf numFmtId="0" fontId="56" fillId="10" borderId="11" xfId="1" applyFont="1" applyFill="1" applyBorder="1" applyAlignment="1">
      <alignment horizontal="center"/>
    </xf>
    <xf numFmtId="0" fontId="56" fillId="10" borderId="11" xfId="1" applyFont="1" applyFill="1" applyBorder="1" applyAlignment="1">
      <alignment horizontal="centerContinuous"/>
    </xf>
    <xf numFmtId="0" fontId="56" fillId="10" borderId="12" xfId="1" applyFont="1" applyFill="1" applyBorder="1" applyAlignment="1">
      <alignment horizont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54" fillId="25" borderId="0" xfId="1" applyNumberFormat="1" applyFont="1" applyFill="1" applyAlignment="1">
      <alignment horizontal="right"/>
    </xf>
    <xf numFmtId="0" fontId="50" fillId="0" borderId="27" xfId="1" applyNumberFormat="1" applyFont="1" applyBorder="1" applyAlignment="1">
      <alignment horizontal="centerContinuous"/>
    </xf>
    <xf numFmtId="0" fontId="50" fillId="0" borderId="29" xfId="1" applyFont="1" applyBorder="1" applyAlignment="1"/>
    <xf numFmtId="0" fontId="50" fillId="0" borderId="32" xfId="1" applyNumberFormat="1" applyFont="1" applyBorder="1" applyAlignment="1"/>
    <xf numFmtId="0" fontId="50" fillId="0" borderId="0" xfId="1" applyNumberFormat="1" applyFont="1" applyAlignment="1"/>
    <xf numFmtId="0" fontId="50" fillId="0" borderId="0" xfId="1" applyNumberFormat="1" applyFont="1" applyAlignment="1">
      <alignment horizontal="center"/>
    </xf>
    <xf numFmtId="169" fontId="50" fillId="0" borderId="34" xfId="1" applyNumberFormat="1" applyFont="1" applyBorder="1" applyAlignment="1">
      <alignment horizontal="center"/>
    </xf>
    <xf numFmtId="169" fontId="50" fillId="0" borderId="36" xfId="1" applyNumberFormat="1" applyFont="1" applyBorder="1" applyAlignment="1">
      <alignment horizontal="center"/>
    </xf>
    <xf numFmtId="169" fontId="50" fillId="0" borderId="25" xfId="1" applyNumberFormat="1" applyFont="1" applyBorder="1" applyAlignment="1">
      <alignment horizontal="center"/>
    </xf>
    <xf numFmtId="0" fontId="50" fillId="0" borderId="0" xfId="1" applyFont="1" applyBorder="1" applyAlignment="1">
      <alignment horizontal="center"/>
    </xf>
    <xf numFmtId="168" fontId="50" fillId="0" borderId="0" xfId="0" applyNumberFormat="1" applyFont="1" applyFill="1" applyAlignment="1">
      <alignment horizontal="right"/>
    </xf>
    <xf numFmtId="171" fontId="50" fillId="0" borderId="0" xfId="0" applyNumberFormat="1" applyFont="1" applyFill="1" applyAlignment="1">
      <alignment horizontal="right"/>
    </xf>
    <xf numFmtId="172" fontId="50" fillId="0" borderId="0" xfId="1" applyNumberFormat="1" applyFont="1" applyFill="1" applyAlignment="1"/>
    <xf numFmtId="3" fontId="39" fillId="10" borderId="0" xfId="3" applyNumberFormat="1" applyFont="1" applyFill="1" applyBorder="1" applyAlignment="1">
      <alignment vertical="center"/>
    </xf>
    <xf numFmtId="0" fontId="0" fillId="0" borderId="0" xfId="0" applyFill="1"/>
    <xf numFmtId="3" fontId="2" fillId="10" borderId="0" xfId="3" applyNumberFormat="1" applyFont="1" applyFill="1" applyBorder="1" applyAlignment="1">
      <alignment horizontal="right" vertical="center"/>
    </xf>
    <xf numFmtId="168" fontId="50" fillId="26" borderId="0" xfId="0" applyNumberFormat="1" applyFont="1" applyFill="1" applyAlignment="1">
      <alignment horizontal="right"/>
    </xf>
    <xf numFmtId="3" fontId="39" fillId="15" borderId="0" xfId="3" applyNumberFormat="1" applyFont="1" applyFill="1" applyBorder="1" applyAlignment="1">
      <alignment vertical="center"/>
    </xf>
    <xf numFmtId="168" fontId="50" fillId="26" borderId="0" xfId="1" applyNumberFormat="1" applyFont="1" applyFill="1" applyAlignment="1">
      <alignment horizontal="right"/>
    </xf>
    <xf numFmtId="1" fontId="2" fillId="26" borderId="0" xfId="1" applyNumberFormat="1" applyFont="1" applyFill="1" applyAlignment="1">
      <alignment horizontal="right"/>
    </xf>
    <xf numFmtId="3" fontId="2" fillId="26" borderId="0" xfId="3" applyNumberFormat="1" applyFont="1" applyFill="1" applyBorder="1" applyAlignment="1">
      <alignment horizontal="right" vertical="center"/>
    </xf>
    <xf numFmtId="0" fontId="0" fillId="18" borderId="0" xfId="0" applyFill="1" applyBorder="1" applyAlignment="1">
      <alignment horizontal="center" vertical="center" wrapText="1"/>
    </xf>
    <xf numFmtId="0" fontId="0" fillId="18" borderId="5" xfId="0" applyFill="1" applyBorder="1" applyAlignment="1">
      <alignment horizontal="center" vertical="center" wrapText="1"/>
    </xf>
    <xf numFmtId="3" fontId="2" fillId="0" borderId="0" xfId="3" applyNumberFormat="1" applyFont="1" applyBorder="1" applyAlignment="1">
      <alignment vertical="center" wrapText="1"/>
    </xf>
    <xf numFmtId="3" fontId="20" fillId="0" borderId="1" xfId="3" applyNumberFormat="1" applyFont="1" applyBorder="1" applyAlignment="1">
      <alignment horizontal="center" vertical="center"/>
    </xf>
    <xf numFmtId="3" fontId="20" fillId="0" borderId="1" xfId="3" applyNumberFormat="1" applyFont="1" applyFill="1" applyBorder="1" applyAlignment="1">
      <alignment horizontal="center" vertical="center" wrapText="1"/>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9" fillId="0" borderId="0" xfId="1" applyNumberFormat="1" applyFont="1" applyFill="1" applyAlignment="1">
      <alignment horizontal="center"/>
    </xf>
    <xf numFmtId="3" fontId="49" fillId="0" borderId="0" xfId="3" applyNumberFormat="1" applyFont="1" applyBorder="1" applyAlignment="1">
      <alignment vertical="center" wrapText="1"/>
    </xf>
    <xf numFmtId="0" fontId="50" fillId="0" borderId="26" xfId="1" applyNumberFormat="1" applyFont="1" applyBorder="1" applyAlignment="1">
      <alignment horizontal="center"/>
    </xf>
    <xf numFmtId="0" fontId="50" fillId="0" borderId="27" xfId="1" applyNumberFormat="1" applyFont="1" applyBorder="1" applyAlignment="1">
      <alignment horizontal="center"/>
    </xf>
    <xf numFmtId="0" fontId="50" fillId="0" borderId="28" xfId="1" applyNumberFormat="1" applyFont="1" applyBorder="1" applyAlignment="1">
      <alignment horizontal="center"/>
    </xf>
    <xf numFmtId="169" fontId="50" fillId="0" borderId="34" xfId="1" quotePrefix="1" applyNumberFormat="1" applyFont="1" applyFill="1" applyBorder="1" applyAlignment="1">
      <alignment horizontal="center"/>
    </xf>
    <xf numFmtId="169" fontId="50" fillId="0" borderId="35" xfId="1" quotePrefix="1" applyNumberFormat="1" applyFont="1" applyFill="1" applyBorder="1" applyAlignment="1">
      <alignment horizontal="center"/>
    </xf>
    <xf numFmtId="0" fontId="50" fillId="0" borderId="26" xfId="1" applyFont="1" applyFill="1" applyBorder="1" applyAlignment="1">
      <alignment horizontal="center"/>
    </xf>
    <xf numFmtId="0" fontId="50" fillId="0" borderId="27" xfId="1" applyFont="1" applyFill="1" applyBorder="1" applyAlignment="1">
      <alignment horizontal="center"/>
    </xf>
    <xf numFmtId="0" fontId="50" fillId="0" borderId="28" xfId="1" applyFont="1" applyFill="1" applyBorder="1" applyAlignment="1">
      <alignment horizontal="center"/>
    </xf>
    <xf numFmtId="0" fontId="50" fillId="0" borderId="31" xfId="1" applyNumberFormat="1" applyFont="1" applyBorder="1" applyAlignment="1">
      <alignment horizontal="center"/>
    </xf>
    <xf numFmtId="0" fontId="50" fillId="0" borderId="26" xfId="1" applyFont="1" applyBorder="1" applyAlignment="1">
      <alignment horizontal="center"/>
    </xf>
    <xf numFmtId="0" fontId="50" fillId="0" borderId="27" xfId="1" applyFont="1" applyBorder="1" applyAlignment="1">
      <alignment horizontal="center"/>
    </xf>
    <xf numFmtId="0" fontId="50" fillId="0" borderId="28" xfId="1" applyFont="1" applyBorder="1" applyAlignment="1">
      <alignment horizontal="center"/>
    </xf>
    <xf numFmtId="0" fontId="29" fillId="16" borderId="0" xfId="0" applyFont="1" applyFill="1" applyAlignment="1">
      <alignment horizontal="left" wrapText="1"/>
    </xf>
    <xf numFmtId="0" fontId="30" fillId="20" borderId="0" xfId="2" applyFont="1" applyFill="1" applyAlignment="1">
      <alignment horizontal="center" vertical="center"/>
    </xf>
    <xf numFmtId="0" fontId="0" fillId="18" borderId="0" xfId="0" applyFill="1" applyBorder="1" applyAlignment="1">
      <alignment horizontal="center"/>
    </xf>
    <xf numFmtId="0" fontId="0" fillId="18" borderId="3" xfId="0" applyFill="1" applyBorder="1" applyAlignment="1">
      <alignment horizontal="center"/>
    </xf>
    <xf numFmtId="0" fontId="0" fillId="18" borderId="3" xfId="0" applyFill="1" applyBorder="1" applyAlignment="1">
      <alignment horizontal="center" wrapText="1"/>
    </xf>
    <xf numFmtId="0" fontId="0" fillId="18" borderId="4" xfId="0" applyFill="1" applyBorder="1" applyAlignment="1">
      <alignment horizontal="center" wrapText="1"/>
    </xf>
    <xf numFmtId="0" fontId="32" fillId="19" borderId="0" xfId="6" applyFill="1" applyAlignment="1">
      <alignment horizontal="right"/>
    </xf>
    <xf numFmtId="0" fontId="0" fillId="18" borderId="3" xfId="0" applyFill="1" applyBorder="1" applyAlignment="1">
      <alignment horizontal="center" vertical="center" wrapText="1"/>
    </xf>
    <xf numFmtId="0" fontId="0" fillId="18" borderId="4" xfId="0" applyFill="1" applyBorder="1" applyAlignment="1">
      <alignment horizontal="center" vertical="center" wrapText="1"/>
    </xf>
    <xf numFmtId="0" fontId="0" fillId="18" borderId="0" xfId="0" applyFill="1" applyAlignment="1">
      <alignment horizontal="left" wrapText="1"/>
    </xf>
    <xf numFmtId="0" fontId="32" fillId="19" borderId="0" xfId="6" applyFill="1" applyBorder="1" applyAlignment="1">
      <alignment horizontal="right"/>
    </xf>
    <xf numFmtId="0" fontId="32" fillId="0" borderId="0" xfId="6" applyFill="1" applyBorder="1" applyAlignment="1">
      <alignment horizontal="right"/>
    </xf>
    <xf numFmtId="3" fontId="36" fillId="0" borderId="0" xfId="3" applyNumberFormat="1" applyFont="1" applyBorder="1" applyAlignment="1">
      <alignment vertical="center" wrapText="1"/>
    </xf>
    <xf numFmtId="3" fontId="35" fillId="8" borderId="0" xfId="3" applyNumberFormat="1" applyFont="1" applyFill="1" applyBorder="1" applyAlignment="1">
      <alignment horizontal="center" vertical="center"/>
    </xf>
    <xf numFmtId="3" fontId="42" fillId="10" borderId="0" xfId="3" applyNumberFormat="1" applyFont="1" applyFill="1" applyBorder="1" applyAlignment="1">
      <alignment horizontal="center" vertical="center"/>
    </xf>
    <xf numFmtId="3" fontId="39" fillId="0" borderId="1" xfId="3" applyNumberFormat="1" applyFont="1" applyBorder="1" applyAlignment="1">
      <alignment horizontal="center" vertical="center" wrapText="1"/>
    </xf>
    <xf numFmtId="3" fontId="39" fillId="0" borderId="1" xfId="3" applyNumberFormat="1" applyFont="1" applyBorder="1" applyAlignment="1">
      <alignment horizontal="center" vertical="center"/>
    </xf>
  </cellXfs>
  <cellStyles count="19">
    <cellStyle name="Hyperlink" xfId="6" xr:uid="{00000000-0005-0000-0000-000000000000}"/>
    <cellStyle name="Hyperlink 2" xfId="11" xr:uid="{00000000-0005-0000-0000-000001000000}"/>
    <cellStyle name="Hyperlink 3" xfId="12" xr:uid="{00000000-0005-0000-0000-000002000000}"/>
    <cellStyle name="Hyperlink 4" xfId="10" xr:uid="{00000000-0005-0000-0000-000003000000}"/>
    <cellStyle name="Hyperlink_ebook_lrec0910" xfId="13" xr:uid="{00000000-0005-0000-0000-000004000000}"/>
    <cellStyle name="Normal" xfId="0" builtinId="0"/>
    <cellStyle name="Normal 2" xfId="2" xr:uid="{00000000-0005-0000-0000-000006000000}"/>
    <cellStyle name="Normal 2 2" xfId="1" xr:uid="{00000000-0005-0000-0000-000007000000}"/>
    <cellStyle name="Normal 2 2 2 2" xfId="15" xr:uid="{00000000-0005-0000-0000-000008000000}"/>
    <cellStyle name="Normal 2 3" xfId="14" xr:uid="{00000000-0005-0000-0000-000009000000}"/>
    <cellStyle name="Normal 3" xfId="7" xr:uid="{00000000-0005-0000-0000-00000A000000}"/>
    <cellStyle name="Normal 3 2" xfId="17" xr:uid="{00000000-0005-0000-0000-00000B000000}"/>
    <cellStyle name="Normal 3 3" xfId="16" xr:uid="{00000000-0005-0000-0000-00000C000000}"/>
    <cellStyle name="Normal 4" xfId="18" xr:uid="{00000000-0005-0000-0000-00000D000000}"/>
    <cellStyle name="Normal 5" xfId="9" xr:uid="{00000000-0005-0000-0000-00000E000000}"/>
    <cellStyle name="Normal_Book1" xfId="3" xr:uid="{00000000-0005-0000-0000-00000F000000}"/>
    <cellStyle name="Normal_Operational Activities" xfId="5" xr:uid="{00000000-0005-0000-0000-000010000000}"/>
    <cellStyle name="Percent 2" xfId="4" xr:uid="{00000000-0005-0000-0000-000011000000}"/>
    <cellStyle name="Percent 3" xfId="8" xr:uid="{00000000-0005-0000-0000-000012000000}"/>
  </cellStyles>
  <dxfs count="2">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QA!$S$13</c:f>
              <c:strCache>
                <c:ptCount val="1"/>
                <c:pt idx="0">
                  <c:v>Stations</c:v>
                </c:pt>
              </c:strCache>
            </c:strRef>
          </c:tx>
          <c:spPr>
            <a:ln w="28575" cap="rnd">
              <a:solidFill>
                <a:schemeClr val="accent1"/>
              </a:solidFill>
              <a:round/>
            </a:ln>
            <a:effectLst/>
          </c:spPr>
          <c:marker>
            <c:symbol val="none"/>
          </c:marker>
          <c:cat>
            <c:strRef>
              <c:f>QA!$R$14:$R$23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QA!$S$14:$S$23</c:f>
              <c:numCache>
                <c:formatCode>#,##0</c:formatCode>
                <c:ptCount val="10"/>
                <c:pt idx="0">
                  <c:v>1439</c:v>
                </c:pt>
                <c:pt idx="1">
                  <c:v>1435</c:v>
                </c:pt>
                <c:pt idx="2">
                  <c:v>1422</c:v>
                </c:pt>
                <c:pt idx="3">
                  <c:v>1416</c:v>
                </c:pt>
                <c:pt idx="4">
                  <c:v>1407</c:v>
                </c:pt>
                <c:pt idx="5">
                  <c:v>1409</c:v>
                </c:pt>
                <c:pt idx="6">
                  <c:v>1400</c:v>
                </c:pt>
                <c:pt idx="7">
                  <c:v>1400</c:v>
                </c:pt>
                <c:pt idx="8">
                  <c:v>1394</c:v>
                </c:pt>
                <c:pt idx="9">
                  <c:v>1395</c:v>
                </c:pt>
              </c:numCache>
            </c:numRef>
          </c:val>
          <c:smooth val="0"/>
          <c:extLst>
            <c:ext xmlns:c16="http://schemas.microsoft.com/office/drawing/2014/chart" uri="{C3380CC4-5D6E-409C-BE32-E72D297353CC}">
              <c16:uniqueId val="{00000000-FE86-490F-AFC5-F7A38518225C}"/>
            </c:ext>
          </c:extLst>
        </c:ser>
        <c:dLbls>
          <c:showLegendKey val="0"/>
          <c:showVal val="0"/>
          <c:showCatName val="0"/>
          <c:showSerName val="0"/>
          <c:showPercent val="0"/>
          <c:showBubbleSize val="0"/>
        </c:dLbls>
        <c:smooth val="0"/>
        <c:axId val="360660216"/>
        <c:axId val="360662960"/>
      </c:lineChart>
      <c:catAx>
        <c:axId val="36066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2960"/>
        <c:crosses val="autoZero"/>
        <c:auto val="1"/>
        <c:lblAlgn val="ctr"/>
        <c:lblOffset val="100"/>
        <c:noMultiLvlLbl val="0"/>
      </c:catAx>
      <c:valAx>
        <c:axId val="360662960"/>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QA!$T$13</c:f>
              <c:strCache>
                <c:ptCount val="1"/>
                <c:pt idx="0">
                  <c:v>Operational Appliances</c:v>
                </c:pt>
              </c:strCache>
            </c:strRef>
          </c:tx>
          <c:spPr>
            <a:ln w="28575" cap="rnd">
              <a:solidFill>
                <a:schemeClr val="accent1"/>
              </a:solidFill>
              <a:round/>
            </a:ln>
            <a:effectLst/>
          </c:spPr>
          <c:marker>
            <c:symbol val="none"/>
          </c:marker>
          <c:cat>
            <c:strRef>
              <c:f>QA!$R$14:$R$23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QA!$T$14:$T$23</c:f>
              <c:numCache>
                <c:formatCode>#,##0</c:formatCode>
                <c:ptCount val="10"/>
                <c:pt idx="0">
                  <c:v>3261</c:v>
                </c:pt>
                <c:pt idx="1">
                  <c:v>3323</c:v>
                </c:pt>
                <c:pt idx="2">
                  <c:v>2820</c:v>
                </c:pt>
                <c:pt idx="3">
                  <c:v>3517</c:v>
                </c:pt>
                <c:pt idx="4">
                  <c:v>3738</c:v>
                </c:pt>
                <c:pt idx="5">
                  <c:v>3404</c:v>
                </c:pt>
                <c:pt idx="6">
                  <c:v>3389</c:v>
                </c:pt>
                <c:pt idx="7">
                  <c:v>3201</c:v>
                </c:pt>
                <c:pt idx="8">
                  <c:v>3445</c:v>
                </c:pt>
                <c:pt idx="9">
                  <c:v>3435</c:v>
                </c:pt>
              </c:numCache>
            </c:numRef>
          </c:val>
          <c:smooth val="0"/>
          <c:extLst>
            <c:ext xmlns:c16="http://schemas.microsoft.com/office/drawing/2014/chart" uri="{C3380CC4-5D6E-409C-BE32-E72D297353CC}">
              <c16:uniqueId val="{00000000-9EBC-4199-A230-CA4B47878DFC}"/>
            </c:ext>
          </c:extLst>
        </c:ser>
        <c:dLbls>
          <c:showLegendKey val="0"/>
          <c:showVal val="0"/>
          <c:showCatName val="0"/>
          <c:showSerName val="0"/>
          <c:showPercent val="0"/>
          <c:showBubbleSize val="0"/>
        </c:dLbls>
        <c:smooth val="0"/>
        <c:axId val="360658648"/>
        <c:axId val="360659040"/>
      </c:lineChart>
      <c:catAx>
        <c:axId val="36065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59040"/>
        <c:crosses val="autoZero"/>
        <c:auto val="1"/>
        <c:lblAlgn val="ctr"/>
        <c:lblOffset val="100"/>
        <c:noMultiLvlLbl val="0"/>
      </c:catAx>
      <c:valAx>
        <c:axId val="360659040"/>
        <c:scaling>
          <c:orientation val="minMax"/>
          <c:min val="2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58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QA!$U$13</c:f>
              <c:strCache>
                <c:ptCount val="1"/>
                <c:pt idx="0">
                  <c:v>Non Operational Appliancs</c:v>
                </c:pt>
              </c:strCache>
            </c:strRef>
          </c:tx>
          <c:spPr>
            <a:ln w="28575" cap="rnd">
              <a:solidFill>
                <a:schemeClr val="accent1"/>
              </a:solidFill>
              <a:round/>
            </a:ln>
            <a:effectLst/>
          </c:spPr>
          <c:marker>
            <c:symbol val="none"/>
          </c:marker>
          <c:cat>
            <c:strRef>
              <c:f>QA!$R$14:$R$23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QA!$U$14:$U$23</c:f>
              <c:numCache>
                <c:formatCode>#,##0</c:formatCode>
                <c:ptCount val="10"/>
                <c:pt idx="0">
                  <c:v>5782</c:v>
                </c:pt>
                <c:pt idx="1">
                  <c:v>5959</c:v>
                </c:pt>
                <c:pt idx="2">
                  <c:v>5846</c:v>
                </c:pt>
                <c:pt idx="3">
                  <c:v>5504</c:v>
                </c:pt>
                <c:pt idx="4">
                  <c:v>5632</c:v>
                </c:pt>
                <c:pt idx="5">
                  <c:v>5548</c:v>
                </c:pt>
                <c:pt idx="6">
                  <c:v>5692</c:v>
                </c:pt>
                <c:pt idx="7">
                  <c:v>5831</c:v>
                </c:pt>
                <c:pt idx="8">
                  <c:v>5609</c:v>
                </c:pt>
                <c:pt idx="9">
                  <c:v>5740</c:v>
                </c:pt>
              </c:numCache>
            </c:numRef>
          </c:val>
          <c:smooth val="0"/>
          <c:extLst>
            <c:ext xmlns:c16="http://schemas.microsoft.com/office/drawing/2014/chart" uri="{C3380CC4-5D6E-409C-BE32-E72D297353CC}">
              <c16:uniqueId val="{00000000-35C4-4B23-9272-44BE89277BDA}"/>
            </c:ext>
          </c:extLst>
        </c:ser>
        <c:dLbls>
          <c:showLegendKey val="0"/>
          <c:showVal val="0"/>
          <c:showCatName val="0"/>
          <c:showSerName val="0"/>
          <c:showPercent val="0"/>
          <c:showBubbleSize val="0"/>
        </c:dLbls>
        <c:smooth val="0"/>
        <c:axId val="360665704"/>
        <c:axId val="360666096"/>
      </c:lineChart>
      <c:catAx>
        <c:axId val="36066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66096"/>
        <c:crosses val="autoZero"/>
        <c:auto val="1"/>
        <c:lblAlgn val="ctr"/>
        <c:lblOffset val="100"/>
        <c:noMultiLvlLbl val="0"/>
      </c:catAx>
      <c:valAx>
        <c:axId val="360666096"/>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5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38100</xdr:colOff>
      <xdr:row>24</xdr:row>
      <xdr:rowOff>23812</xdr:rowOff>
    </xdr:from>
    <xdr:to>
      <xdr:col>22</xdr:col>
      <xdr:colOff>314325</xdr:colOff>
      <xdr:row>34</xdr:row>
      <xdr:rowOff>142875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28575</xdr:colOff>
      <xdr:row>11</xdr:row>
      <xdr:rowOff>47625</xdr:rowOff>
    </xdr:from>
    <xdr:to>
      <xdr:col>29</xdr:col>
      <xdr:colOff>419100</xdr:colOff>
      <xdr:row>21</xdr:row>
      <xdr:rowOff>166688</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19050</xdr:colOff>
      <xdr:row>22</xdr:row>
      <xdr:rowOff>28575</xdr:rowOff>
    </xdr:from>
    <xdr:to>
      <xdr:col>29</xdr:col>
      <xdr:colOff>409575</xdr:colOff>
      <xdr:row>32</xdr:row>
      <xdr:rowOff>147638</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nformation%20Services\Surveys\Public%20Protection\Fire%20and%20Rescue%20Service\2019\fire19_mai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2019</v>
          </cell>
        </row>
      </sheetData>
      <sheetData sheetId="2"/>
      <sheetData sheetId="3"/>
      <sheetData sheetId="4"/>
      <sheetData sheetId="5"/>
      <sheetData sheetId="6"/>
      <sheetData sheetId="7">
        <row r="9">
          <cell r="B9" t="str">
            <v>FLAS</v>
          </cell>
          <cell r="C9" t="str">
            <v>Authority</v>
          </cell>
          <cell r="D9" t="str">
            <v>FIRE5000</v>
          </cell>
          <cell r="E9" t="str">
            <v>FIRE5101</v>
          </cell>
          <cell r="F9" t="str">
            <v>FIRE5103</v>
          </cell>
          <cell r="G9" t="str">
            <v>FIRE5104</v>
          </cell>
          <cell r="H9" t="str">
            <v>FIRE5105</v>
          </cell>
          <cell r="I9" t="str">
            <v>FIRE5106</v>
          </cell>
          <cell r="J9" t="str">
            <v>FIRE5107</v>
          </cell>
          <cell r="K9" t="str">
            <v>FIRE5108</v>
          </cell>
          <cell r="L9" t="str">
            <v>FIRE5102</v>
          </cell>
        </row>
        <row r="10">
          <cell r="B10" t="str">
            <v>E0801</v>
          </cell>
          <cell r="C10" t="str">
            <v>Cornwall</v>
          </cell>
          <cell r="D10">
            <v>1.5945909222079946</v>
          </cell>
          <cell r="E10">
            <v>23245.090999999979</v>
          </cell>
          <cell r="F10">
            <v>0</v>
          </cell>
          <cell r="G10">
            <v>0</v>
          </cell>
          <cell r="H10">
            <v>0</v>
          </cell>
          <cell r="I10">
            <v>0</v>
          </cell>
          <cell r="J10">
            <v>0</v>
          </cell>
          <cell r="K10">
            <v>0</v>
          </cell>
          <cell r="L10">
            <v>23143.966090999984</v>
          </cell>
          <cell r="P10" t="str">
            <v>Cornwall</v>
          </cell>
          <cell r="Q10">
            <v>1.5945909222079946</v>
          </cell>
          <cell r="R10">
            <v>23245.090999999979</v>
          </cell>
          <cell r="S10">
            <v>0</v>
          </cell>
          <cell r="T10">
            <v>0</v>
          </cell>
          <cell r="U10">
            <v>0</v>
          </cell>
          <cell r="V10">
            <v>0</v>
          </cell>
          <cell r="W10">
            <v>0</v>
          </cell>
          <cell r="X10">
            <v>0</v>
          </cell>
          <cell r="Y10">
            <v>23143.966090999984</v>
          </cell>
        </row>
        <row r="11">
          <cell r="B11" t="str">
            <v>E0920</v>
          </cell>
          <cell r="C11" t="str">
            <v>Cumbria</v>
          </cell>
          <cell r="D11">
            <v>0.73128986310294808</v>
          </cell>
          <cell r="E11">
            <v>19276</v>
          </cell>
          <cell r="F11">
            <v>13.276231263383298</v>
          </cell>
          <cell r="G11">
            <v>13.323336665555926</v>
          </cell>
          <cell r="H11">
            <v>0</v>
          </cell>
          <cell r="I11">
            <v>0</v>
          </cell>
          <cell r="J11">
            <v>0</v>
          </cell>
          <cell r="K11">
            <v>13.321013727560718</v>
          </cell>
          <cell r="L11">
            <v>20444</v>
          </cell>
          <cell r="P11" t="str">
            <v>Cumbria</v>
          </cell>
          <cell r="Q11">
            <v>0.73128986310294808</v>
          </cell>
          <cell r="R11">
            <v>21157</v>
          </cell>
          <cell r="S11">
            <v>12.085769980506821</v>
          </cell>
          <cell r="T11">
            <v>12.119222025764081</v>
          </cell>
          <cell r="U11">
            <v>0</v>
          </cell>
          <cell r="V11">
            <v>0</v>
          </cell>
          <cell r="W11">
            <v>0</v>
          </cell>
          <cell r="X11">
            <v>12.117573603573316</v>
          </cell>
          <cell r="Y11">
            <v>23737</v>
          </cell>
        </row>
        <row r="12">
          <cell r="B12" t="str">
            <v>E1620</v>
          </cell>
          <cell r="C12" t="str">
            <v>Gloucestershire</v>
          </cell>
          <cell r="D12">
            <v>2.3882117326102965</v>
          </cell>
          <cell r="E12">
            <v>28819</v>
          </cell>
          <cell r="F12">
            <v>62.207670720299348</v>
          </cell>
          <cell r="G12">
            <v>69.646714514667963</v>
          </cell>
          <cell r="H12">
            <v>-33.333333333333329</v>
          </cell>
          <cell r="I12">
            <v>0</v>
          </cell>
          <cell r="J12">
            <v>0</v>
          </cell>
          <cell r="K12">
            <v>68.265351860152407</v>
          </cell>
          <cell r="L12">
            <v>22494</v>
          </cell>
          <cell r="P12" t="str">
            <v>Gloucestershire</v>
          </cell>
          <cell r="Q12">
            <v>2.3882117326102965</v>
          </cell>
          <cell r="R12">
            <v>28819</v>
          </cell>
          <cell r="S12">
            <v>62.207670720299348</v>
          </cell>
          <cell r="T12">
            <v>69.646714514667963</v>
          </cell>
          <cell r="U12">
            <v>-33.333333333333329</v>
          </cell>
          <cell r="V12">
            <v>0</v>
          </cell>
          <cell r="W12">
            <v>0</v>
          </cell>
          <cell r="X12">
            <v>68.265351860152407</v>
          </cell>
          <cell r="Y12">
            <v>22494</v>
          </cell>
        </row>
        <row r="13">
          <cell r="B13" t="str">
            <v>E1920</v>
          </cell>
          <cell r="C13" t="str">
            <v>Hertfordshire</v>
          </cell>
          <cell r="D13">
            <v>7.2084797137349845</v>
          </cell>
          <cell r="E13">
            <v>47414</v>
          </cell>
          <cell r="F13">
            <v>21.828908554572273</v>
          </cell>
          <cell r="G13">
            <v>11.508512603932955</v>
          </cell>
          <cell r="H13">
            <v>0</v>
          </cell>
          <cell r="I13">
            <v>100</v>
          </cell>
          <cell r="J13">
            <v>11.5</v>
          </cell>
          <cell r="K13">
            <v>12.026326776197843</v>
          </cell>
          <cell r="L13">
            <v>40884</v>
          </cell>
          <cell r="P13" t="str">
            <v>Hertfordshire</v>
          </cell>
          <cell r="Q13">
            <v>7.2084797137349845</v>
          </cell>
          <cell r="R13">
            <v>47414</v>
          </cell>
          <cell r="S13">
            <v>21.828908554572273</v>
          </cell>
          <cell r="T13">
            <v>11.508512603932955</v>
          </cell>
          <cell r="U13">
            <v>0</v>
          </cell>
          <cell r="V13">
            <v>100</v>
          </cell>
          <cell r="W13">
            <v>11.5</v>
          </cell>
          <cell r="X13">
            <v>12.026326776197843</v>
          </cell>
          <cell r="Y13">
            <v>40884</v>
          </cell>
        </row>
        <row r="14">
          <cell r="B14" t="str">
            <v>E2101</v>
          </cell>
          <cell r="C14" t="str">
            <v>Isle of Wight</v>
          </cell>
          <cell r="D14">
            <v>3.7274636624977906</v>
          </cell>
          <cell r="E14">
            <v>7105.9020900000014</v>
          </cell>
          <cell r="F14">
            <v>6.0398078242964992</v>
          </cell>
          <cell r="G14">
            <v>4.3965229020394512</v>
          </cell>
          <cell r="H14">
            <v>0</v>
          </cell>
          <cell r="I14">
            <v>0</v>
          </cell>
          <cell r="J14">
            <v>0</v>
          </cell>
          <cell r="K14">
            <v>4.7183761258233634</v>
          </cell>
          <cell r="L14">
            <v>7522.2895546791315</v>
          </cell>
          <cell r="P14" t="str">
            <v>Isle of Wight</v>
          </cell>
          <cell r="Q14">
            <v>3.7274636624977906</v>
          </cell>
          <cell r="R14">
            <v>7105.9020900000014</v>
          </cell>
          <cell r="S14">
            <v>6.0398078242964992</v>
          </cell>
          <cell r="T14">
            <v>4.3965229020394512</v>
          </cell>
          <cell r="U14">
            <v>0</v>
          </cell>
          <cell r="V14">
            <v>0</v>
          </cell>
          <cell r="W14">
            <v>0</v>
          </cell>
          <cell r="X14">
            <v>4.7183761258233634</v>
          </cell>
          <cell r="Y14">
            <v>7522.2895546791315</v>
          </cell>
        </row>
        <row r="15">
          <cell r="B15" t="str">
            <v>E2520</v>
          </cell>
          <cell r="C15" t="str">
            <v>Lincolnshire</v>
          </cell>
          <cell r="D15">
            <v>1.2729738901736809</v>
          </cell>
          <cell r="E15">
            <v>27503</v>
          </cell>
          <cell r="F15">
            <v>17.14527027027027</v>
          </cell>
          <cell r="G15">
            <v>10.622610595303113</v>
          </cell>
          <cell r="H15">
            <v>0</v>
          </cell>
          <cell r="I15">
            <v>0</v>
          </cell>
          <cell r="J15">
            <v>0</v>
          </cell>
          <cell r="K15">
            <v>10.910582444626742</v>
          </cell>
          <cell r="L15">
            <v>27093</v>
          </cell>
          <cell r="P15" t="str">
            <v>Lincolnshire</v>
          </cell>
          <cell r="Q15">
            <v>1.2729738901736809</v>
          </cell>
          <cell r="R15">
            <v>27503</v>
          </cell>
          <cell r="S15">
            <v>100</v>
          </cell>
          <cell r="T15">
            <v>100</v>
          </cell>
          <cell r="U15">
            <v>0</v>
          </cell>
          <cell r="V15">
            <v>0</v>
          </cell>
          <cell r="W15">
            <v>0</v>
          </cell>
          <cell r="X15">
            <v>100</v>
          </cell>
          <cell r="Y15">
            <v>27093</v>
          </cell>
        </row>
        <row r="16">
          <cell r="B16" t="str">
            <v>E2820</v>
          </cell>
          <cell r="C16" t="str">
            <v>Northamptonshire</v>
          </cell>
          <cell r="D16">
            <v>3.1584418674536803</v>
          </cell>
          <cell r="E16">
            <v>30131.91201751375</v>
          </cell>
          <cell r="F16" t="str">
            <v>..</v>
          </cell>
          <cell r="G16" t="str">
            <v>..</v>
          </cell>
          <cell r="H16" t="str">
            <v>..</v>
          </cell>
          <cell r="I16" t="str">
            <v>..</v>
          </cell>
          <cell r="J16" t="str">
            <v>..</v>
          </cell>
          <cell r="K16" t="str">
            <v>..</v>
          </cell>
          <cell r="L16">
            <v>26287.914000000001</v>
          </cell>
        </row>
        <row r="17">
          <cell r="B17" t="str">
            <v>E2620</v>
          </cell>
          <cell r="C17" t="str">
            <v>Norfolk</v>
          </cell>
          <cell r="D17">
            <v>1.6792386272230728</v>
          </cell>
          <cell r="E17">
            <v>31589</v>
          </cell>
          <cell r="F17">
            <v>30.364963503649633</v>
          </cell>
          <cell r="G17">
            <v>34.138740192124367</v>
          </cell>
          <cell r="H17">
            <v>33.915211970074814</v>
          </cell>
          <cell r="I17">
            <v>100</v>
          </cell>
          <cell r="J17">
            <v>0</v>
          </cell>
          <cell r="K17">
            <v>36.690979900326745</v>
          </cell>
          <cell r="L17">
            <v>31919</v>
          </cell>
          <cell r="P17" t="str">
            <v>Norfolk</v>
          </cell>
          <cell r="Q17">
            <v>1.6792386272230728</v>
          </cell>
          <cell r="R17">
            <v>31589</v>
          </cell>
          <cell r="S17">
            <v>30.364963503649633</v>
          </cell>
          <cell r="T17">
            <v>34.138740192124367</v>
          </cell>
          <cell r="U17">
            <v>33.915211970074814</v>
          </cell>
          <cell r="V17">
            <v>100</v>
          </cell>
          <cell r="W17">
            <v>0</v>
          </cell>
          <cell r="X17">
            <v>36.690979900326745</v>
          </cell>
          <cell r="Y17">
            <v>31920</v>
          </cell>
        </row>
        <row r="18">
          <cell r="B18" t="str">
            <v>E2901</v>
          </cell>
          <cell r="C18" t="str">
            <v>Northumberland</v>
          </cell>
          <cell r="D18">
            <v>0.63725930827342436</v>
          </cell>
          <cell r="E18">
            <v>15531</v>
          </cell>
          <cell r="F18">
            <v>0</v>
          </cell>
          <cell r="G18">
            <v>0</v>
          </cell>
          <cell r="H18">
            <v>0</v>
          </cell>
          <cell r="I18">
            <v>0</v>
          </cell>
          <cell r="J18">
            <v>0</v>
          </cell>
          <cell r="K18">
            <v>0</v>
          </cell>
          <cell r="L18">
            <v>16902</v>
          </cell>
          <cell r="P18" t="str">
            <v>Northamptonshire</v>
          </cell>
          <cell r="Q18">
            <v>3.1584418674536803</v>
          </cell>
          <cell r="R18">
            <v>20742.453197513754</v>
          </cell>
          <cell r="S18" t="str">
            <v>..</v>
          </cell>
          <cell r="T18" t="str">
            <v>..</v>
          </cell>
          <cell r="U18" t="str">
            <v>..</v>
          </cell>
          <cell r="V18" t="str">
            <v>..</v>
          </cell>
          <cell r="W18" t="str">
            <v>..</v>
          </cell>
          <cell r="X18" t="str">
            <v>..</v>
          </cell>
          <cell r="Y18">
            <v>26287.914000000001</v>
          </cell>
        </row>
        <row r="19">
          <cell r="B19" t="str">
            <v>E3120</v>
          </cell>
          <cell r="C19" t="str">
            <v>Oxfordshire</v>
          </cell>
          <cell r="D19">
            <v>2.6381958961183982</v>
          </cell>
          <cell r="E19">
            <v>29287</v>
          </cell>
          <cell r="F19" t="str">
            <v>..</v>
          </cell>
          <cell r="G19" t="str">
            <v>..</v>
          </cell>
          <cell r="H19" t="str">
            <v>..</v>
          </cell>
          <cell r="I19" t="str">
            <v>..</v>
          </cell>
          <cell r="J19" t="str">
            <v>..</v>
          </cell>
          <cell r="K19" t="str">
            <v>..</v>
          </cell>
          <cell r="L19">
            <v>25078</v>
          </cell>
          <cell r="P19" t="str">
            <v>Northumberland</v>
          </cell>
          <cell r="Q19">
            <v>0.63725930827342436</v>
          </cell>
          <cell r="R19">
            <v>15531</v>
          </cell>
          <cell r="S19">
            <v>114.37908496732025</v>
          </cell>
          <cell r="T19">
            <v>109.74328178952109</v>
          </cell>
          <cell r="U19">
            <v>103.03030303030303</v>
          </cell>
          <cell r="V19">
            <v>0</v>
          </cell>
          <cell r="W19">
            <v>0</v>
          </cell>
          <cell r="X19">
            <v>109.78447045389666</v>
          </cell>
          <cell r="Y19">
            <v>16902</v>
          </cell>
        </row>
        <row r="20">
          <cell r="B20" t="str">
            <v>E3520</v>
          </cell>
          <cell r="C20" t="str">
            <v>Suffolk</v>
          </cell>
          <cell r="D20">
            <v>1.9950847696685678</v>
          </cell>
          <cell r="E20">
            <v>23956</v>
          </cell>
          <cell r="F20">
            <v>6.6229116945107398</v>
          </cell>
          <cell r="G20">
            <v>6.643737211023554</v>
          </cell>
          <cell r="H20">
            <v>6.7385444743935308</v>
          </cell>
          <cell r="I20">
            <v>0</v>
          </cell>
          <cell r="J20">
            <v>0</v>
          </cell>
          <cell r="K20">
            <v>6.6299664911440876</v>
          </cell>
          <cell r="L20">
            <v>21735</v>
          </cell>
          <cell r="P20" t="str">
            <v>Oxfordshire</v>
          </cell>
          <cell r="Q20">
            <v>2.6381958961183982</v>
          </cell>
          <cell r="R20">
            <v>29287</v>
          </cell>
          <cell r="S20" t="str">
            <v>..</v>
          </cell>
          <cell r="T20" t="str">
            <v>..</v>
          </cell>
          <cell r="U20" t="str">
            <v>..</v>
          </cell>
          <cell r="V20" t="str">
            <v>..</v>
          </cell>
          <cell r="W20" t="str">
            <v>..</v>
          </cell>
          <cell r="X20" t="str">
            <v>..</v>
          </cell>
          <cell r="Y20" t="str">
            <v>..</v>
          </cell>
        </row>
        <row r="21">
          <cell r="B21" t="str">
            <v>E3620</v>
          </cell>
          <cell r="C21" t="str">
            <v>Surrey</v>
          </cell>
          <cell r="D21">
            <v>7.124836975718372</v>
          </cell>
          <cell r="E21">
            <v>41209</v>
          </cell>
          <cell r="F21">
            <v>0</v>
          </cell>
          <cell r="G21">
            <v>24.750334603109238</v>
          </cell>
          <cell r="H21">
            <v>0</v>
          </cell>
          <cell r="I21">
            <v>0</v>
          </cell>
          <cell r="J21">
            <v>0</v>
          </cell>
          <cell r="K21">
            <v>17.147340640528778</v>
          </cell>
          <cell r="L21">
            <v>39007</v>
          </cell>
          <cell r="P21" t="str">
            <v>Suffolk</v>
          </cell>
          <cell r="Q21">
            <v>1.9950847696685678</v>
          </cell>
          <cell r="R21">
            <v>23956</v>
          </cell>
          <cell r="S21">
            <v>6.6229116945107398</v>
          </cell>
          <cell r="T21">
            <v>6.643737211023554</v>
          </cell>
          <cell r="U21">
            <v>6.7385444743935308</v>
          </cell>
          <cell r="V21">
            <v>0</v>
          </cell>
          <cell r="W21">
            <v>0</v>
          </cell>
          <cell r="X21">
            <v>6.6299664911440876</v>
          </cell>
          <cell r="Y21">
            <v>21735</v>
          </cell>
        </row>
        <row r="22">
          <cell r="B22" t="str">
            <v>E3720</v>
          </cell>
          <cell r="C22" t="str">
            <v>Warwickshire</v>
          </cell>
          <cell r="D22">
            <v>2.8874510517628953</v>
          </cell>
          <cell r="E22">
            <v>26460</v>
          </cell>
          <cell r="F22">
            <v>36.70676068021568</v>
          </cell>
          <cell r="G22">
            <v>36.436359326854706</v>
          </cell>
          <cell r="H22">
            <v>35.930735930735928</v>
          </cell>
          <cell r="I22">
            <v>0</v>
          </cell>
          <cell r="J22">
            <v>0</v>
          </cell>
          <cell r="K22">
            <v>36.484657039711195</v>
          </cell>
          <cell r="L22">
            <v>26921</v>
          </cell>
          <cell r="P22" t="str">
            <v>Surrey</v>
          </cell>
          <cell r="Q22">
            <v>7.124836975718372</v>
          </cell>
          <cell r="R22">
            <v>41209</v>
          </cell>
          <cell r="S22">
            <v>125.47438330170777</v>
          </cell>
          <cell r="T22">
            <v>124.23899241566285</v>
          </cell>
          <cell r="U22">
            <v>68.085106382978722</v>
          </cell>
          <cell r="V22">
            <v>0</v>
          </cell>
          <cell r="W22">
            <v>0</v>
          </cell>
          <cell r="X22">
            <v>92.743526950236571</v>
          </cell>
          <cell r="Y22">
            <v>39007</v>
          </cell>
        </row>
        <row r="23">
          <cell r="B23" t="str">
            <v>E3820</v>
          </cell>
          <cell r="C23" t="str">
            <v>West Sussex</v>
          </cell>
          <cell r="D23">
            <v>4.3141906130867191</v>
          </cell>
          <cell r="E23" t="str">
            <v>..</v>
          </cell>
          <cell r="F23" t="str">
            <v>..</v>
          </cell>
          <cell r="G23" t="str">
            <v>..</v>
          </cell>
          <cell r="H23" t="str">
            <v>..</v>
          </cell>
          <cell r="I23" t="str">
            <v>..</v>
          </cell>
          <cell r="J23" t="str">
            <v>..</v>
          </cell>
          <cell r="K23" t="str">
            <v>..</v>
          </cell>
          <cell r="L23" t="str">
            <v>..</v>
          </cell>
          <cell r="P23" t="str">
            <v>Warwickshire</v>
          </cell>
          <cell r="Q23">
            <v>2.8874510517628953</v>
          </cell>
          <cell r="R23">
            <v>26460</v>
          </cell>
          <cell r="S23">
            <v>36.70676068021568</v>
          </cell>
          <cell r="T23">
            <v>36.436359326854706</v>
          </cell>
          <cell r="U23">
            <v>35.930735930735928</v>
          </cell>
          <cell r="V23">
            <v>0</v>
          </cell>
          <cell r="W23">
            <v>0</v>
          </cell>
          <cell r="X23">
            <v>36.484657039711195</v>
          </cell>
          <cell r="Y23">
            <v>26921</v>
          </cell>
        </row>
        <row r="24">
          <cell r="B24" t="str">
            <v>E4001</v>
          </cell>
          <cell r="C24" t="str">
            <v>Isles of Scilly</v>
          </cell>
          <cell r="D24">
            <v>1.3465870140045049</v>
          </cell>
          <cell r="E24" t="str">
            <v>..</v>
          </cell>
          <cell r="F24" t="str">
            <v>..</v>
          </cell>
          <cell r="G24" t="str">
            <v>..</v>
          </cell>
          <cell r="H24" t="str">
            <v>..</v>
          </cell>
          <cell r="I24" t="str">
            <v>..</v>
          </cell>
          <cell r="J24" t="str">
            <v>..</v>
          </cell>
          <cell r="K24" t="str">
            <v>..</v>
          </cell>
          <cell r="L24" t="str">
            <v>..</v>
          </cell>
          <cell r="P24" t="str">
            <v>West Sussex</v>
          </cell>
          <cell r="Q24">
            <v>4.3141906130867191</v>
          </cell>
          <cell r="R24" t="str">
            <v>..</v>
          </cell>
          <cell r="S24" t="str">
            <v>..</v>
          </cell>
          <cell r="T24" t="str">
            <v>..</v>
          </cell>
          <cell r="U24" t="str">
            <v>..</v>
          </cell>
          <cell r="V24" t="str">
            <v>..</v>
          </cell>
          <cell r="W24" t="str">
            <v>..</v>
          </cell>
          <cell r="X24" t="str">
            <v>..</v>
          </cell>
          <cell r="Y24" t="str">
            <v>..</v>
          </cell>
        </row>
        <row r="25">
          <cell r="B25" t="str">
            <v>E6101</v>
          </cell>
          <cell r="C25" t="str">
            <v>Avon</v>
          </cell>
          <cell r="D25">
            <v>8.6459977286243461</v>
          </cell>
          <cell r="E25">
            <v>67817.915800000002</v>
          </cell>
          <cell r="F25">
            <v>30.725053840631727</v>
          </cell>
          <cell r="G25">
            <v>30.825583829201925</v>
          </cell>
          <cell r="H25">
            <v>0</v>
          </cell>
          <cell r="I25">
            <v>30.720783764870539</v>
          </cell>
          <cell r="J25">
            <v>30.866425992779785</v>
          </cell>
          <cell r="K25">
            <v>30.814927247984926</v>
          </cell>
          <cell r="L25">
            <v>48140.06086403333</v>
          </cell>
          <cell r="P25" t="str">
            <v>Isles of Scilly</v>
          </cell>
          <cell r="Q25">
            <v>1.3465870140045049</v>
          </cell>
          <cell r="R25" t="str">
            <v>..</v>
          </cell>
          <cell r="S25" t="str">
            <v>..</v>
          </cell>
          <cell r="T25" t="str">
            <v>..</v>
          </cell>
          <cell r="U25" t="str">
            <v>..</v>
          </cell>
          <cell r="V25" t="str">
            <v>..</v>
          </cell>
          <cell r="W25" t="str">
            <v>..</v>
          </cell>
          <cell r="X25" t="str">
            <v>..</v>
          </cell>
          <cell r="Y25" t="str">
            <v>..</v>
          </cell>
        </row>
        <row r="26">
          <cell r="B26" t="str">
            <v>E6102</v>
          </cell>
          <cell r="C26" t="str">
            <v>Bedfordshire</v>
          </cell>
          <cell r="D26">
            <v>5.4175640291232314</v>
          </cell>
          <cell r="E26">
            <v>27339</v>
          </cell>
          <cell r="F26" t="str">
            <v>..</v>
          </cell>
          <cell r="G26" t="str">
            <v>..</v>
          </cell>
          <cell r="H26" t="str">
            <v>..</v>
          </cell>
          <cell r="I26" t="str">
            <v>..</v>
          </cell>
          <cell r="J26" t="str">
            <v>..</v>
          </cell>
          <cell r="K26" t="str">
            <v>..</v>
          </cell>
          <cell r="L26">
            <v>29478</v>
          </cell>
          <cell r="P26" t="str">
            <v>Avon</v>
          </cell>
          <cell r="Q26">
            <v>8.6459977286243461</v>
          </cell>
          <cell r="R26" t="str">
            <v>..</v>
          </cell>
          <cell r="S26" t="str">
            <v>..</v>
          </cell>
          <cell r="T26" t="str">
            <v>..</v>
          </cell>
          <cell r="U26" t="str">
            <v>..</v>
          </cell>
          <cell r="V26" t="str">
            <v>..</v>
          </cell>
          <cell r="W26" t="str">
            <v>..</v>
          </cell>
          <cell r="X26" t="str">
            <v>..</v>
          </cell>
          <cell r="Y26" t="str">
            <v>..</v>
          </cell>
        </row>
        <row r="27">
          <cell r="B27" t="str">
            <v>E6103</v>
          </cell>
          <cell r="C27" t="str">
            <v>Berkshire</v>
          </cell>
          <cell r="D27">
            <v>7.2110934055761353</v>
          </cell>
          <cell r="E27">
            <v>34054</v>
          </cell>
          <cell r="F27" t="str">
            <v>..</v>
          </cell>
          <cell r="G27" t="str">
            <v>..</v>
          </cell>
          <cell r="H27" t="str">
            <v>..</v>
          </cell>
          <cell r="I27" t="str">
            <v>..</v>
          </cell>
          <cell r="J27" t="str">
            <v>..</v>
          </cell>
          <cell r="K27" t="str">
            <v>..</v>
          </cell>
          <cell r="L27">
            <v>33862</v>
          </cell>
          <cell r="P27" t="str">
            <v>Bedfordshire</v>
          </cell>
          <cell r="Q27">
            <v>5.4175640291232314</v>
          </cell>
          <cell r="R27">
            <v>25654</v>
          </cell>
          <cell r="S27" t="str">
            <v>..</v>
          </cell>
          <cell r="T27" t="str">
            <v>..</v>
          </cell>
          <cell r="U27" t="str">
            <v>..</v>
          </cell>
          <cell r="V27" t="str">
            <v>..</v>
          </cell>
          <cell r="W27" t="str">
            <v>..</v>
          </cell>
          <cell r="X27" t="str">
            <v>..</v>
          </cell>
          <cell r="Y27">
            <v>29478</v>
          </cell>
        </row>
        <row r="28">
          <cell r="B28" t="str">
            <v>E6104</v>
          </cell>
          <cell r="C28" t="str">
            <v>Buckinghamshire</v>
          </cell>
          <cell r="D28">
            <v>4.3163452474140618</v>
          </cell>
          <cell r="E28">
            <v>31633</v>
          </cell>
          <cell r="F28" t="str">
            <v>..</v>
          </cell>
          <cell r="G28" t="str">
            <v>..</v>
          </cell>
          <cell r="H28" t="str">
            <v>..</v>
          </cell>
          <cell r="I28" t="str">
            <v>..</v>
          </cell>
          <cell r="J28" t="str">
            <v>..</v>
          </cell>
          <cell r="K28" t="str">
            <v>..</v>
          </cell>
          <cell r="L28">
            <v>34316</v>
          </cell>
          <cell r="P28" t="str">
            <v>Berkshire</v>
          </cell>
          <cell r="Q28">
            <v>7.2110934055761353</v>
          </cell>
          <cell r="R28">
            <v>34054</v>
          </cell>
          <cell r="S28" t="str">
            <v>..</v>
          </cell>
          <cell r="T28" t="str">
            <v>..</v>
          </cell>
          <cell r="U28" t="str">
            <v>..</v>
          </cell>
          <cell r="V28" t="str">
            <v>..</v>
          </cell>
          <cell r="W28" t="str">
            <v>..</v>
          </cell>
          <cell r="X28" t="str">
            <v>..</v>
          </cell>
          <cell r="Y28">
            <v>33862</v>
          </cell>
        </row>
        <row r="29">
          <cell r="B29" t="str">
            <v>E6105</v>
          </cell>
          <cell r="C29" t="str">
            <v>Cambridgeshire</v>
          </cell>
          <cell r="D29">
            <v>2.5103857825412845</v>
          </cell>
          <cell r="E29">
            <v>43477</v>
          </cell>
          <cell r="F29">
            <v>52.030456852791872</v>
          </cell>
          <cell r="G29">
            <v>52.335400059049306</v>
          </cell>
          <cell r="H29">
            <v>51.181102362204726</v>
          </cell>
          <cell r="I29">
            <v>0</v>
          </cell>
          <cell r="J29">
            <v>0</v>
          </cell>
          <cell r="K29">
            <v>51.280882227224801</v>
          </cell>
          <cell r="L29">
            <v>45968</v>
          </cell>
          <cell r="P29" t="str">
            <v>Buckinghamshire</v>
          </cell>
          <cell r="Q29">
            <v>4.3163452474140618</v>
          </cell>
          <cell r="R29">
            <v>31633</v>
          </cell>
          <cell r="S29" t="str">
            <v>..</v>
          </cell>
          <cell r="T29" t="str">
            <v>..</v>
          </cell>
          <cell r="U29" t="str">
            <v>..</v>
          </cell>
          <cell r="V29" t="str">
            <v>..</v>
          </cell>
          <cell r="W29" t="str">
            <v>..</v>
          </cell>
          <cell r="X29" t="str">
            <v>..</v>
          </cell>
          <cell r="Y29">
            <v>34316</v>
          </cell>
        </row>
        <row r="30">
          <cell r="B30" t="str">
            <v>E6106</v>
          </cell>
          <cell r="C30" t="str">
            <v>Cheshire</v>
          </cell>
          <cell r="D30">
            <v>4.521143774250139</v>
          </cell>
          <cell r="E30">
            <v>57920</v>
          </cell>
          <cell r="F30">
            <v>3.3568172399502694</v>
          </cell>
          <cell r="G30">
            <v>9.6628407460545205</v>
          </cell>
          <cell r="H30">
            <v>0</v>
          </cell>
          <cell r="I30">
            <v>3.2943676939426139</v>
          </cell>
          <cell r="J30">
            <v>0</v>
          </cell>
          <cell r="K30">
            <v>7.6554321772733944</v>
          </cell>
          <cell r="L30">
            <v>44448</v>
          </cell>
          <cell r="P30" t="str">
            <v>Cambridgeshire</v>
          </cell>
          <cell r="Q30">
            <v>2.5103857825412845</v>
          </cell>
          <cell r="R30">
            <v>43477</v>
          </cell>
          <cell r="S30">
            <v>52.030456852791872</v>
          </cell>
          <cell r="T30">
            <v>52.335400059049306</v>
          </cell>
          <cell r="U30">
            <v>51.181102362204726</v>
          </cell>
          <cell r="V30">
            <v>0</v>
          </cell>
          <cell r="W30">
            <v>0</v>
          </cell>
          <cell r="X30">
            <v>51.280882227224801</v>
          </cell>
          <cell r="Y30">
            <v>45968</v>
          </cell>
        </row>
        <row r="31">
          <cell r="B31" t="str">
            <v>E6107</v>
          </cell>
          <cell r="C31" t="str">
            <v>Cleveland</v>
          </cell>
          <cell r="D31">
            <v>9.5038619066762937</v>
          </cell>
          <cell r="E31">
            <v>30347</v>
          </cell>
          <cell r="F31">
            <v>18.751805836463451</v>
          </cell>
          <cell r="G31">
            <v>26.324437141969003</v>
          </cell>
          <cell r="H31">
            <v>0</v>
          </cell>
          <cell r="I31">
            <v>0</v>
          </cell>
          <cell r="J31">
            <v>0</v>
          </cell>
          <cell r="K31">
            <v>25.142398409725143</v>
          </cell>
          <cell r="L31">
            <v>31178</v>
          </cell>
          <cell r="P31" t="str">
            <v>Cheshire</v>
          </cell>
          <cell r="Q31">
            <v>4.521143774250139</v>
          </cell>
          <cell r="R31">
            <v>57920</v>
          </cell>
          <cell r="S31">
            <v>3.3568172399502694</v>
          </cell>
          <cell r="T31">
            <v>9.6628407460545205</v>
          </cell>
          <cell r="U31">
            <v>0</v>
          </cell>
          <cell r="V31">
            <v>3.2943676939426139</v>
          </cell>
          <cell r="W31">
            <v>0</v>
          </cell>
          <cell r="X31">
            <v>7.6554321772733944</v>
          </cell>
          <cell r="Y31">
            <v>44448</v>
          </cell>
        </row>
        <row r="32">
          <cell r="B32" t="str">
            <v>E6110</v>
          </cell>
          <cell r="C32" t="str">
            <v>Derbyshire</v>
          </cell>
          <cell r="D32">
            <v>4.0067815148030661</v>
          </cell>
          <cell r="E32">
            <v>65579</v>
          </cell>
          <cell r="F32">
            <v>5.9277944190446155</v>
          </cell>
          <cell r="G32">
            <v>5.8382060401470852</v>
          </cell>
          <cell r="H32">
            <v>6.4327485380116958</v>
          </cell>
          <cell r="I32">
            <v>10.68814055636896</v>
          </cell>
          <cell r="J32">
            <v>0</v>
          </cell>
          <cell r="K32">
            <v>5.9368421052631577</v>
          </cell>
          <cell r="L32">
            <v>67545</v>
          </cell>
          <cell r="P32" t="str">
            <v>Cleveland</v>
          </cell>
          <cell r="Q32">
            <v>9.5038619066762937</v>
          </cell>
          <cell r="R32">
            <v>30347</v>
          </cell>
          <cell r="S32">
            <v>18.751805836463451</v>
          </cell>
          <cell r="T32">
            <v>26.324437141969003</v>
          </cell>
          <cell r="U32">
            <v>0</v>
          </cell>
          <cell r="V32">
            <v>0</v>
          </cell>
          <cell r="W32">
            <v>0</v>
          </cell>
          <cell r="X32">
            <v>25.142398409725143</v>
          </cell>
          <cell r="Y32">
            <v>31178</v>
          </cell>
        </row>
        <row r="33">
          <cell r="B33" t="str">
            <v>E6161</v>
          </cell>
          <cell r="C33" t="str">
            <v>Devon and Somerset</v>
          </cell>
          <cell r="D33">
            <v>1.7256474449917896</v>
          </cell>
          <cell r="E33">
            <v>84610</v>
          </cell>
          <cell r="F33">
            <v>28.522420975251162</v>
          </cell>
          <cell r="G33">
            <v>29.028738767190148</v>
          </cell>
          <cell r="H33">
            <v>31.454005934718097</v>
          </cell>
          <cell r="I33">
            <v>40.949820788530467</v>
          </cell>
          <cell r="J33">
            <v>0</v>
          </cell>
          <cell r="K33">
            <v>29.189052609181338</v>
          </cell>
          <cell r="L33">
            <v>85073</v>
          </cell>
          <cell r="P33" t="str">
            <v>Derbyshire</v>
          </cell>
          <cell r="Q33">
            <v>4.0067815148030661</v>
          </cell>
          <cell r="R33">
            <v>65579</v>
          </cell>
          <cell r="S33">
            <v>5.9277944190446155</v>
          </cell>
          <cell r="T33">
            <v>5.8382060401470852</v>
          </cell>
          <cell r="U33">
            <v>6.4327485380116958</v>
          </cell>
          <cell r="V33">
            <v>10.68814055636896</v>
          </cell>
          <cell r="W33">
            <v>0</v>
          </cell>
          <cell r="X33">
            <v>5.9368421052631577</v>
          </cell>
          <cell r="Y33">
            <v>67545</v>
          </cell>
        </row>
        <row r="34">
          <cell r="B34" t="str">
            <v>E6162</v>
          </cell>
          <cell r="C34" t="str">
            <v>Dorset and Wiltshire</v>
          </cell>
          <cell r="D34">
            <v>2.4313683400195965</v>
          </cell>
          <cell r="E34">
            <v>62129</v>
          </cell>
          <cell r="F34" t="str">
            <v>..</v>
          </cell>
          <cell r="G34" t="str">
            <v>..</v>
          </cell>
          <cell r="H34" t="str">
            <v>..</v>
          </cell>
          <cell r="I34" t="str">
            <v>..</v>
          </cell>
          <cell r="J34" t="str">
            <v>..</v>
          </cell>
          <cell r="K34" t="str">
            <v>..</v>
          </cell>
          <cell r="L34">
            <v>52349</v>
          </cell>
          <cell r="P34" t="str">
            <v>Devon and Somerset</v>
          </cell>
          <cell r="Q34">
            <v>1.7256474449917896</v>
          </cell>
          <cell r="R34">
            <v>84610</v>
          </cell>
          <cell r="S34">
            <v>28.522420975251162</v>
          </cell>
          <cell r="T34">
            <v>29.028738767190148</v>
          </cell>
          <cell r="U34">
            <v>31.454005934718097</v>
          </cell>
          <cell r="V34">
            <v>40.949820788530467</v>
          </cell>
          <cell r="W34">
            <v>0</v>
          </cell>
          <cell r="X34">
            <v>29.189052609181338</v>
          </cell>
          <cell r="Y34">
            <v>85073</v>
          </cell>
        </row>
        <row r="35">
          <cell r="B35" t="str">
            <v>E6113</v>
          </cell>
          <cell r="C35" t="str">
            <v>Durham</v>
          </cell>
          <cell r="D35">
            <v>2.6084615264275524</v>
          </cell>
          <cell r="E35">
            <v>35515</v>
          </cell>
          <cell r="F35">
            <v>3.1961405095733455</v>
          </cell>
          <cell r="G35">
            <v>49.599405948333136</v>
          </cell>
          <cell r="H35">
            <v>0</v>
          </cell>
          <cell r="I35">
            <v>0</v>
          </cell>
          <cell r="J35">
            <v>0</v>
          </cell>
          <cell r="K35">
            <v>39.784780463739516</v>
          </cell>
          <cell r="L35">
            <v>36208</v>
          </cell>
          <cell r="P35" t="str">
            <v>Dorset and Wiltshire</v>
          </cell>
          <cell r="Q35">
            <v>2.4313683400195965</v>
          </cell>
          <cell r="R35">
            <v>62129</v>
          </cell>
          <cell r="S35" t="str">
            <v>..</v>
          </cell>
          <cell r="T35" t="str">
            <v>..</v>
          </cell>
          <cell r="U35" t="str">
            <v>..</v>
          </cell>
          <cell r="V35" t="str">
            <v>..</v>
          </cell>
          <cell r="W35" t="str">
            <v>..</v>
          </cell>
          <cell r="X35" t="str">
            <v>..</v>
          </cell>
          <cell r="Y35">
            <v>52349</v>
          </cell>
        </row>
        <row r="36">
          <cell r="B36" t="str">
            <v>E6114</v>
          </cell>
          <cell r="C36" t="str">
            <v>East Sussex</v>
          </cell>
          <cell r="D36">
            <v>4.7062705178774511</v>
          </cell>
          <cell r="E36" t="str">
            <v>..</v>
          </cell>
          <cell r="F36" t="str">
            <v>..</v>
          </cell>
          <cell r="G36" t="str">
            <v>..</v>
          </cell>
          <cell r="H36" t="str">
            <v>..</v>
          </cell>
          <cell r="I36" t="str">
            <v>..</v>
          </cell>
          <cell r="J36" t="str">
            <v>..</v>
          </cell>
          <cell r="K36" t="str">
            <v>..</v>
          </cell>
          <cell r="L36" t="str">
            <v>..</v>
          </cell>
          <cell r="P36" t="str">
            <v>Durham</v>
          </cell>
          <cell r="Q36">
            <v>2.6084615264275524</v>
          </cell>
          <cell r="R36">
            <v>35515</v>
          </cell>
          <cell r="S36">
            <v>3.1961405095733455</v>
          </cell>
          <cell r="T36">
            <v>49.599405948333136</v>
          </cell>
          <cell r="U36">
            <v>0</v>
          </cell>
          <cell r="V36">
            <v>0</v>
          </cell>
          <cell r="W36">
            <v>0</v>
          </cell>
          <cell r="X36">
            <v>39.784780463739516</v>
          </cell>
          <cell r="Y36">
            <v>36208</v>
          </cell>
        </row>
        <row r="37">
          <cell r="B37" t="str">
            <v>E6115</v>
          </cell>
          <cell r="C37" t="str">
            <v>Essex</v>
          </cell>
          <cell r="D37">
            <v>4.9841860598179011</v>
          </cell>
          <cell r="E37">
            <v>78052</v>
          </cell>
          <cell r="F37">
            <v>3.2346757237586933E-2</v>
          </cell>
          <cell r="G37">
            <v>1.4429493885501965E-2</v>
          </cell>
          <cell r="H37">
            <v>0</v>
          </cell>
          <cell r="I37">
            <v>0</v>
          </cell>
          <cell r="J37">
            <v>0</v>
          </cell>
          <cell r="K37">
            <v>1.7053448349368311E-2</v>
          </cell>
          <cell r="L37">
            <v>73797</v>
          </cell>
          <cell r="P37" t="str">
            <v>East Sussex</v>
          </cell>
          <cell r="Q37">
            <v>4.7062705178774511</v>
          </cell>
          <cell r="R37" t="str">
            <v>..</v>
          </cell>
          <cell r="S37" t="str">
            <v>..</v>
          </cell>
          <cell r="T37" t="str">
            <v>..</v>
          </cell>
          <cell r="U37" t="str">
            <v>..</v>
          </cell>
          <cell r="V37" t="str">
            <v>..</v>
          </cell>
          <cell r="W37" t="str">
            <v>..</v>
          </cell>
          <cell r="X37" t="str">
            <v>..</v>
          </cell>
          <cell r="Y37" t="str">
            <v>..</v>
          </cell>
        </row>
        <row r="38">
          <cell r="B38" t="str">
            <v>E6117</v>
          </cell>
          <cell r="C38" t="str">
            <v>Hampshire</v>
          </cell>
          <cell r="D38">
            <v>4.8928135043987435</v>
          </cell>
          <cell r="E38">
            <v>79318</v>
          </cell>
          <cell r="F38">
            <v>12.315896394108684</v>
          </cell>
          <cell r="G38">
            <v>12.327066600858497</v>
          </cell>
          <cell r="H38">
            <v>0</v>
          </cell>
          <cell r="I38">
            <v>0</v>
          </cell>
          <cell r="J38">
            <v>0</v>
          </cell>
          <cell r="K38">
            <v>12.326445288775265</v>
          </cell>
          <cell r="L38">
            <v>82521</v>
          </cell>
          <cell r="P38" t="str">
            <v>Essex</v>
          </cell>
          <cell r="Q38">
            <v>4.9841860598179011</v>
          </cell>
          <cell r="R38">
            <v>78052</v>
          </cell>
          <cell r="S38">
            <v>3.2346757237586933E-2</v>
          </cell>
          <cell r="T38">
            <v>1.4429493885501965E-2</v>
          </cell>
          <cell r="U38">
            <v>0</v>
          </cell>
          <cell r="V38">
            <v>0</v>
          </cell>
          <cell r="W38">
            <v>0</v>
          </cell>
          <cell r="X38">
            <v>1.7053448349368311E-2</v>
          </cell>
          <cell r="Y38">
            <v>73797</v>
          </cell>
        </row>
        <row r="39">
          <cell r="B39" t="str">
            <v>E6118</v>
          </cell>
          <cell r="C39" t="str">
            <v>Hereford and Worcester</v>
          </cell>
          <cell r="D39">
            <v>2.0003961508827239</v>
          </cell>
          <cell r="E39">
            <v>36328</v>
          </cell>
          <cell r="F39">
            <v>36.971930819393251</v>
          </cell>
          <cell r="G39">
            <v>48.457945591328837</v>
          </cell>
          <cell r="H39">
            <v>100</v>
          </cell>
          <cell r="I39">
            <v>48.170731707317074</v>
          </cell>
          <cell r="J39">
            <v>0</v>
          </cell>
          <cell r="K39">
            <v>47.297713687064771</v>
          </cell>
          <cell r="L39">
            <v>33130</v>
          </cell>
          <cell r="P39" t="str">
            <v>Hampshire</v>
          </cell>
          <cell r="Q39">
            <v>4.8928135043987435</v>
          </cell>
          <cell r="R39">
            <v>79318</v>
          </cell>
          <cell r="S39">
            <v>12.315896394108684</v>
          </cell>
          <cell r="T39">
            <v>12.327066600858497</v>
          </cell>
          <cell r="U39">
            <v>0</v>
          </cell>
          <cell r="V39">
            <v>0</v>
          </cell>
          <cell r="W39">
            <v>0</v>
          </cell>
          <cell r="X39">
            <v>12.326445288775265</v>
          </cell>
          <cell r="Y39">
            <v>82521</v>
          </cell>
        </row>
        <row r="40">
          <cell r="B40" t="str">
            <v>E6120</v>
          </cell>
          <cell r="C40" t="str">
            <v>Humberside</v>
          </cell>
          <cell r="D40">
            <v>2.6506627310961242</v>
          </cell>
          <cell r="E40">
            <v>51250</v>
          </cell>
          <cell r="F40">
            <v>34.192037470725992</v>
          </cell>
          <cell r="G40">
            <v>31.78371754614383</v>
          </cell>
          <cell r="H40">
            <v>0</v>
          </cell>
          <cell r="I40">
            <v>0</v>
          </cell>
          <cell r="J40">
            <v>0</v>
          </cell>
          <cell r="K40">
            <v>31.911367403001339</v>
          </cell>
          <cell r="L40">
            <v>51070</v>
          </cell>
          <cell r="P40" t="str">
            <v>Hereford and Worcester</v>
          </cell>
          <cell r="Q40">
            <v>2.0003961508827239</v>
          </cell>
          <cell r="R40">
            <v>36328</v>
          </cell>
          <cell r="S40">
            <v>36.971930819393251</v>
          </cell>
          <cell r="T40">
            <v>48.457945591328837</v>
          </cell>
          <cell r="U40">
            <v>100</v>
          </cell>
          <cell r="V40">
            <v>48.170731707317074</v>
          </cell>
          <cell r="W40">
            <v>0</v>
          </cell>
          <cell r="X40">
            <v>47.297713687064771</v>
          </cell>
          <cell r="Y40">
            <v>33130</v>
          </cell>
        </row>
        <row r="41">
          <cell r="B41" t="str">
            <v>E6122</v>
          </cell>
          <cell r="C41" t="str">
            <v>Kent</v>
          </cell>
          <cell r="D41">
            <v>4.9376991525287766</v>
          </cell>
          <cell r="E41">
            <v>93762</v>
          </cell>
          <cell r="F41">
            <v>13.462054170018773</v>
          </cell>
          <cell r="G41">
            <v>11.067258079116503</v>
          </cell>
          <cell r="H41">
            <v>62.203023758099349</v>
          </cell>
          <cell r="I41">
            <v>89.83768525052929</v>
          </cell>
          <cell r="J41">
            <v>0</v>
          </cell>
          <cell r="K41">
            <v>13.440309214957102</v>
          </cell>
          <cell r="L41">
            <v>77551</v>
          </cell>
          <cell r="P41" t="str">
            <v>Humberside</v>
          </cell>
          <cell r="Q41">
            <v>2.6506627310961242</v>
          </cell>
          <cell r="R41">
            <v>51250</v>
          </cell>
          <cell r="S41">
            <v>34.192037470725992</v>
          </cell>
          <cell r="T41">
            <v>31.78371754614383</v>
          </cell>
          <cell r="U41">
            <v>0</v>
          </cell>
          <cell r="V41">
            <v>0</v>
          </cell>
          <cell r="W41">
            <v>0</v>
          </cell>
          <cell r="X41">
            <v>31.911367403001339</v>
          </cell>
          <cell r="Y41">
            <v>51070</v>
          </cell>
        </row>
        <row r="42">
          <cell r="B42" t="str">
            <v>E6123</v>
          </cell>
          <cell r="C42" t="str">
            <v>Lancashire</v>
          </cell>
          <cell r="D42">
            <v>4.8702820544392411</v>
          </cell>
          <cell r="E42">
            <v>42975</v>
          </cell>
          <cell r="F42" t="str">
            <v>..</v>
          </cell>
          <cell r="G42" t="str">
            <v>..</v>
          </cell>
          <cell r="H42" t="str">
            <v>..</v>
          </cell>
          <cell r="I42" t="str">
            <v>..</v>
          </cell>
          <cell r="J42" t="str">
            <v>..</v>
          </cell>
          <cell r="K42" t="str">
            <v>..</v>
          </cell>
          <cell r="L42">
            <v>47045</v>
          </cell>
          <cell r="P42" t="str">
            <v>Kent</v>
          </cell>
          <cell r="Q42">
            <v>4.9376991525287766</v>
          </cell>
          <cell r="R42">
            <v>93762</v>
          </cell>
          <cell r="S42">
            <v>13.462054170018773</v>
          </cell>
          <cell r="T42">
            <v>11.067258079116503</v>
          </cell>
          <cell r="U42">
            <v>62.203023758099349</v>
          </cell>
          <cell r="V42">
            <v>89.83768525052929</v>
          </cell>
          <cell r="W42">
            <v>0</v>
          </cell>
          <cell r="X42">
            <v>13.440309214957102</v>
          </cell>
          <cell r="Y42">
            <v>77551</v>
          </cell>
        </row>
        <row r="43">
          <cell r="B43" t="str">
            <v>E6124</v>
          </cell>
          <cell r="C43" t="str">
            <v>Leicestershire</v>
          </cell>
          <cell r="D43">
            <v>4.285582230373489</v>
          </cell>
          <cell r="E43">
            <v>59204</v>
          </cell>
          <cell r="F43" t="str">
            <v>..</v>
          </cell>
          <cell r="G43" t="str">
            <v>..</v>
          </cell>
          <cell r="H43" t="str">
            <v>..</v>
          </cell>
          <cell r="I43" t="str">
            <v>..</v>
          </cell>
          <cell r="J43" t="str">
            <v>..</v>
          </cell>
          <cell r="K43" t="str">
            <v>..</v>
          </cell>
          <cell r="L43">
            <v>60578</v>
          </cell>
          <cell r="P43" t="str">
            <v>Lancashire</v>
          </cell>
          <cell r="Q43">
            <v>4.8702820544392411</v>
          </cell>
          <cell r="R43">
            <v>42975</v>
          </cell>
          <cell r="S43" t="str">
            <v>..</v>
          </cell>
          <cell r="T43" t="str">
            <v>..</v>
          </cell>
          <cell r="U43" t="str">
            <v>..</v>
          </cell>
          <cell r="V43" t="str">
            <v>..</v>
          </cell>
          <cell r="W43" t="str">
            <v>..</v>
          </cell>
          <cell r="X43" t="str">
            <v>..</v>
          </cell>
          <cell r="Y43">
            <v>47045</v>
          </cell>
        </row>
        <row r="44">
          <cell r="B44" t="str">
            <v>E6127</v>
          </cell>
          <cell r="C44" t="str">
            <v>North Yorkshire</v>
          </cell>
          <cell r="D44">
            <v>0.99179532385828761</v>
          </cell>
          <cell r="E44">
            <v>34991</v>
          </cell>
          <cell r="F44">
            <v>22.543352601156069</v>
          </cell>
          <cell r="G44">
            <v>22.539111670562846</v>
          </cell>
          <cell r="H44">
            <v>22.784810126582279</v>
          </cell>
          <cell r="I44">
            <v>22.587268993839835</v>
          </cell>
          <cell r="J44">
            <v>0</v>
          </cell>
          <cell r="K44">
            <v>22.542179373335024</v>
          </cell>
          <cell r="L44">
            <v>33408</v>
          </cell>
          <cell r="P44" t="str">
            <v>Leicestershire</v>
          </cell>
          <cell r="Q44">
            <v>4.285582230373489</v>
          </cell>
          <cell r="R44">
            <v>59204</v>
          </cell>
          <cell r="S44">
            <v>104.3010752688172</v>
          </cell>
          <cell r="T44">
            <v>104.31625655506251</v>
          </cell>
          <cell r="U44">
            <v>104.11214953271029</v>
          </cell>
          <cell r="V44">
            <v>104.34782608695652</v>
          </cell>
          <cell r="W44">
            <v>0</v>
          </cell>
          <cell r="X44">
            <v>104.31189810500155</v>
          </cell>
          <cell r="Y44">
            <v>60578</v>
          </cell>
        </row>
        <row r="45">
          <cell r="B45" t="str">
            <v>E6128</v>
          </cell>
          <cell r="C45" t="str">
            <v>Northamptonshire</v>
          </cell>
          <cell r="D45">
            <v>3.1584418674536803</v>
          </cell>
          <cell r="E45">
            <v>30131.91201751375</v>
          </cell>
          <cell r="F45" t="str">
            <v>..</v>
          </cell>
          <cell r="G45" t="str">
            <v>..</v>
          </cell>
          <cell r="H45" t="str">
            <v>..</v>
          </cell>
          <cell r="I45" t="str">
            <v>..</v>
          </cell>
          <cell r="J45" t="str">
            <v>..</v>
          </cell>
          <cell r="K45" t="str">
            <v>..</v>
          </cell>
          <cell r="L45">
            <v>26287.914000000001</v>
          </cell>
          <cell r="P45" t="str">
            <v>North Yorkshire</v>
          </cell>
          <cell r="Q45">
            <v>0.99179532385828761</v>
          </cell>
          <cell r="R45">
            <v>34991</v>
          </cell>
          <cell r="S45">
            <v>22.543352601156069</v>
          </cell>
          <cell r="T45">
            <v>22.539111670562846</v>
          </cell>
          <cell r="U45">
            <v>22.784810126582279</v>
          </cell>
          <cell r="V45">
            <v>22.587268993839835</v>
          </cell>
          <cell r="W45">
            <v>0</v>
          </cell>
          <cell r="X45">
            <v>22.542179373335024</v>
          </cell>
          <cell r="Y45">
            <v>33408</v>
          </cell>
        </row>
        <row r="46">
          <cell r="B46" t="str">
            <v>E6130</v>
          </cell>
          <cell r="C46" t="str">
            <v>Nottinghamshire</v>
          </cell>
          <cell r="D46">
            <v>5.3451896326661759</v>
          </cell>
          <cell r="E46">
            <v>53382</v>
          </cell>
          <cell r="F46">
            <v>25.90214744299314</v>
          </cell>
          <cell r="G46">
            <v>26.01973160770169</v>
          </cell>
          <cell r="H46">
            <v>23.459715639810426</v>
          </cell>
          <cell r="I46">
            <v>8.9655172413793096</v>
          </cell>
          <cell r="J46">
            <v>0</v>
          </cell>
          <cell r="K46">
            <v>25.261621378845721</v>
          </cell>
          <cell r="L46" t="str">
            <v>..</v>
          </cell>
          <cell r="P46" t="str">
            <v>Nottinghamshire</v>
          </cell>
          <cell r="Q46">
            <v>5.3451896326661759</v>
          </cell>
          <cell r="R46">
            <v>53170</v>
          </cell>
          <cell r="S46">
            <v>25.988449577965351</v>
          </cell>
          <cell r="T46">
            <v>26.797224953567138</v>
          </cell>
          <cell r="U46">
            <v>23.459715639810426</v>
          </cell>
          <cell r="V46">
            <v>100</v>
          </cell>
          <cell r="W46" t="str">
            <v>..</v>
          </cell>
          <cell r="X46" t="str">
            <v>..</v>
          </cell>
          <cell r="Y46" t="str">
            <v>..</v>
          </cell>
        </row>
        <row r="47">
          <cell r="B47" t="str">
            <v>E6132</v>
          </cell>
          <cell r="C47" t="str">
            <v>Shropshire</v>
          </cell>
          <cell r="D47">
            <v>1.4282070754026528</v>
          </cell>
          <cell r="E47">
            <v>23160</v>
          </cell>
          <cell r="F47">
            <v>0</v>
          </cell>
          <cell r="G47">
            <v>0</v>
          </cell>
          <cell r="H47">
            <v>0</v>
          </cell>
          <cell r="I47">
            <v>0</v>
          </cell>
          <cell r="J47">
            <v>0</v>
          </cell>
          <cell r="K47">
            <v>0</v>
          </cell>
          <cell r="L47">
            <v>22879</v>
          </cell>
          <cell r="P47" t="str">
            <v>Shropshire</v>
          </cell>
          <cell r="Q47">
            <v>1.4282070754026528</v>
          </cell>
          <cell r="R47">
            <v>23160</v>
          </cell>
          <cell r="S47">
            <v>0</v>
          </cell>
          <cell r="T47">
            <v>0</v>
          </cell>
          <cell r="U47">
            <v>0</v>
          </cell>
          <cell r="V47">
            <v>0</v>
          </cell>
          <cell r="W47">
            <v>0</v>
          </cell>
          <cell r="X47">
            <v>0</v>
          </cell>
          <cell r="Y47">
            <v>22879</v>
          </cell>
        </row>
        <row r="48">
          <cell r="B48" t="str">
            <v>E6134</v>
          </cell>
          <cell r="C48" t="str">
            <v>Staffordshire</v>
          </cell>
          <cell r="D48">
            <v>4.1630425620490268</v>
          </cell>
          <cell r="E48">
            <v>43634</v>
          </cell>
          <cell r="F48">
            <v>15.20317608594115</v>
          </cell>
          <cell r="G48">
            <v>14.992631889183613</v>
          </cell>
          <cell r="H48">
            <v>0</v>
          </cell>
          <cell r="I48">
            <v>13.720930232558141</v>
          </cell>
          <cell r="J48">
            <v>0</v>
          </cell>
          <cell r="K48">
            <v>14.989483287296318</v>
          </cell>
          <cell r="L48">
            <v>38559</v>
          </cell>
          <cell r="P48" t="str">
            <v>Staffordshire</v>
          </cell>
          <cell r="Q48">
            <v>4.1630425620490268</v>
          </cell>
          <cell r="R48">
            <v>43634</v>
          </cell>
          <cell r="S48">
            <v>8.8194306191519001</v>
          </cell>
          <cell r="T48">
            <v>8.8275813345579142</v>
          </cell>
          <cell r="U48">
            <v>9.7560975609756095</v>
          </cell>
          <cell r="V48">
            <v>8.7824351297405201</v>
          </cell>
          <cell r="W48">
            <v>8.8198976891868046</v>
          </cell>
          <cell r="X48">
            <v>8.8239020805352126</v>
          </cell>
          <cell r="Y48">
            <v>27507</v>
          </cell>
        </row>
        <row r="49">
          <cell r="B49" t="str">
            <v>E6142</v>
          </cell>
          <cell r="C49" t="str">
            <v>Greater Manchester</v>
          </cell>
          <cell r="D49">
            <v>6.974936923393166</v>
          </cell>
          <cell r="E49">
            <v>75210</v>
          </cell>
          <cell r="F49">
            <v>14.284863287067374</v>
          </cell>
          <cell r="G49">
            <v>19.536741962695661</v>
          </cell>
          <cell r="H49">
            <v>12.751004016064257</v>
          </cell>
          <cell r="I49">
            <v>0</v>
          </cell>
          <cell r="J49">
            <v>0</v>
          </cell>
          <cell r="K49">
            <v>18.604651162790699</v>
          </cell>
          <cell r="L49">
            <v>109641</v>
          </cell>
          <cell r="P49" t="str">
            <v>Greater Manchester</v>
          </cell>
          <cell r="Q49">
            <v>6.974936923393166</v>
          </cell>
          <cell r="R49">
            <v>75210</v>
          </cell>
          <cell r="S49">
            <v>14.284863287067374</v>
          </cell>
          <cell r="T49">
            <v>19.536741962695661</v>
          </cell>
          <cell r="U49">
            <v>12.751004016064257</v>
          </cell>
          <cell r="V49">
            <v>0</v>
          </cell>
          <cell r="W49">
            <v>0</v>
          </cell>
          <cell r="X49">
            <v>18.604651162790699</v>
          </cell>
          <cell r="Y49">
            <v>109641</v>
          </cell>
        </row>
        <row r="50">
          <cell r="B50" t="str">
            <v>E6143</v>
          </cell>
          <cell r="C50" t="str">
            <v>Merseyside</v>
          </cell>
          <cell r="D50">
            <v>22.002931662574298</v>
          </cell>
          <cell r="E50">
            <v>63935</v>
          </cell>
          <cell r="F50">
            <v>28.522532800912721</v>
          </cell>
          <cell r="G50">
            <v>27.604156397263246</v>
          </cell>
          <cell r="H50">
            <v>0</v>
          </cell>
          <cell r="I50">
            <v>47.619047619047613</v>
          </cell>
          <cell r="J50">
            <v>0</v>
          </cell>
          <cell r="K50">
            <v>28.071249936201703</v>
          </cell>
          <cell r="L50">
            <v>61621</v>
          </cell>
          <cell r="P50" t="str">
            <v>Merseyside</v>
          </cell>
          <cell r="Q50">
            <v>22.002931662574298</v>
          </cell>
          <cell r="R50">
            <v>63935</v>
          </cell>
          <cell r="S50">
            <v>28.522532800912721</v>
          </cell>
          <cell r="T50">
            <v>27.604156397263246</v>
          </cell>
          <cell r="U50">
            <v>0</v>
          </cell>
          <cell r="V50">
            <v>47.619047619047613</v>
          </cell>
          <cell r="W50">
            <v>0</v>
          </cell>
          <cell r="X50">
            <v>28.071249936201703</v>
          </cell>
          <cell r="Y50">
            <v>61621</v>
          </cell>
        </row>
        <row r="51">
          <cell r="B51" t="str">
            <v>E6144</v>
          </cell>
          <cell r="C51" t="str">
            <v>South Yorkshire</v>
          </cell>
          <cell r="D51">
            <v>9.0418424811656219</v>
          </cell>
          <cell r="E51">
            <v>92697</v>
          </cell>
          <cell r="F51">
            <v>30.259770652937046</v>
          </cell>
          <cell r="G51">
            <v>31.251984854036884</v>
          </cell>
          <cell r="H51">
            <v>38.196286472148536</v>
          </cell>
          <cell r="I51">
            <v>52.747252747252752</v>
          </cell>
          <cell r="J51">
            <v>0</v>
          </cell>
          <cell r="K51">
            <v>27.544313500047906</v>
          </cell>
          <cell r="L51">
            <v>94076</v>
          </cell>
          <cell r="P51" t="str">
            <v>South Yorkshire</v>
          </cell>
          <cell r="Q51">
            <v>9.0418424811656219</v>
          </cell>
          <cell r="R51" t="str">
            <v>..</v>
          </cell>
          <cell r="S51" t="str">
            <v>..</v>
          </cell>
          <cell r="T51" t="str">
            <v>..</v>
          </cell>
          <cell r="U51" t="str">
            <v>..</v>
          </cell>
          <cell r="V51" t="str">
            <v>..</v>
          </cell>
          <cell r="W51" t="str">
            <v>..</v>
          </cell>
          <cell r="X51" t="str">
            <v>..</v>
          </cell>
          <cell r="Y51" t="str">
            <v>..</v>
          </cell>
        </row>
        <row r="52">
          <cell r="B52" t="str">
            <v>E6145</v>
          </cell>
          <cell r="C52" t="str">
            <v>Tyne and Wear</v>
          </cell>
          <cell r="D52">
            <v>21.045777343676207</v>
          </cell>
          <cell r="E52">
            <v>31521</v>
          </cell>
          <cell r="F52">
            <v>29.663131628197132</v>
          </cell>
          <cell r="G52">
            <v>26.960732984293195</v>
          </cell>
          <cell r="H52">
            <v>0</v>
          </cell>
          <cell r="I52">
            <v>0</v>
          </cell>
          <cell r="J52">
            <v>0</v>
          </cell>
          <cell r="K52">
            <v>27.278214988374174</v>
          </cell>
          <cell r="L52">
            <v>49166</v>
          </cell>
          <cell r="P52" t="str">
            <v>Tyne and Wear</v>
          </cell>
          <cell r="Q52">
            <v>21.045777343676207</v>
          </cell>
          <cell r="R52">
            <v>31521</v>
          </cell>
          <cell r="S52">
            <v>29.663131628197132</v>
          </cell>
          <cell r="T52">
            <v>26.960732984293195</v>
          </cell>
          <cell r="U52">
            <v>0</v>
          </cell>
          <cell r="V52">
            <v>0</v>
          </cell>
          <cell r="W52">
            <v>0</v>
          </cell>
          <cell r="X52">
            <v>27.278214988374174</v>
          </cell>
          <cell r="Y52">
            <v>49166</v>
          </cell>
        </row>
        <row r="53">
          <cell r="B53" t="str">
            <v>E6146</v>
          </cell>
          <cell r="C53" t="str">
            <v>West Midlands</v>
          </cell>
          <cell r="D53">
            <v>32.346630776491054</v>
          </cell>
          <cell r="E53">
            <v>182471</v>
          </cell>
          <cell r="F53">
            <v>0</v>
          </cell>
          <cell r="G53">
            <v>0</v>
          </cell>
          <cell r="H53">
            <v>0</v>
          </cell>
          <cell r="I53">
            <v>0</v>
          </cell>
          <cell r="J53">
            <v>0</v>
          </cell>
          <cell r="K53">
            <v>0</v>
          </cell>
          <cell r="L53">
            <v>101478</v>
          </cell>
          <cell r="P53" t="str">
            <v>West Midlands</v>
          </cell>
          <cell r="Q53">
            <v>32.346630776491054</v>
          </cell>
          <cell r="R53">
            <v>182471</v>
          </cell>
          <cell r="S53">
            <v>0</v>
          </cell>
          <cell r="T53">
            <v>0</v>
          </cell>
          <cell r="U53">
            <v>0</v>
          </cell>
          <cell r="V53">
            <v>0</v>
          </cell>
          <cell r="W53">
            <v>0</v>
          </cell>
          <cell r="X53">
            <v>0</v>
          </cell>
          <cell r="Y53" t="str">
            <v>..</v>
          </cell>
        </row>
        <row r="54">
          <cell r="B54" t="str">
            <v>E6147</v>
          </cell>
          <cell r="C54" t="str">
            <v>West Yorkshire</v>
          </cell>
          <cell r="D54">
            <v>11.43373193373521</v>
          </cell>
          <cell r="E54">
            <v>57703</v>
          </cell>
          <cell r="F54">
            <v>32.011421319796959</v>
          </cell>
          <cell r="G54">
            <v>31.997992484686261</v>
          </cell>
          <cell r="H54">
            <v>0</v>
          </cell>
          <cell r="I54">
            <v>0</v>
          </cell>
          <cell r="J54">
            <v>0</v>
          </cell>
          <cell r="K54">
            <v>31.632740387554254</v>
          </cell>
          <cell r="L54">
            <v>61056</v>
          </cell>
          <cell r="P54" t="str">
            <v>West Yorkshire</v>
          </cell>
          <cell r="Q54">
            <v>11.43373193373521</v>
          </cell>
          <cell r="R54">
            <v>57703</v>
          </cell>
          <cell r="S54">
            <v>32.011421319796959</v>
          </cell>
          <cell r="T54">
            <v>31.997992484686261</v>
          </cell>
          <cell r="U54">
            <v>0</v>
          </cell>
          <cell r="V54">
            <v>0</v>
          </cell>
          <cell r="W54">
            <v>0</v>
          </cell>
          <cell r="X54">
            <v>31.632740387554254</v>
          </cell>
          <cell r="Y54">
            <v>61056</v>
          </cell>
        </row>
        <row r="55">
          <cell r="B55" t="str">
            <v>E6160</v>
          </cell>
          <cell r="C55" t="str">
            <v>London (LFC)</v>
          </cell>
          <cell r="D55">
            <v>56.612308766633362</v>
          </cell>
          <cell r="E55">
            <v>766969.08907999995</v>
          </cell>
          <cell r="F55" t="str">
            <v>..</v>
          </cell>
          <cell r="G55" t="str">
            <v>..</v>
          </cell>
          <cell r="H55" t="str">
            <v>..</v>
          </cell>
          <cell r="I55" t="str">
            <v>..</v>
          </cell>
          <cell r="J55" t="str">
            <v>..</v>
          </cell>
          <cell r="K55" t="str">
            <v>..</v>
          </cell>
          <cell r="L55">
            <v>398060.28200000006</v>
          </cell>
          <cell r="P55" t="str">
            <v>London (LFC)</v>
          </cell>
          <cell r="Q55">
            <v>56.612308766633362</v>
          </cell>
          <cell r="R55">
            <v>766969.08907999995</v>
          </cell>
          <cell r="S55" t="str">
            <v>..</v>
          </cell>
          <cell r="T55" t="str">
            <v>..</v>
          </cell>
          <cell r="U55" t="str">
            <v>..</v>
          </cell>
          <cell r="V55" t="str">
            <v>..</v>
          </cell>
          <cell r="W55" t="str">
            <v>..</v>
          </cell>
          <cell r="X55" t="str">
            <v>..</v>
          </cell>
          <cell r="Y55" t="str">
            <v>..</v>
          </cell>
        </row>
        <row r="56">
          <cell r="B56" t="str">
            <v>W6171</v>
          </cell>
          <cell r="C56" t="str">
            <v>Mid and West Wales</v>
          </cell>
          <cell r="D56">
            <v>0.76932026405004295</v>
          </cell>
          <cell r="E56">
            <v>46659</v>
          </cell>
          <cell r="F56">
            <v>100</v>
          </cell>
          <cell r="G56">
            <v>100</v>
          </cell>
          <cell r="H56">
            <v>100</v>
          </cell>
          <cell r="I56">
            <v>100</v>
          </cell>
          <cell r="J56">
            <v>0</v>
          </cell>
          <cell r="K56">
            <v>100</v>
          </cell>
          <cell r="L56">
            <v>51189</v>
          </cell>
          <cell r="P56" t="str">
            <v>Mid and West Wales</v>
          </cell>
          <cell r="Q56">
            <v>0.76932026405004295</v>
          </cell>
          <cell r="R56">
            <v>46659</v>
          </cell>
          <cell r="S56">
            <v>100</v>
          </cell>
          <cell r="T56">
            <v>100</v>
          </cell>
          <cell r="U56">
            <v>100</v>
          </cell>
          <cell r="V56">
            <v>100</v>
          </cell>
          <cell r="W56">
            <v>0</v>
          </cell>
          <cell r="X56">
            <v>100</v>
          </cell>
          <cell r="Y56">
            <v>51189</v>
          </cell>
        </row>
        <row r="57">
          <cell r="B57" t="str">
            <v>W6172</v>
          </cell>
          <cell r="C57" t="str">
            <v>North Wales</v>
          </cell>
          <cell r="D57">
            <v>1.1314642367143717</v>
          </cell>
          <cell r="E57">
            <v>35757</v>
          </cell>
          <cell r="F57" t="str">
            <v>..</v>
          </cell>
          <cell r="G57" t="str">
            <v>..</v>
          </cell>
          <cell r="H57" t="str">
            <v>..</v>
          </cell>
          <cell r="I57" t="str">
            <v>..</v>
          </cell>
          <cell r="J57" t="str">
            <v>..</v>
          </cell>
          <cell r="K57" t="str">
            <v>..</v>
          </cell>
          <cell r="L57">
            <v>37388</v>
          </cell>
          <cell r="P57" t="str">
            <v>North Wales</v>
          </cell>
          <cell r="Q57">
            <v>1.1314642367143717</v>
          </cell>
          <cell r="R57">
            <v>35757</v>
          </cell>
          <cell r="S57" t="str">
            <v>..</v>
          </cell>
          <cell r="T57" t="str">
            <v>..</v>
          </cell>
          <cell r="U57" t="str">
            <v>..</v>
          </cell>
          <cell r="V57" t="str">
            <v>..</v>
          </cell>
          <cell r="W57" t="str">
            <v>..</v>
          </cell>
          <cell r="X57" t="str">
            <v>..</v>
          </cell>
          <cell r="Y57">
            <v>37388</v>
          </cell>
        </row>
        <row r="58">
          <cell r="B58" t="str">
            <v>W6173</v>
          </cell>
          <cell r="C58" t="str">
            <v>South Wales</v>
          </cell>
          <cell r="D58">
            <v>5.4477224969186624</v>
          </cell>
          <cell r="E58">
            <v>66777</v>
          </cell>
          <cell r="F58">
            <v>0</v>
          </cell>
          <cell r="G58">
            <v>0</v>
          </cell>
          <cell r="H58">
            <v>0</v>
          </cell>
          <cell r="I58">
            <v>0</v>
          </cell>
          <cell r="J58">
            <v>0</v>
          </cell>
          <cell r="K58">
            <v>0</v>
          </cell>
          <cell r="L58">
            <v>71827</v>
          </cell>
          <cell r="P58" t="str">
            <v>South Wales</v>
          </cell>
          <cell r="Q58">
            <v>5.4477224969186624</v>
          </cell>
          <cell r="R58">
            <v>66777</v>
          </cell>
          <cell r="S58">
            <v>0</v>
          </cell>
          <cell r="T58">
            <v>0</v>
          </cell>
          <cell r="U58">
            <v>0</v>
          </cell>
          <cell r="V58">
            <v>0</v>
          </cell>
          <cell r="W58">
            <v>0</v>
          </cell>
          <cell r="X58">
            <v>0</v>
          </cell>
          <cell r="Y58">
            <v>71827</v>
          </cell>
        </row>
        <row r="59">
          <cell r="B59" t="str">
            <v>S6189</v>
          </cell>
          <cell r="C59" t="str">
            <v>Scotland (SFRS)</v>
          </cell>
          <cell r="D59">
            <v>0.69001724913699392</v>
          </cell>
          <cell r="E59" t="str">
            <v>..</v>
          </cell>
          <cell r="F59" t="str">
            <v>..</v>
          </cell>
          <cell r="G59" t="str">
            <v>..</v>
          </cell>
          <cell r="H59" t="str">
            <v>..</v>
          </cell>
          <cell r="I59" t="str">
            <v>..</v>
          </cell>
          <cell r="J59" t="str">
            <v>..</v>
          </cell>
          <cell r="K59" t="str">
            <v>..</v>
          </cell>
          <cell r="L59" t="str">
            <v>..</v>
          </cell>
          <cell r="P59" t="str">
            <v>Scotland (SFRS)</v>
          </cell>
          <cell r="Q59">
            <v>0.69001724913699392</v>
          </cell>
          <cell r="R59" t="str">
            <v>..</v>
          </cell>
          <cell r="S59" t="str">
            <v>..</v>
          </cell>
          <cell r="T59" t="str">
            <v>..</v>
          </cell>
          <cell r="U59" t="str">
            <v>..</v>
          </cell>
          <cell r="V59" t="str">
            <v>..</v>
          </cell>
          <cell r="W59" t="str">
            <v>..</v>
          </cell>
          <cell r="X59" t="str">
            <v>..</v>
          </cell>
          <cell r="Y59" t="str">
            <v>..</v>
          </cell>
        </row>
        <row r="60">
          <cell r="B60" t="str">
            <v>N6190</v>
          </cell>
          <cell r="C60" t="str">
            <v>Northern Ireland</v>
          </cell>
          <cell r="D60">
            <v>1.3131409469608784</v>
          </cell>
          <cell r="E60" t="str">
            <v>..</v>
          </cell>
          <cell r="F60" t="str">
            <v>..</v>
          </cell>
          <cell r="G60" t="str">
            <v>..</v>
          </cell>
          <cell r="H60" t="str">
            <v>..</v>
          </cell>
          <cell r="I60" t="str">
            <v>..</v>
          </cell>
          <cell r="J60" t="str">
            <v>..</v>
          </cell>
          <cell r="K60" t="str">
            <v>..</v>
          </cell>
          <cell r="L60" t="str">
            <v>..</v>
          </cell>
          <cell r="P60" t="str">
            <v>Northern Ireland</v>
          </cell>
          <cell r="Q60">
            <v>1.3131409469608784</v>
          </cell>
          <cell r="R60" t="str">
            <v>..</v>
          </cell>
          <cell r="S60" t="str">
            <v>..</v>
          </cell>
          <cell r="T60" t="str">
            <v>..</v>
          </cell>
          <cell r="U60" t="str">
            <v>..</v>
          </cell>
          <cell r="V60" t="str">
            <v>..</v>
          </cell>
          <cell r="W60" t="str">
            <v>..</v>
          </cell>
          <cell r="X60" t="str">
            <v>..</v>
          </cell>
          <cell r="Y60" t="str">
            <v>..</v>
          </cell>
        </row>
        <row r="62">
          <cell r="B62" t="str">
            <v>TOT1</v>
          </cell>
          <cell r="C62" t="str">
            <v>TOTAL SHIRE AREAS</v>
          </cell>
          <cell r="D62">
            <v>2.8580345131707348</v>
          </cell>
          <cell r="E62">
            <v>1425304.6706872215</v>
          </cell>
          <cell r="F62" t="str">
            <v>..</v>
          </cell>
          <cell r="G62" t="str">
            <v>..</v>
          </cell>
          <cell r="H62" t="str">
            <v>..</v>
          </cell>
          <cell r="I62" t="str">
            <v>..</v>
          </cell>
          <cell r="J62" t="str">
            <v>..</v>
          </cell>
          <cell r="K62" t="str">
            <v>..</v>
          </cell>
          <cell r="L62" t="str">
            <v>..</v>
          </cell>
          <cell r="M62" t="str">
            <v>copy from gross file totals</v>
          </cell>
        </row>
        <row r="63">
          <cell r="B63" t="str">
            <v>TOT2</v>
          </cell>
          <cell r="C63" t="str">
            <v>TOTAL METROPOLITAN FRSs</v>
          </cell>
          <cell r="D63">
            <v>17.19575849188071</v>
          </cell>
          <cell r="E63">
            <v>394654</v>
          </cell>
          <cell r="F63" t="str">
            <v>..</v>
          </cell>
          <cell r="G63" t="str">
            <v>..</v>
          </cell>
          <cell r="H63" t="str">
            <v>..</v>
          </cell>
          <cell r="I63" t="str">
            <v>..</v>
          </cell>
          <cell r="J63" t="str">
            <v>..</v>
          </cell>
          <cell r="K63" t="str">
            <v>..</v>
          </cell>
          <cell r="L63" t="str">
            <v>..</v>
          </cell>
        </row>
        <row r="64">
          <cell r="B64" t="str">
            <v>TOT3</v>
          </cell>
          <cell r="C64" t="str">
            <v>TOTAL ENGLAND</v>
          </cell>
          <cell r="D64">
            <v>4.2632601061492483</v>
          </cell>
          <cell r="E64">
            <v>2118584.6706872215</v>
          </cell>
          <cell r="F64" t="str">
            <v>..</v>
          </cell>
          <cell r="G64" t="str">
            <v>..</v>
          </cell>
          <cell r="H64" t="str">
            <v>..</v>
          </cell>
          <cell r="I64" t="str">
            <v>..</v>
          </cell>
          <cell r="J64" t="str">
            <v>..</v>
          </cell>
          <cell r="K64" t="str">
            <v>..</v>
          </cell>
          <cell r="L64" t="str">
            <v>..</v>
          </cell>
        </row>
        <row r="65">
          <cell r="B65" t="str">
            <v>TOT4</v>
          </cell>
          <cell r="C65" t="str">
            <v>TOTAL WALES</v>
          </cell>
          <cell r="D65">
            <v>1.5039363072796854</v>
          </cell>
          <cell r="E65">
            <v>145279.17703097023</v>
          </cell>
          <cell r="F65" t="str">
            <v>..</v>
          </cell>
          <cell r="G65" t="str">
            <v>..</v>
          </cell>
          <cell r="H65" t="str">
            <v>..</v>
          </cell>
          <cell r="I65" t="str">
            <v>..</v>
          </cell>
          <cell r="J65" t="str">
            <v>..</v>
          </cell>
          <cell r="K65" t="str">
            <v>..</v>
          </cell>
          <cell r="L65" t="str">
            <v>..</v>
          </cell>
        </row>
        <row r="66">
          <cell r="B66" t="str">
            <v>TOT5</v>
          </cell>
          <cell r="C66" t="str">
            <v>TOTAL ENGLAND &amp; WALES</v>
          </cell>
          <cell r="D66">
            <v>3.8841071084969916</v>
          </cell>
          <cell r="E66">
            <v>2263863.8477181918</v>
          </cell>
          <cell r="F66" t="str">
            <v>..</v>
          </cell>
          <cell r="G66" t="str">
            <v>..</v>
          </cell>
          <cell r="H66" t="str">
            <v>..</v>
          </cell>
          <cell r="I66" t="str">
            <v>..</v>
          </cell>
          <cell r="J66" t="str">
            <v>..</v>
          </cell>
          <cell r="K66" t="str">
            <v>..</v>
          </cell>
          <cell r="L66" t="str">
            <v>..</v>
          </cell>
        </row>
        <row r="67">
          <cell r="B67" t="str">
            <v>TOT6</v>
          </cell>
          <cell r="C67" t="str">
            <v>TOTAL ALL AUTHORITIES</v>
          </cell>
          <cell r="D67">
            <v>2.7023164122234689</v>
          </cell>
          <cell r="E67">
            <v>2708971.6975413039</v>
          </cell>
          <cell r="F67" t="str">
            <v>..</v>
          </cell>
          <cell r="G67" t="str">
            <v>..</v>
          </cell>
          <cell r="H67" t="str">
            <v>..</v>
          </cell>
          <cell r="I67" t="str">
            <v>..</v>
          </cell>
          <cell r="J67" t="str">
            <v>..</v>
          </cell>
          <cell r="K67" t="str">
            <v>..</v>
          </cell>
          <cell r="L67" t="str">
            <v>..</v>
          </cell>
        </row>
      </sheetData>
      <sheetData sheetId="8">
        <row r="2">
          <cell r="D2" t="str">
            <v>SUMMARY</v>
          </cell>
        </row>
        <row r="6">
          <cell r="D6" t="str">
            <v>Population</v>
          </cell>
          <cell r="E6" t="str">
            <v>Area</v>
          </cell>
        </row>
        <row r="7">
          <cell r="D7" t="str">
            <v>Mid 2018</v>
          </cell>
          <cell r="E7">
            <v>2018</v>
          </cell>
        </row>
        <row r="8">
          <cell r="D8" t="str">
            <v>Col 1</v>
          </cell>
          <cell r="E8" t="str">
            <v>Col 2</v>
          </cell>
        </row>
        <row r="9">
          <cell r="B9" t="str">
            <v>FLAS</v>
          </cell>
          <cell r="C9" t="str">
            <v>Authority</v>
          </cell>
          <cell r="D9" t="str">
            <v>FIRE6000</v>
          </cell>
          <cell r="E9" t="str">
            <v>FIRE6001</v>
          </cell>
          <cell r="F9" t="str">
            <v>FIRE6002</v>
          </cell>
          <cell r="G9" t="str">
            <v>FIRE6003</v>
          </cell>
          <cell r="H9" t="str">
            <v>FIRE6004</v>
          </cell>
          <cell r="I9" t="str">
            <v>FIRE6005</v>
          </cell>
          <cell r="J9" t="str">
            <v>FIRE6006</v>
          </cell>
          <cell r="K9" t="str">
            <v>FIRE6007</v>
          </cell>
          <cell r="M9" t="str">
            <v>FIRE6008</v>
          </cell>
          <cell r="N9" t="str">
            <v>FIRE6010</v>
          </cell>
          <cell r="O9" t="str">
            <v>FIRE6012</v>
          </cell>
          <cell r="P9" t="str">
            <v>FIRE6014</v>
          </cell>
          <cell r="Q9" t="str">
            <v>FIRE6016</v>
          </cell>
          <cell r="R9" t="str">
            <v>FIRE6018</v>
          </cell>
          <cell r="S9" t="str">
            <v>FIRE6020</v>
          </cell>
          <cell r="T9" t="str">
            <v>FIRE6022</v>
          </cell>
          <cell r="U9" t="str">
            <v>FIRE6023</v>
          </cell>
          <cell r="V9" t="str">
            <v>FIRE6037</v>
          </cell>
          <cell r="W9" t="str">
            <v>FIRE6024</v>
          </cell>
          <cell r="X9" t="str">
            <v>FIRE6026</v>
          </cell>
          <cell r="Y9" t="str">
            <v>FIRE6028</v>
          </cell>
          <cell r="Z9" t="str">
            <v>FIRE6030</v>
          </cell>
          <cell r="AA9" t="str">
            <v>FIRE6032</v>
          </cell>
          <cell r="AB9" t="str">
            <v>FIRE6033</v>
          </cell>
          <cell r="AC9" t="str">
            <v>FIRE6034</v>
          </cell>
          <cell r="AD9" t="str">
            <v>FIRE6035</v>
          </cell>
          <cell r="AE9" t="str">
            <v>FIRE6036</v>
          </cell>
          <cell r="AG9" t="str">
            <v>FIRE7000</v>
          </cell>
          <cell r="AH9" t="str">
            <v>FIRE7001</v>
          </cell>
          <cell r="AI9" t="str">
            <v>FIRE7002</v>
          </cell>
          <cell r="AJ9" t="str">
            <v>FIRE7020</v>
          </cell>
          <cell r="AK9" t="str">
            <v>FIRE7005</v>
          </cell>
          <cell r="AL9" t="str">
            <v>FIRE7004</v>
          </cell>
          <cell r="AM9" t="str">
            <v>FIRE7006</v>
          </cell>
          <cell r="AN9" t="str">
            <v>FIRE7007</v>
          </cell>
          <cell r="AO9" t="str">
            <v>FIRE7003</v>
          </cell>
          <cell r="AP9" t="str">
            <v>FIRE7008</v>
          </cell>
          <cell r="AQ9" t="str">
            <v>FIRE7009</v>
          </cell>
          <cell r="AR9" t="str">
            <v>FIRE7010</v>
          </cell>
          <cell r="AS9" t="str">
            <v>FIRE7011</v>
          </cell>
          <cell r="AT9" t="str">
            <v>FIRE7012</v>
          </cell>
          <cell r="AU9" t="str">
            <v>FIRE7013</v>
          </cell>
          <cell r="AV9" t="str">
            <v>FIRE7014</v>
          </cell>
          <cell r="AW9" t="str">
            <v>FIRE7015</v>
          </cell>
          <cell r="AX9" t="str">
            <v>FIRE7016</v>
          </cell>
          <cell r="AY9" t="str">
            <v>FIRE7017</v>
          </cell>
          <cell r="AZ9" t="str">
            <v>FIRE7018</v>
          </cell>
          <cell r="BA9" t="str">
            <v>FIRE7019</v>
          </cell>
          <cell r="BB9" t="str">
            <v>FIRE7021</v>
          </cell>
        </row>
        <row r="10">
          <cell r="B10" t="str">
            <v>E0801</v>
          </cell>
          <cell r="C10" t="str">
            <v>Cornwall</v>
          </cell>
          <cell r="D10">
            <v>566000</v>
          </cell>
          <cell r="E10">
            <v>354949.97</v>
          </cell>
          <cell r="F10">
            <v>0</v>
          </cell>
          <cell r="G10">
            <v>194262</v>
          </cell>
          <cell r="H10">
            <v>0</v>
          </cell>
          <cell r="I10">
            <v>265428</v>
          </cell>
          <cell r="J10">
            <v>32122.999999999996</v>
          </cell>
          <cell r="K10">
            <v>271275</v>
          </cell>
          <cell r="M10">
            <v>2</v>
          </cell>
          <cell r="N10">
            <v>4</v>
          </cell>
          <cell r="O10">
            <v>5</v>
          </cell>
          <cell r="P10">
            <v>17</v>
          </cell>
          <cell r="Q10">
            <v>38</v>
          </cell>
          <cell r="R10">
            <v>20</v>
          </cell>
          <cell r="S10">
            <v>105</v>
          </cell>
          <cell r="T10">
            <v>191</v>
          </cell>
          <cell r="U10">
            <v>192</v>
          </cell>
          <cell r="V10">
            <v>0</v>
          </cell>
          <cell r="W10">
            <v>15</v>
          </cell>
          <cell r="X10">
            <v>26</v>
          </cell>
          <cell r="Y10">
            <v>45</v>
          </cell>
          <cell r="Z10">
            <v>287</v>
          </cell>
          <cell r="AA10">
            <v>373</v>
          </cell>
          <cell r="AB10">
            <v>401</v>
          </cell>
          <cell r="AC10">
            <v>16</v>
          </cell>
          <cell r="AD10">
            <v>150</v>
          </cell>
          <cell r="AE10">
            <v>729</v>
          </cell>
          <cell r="AG10">
            <v>788</v>
          </cell>
          <cell r="AH10">
            <v>693</v>
          </cell>
          <cell r="AI10">
            <v>124</v>
          </cell>
          <cell r="AJ10">
            <v>1605</v>
          </cell>
          <cell r="AK10">
            <v>958</v>
          </cell>
          <cell r="AL10">
            <v>781</v>
          </cell>
          <cell r="AM10">
            <v>64</v>
          </cell>
          <cell r="AN10">
            <v>1803</v>
          </cell>
          <cell r="AO10">
            <v>2449</v>
          </cell>
          <cell r="AP10">
            <v>5857</v>
          </cell>
          <cell r="AQ10">
            <v>364</v>
          </cell>
          <cell r="AR10">
            <v>203</v>
          </cell>
          <cell r="AS10">
            <v>0.55769230769230771</v>
          </cell>
          <cell r="AT10">
            <v>161</v>
          </cell>
          <cell r="AU10">
            <v>0.44230769230769229</v>
          </cell>
          <cell r="AV10">
            <v>134</v>
          </cell>
          <cell r="AW10">
            <v>12</v>
          </cell>
          <cell r="AX10">
            <v>8</v>
          </cell>
          <cell r="AY10">
            <v>1</v>
          </cell>
          <cell r="AZ10">
            <v>0</v>
          </cell>
          <cell r="BA10">
            <v>79</v>
          </cell>
          <cell r="BB10">
            <v>19217</v>
          </cell>
        </row>
        <row r="11">
          <cell r="B11" t="str">
            <v>E0920</v>
          </cell>
          <cell r="C11" t="str">
            <v>Cumbria</v>
          </cell>
          <cell r="D11">
            <v>498900</v>
          </cell>
          <cell r="E11">
            <v>682219.22</v>
          </cell>
          <cell r="F11">
            <v>0</v>
          </cell>
          <cell r="G11">
            <v>170720.7</v>
          </cell>
          <cell r="H11">
            <v>0</v>
          </cell>
          <cell r="I11">
            <v>242284</v>
          </cell>
          <cell r="J11">
            <v>26433</v>
          </cell>
          <cell r="K11">
            <v>246569</v>
          </cell>
          <cell r="M11">
            <v>2</v>
          </cell>
          <cell r="N11">
            <v>4</v>
          </cell>
          <cell r="O11">
            <v>10</v>
          </cell>
          <cell r="P11">
            <v>17</v>
          </cell>
          <cell r="Q11">
            <v>26</v>
          </cell>
          <cell r="R11">
            <v>25</v>
          </cell>
          <cell r="S11">
            <v>122</v>
          </cell>
          <cell r="T11">
            <v>206</v>
          </cell>
          <cell r="U11">
            <v>211</v>
          </cell>
          <cell r="V11">
            <v>0</v>
          </cell>
          <cell r="W11">
            <v>0</v>
          </cell>
          <cell r="X11">
            <v>8</v>
          </cell>
          <cell r="Y11">
            <v>80</v>
          </cell>
          <cell r="Z11">
            <v>202</v>
          </cell>
          <cell r="AA11">
            <v>290</v>
          </cell>
          <cell r="AB11">
            <v>371</v>
          </cell>
          <cell r="AC11">
            <v>0</v>
          </cell>
          <cell r="AD11">
            <v>32</v>
          </cell>
          <cell r="AE11">
            <v>528</v>
          </cell>
          <cell r="AG11">
            <v>669</v>
          </cell>
          <cell r="AH11">
            <v>739</v>
          </cell>
          <cell r="AI11">
            <v>126</v>
          </cell>
          <cell r="AJ11">
            <v>1534</v>
          </cell>
          <cell r="AK11">
            <v>850</v>
          </cell>
          <cell r="AL11">
            <v>518</v>
          </cell>
          <cell r="AM11">
            <v>59</v>
          </cell>
          <cell r="AN11">
            <v>1427</v>
          </cell>
          <cell r="AO11">
            <v>848</v>
          </cell>
          <cell r="AP11">
            <v>3809</v>
          </cell>
          <cell r="AQ11">
            <v>833</v>
          </cell>
          <cell r="AR11">
            <v>509</v>
          </cell>
          <cell r="AS11">
            <v>0.61104441776710683</v>
          </cell>
          <cell r="AT11">
            <v>324</v>
          </cell>
          <cell r="AU11">
            <v>0.38895558223289317</v>
          </cell>
          <cell r="AV11">
            <v>295</v>
          </cell>
          <cell r="AW11">
            <v>15</v>
          </cell>
          <cell r="AX11">
            <v>7</v>
          </cell>
          <cell r="AY11">
            <v>0</v>
          </cell>
          <cell r="AZ11">
            <v>3</v>
          </cell>
          <cell r="BA11">
            <v>21</v>
          </cell>
          <cell r="BB11">
            <v>39196</v>
          </cell>
        </row>
        <row r="12">
          <cell r="B12" t="str">
            <v>E1620</v>
          </cell>
          <cell r="C12" t="str">
            <v>Gloucestershire</v>
          </cell>
          <cell r="D12">
            <v>633600</v>
          </cell>
          <cell r="E12">
            <v>265303.11</v>
          </cell>
          <cell r="F12">
            <v>0</v>
          </cell>
          <cell r="G12">
            <v>230157.86</v>
          </cell>
          <cell r="H12">
            <v>0</v>
          </cell>
          <cell r="I12">
            <v>283299</v>
          </cell>
          <cell r="J12">
            <v>23171</v>
          </cell>
          <cell r="K12">
            <v>289282</v>
          </cell>
          <cell r="M12">
            <v>3</v>
          </cell>
          <cell r="N12">
            <v>4</v>
          </cell>
          <cell r="O12">
            <v>6</v>
          </cell>
          <cell r="P12">
            <v>17</v>
          </cell>
          <cell r="Q12">
            <v>19</v>
          </cell>
          <cell r="R12">
            <v>32</v>
          </cell>
          <cell r="S12">
            <v>89</v>
          </cell>
          <cell r="T12">
            <v>170</v>
          </cell>
          <cell r="U12">
            <v>171</v>
          </cell>
          <cell r="V12">
            <v>0</v>
          </cell>
          <cell r="W12">
            <v>1</v>
          </cell>
          <cell r="X12">
            <v>20</v>
          </cell>
          <cell r="Y12">
            <v>35</v>
          </cell>
          <cell r="Z12">
            <v>139</v>
          </cell>
          <cell r="AA12">
            <v>194</v>
          </cell>
          <cell r="AB12">
            <v>245</v>
          </cell>
          <cell r="AC12">
            <v>18</v>
          </cell>
          <cell r="AD12">
            <v>40</v>
          </cell>
          <cell r="AE12">
            <v>422</v>
          </cell>
          <cell r="AG12">
            <v>769</v>
          </cell>
          <cell r="AH12">
            <v>633</v>
          </cell>
          <cell r="AI12">
            <v>123</v>
          </cell>
          <cell r="AJ12">
            <v>1525</v>
          </cell>
          <cell r="AK12">
            <v>963</v>
          </cell>
          <cell r="AL12">
            <v>658</v>
          </cell>
          <cell r="AM12">
            <v>30</v>
          </cell>
          <cell r="AN12">
            <v>1651</v>
          </cell>
          <cell r="AO12">
            <v>2001</v>
          </cell>
          <cell r="AP12">
            <v>5177</v>
          </cell>
          <cell r="AQ12">
            <v>960</v>
          </cell>
          <cell r="AR12">
            <v>866</v>
          </cell>
          <cell r="AS12">
            <v>0.90208333333333335</v>
          </cell>
          <cell r="AT12">
            <v>94</v>
          </cell>
          <cell r="AU12">
            <v>9.7916666666666666E-2</v>
          </cell>
          <cell r="AV12">
            <v>69</v>
          </cell>
          <cell r="AW12">
            <v>2</v>
          </cell>
          <cell r="AX12">
            <v>2</v>
          </cell>
          <cell r="AY12">
            <v>0</v>
          </cell>
          <cell r="AZ12">
            <v>0</v>
          </cell>
          <cell r="BA12">
            <v>4</v>
          </cell>
          <cell r="BB12">
            <v>22506</v>
          </cell>
        </row>
        <row r="13">
          <cell r="B13" t="str">
            <v>E1920</v>
          </cell>
          <cell r="C13" t="str">
            <v>Hertfordshire</v>
          </cell>
          <cell r="D13">
            <v>1184400</v>
          </cell>
          <cell r="E13">
            <v>164306.49</v>
          </cell>
          <cell r="F13">
            <v>0</v>
          </cell>
          <cell r="G13">
            <v>447049.94999999995</v>
          </cell>
          <cell r="H13">
            <v>0</v>
          </cell>
          <cell r="I13">
            <v>485014</v>
          </cell>
          <cell r="J13">
            <v>34707</v>
          </cell>
          <cell r="K13">
            <v>492187</v>
          </cell>
          <cell r="M13">
            <v>3</v>
          </cell>
          <cell r="N13">
            <v>4</v>
          </cell>
          <cell r="O13">
            <v>10</v>
          </cell>
          <cell r="P13">
            <v>20</v>
          </cell>
          <cell r="Q13">
            <v>74</v>
          </cell>
          <cell r="R13">
            <v>76</v>
          </cell>
          <cell r="S13">
            <v>277</v>
          </cell>
          <cell r="T13">
            <v>464</v>
          </cell>
          <cell r="U13">
            <v>468</v>
          </cell>
          <cell r="V13">
            <v>0</v>
          </cell>
          <cell r="W13">
            <v>0</v>
          </cell>
          <cell r="X13">
            <v>20</v>
          </cell>
          <cell r="Y13">
            <v>32</v>
          </cell>
          <cell r="Z13">
            <v>115</v>
          </cell>
          <cell r="AA13">
            <v>167</v>
          </cell>
          <cell r="AB13">
            <v>216</v>
          </cell>
          <cell r="AC13">
            <v>26</v>
          </cell>
          <cell r="AD13">
            <v>141</v>
          </cell>
          <cell r="AE13">
            <v>798</v>
          </cell>
          <cell r="AG13">
            <v>1347</v>
          </cell>
          <cell r="AH13">
            <v>1445</v>
          </cell>
          <cell r="AI13">
            <v>52</v>
          </cell>
          <cell r="AJ13">
            <v>2844</v>
          </cell>
          <cell r="AK13">
            <v>2707</v>
          </cell>
          <cell r="AL13">
            <v>1745</v>
          </cell>
          <cell r="AM13">
            <v>68</v>
          </cell>
          <cell r="AN13">
            <v>4520</v>
          </cell>
          <cell r="AO13">
            <v>3363</v>
          </cell>
          <cell r="AP13">
            <v>10727</v>
          </cell>
          <cell r="AQ13">
            <v>221</v>
          </cell>
          <cell r="AR13">
            <v>160</v>
          </cell>
          <cell r="AS13">
            <v>0.72398190045248867</v>
          </cell>
          <cell r="AT13">
            <v>61</v>
          </cell>
          <cell r="AU13">
            <v>0.27601809954751133</v>
          </cell>
          <cell r="AV13">
            <v>83</v>
          </cell>
          <cell r="AW13">
            <v>4</v>
          </cell>
          <cell r="AX13">
            <v>0</v>
          </cell>
          <cell r="AY13">
            <v>2</v>
          </cell>
          <cell r="AZ13">
            <v>0</v>
          </cell>
          <cell r="BA13">
            <v>7</v>
          </cell>
          <cell r="BB13">
            <v>30413</v>
          </cell>
        </row>
        <row r="14">
          <cell r="B14" t="str">
            <v>E2101</v>
          </cell>
          <cell r="C14" t="str">
            <v>Isle of Wight</v>
          </cell>
          <cell r="D14">
            <v>141500</v>
          </cell>
          <cell r="E14">
            <v>37961.47</v>
          </cell>
          <cell r="F14">
            <v>0</v>
          </cell>
          <cell r="G14">
            <v>53508</v>
          </cell>
          <cell r="H14">
            <v>0</v>
          </cell>
          <cell r="I14">
            <v>70408</v>
          </cell>
          <cell r="J14">
            <v>7113</v>
          </cell>
          <cell r="K14">
            <v>71230</v>
          </cell>
          <cell r="M14">
            <v>0</v>
          </cell>
          <cell r="N14">
            <v>0</v>
          </cell>
          <cell r="O14">
            <v>2</v>
          </cell>
          <cell r="P14">
            <v>6</v>
          </cell>
          <cell r="Q14">
            <v>14</v>
          </cell>
          <cell r="R14">
            <v>7</v>
          </cell>
          <cell r="S14">
            <v>39</v>
          </cell>
          <cell r="T14">
            <v>68</v>
          </cell>
          <cell r="U14">
            <v>68</v>
          </cell>
          <cell r="V14">
            <v>0</v>
          </cell>
          <cell r="W14">
            <v>0</v>
          </cell>
          <cell r="X14">
            <v>11</v>
          </cell>
          <cell r="Y14">
            <v>22</v>
          </cell>
          <cell r="Z14">
            <v>71</v>
          </cell>
          <cell r="AA14">
            <v>104</v>
          </cell>
          <cell r="AB14">
            <v>104</v>
          </cell>
          <cell r="AC14">
            <v>0</v>
          </cell>
          <cell r="AD14">
            <v>15</v>
          </cell>
          <cell r="AE14">
            <v>187</v>
          </cell>
          <cell r="AG14">
            <v>202</v>
          </cell>
          <cell r="AH14">
            <v>160</v>
          </cell>
          <cell r="AI14">
            <v>27</v>
          </cell>
          <cell r="AJ14">
            <v>389</v>
          </cell>
          <cell r="AK14">
            <v>376</v>
          </cell>
          <cell r="AL14">
            <v>230</v>
          </cell>
          <cell r="AM14">
            <v>9</v>
          </cell>
          <cell r="AN14">
            <v>615</v>
          </cell>
          <cell r="AO14">
            <v>943</v>
          </cell>
          <cell r="AP14">
            <v>1947</v>
          </cell>
          <cell r="AQ14">
            <v>57</v>
          </cell>
          <cell r="AR14">
            <v>31</v>
          </cell>
          <cell r="AS14">
            <v>0.54385964912280704</v>
          </cell>
          <cell r="AT14">
            <v>26</v>
          </cell>
          <cell r="AU14">
            <v>0.45614035087719296</v>
          </cell>
          <cell r="AV14">
            <v>25</v>
          </cell>
          <cell r="AW14">
            <v>1</v>
          </cell>
          <cell r="AX14">
            <v>0</v>
          </cell>
          <cell r="AY14">
            <v>0</v>
          </cell>
          <cell r="AZ14">
            <v>0</v>
          </cell>
          <cell r="BA14">
            <v>7</v>
          </cell>
          <cell r="BB14">
            <v>6871</v>
          </cell>
        </row>
        <row r="15">
          <cell r="B15" t="str">
            <v>E2520</v>
          </cell>
          <cell r="C15" t="str">
            <v>Lincolnshire</v>
          </cell>
          <cell r="D15">
            <v>755800</v>
          </cell>
          <cell r="E15">
            <v>593727.80999999994</v>
          </cell>
          <cell r="F15">
            <v>0</v>
          </cell>
          <cell r="G15">
            <v>229587.21000000002</v>
          </cell>
          <cell r="H15">
            <v>0</v>
          </cell>
          <cell r="I15">
            <v>333994</v>
          </cell>
          <cell r="J15">
            <v>28569.000000000004</v>
          </cell>
          <cell r="K15">
            <v>343065</v>
          </cell>
          <cell r="M15">
            <v>3</v>
          </cell>
          <cell r="N15">
            <v>3</v>
          </cell>
          <cell r="O15">
            <v>8</v>
          </cell>
          <cell r="P15">
            <v>20</v>
          </cell>
          <cell r="Q15">
            <v>37</v>
          </cell>
          <cell r="R15">
            <v>45</v>
          </cell>
          <cell r="S15">
            <v>63</v>
          </cell>
          <cell r="T15">
            <v>179</v>
          </cell>
          <cell r="U15">
            <v>180</v>
          </cell>
          <cell r="V15">
            <v>0</v>
          </cell>
          <cell r="W15">
            <v>0</v>
          </cell>
          <cell r="X15">
            <v>34</v>
          </cell>
          <cell r="Y15">
            <v>63</v>
          </cell>
          <cell r="Z15">
            <v>258</v>
          </cell>
          <cell r="AA15">
            <v>355</v>
          </cell>
          <cell r="AB15">
            <v>427</v>
          </cell>
          <cell r="AC15">
            <v>17</v>
          </cell>
          <cell r="AD15">
            <v>55</v>
          </cell>
          <cell r="AE15">
            <v>606</v>
          </cell>
          <cell r="AG15">
            <v>1074</v>
          </cell>
          <cell r="AH15">
            <v>886</v>
          </cell>
          <cell r="AI15">
            <v>81</v>
          </cell>
          <cell r="AJ15">
            <v>2041</v>
          </cell>
          <cell r="AK15">
            <v>1715</v>
          </cell>
          <cell r="AL15">
            <v>783</v>
          </cell>
          <cell r="AM15">
            <v>36</v>
          </cell>
          <cell r="AN15">
            <v>2534</v>
          </cell>
          <cell r="AO15">
            <v>6547</v>
          </cell>
          <cell r="AP15">
            <v>11122</v>
          </cell>
          <cell r="AQ15">
            <v>300</v>
          </cell>
          <cell r="AR15">
            <v>254</v>
          </cell>
          <cell r="AS15">
            <v>0.84666666666666668</v>
          </cell>
          <cell r="AT15">
            <v>46</v>
          </cell>
          <cell r="AU15">
            <v>0.15333333333333332</v>
          </cell>
          <cell r="AV15">
            <v>32</v>
          </cell>
          <cell r="AW15">
            <v>19</v>
          </cell>
          <cell r="AX15">
            <v>14</v>
          </cell>
          <cell r="AY15">
            <v>0</v>
          </cell>
          <cell r="AZ15">
            <v>3</v>
          </cell>
          <cell r="BA15">
            <v>7</v>
          </cell>
          <cell r="BB15">
            <v>45061</v>
          </cell>
        </row>
        <row r="16">
          <cell r="B16" t="str">
            <v>E2820</v>
          </cell>
          <cell r="C16" t="str">
            <v>Northamptonshire</v>
          </cell>
          <cell r="D16">
            <v>747600</v>
          </cell>
          <cell r="E16">
            <v>236698.99</v>
          </cell>
          <cell r="F16">
            <v>0</v>
          </cell>
          <cell r="G16">
            <v>245392.2</v>
          </cell>
          <cell r="H16">
            <v>0</v>
          </cell>
          <cell r="I16">
            <v>317510</v>
          </cell>
          <cell r="J16">
            <v>22152</v>
          </cell>
          <cell r="K16">
            <v>322392</v>
          </cell>
          <cell r="M16">
            <v>3</v>
          </cell>
          <cell r="N16">
            <v>2</v>
          </cell>
          <cell r="O16">
            <v>10</v>
          </cell>
          <cell r="P16">
            <v>21</v>
          </cell>
          <cell r="Q16">
            <v>47</v>
          </cell>
          <cell r="R16">
            <v>34</v>
          </cell>
          <cell r="S16">
            <v>116</v>
          </cell>
          <cell r="T16">
            <v>233</v>
          </cell>
          <cell r="U16">
            <v>235</v>
          </cell>
          <cell r="V16">
            <v>0</v>
          </cell>
          <cell r="W16">
            <v>0</v>
          </cell>
          <cell r="X16">
            <v>10</v>
          </cell>
          <cell r="Y16">
            <v>24</v>
          </cell>
          <cell r="Z16">
            <v>123</v>
          </cell>
          <cell r="AA16">
            <v>156</v>
          </cell>
          <cell r="AB16">
            <v>207</v>
          </cell>
          <cell r="AC16">
            <v>17</v>
          </cell>
          <cell r="AD16">
            <v>59</v>
          </cell>
          <cell r="AE16">
            <v>464</v>
          </cell>
          <cell r="AG16">
            <v>1002</v>
          </cell>
          <cell r="AH16">
            <v>851</v>
          </cell>
          <cell r="AI16">
            <v>39</v>
          </cell>
          <cell r="AJ16">
            <v>1892</v>
          </cell>
          <cell r="AK16">
            <v>735</v>
          </cell>
          <cell r="AL16">
            <v>956</v>
          </cell>
          <cell r="AM16">
            <v>41</v>
          </cell>
          <cell r="AN16">
            <v>1732</v>
          </cell>
          <cell r="AO16">
            <v>1940</v>
          </cell>
          <cell r="AP16">
            <v>5564</v>
          </cell>
          <cell r="AQ16">
            <v>838</v>
          </cell>
          <cell r="AR16">
            <v>628</v>
          </cell>
          <cell r="AS16">
            <v>0.74940334128878283</v>
          </cell>
          <cell r="AT16">
            <v>210</v>
          </cell>
          <cell r="AU16">
            <v>0.25059665871121717</v>
          </cell>
          <cell r="AV16">
            <v>100</v>
          </cell>
          <cell r="AW16">
            <v>28</v>
          </cell>
          <cell r="AX16">
            <v>8</v>
          </cell>
          <cell r="AY16">
            <v>0</v>
          </cell>
          <cell r="AZ16">
            <v>0</v>
          </cell>
          <cell r="BA16">
            <v>16</v>
          </cell>
          <cell r="BB16">
            <v>21305</v>
          </cell>
        </row>
        <row r="17">
          <cell r="B17" t="str">
            <v>E2620</v>
          </cell>
          <cell r="C17" t="str">
            <v>Norfolk</v>
          </cell>
          <cell r="D17">
            <v>903700</v>
          </cell>
          <cell r="E17">
            <v>538160.55999999994</v>
          </cell>
          <cell r="F17">
            <v>0</v>
          </cell>
          <cell r="G17">
            <v>295367.3</v>
          </cell>
          <cell r="H17">
            <v>0</v>
          </cell>
          <cell r="I17">
            <v>412150</v>
          </cell>
          <cell r="J17">
            <v>38123</v>
          </cell>
          <cell r="K17">
            <v>421958</v>
          </cell>
          <cell r="M17">
            <v>4</v>
          </cell>
          <cell r="N17">
            <v>3</v>
          </cell>
          <cell r="O17">
            <v>9</v>
          </cell>
          <cell r="P17">
            <v>25</v>
          </cell>
          <cell r="Q17">
            <v>38</v>
          </cell>
          <cell r="R17">
            <v>40</v>
          </cell>
          <cell r="S17">
            <v>157</v>
          </cell>
          <cell r="T17">
            <v>276</v>
          </cell>
          <cell r="U17">
            <v>277</v>
          </cell>
          <cell r="V17">
            <v>0</v>
          </cell>
          <cell r="W17">
            <v>0</v>
          </cell>
          <cell r="X17">
            <v>42</v>
          </cell>
          <cell r="Y17">
            <v>72</v>
          </cell>
          <cell r="Z17">
            <v>307</v>
          </cell>
          <cell r="AA17">
            <v>421</v>
          </cell>
          <cell r="AB17">
            <v>451</v>
          </cell>
          <cell r="AC17">
            <v>24</v>
          </cell>
          <cell r="AD17">
            <v>75</v>
          </cell>
          <cell r="AE17">
            <v>795</v>
          </cell>
          <cell r="AG17">
            <v>1360</v>
          </cell>
          <cell r="AH17">
            <v>1024</v>
          </cell>
          <cell r="AI17">
            <v>114</v>
          </cell>
          <cell r="AJ17">
            <v>2498</v>
          </cell>
          <cell r="AK17">
            <v>1280</v>
          </cell>
          <cell r="AL17">
            <v>1080</v>
          </cell>
          <cell r="AM17">
            <v>58</v>
          </cell>
          <cell r="AN17">
            <v>2418</v>
          </cell>
          <cell r="AO17">
            <v>2653</v>
          </cell>
          <cell r="AP17">
            <v>7569</v>
          </cell>
          <cell r="AQ17">
            <v>668</v>
          </cell>
          <cell r="AR17">
            <v>579</v>
          </cell>
          <cell r="AS17">
            <v>0.86676646706586824</v>
          </cell>
          <cell r="AT17">
            <v>89</v>
          </cell>
          <cell r="AU17">
            <v>0.13323353293413173</v>
          </cell>
          <cell r="AV17">
            <v>86</v>
          </cell>
          <cell r="AW17">
            <v>8</v>
          </cell>
          <cell r="AX17">
            <v>4</v>
          </cell>
          <cell r="AY17">
            <v>2</v>
          </cell>
          <cell r="AZ17">
            <v>0</v>
          </cell>
          <cell r="BA17">
            <v>5</v>
          </cell>
          <cell r="BB17">
            <v>23272</v>
          </cell>
        </row>
        <row r="18">
          <cell r="B18" t="str">
            <v>E2901</v>
          </cell>
          <cell r="C18" t="str">
            <v>Northumberland</v>
          </cell>
          <cell r="D18">
            <v>320300</v>
          </cell>
          <cell r="E18">
            <v>502621.14</v>
          </cell>
          <cell r="F18">
            <v>0</v>
          </cell>
          <cell r="G18">
            <v>104816.7</v>
          </cell>
          <cell r="H18">
            <v>0</v>
          </cell>
          <cell r="I18">
            <v>150967</v>
          </cell>
          <cell r="J18">
            <v>13137</v>
          </cell>
          <cell r="K18">
            <v>153306</v>
          </cell>
          <cell r="M18">
            <v>2</v>
          </cell>
          <cell r="N18">
            <v>1</v>
          </cell>
          <cell r="O18">
            <v>4</v>
          </cell>
          <cell r="P18">
            <v>14</v>
          </cell>
          <cell r="Q18">
            <v>19</v>
          </cell>
          <cell r="R18">
            <v>21</v>
          </cell>
          <cell r="S18">
            <v>73</v>
          </cell>
          <cell r="T18">
            <v>134</v>
          </cell>
          <cell r="U18">
            <v>134</v>
          </cell>
          <cell r="V18">
            <v>0</v>
          </cell>
          <cell r="W18">
            <v>0</v>
          </cell>
          <cell r="X18">
            <v>12</v>
          </cell>
          <cell r="Y18">
            <v>28</v>
          </cell>
          <cell r="Z18">
            <v>84</v>
          </cell>
          <cell r="AA18">
            <v>123</v>
          </cell>
          <cell r="AB18">
            <v>154</v>
          </cell>
          <cell r="AC18">
            <v>9</v>
          </cell>
          <cell r="AD18">
            <v>32</v>
          </cell>
          <cell r="AE18">
            <v>298</v>
          </cell>
          <cell r="AG18">
            <v>480</v>
          </cell>
          <cell r="AH18">
            <v>893</v>
          </cell>
          <cell r="AI18">
            <v>53</v>
          </cell>
          <cell r="AJ18">
            <v>1426</v>
          </cell>
          <cell r="AK18">
            <v>864</v>
          </cell>
          <cell r="AL18">
            <v>374</v>
          </cell>
          <cell r="AM18">
            <v>42</v>
          </cell>
          <cell r="AN18">
            <v>1280</v>
          </cell>
          <cell r="AO18">
            <v>671</v>
          </cell>
          <cell r="AP18">
            <v>3377</v>
          </cell>
          <cell r="AQ18">
            <v>169</v>
          </cell>
          <cell r="AR18">
            <v>117</v>
          </cell>
          <cell r="AS18">
            <v>0.69230769230769229</v>
          </cell>
          <cell r="AT18">
            <v>52</v>
          </cell>
          <cell r="AU18">
            <v>0.30769230769230771</v>
          </cell>
          <cell r="AV18">
            <v>39</v>
          </cell>
          <cell r="AW18">
            <v>1</v>
          </cell>
          <cell r="AX18">
            <v>0</v>
          </cell>
          <cell r="AY18">
            <v>0</v>
          </cell>
          <cell r="AZ18">
            <v>0</v>
          </cell>
          <cell r="BA18">
            <v>29</v>
          </cell>
          <cell r="BB18">
            <v>8935</v>
          </cell>
        </row>
        <row r="19">
          <cell r="B19" t="str">
            <v>E3120</v>
          </cell>
          <cell r="C19" t="str">
            <v>Oxfordshire</v>
          </cell>
          <cell r="D19">
            <v>687500</v>
          </cell>
          <cell r="E19">
            <v>260594.75</v>
          </cell>
          <cell r="F19">
            <v>0</v>
          </cell>
          <cell r="G19">
            <v>251264.46000000002</v>
          </cell>
          <cell r="H19">
            <v>0</v>
          </cell>
          <cell r="I19">
            <v>279777</v>
          </cell>
          <cell r="J19">
            <v>21316</v>
          </cell>
          <cell r="K19">
            <v>291019</v>
          </cell>
          <cell r="M19">
            <v>3</v>
          </cell>
          <cell r="N19">
            <v>3</v>
          </cell>
          <cell r="O19">
            <v>9</v>
          </cell>
          <cell r="P19">
            <v>25</v>
          </cell>
          <cell r="Q19">
            <v>49</v>
          </cell>
          <cell r="R19">
            <v>36</v>
          </cell>
          <cell r="S19">
            <v>110</v>
          </cell>
          <cell r="T19">
            <v>235</v>
          </cell>
          <cell r="U19">
            <v>235</v>
          </cell>
          <cell r="V19">
            <v>0</v>
          </cell>
          <cell r="W19">
            <v>0</v>
          </cell>
          <cell r="X19">
            <v>24</v>
          </cell>
          <cell r="Y19">
            <v>39</v>
          </cell>
          <cell r="Z19">
            <v>141</v>
          </cell>
          <cell r="AA19">
            <v>204</v>
          </cell>
          <cell r="AB19">
            <v>340</v>
          </cell>
          <cell r="AC19">
            <v>0</v>
          </cell>
          <cell r="AD19">
            <v>72</v>
          </cell>
          <cell r="AE19">
            <v>511</v>
          </cell>
          <cell r="AG19">
            <v>824</v>
          </cell>
          <cell r="AH19">
            <v>655</v>
          </cell>
          <cell r="AI19">
            <v>103</v>
          </cell>
          <cell r="AJ19">
            <v>1582</v>
          </cell>
          <cell r="AK19">
            <v>2096</v>
          </cell>
          <cell r="AL19">
            <v>660</v>
          </cell>
          <cell r="AM19">
            <v>62</v>
          </cell>
          <cell r="AN19">
            <v>2818</v>
          </cell>
          <cell r="AO19">
            <v>1785</v>
          </cell>
          <cell r="AP19">
            <v>6185</v>
          </cell>
          <cell r="AQ19">
            <v>391</v>
          </cell>
          <cell r="AR19">
            <v>246</v>
          </cell>
          <cell r="AS19">
            <v>0.62915601023017897</v>
          </cell>
          <cell r="AT19">
            <v>145</v>
          </cell>
          <cell r="AU19">
            <v>0.37084398976982097</v>
          </cell>
          <cell r="AV19">
            <v>123</v>
          </cell>
          <cell r="AW19">
            <v>15</v>
          </cell>
          <cell r="AX19">
            <v>5</v>
          </cell>
          <cell r="AY19">
            <v>0</v>
          </cell>
          <cell r="AZ19">
            <v>2</v>
          </cell>
          <cell r="BA19">
            <v>61</v>
          </cell>
          <cell r="BB19">
            <v>19804</v>
          </cell>
        </row>
        <row r="20">
          <cell r="B20" t="str">
            <v>E3520</v>
          </cell>
          <cell r="C20" t="str">
            <v>Suffolk</v>
          </cell>
          <cell r="D20">
            <v>758600</v>
          </cell>
          <cell r="E20">
            <v>380234.47000000003</v>
          </cell>
          <cell r="F20">
            <v>0</v>
          </cell>
          <cell r="G20">
            <v>250334.58000000002</v>
          </cell>
          <cell r="H20">
            <v>0</v>
          </cell>
          <cell r="I20">
            <v>331688</v>
          </cell>
          <cell r="J20">
            <v>30299.999999999996</v>
          </cell>
          <cell r="K20">
            <v>342183</v>
          </cell>
          <cell r="M20">
            <v>2</v>
          </cell>
          <cell r="N20">
            <v>4</v>
          </cell>
          <cell r="O20">
            <v>7</v>
          </cell>
          <cell r="P20">
            <v>18</v>
          </cell>
          <cell r="Q20">
            <v>36</v>
          </cell>
          <cell r="R20">
            <v>27</v>
          </cell>
          <cell r="S20">
            <v>98</v>
          </cell>
          <cell r="T20">
            <v>191</v>
          </cell>
          <cell r="U20">
            <v>195</v>
          </cell>
          <cell r="V20">
            <v>0</v>
          </cell>
          <cell r="W20">
            <v>0</v>
          </cell>
          <cell r="X20">
            <v>33</v>
          </cell>
          <cell r="Y20">
            <v>68</v>
          </cell>
          <cell r="Z20">
            <v>239</v>
          </cell>
          <cell r="AA20">
            <v>340</v>
          </cell>
          <cell r="AB20">
            <v>396</v>
          </cell>
          <cell r="AC20">
            <v>0</v>
          </cell>
          <cell r="AD20">
            <v>57</v>
          </cell>
          <cell r="AE20">
            <v>588</v>
          </cell>
          <cell r="AG20">
            <v>841</v>
          </cell>
          <cell r="AH20">
            <v>918</v>
          </cell>
          <cell r="AI20">
            <v>89</v>
          </cell>
          <cell r="AJ20">
            <v>1848</v>
          </cell>
          <cell r="AK20">
            <v>1491</v>
          </cell>
          <cell r="AL20">
            <v>669</v>
          </cell>
          <cell r="AM20">
            <v>79</v>
          </cell>
          <cell r="AN20">
            <v>2239</v>
          </cell>
          <cell r="AO20">
            <v>971</v>
          </cell>
          <cell r="AP20">
            <v>5058</v>
          </cell>
          <cell r="AQ20">
            <v>491</v>
          </cell>
          <cell r="AR20">
            <v>367</v>
          </cell>
          <cell r="AS20">
            <v>0.74745417515274948</v>
          </cell>
          <cell r="AT20">
            <v>124</v>
          </cell>
          <cell r="AU20">
            <v>0.25254582484725052</v>
          </cell>
          <cell r="AV20">
            <v>118</v>
          </cell>
          <cell r="AW20">
            <v>3</v>
          </cell>
          <cell r="AX20">
            <v>6</v>
          </cell>
          <cell r="AY20">
            <v>0</v>
          </cell>
          <cell r="AZ20">
            <v>0</v>
          </cell>
          <cell r="BA20">
            <v>16</v>
          </cell>
          <cell r="BB20">
            <v>50383</v>
          </cell>
        </row>
        <row r="21">
          <cell r="B21" t="str">
            <v>E3620</v>
          </cell>
          <cell r="C21" t="str">
            <v>Surrey</v>
          </cell>
          <cell r="D21">
            <v>1189900</v>
          </cell>
          <cell r="E21">
            <v>167007.32999999999</v>
          </cell>
          <cell r="F21">
            <v>0</v>
          </cell>
          <cell r="G21">
            <v>500992.49999999994</v>
          </cell>
          <cell r="H21">
            <v>0</v>
          </cell>
          <cell r="I21">
            <v>485092</v>
          </cell>
          <cell r="J21">
            <v>34269</v>
          </cell>
          <cell r="K21">
            <v>495214</v>
          </cell>
          <cell r="M21">
            <v>5</v>
          </cell>
          <cell r="N21">
            <v>3</v>
          </cell>
          <cell r="O21">
            <v>9</v>
          </cell>
          <cell r="P21">
            <v>20</v>
          </cell>
          <cell r="Q21">
            <v>98</v>
          </cell>
          <cell r="R21">
            <v>90</v>
          </cell>
          <cell r="S21">
            <v>229</v>
          </cell>
          <cell r="T21">
            <v>454</v>
          </cell>
          <cell r="U21">
            <v>473</v>
          </cell>
          <cell r="V21">
            <v>0</v>
          </cell>
          <cell r="W21">
            <v>0</v>
          </cell>
          <cell r="X21">
            <v>12</v>
          </cell>
          <cell r="Y21">
            <v>17</v>
          </cell>
          <cell r="Z21">
            <v>59</v>
          </cell>
          <cell r="AA21">
            <v>88</v>
          </cell>
          <cell r="AB21">
            <v>121</v>
          </cell>
          <cell r="AC21">
            <v>21</v>
          </cell>
          <cell r="AD21">
            <v>53</v>
          </cell>
          <cell r="AE21">
            <v>616</v>
          </cell>
          <cell r="AG21">
            <v>1356</v>
          </cell>
          <cell r="AH21">
            <v>1133</v>
          </cell>
          <cell r="AI21">
            <v>98</v>
          </cell>
          <cell r="AJ21">
            <v>2587</v>
          </cell>
          <cell r="AK21">
            <v>3749</v>
          </cell>
          <cell r="AL21">
            <v>1485</v>
          </cell>
          <cell r="AM21">
            <v>119</v>
          </cell>
          <cell r="AN21">
            <v>5353</v>
          </cell>
          <cell r="AO21">
            <v>3622</v>
          </cell>
          <cell r="AP21">
            <v>11562</v>
          </cell>
          <cell r="AQ21">
            <v>1777</v>
          </cell>
          <cell r="AR21">
            <v>1221</v>
          </cell>
          <cell r="AS21">
            <v>0.68711311198649405</v>
          </cell>
          <cell r="AT21">
            <v>556</v>
          </cell>
          <cell r="AU21">
            <v>0.31288688801350589</v>
          </cell>
          <cell r="AV21">
            <v>296</v>
          </cell>
          <cell r="AW21">
            <v>22</v>
          </cell>
          <cell r="AX21">
            <v>3</v>
          </cell>
          <cell r="AY21">
            <v>0</v>
          </cell>
          <cell r="AZ21">
            <v>0</v>
          </cell>
          <cell r="BA21">
            <v>3</v>
          </cell>
          <cell r="BB21">
            <v>30523</v>
          </cell>
        </row>
        <row r="22">
          <cell r="B22" t="str">
            <v>E3720</v>
          </cell>
          <cell r="C22" t="str">
            <v>Warwickshire</v>
          </cell>
          <cell r="D22">
            <v>571000</v>
          </cell>
          <cell r="E22">
            <v>197752.27</v>
          </cell>
          <cell r="F22">
            <v>0</v>
          </cell>
          <cell r="G22">
            <v>207376.63</v>
          </cell>
          <cell r="H22">
            <v>0</v>
          </cell>
          <cell r="I22">
            <v>249780</v>
          </cell>
          <cell r="J22">
            <v>19439</v>
          </cell>
          <cell r="K22">
            <v>254819</v>
          </cell>
          <cell r="M22">
            <v>3</v>
          </cell>
          <cell r="N22">
            <v>3</v>
          </cell>
          <cell r="O22">
            <v>7</v>
          </cell>
          <cell r="P22">
            <v>13</v>
          </cell>
          <cell r="Q22">
            <v>31</v>
          </cell>
          <cell r="R22">
            <v>48</v>
          </cell>
          <cell r="S22">
            <v>127</v>
          </cell>
          <cell r="T22">
            <v>232</v>
          </cell>
          <cell r="U22">
            <v>258</v>
          </cell>
          <cell r="V22">
            <v>0</v>
          </cell>
          <cell r="W22">
            <v>0</v>
          </cell>
          <cell r="X22">
            <v>12</v>
          </cell>
          <cell r="Y22">
            <v>18</v>
          </cell>
          <cell r="Z22">
            <v>49</v>
          </cell>
          <cell r="AA22">
            <v>79</v>
          </cell>
          <cell r="AB22">
            <v>137</v>
          </cell>
          <cell r="AC22">
            <v>17</v>
          </cell>
          <cell r="AD22">
            <v>59</v>
          </cell>
          <cell r="AE22">
            <v>387</v>
          </cell>
          <cell r="AG22">
            <v>706</v>
          </cell>
          <cell r="AH22">
            <v>679</v>
          </cell>
          <cell r="AI22">
            <v>50</v>
          </cell>
          <cell r="AJ22">
            <v>1435</v>
          </cell>
          <cell r="AK22">
            <v>632</v>
          </cell>
          <cell r="AL22">
            <v>790</v>
          </cell>
          <cell r="AM22">
            <v>34</v>
          </cell>
          <cell r="AN22">
            <v>1456</v>
          </cell>
          <cell r="AO22">
            <v>1091</v>
          </cell>
          <cell r="AP22">
            <v>3982</v>
          </cell>
          <cell r="AQ22">
            <v>246</v>
          </cell>
          <cell r="AR22">
            <v>77</v>
          </cell>
          <cell r="AS22">
            <v>0.31300813008130079</v>
          </cell>
          <cell r="AT22">
            <v>169</v>
          </cell>
          <cell r="AU22">
            <v>0.68699186991869921</v>
          </cell>
          <cell r="AV22">
            <v>156</v>
          </cell>
          <cell r="AW22">
            <v>15</v>
          </cell>
          <cell r="AX22">
            <v>14</v>
          </cell>
          <cell r="AY22">
            <v>0</v>
          </cell>
          <cell r="AZ22">
            <v>0</v>
          </cell>
          <cell r="BA22">
            <v>14</v>
          </cell>
          <cell r="BB22">
            <v>13811</v>
          </cell>
        </row>
        <row r="23">
          <cell r="B23" t="str">
            <v>E3820</v>
          </cell>
          <cell r="C23" t="str">
            <v>West Sussex</v>
          </cell>
          <cell r="D23">
            <v>858900</v>
          </cell>
          <cell r="E23">
            <v>199087.17</v>
          </cell>
          <cell r="F23">
            <v>0</v>
          </cell>
          <cell r="G23">
            <v>332430.7</v>
          </cell>
          <cell r="H23">
            <v>0</v>
          </cell>
          <cell r="I23">
            <v>375985</v>
          </cell>
          <cell r="J23">
            <v>28350</v>
          </cell>
          <cell r="K23">
            <v>381402</v>
          </cell>
          <cell r="M23">
            <v>2</v>
          </cell>
          <cell r="N23">
            <v>3</v>
          </cell>
          <cell r="O23">
            <v>9</v>
          </cell>
          <cell r="P23">
            <v>26</v>
          </cell>
          <cell r="Q23">
            <v>58</v>
          </cell>
          <cell r="R23">
            <v>46</v>
          </cell>
          <cell r="S23">
            <v>175</v>
          </cell>
          <cell r="T23">
            <v>319</v>
          </cell>
          <cell r="U23">
            <v>320</v>
          </cell>
          <cell r="V23">
            <v>0</v>
          </cell>
          <cell r="W23">
            <v>0</v>
          </cell>
          <cell r="X23">
            <v>13</v>
          </cell>
          <cell r="Y23">
            <v>32</v>
          </cell>
          <cell r="Z23">
            <v>106</v>
          </cell>
          <cell r="AA23">
            <v>150</v>
          </cell>
          <cell r="AB23">
            <v>282</v>
          </cell>
          <cell r="AC23">
            <v>0</v>
          </cell>
          <cell r="AD23">
            <v>79</v>
          </cell>
          <cell r="AE23">
            <v>548</v>
          </cell>
          <cell r="AG23">
            <v>1005</v>
          </cell>
          <cell r="AH23">
            <v>819</v>
          </cell>
          <cell r="AI23">
            <v>129</v>
          </cell>
          <cell r="AJ23">
            <v>1953</v>
          </cell>
          <cell r="AK23">
            <v>3226</v>
          </cell>
          <cell r="AL23">
            <v>1389</v>
          </cell>
          <cell r="AM23">
            <v>149</v>
          </cell>
          <cell r="AN23">
            <v>4764</v>
          </cell>
          <cell r="AO23">
            <v>2696</v>
          </cell>
          <cell r="AP23">
            <v>9413</v>
          </cell>
          <cell r="AQ23">
            <v>499</v>
          </cell>
          <cell r="AR23">
            <v>465</v>
          </cell>
          <cell r="AS23">
            <v>0.93186372745490986</v>
          </cell>
          <cell r="AT23">
            <v>34</v>
          </cell>
          <cell r="AU23">
            <v>6.8136272545090179E-2</v>
          </cell>
          <cell r="AV23">
            <v>132</v>
          </cell>
          <cell r="AW23">
            <v>5</v>
          </cell>
          <cell r="AX23">
            <v>2</v>
          </cell>
          <cell r="AY23">
            <v>0</v>
          </cell>
          <cell r="AZ23">
            <v>0</v>
          </cell>
          <cell r="BA23">
            <v>30</v>
          </cell>
          <cell r="BB23">
            <v>21290</v>
          </cell>
        </row>
        <row r="24">
          <cell r="B24" t="str">
            <v>E4001</v>
          </cell>
          <cell r="C24" t="str">
            <v>Isles of Scilly</v>
          </cell>
          <cell r="D24">
            <v>2200</v>
          </cell>
          <cell r="E24">
            <v>1633.76</v>
          </cell>
          <cell r="F24">
            <v>0</v>
          </cell>
          <cell r="G24">
            <v>1317</v>
          </cell>
          <cell r="H24">
            <v>0</v>
          </cell>
          <cell r="I24">
            <v>1183</v>
          </cell>
          <cell r="J24">
            <v>468</v>
          </cell>
          <cell r="K24">
            <v>1198</v>
          </cell>
          <cell r="M24" t="str">
            <v>..</v>
          </cell>
          <cell r="N24" t="str">
            <v>..</v>
          </cell>
          <cell r="O24" t="str">
            <v>..</v>
          </cell>
          <cell r="P24" t="str">
            <v>..</v>
          </cell>
          <cell r="Q24" t="str">
            <v>..</v>
          </cell>
          <cell r="R24" t="str">
            <v>..</v>
          </cell>
          <cell r="S24" t="str">
            <v>..</v>
          </cell>
          <cell r="T24" t="str">
            <v>..</v>
          </cell>
          <cell r="U24" t="str">
            <v>..</v>
          </cell>
          <cell r="V24">
            <v>0</v>
          </cell>
          <cell r="W24">
            <v>1</v>
          </cell>
          <cell r="X24">
            <v>5</v>
          </cell>
          <cell r="Y24">
            <v>6</v>
          </cell>
          <cell r="Z24">
            <v>30</v>
          </cell>
          <cell r="AA24">
            <v>42</v>
          </cell>
          <cell r="AB24">
            <v>42</v>
          </cell>
          <cell r="AC24" t="str">
            <v>..</v>
          </cell>
          <cell r="AD24">
            <v>1</v>
          </cell>
          <cell r="AE24">
            <v>43</v>
          </cell>
          <cell r="AG24">
            <v>5</v>
          </cell>
          <cell r="AH24">
            <v>7</v>
          </cell>
          <cell r="AI24">
            <v>0</v>
          </cell>
          <cell r="AJ24">
            <v>12</v>
          </cell>
          <cell r="AK24">
            <v>2</v>
          </cell>
          <cell r="AL24">
            <v>0</v>
          </cell>
          <cell r="AM24">
            <v>0</v>
          </cell>
          <cell r="AN24">
            <v>2</v>
          </cell>
          <cell r="AO24">
            <v>2</v>
          </cell>
          <cell r="AP24">
            <v>16</v>
          </cell>
          <cell r="AQ24">
            <v>15</v>
          </cell>
          <cell r="AR24">
            <v>9</v>
          </cell>
          <cell r="AS24">
            <v>0.6</v>
          </cell>
          <cell r="AT24">
            <v>6</v>
          </cell>
          <cell r="AU24">
            <v>0.4</v>
          </cell>
          <cell r="AV24">
            <v>4</v>
          </cell>
          <cell r="AW24">
            <v>0</v>
          </cell>
          <cell r="AX24">
            <v>0</v>
          </cell>
          <cell r="AY24">
            <v>0</v>
          </cell>
          <cell r="AZ24">
            <v>0</v>
          </cell>
          <cell r="BA24">
            <v>0</v>
          </cell>
          <cell r="BB24">
            <v>361</v>
          </cell>
        </row>
        <row r="25">
          <cell r="B25" t="str">
            <v>E6101</v>
          </cell>
          <cell r="C25" t="str">
            <v>Avon</v>
          </cell>
          <cell r="D25">
            <v>1152000</v>
          </cell>
          <cell r="E25">
            <v>133240.84</v>
          </cell>
          <cell r="F25">
            <v>27121.198</v>
          </cell>
          <cell r="G25">
            <v>369096.32</v>
          </cell>
          <cell r="H25">
            <v>73.4800011010676</v>
          </cell>
          <cell r="I25">
            <v>481803</v>
          </cell>
          <cell r="J25">
            <v>35175</v>
          </cell>
          <cell r="K25">
            <v>497690</v>
          </cell>
          <cell r="M25">
            <v>4</v>
          </cell>
          <cell r="N25">
            <v>4</v>
          </cell>
          <cell r="O25">
            <v>7</v>
          </cell>
          <cell r="P25">
            <v>19</v>
          </cell>
          <cell r="Q25">
            <v>76</v>
          </cell>
          <cell r="R25">
            <v>61</v>
          </cell>
          <cell r="S25">
            <v>295</v>
          </cell>
          <cell r="T25">
            <v>466</v>
          </cell>
          <cell r="U25">
            <v>475</v>
          </cell>
          <cell r="V25">
            <v>0</v>
          </cell>
          <cell r="W25">
            <v>0</v>
          </cell>
          <cell r="X25">
            <v>7</v>
          </cell>
          <cell r="Y25">
            <v>25</v>
          </cell>
          <cell r="Z25">
            <v>106</v>
          </cell>
          <cell r="AA25">
            <v>139</v>
          </cell>
          <cell r="AB25">
            <v>217</v>
          </cell>
          <cell r="AC25">
            <v>37</v>
          </cell>
          <cell r="AD25">
            <v>123</v>
          </cell>
          <cell r="AE25">
            <v>764</v>
          </cell>
          <cell r="AG25">
            <v>1529</v>
          </cell>
          <cell r="AH25">
            <v>1593</v>
          </cell>
          <cell r="AI25">
            <v>73</v>
          </cell>
          <cell r="AJ25">
            <v>3195</v>
          </cell>
          <cell r="AK25">
            <v>3967</v>
          </cell>
          <cell r="AL25">
            <v>1400</v>
          </cell>
          <cell r="AM25">
            <v>170</v>
          </cell>
          <cell r="AN25">
            <v>5537</v>
          </cell>
          <cell r="AO25">
            <v>3514</v>
          </cell>
          <cell r="AP25">
            <v>12246</v>
          </cell>
          <cell r="AQ25">
            <v>127</v>
          </cell>
          <cell r="AR25">
            <v>69</v>
          </cell>
          <cell r="AS25">
            <v>0.54330708661417326</v>
          </cell>
          <cell r="AT25">
            <v>58</v>
          </cell>
          <cell r="AU25">
            <v>0.45669291338582679</v>
          </cell>
          <cell r="AV25">
            <v>56</v>
          </cell>
          <cell r="AW25">
            <v>11</v>
          </cell>
          <cell r="AX25">
            <v>16</v>
          </cell>
          <cell r="AY25">
            <v>0</v>
          </cell>
          <cell r="AZ25">
            <v>0</v>
          </cell>
          <cell r="BA25">
            <v>7</v>
          </cell>
          <cell r="BB25">
            <v>19671</v>
          </cell>
        </row>
        <row r="26">
          <cell r="B26" t="str">
            <v>E6102</v>
          </cell>
          <cell r="C26" t="str">
            <v>Bedfordshire</v>
          </cell>
          <cell r="D26">
            <v>669300</v>
          </cell>
          <cell r="E26">
            <v>123542.60999999999</v>
          </cell>
          <cell r="F26">
            <v>20973.452000000001</v>
          </cell>
          <cell r="G26">
            <v>213036.59</v>
          </cell>
          <cell r="H26">
            <v>98.449998659854629</v>
          </cell>
          <cell r="I26">
            <v>269815</v>
          </cell>
          <cell r="J26">
            <v>18464.999999999996</v>
          </cell>
          <cell r="K26">
            <v>274868</v>
          </cell>
          <cell r="M26">
            <v>2</v>
          </cell>
          <cell r="N26">
            <v>4</v>
          </cell>
          <cell r="O26">
            <v>10</v>
          </cell>
          <cell r="P26">
            <v>13</v>
          </cell>
          <cell r="Q26">
            <v>37</v>
          </cell>
          <cell r="R26">
            <v>45</v>
          </cell>
          <cell r="S26">
            <v>170</v>
          </cell>
          <cell r="T26">
            <v>281</v>
          </cell>
          <cell r="U26">
            <v>281</v>
          </cell>
          <cell r="V26">
            <v>0</v>
          </cell>
          <cell r="W26">
            <v>0</v>
          </cell>
          <cell r="X26">
            <v>10</v>
          </cell>
          <cell r="Y26">
            <v>18</v>
          </cell>
          <cell r="Z26">
            <v>90</v>
          </cell>
          <cell r="AA26">
            <v>117</v>
          </cell>
          <cell r="AB26">
            <v>148</v>
          </cell>
          <cell r="AC26">
            <v>24</v>
          </cell>
          <cell r="AD26">
            <v>126</v>
          </cell>
          <cell r="AE26">
            <v>548</v>
          </cell>
          <cell r="AG26">
            <v>1018</v>
          </cell>
          <cell r="AH26">
            <v>1017</v>
          </cell>
          <cell r="AI26">
            <v>24</v>
          </cell>
          <cell r="AJ26">
            <v>2059</v>
          </cell>
          <cell r="AK26">
            <v>1474</v>
          </cell>
          <cell r="AL26">
            <v>747</v>
          </cell>
          <cell r="AM26">
            <v>111</v>
          </cell>
          <cell r="AN26">
            <v>2332</v>
          </cell>
          <cell r="AO26">
            <v>1577</v>
          </cell>
          <cell r="AP26">
            <v>5968</v>
          </cell>
          <cell r="AQ26">
            <v>920</v>
          </cell>
          <cell r="AR26">
            <v>880</v>
          </cell>
          <cell r="AS26">
            <v>0.95652173913043481</v>
          </cell>
          <cell r="AT26">
            <v>40</v>
          </cell>
          <cell r="AU26">
            <v>4.3478260869565216E-2</v>
          </cell>
          <cell r="AV26">
            <v>37</v>
          </cell>
          <cell r="AW26">
            <v>1</v>
          </cell>
          <cell r="AX26">
            <v>0</v>
          </cell>
          <cell r="AY26">
            <v>0</v>
          </cell>
          <cell r="AZ26">
            <v>2</v>
          </cell>
          <cell r="BA26">
            <v>8</v>
          </cell>
          <cell r="BB26">
            <v>21142</v>
          </cell>
        </row>
        <row r="27">
          <cell r="B27" t="str">
            <v>E6103</v>
          </cell>
          <cell r="C27" t="str">
            <v>Berkshire</v>
          </cell>
          <cell r="D27">
            <v>911400</v>
          </cell>
          <cell r="E27">
            <v>126388.6</v>
          </cell>
          <cell r="F27">
            <v>23052.042160000001</v>
          </cell>
          <cell r="G27">
            <v>347797.86</v>
          </cell>
          <cell r="H27">
            <v>66.279999997699818</v>
          </cell>
          <cell r="I27">
            <v>367786</v>
          </cell>
          <cell r="J27">
            <v>26491</v>
          </cell>
          <cell r="K27">
            <v>375537</v>
          </cell>
          <cell r="M27">
            <v>3</v>
          </cell>
          <cell r="N27">
            <v>2</v>
          </cell>
          <cell r="O27">
            <v>6</v>
          </cell>
          <cell r="P27">
            <v>17</v>
          </cell>
          <cell r="Q27">
            <v>54</v>
          </cell>
          <cell r="R27">
            <v>61</v>
          </cell>
          <cell r="S27">
            <v>223</v>
          </cell>
          <cell r="T27">
            <v>366</v>
          </cell>
          <cell r="U27">
            <v>366</v>
          </cell>
          <cell r="V27">
            <v>0</v>
          </cell>
          <cell r="W27">
            <v>0</v>
          </cell>
          <cell r="X27">
            <v>6</v>
          </cell>
          <cell r="Y27">
            <v>7</v>
          </cell>
          <cell r="Z27">
            <v>44</v>
          </cell>
          <cell r="AA27">
            <v>57</v>
          </cell>
          <cell r="AB27">
            <v>85</v>
          </cell>
          <cell r="AC27">
            <v>39</v>
          </cell>
          <cell r="AD27">
            <v>146</v>
          </cell>
          <cell r="AE27">
            <v>607</v>
          </cell>
          <cell r="AG27">
            <v>939</v>
          </cell>
          <cell r="AH27">
            <v>1107</v>
          </cell>
          <cell r="AI27">
            <v>62</v>
          </cell>
          <cell r="AJ27">
            <v>2108</v>
          </cell>
          <cell r="AK27">
            <v>2113</v>
          </cell>
          <cell r="AL27">
            <v>1449</v>
          </cell>
          <cell r="AM27">
            <v>93</v>
          </cell>
          <cell r="AN27">
            <v>3655</v>
          </cell>
          <cell r="AO27">
            <v>2362</v>
          </cell>
          <cell r="AP27">
            <v>8125</v>
          </cell>
          <cell r="AQ27">
            <v>1137</v>
          </cell>
          <cell r="AR27">
            <v>730</v>
          </cell>
          <cell r="AS27">
            <v>0.64204045734388737</v>
          </cell>
          <cell r="AT27">
            <v>407</v>
          </cell>
          <cell r="AU27">
            <v>0.35795954265611257</v>
          </cell>
          <cell r="AV27">
            <v>286</v>
          </cell>
          <cell r="AW27">
            <v>13</v>
          </cell>
          <cell r="AX27">
            <v>1</v>
          </cell>
          <cell r="AY27">
            <v>1</v>
          </cell>
          <cell r="AZ27">
            <v>1</v>
          </cell>
          <cell r="BA27">
            <v>381</v>
          </cell>
          <cell r="BB27">
            <v>34841</v>
          </cell>
        </row>
        <row r="28">
          <cell r="B28" t="str">
            <v>E6104</v>
          </cell>
          <cell r="C28" t="str">
            <v>Buckinghamshire</v>
          </cell>
          <cell r="D28">
            <v>808700</v>
          </cell>
          <cell r="E28">
            <v>187357.58000000002</v>
          </cell>
          <cell r="F28">
            <v>19715.168000000001</v>
          </cell>
          <cell r="G28">
            <v>305330.15000000002</v>
          </cell>
          <cell r="H28">
            <v>64.570000702518243</v>
          </cell>
          <cell r="I28">
            <v>328504</v>
          </cell>
          <cell r="J28">
            <v>22803</v>
          </cell>
          <cell r="K28">
            <v>333994</v>
          </cell>
          <cell r="M28">
            <v>2</v>
          </cell>
          <cell r="N28">
            <v>2</v>
          </cell>
          <cell r="O28">
            <v>6</v>
          </cell>
          <cell r="P28">
            <v>22</v>
          </cell>
          <cell r="Q28">
            <v>34</v>
          </cell>
          <cell r="R28">
            <v>41</v>
          </cell>
          <cell r="S28">
            <v>129</v>
          </cell>
          <cell r="T28">
            <v>236</v>
          </cell>
          <cell r="U28">
            <v>236</v>
          </cell>
          <cell r="V28">
            <v>0</v>
          </cell>
          <cell r="W28">
            <v>0</v>
          </cell>
          <cell r="X28">
            <v>5</v>
          </cell>
          <cell r="Y28">
            <v>17</v>
          </cell>
          <cell r="Z28">
            <v>66</v>
          </cell>
          <cell r="AA28">
            <v>88</v>
          </cell>
          <cell r="AB28">
            <v>116</v>
          </cell>
          <cell r="AC28">
            <v>0</v>
          </cell>
          <cell r="AD28">
            <v>107</v>
          </cell>
          <cell r="AE28">
            <v>431</v>
          </cell>
          <cell r="AG28">
            <v>1013</v>
          </cell>
          <cell r="AH28">
            <v>1259</v>
          </cell>
          <cell r="AI28">
            <v>69</v>
          </cell>
          <cell r="AJ28">
            <v>2341</v>
          </cell>
          <cell r="AK28">
            <v>2392</v>
          </cell>
          <cell r="AL28">
            <v>765</v>
          </cell>
          <cell r="AM28">
            <v>164</v>
          </cell>
          <cell r="AN28">
            <v>3321</v>
          </cell>
          <cell r="AO28">
            <v>2518</v>
          </cell>
          <cell r="AP28">
            <v>8180</v>
          </cell>
          <cell r="AQ28">
            <v>360</v>
          </cell>
          <cell r="AR28">
            <v>84</v>
          </cell>
          <cell r="AS28">
            <v>0.23333333333333334</v>
          </cell>
          <cell r="AT28">
            <v>276</v>
          </cell>
          <cell r="AU28">
            <v>0.76666666666666672</v>
          </cell>
          <cell r="AV28">
            <v>294</v>
          </cell>
          <cell r="AW28">
            <v>0</v>
          </cell>
          <cell r="AX28">
            <v>0</v>
          </cell>
          <cell r="AY28">
            <v>0</v>
          </cell>
          <cell r="AZ28">
            <v>0</v>
          </cell>
          <cell r="BA28">
            <v>17</v>
          </cell>
          <cell r="BB28">
            <v>13030</v>
          </cell>
        </row>
        <row r="29">
          <cell r="B29" t="str">
            <v>E6105</v>
          </cell>
          <cell r="C29" t="str">
            <v>Cambridgeshire</v>
          </cell>
          <cell r="D29">
            <v>852500</v>
          </cell>
          <cell r="E29">
            <v>339589.24</v>
          </cell>
          <cell r="F29">
            <v>20137.22</v>
          </cell>
          <cell r="G29">
            <v>284665.25</v>
          </cell>
          <cell r="H29">
            <v>70.740000755273073</v>
          </cell>
          <cell r="I29">
            <v>358252</v>
          </cell>
          <cell r="J29">
            <v>26584</v>
          </cell>
          <cell r="K29">
            <v>368075</v>
          </cell>
          <cell r="M29">
            <v>2</v>
          </cell>
          <cell r="N29">
            <v>3</v>
          </cell>
          <cell r="O29">
            <v>10</v>
          </cell>
          <cell r="P29">
            <v>25</v>
          </cell>
          <cell r="Q29">
            <v>49</v>
          </cell>
          <cell r="R29">
            <v>27</v>
          </cell>
          <cell r="S29">
            <v>137</v>
          </cell>
          <cell r="T29">
            <v>253</v>
          </cell>
          <cell r="U29">
            <v>253</v>
          </cell>
          <cell r="V29">
            <v>0</v>
          </cell>
          <cell r="W29">
            <v>0</v>
          </cell>
          <cell r="X29">
            <v>12</v>
          </cell>
          <cell r="Y29">
            <v>27</v>
          </cell>
          <cell r="Z29">
            <v>68</v>
          </cell>
          <cell r="AA29">
            <v>107</v>
          </cell>
          <cell r="AB29">
            <v>163</v>
          </cell>
          <cell r="AC29">
            <v>41</v>
          </cell>
          <cell r="AD29">
            <v>137</v>
          </cell>
          <cell r="AE29">
            <v>537</v>
          </cell>
          <cell r="AG29">
            <v>945</v>
          </cell>
          <cell r="AH29">
            <v>1132</v>
          </cell>
          <cell r="AI29">
            <v>47</v>
          </cell>
          <cell r="AJ29">
            <v>2124</v>
          </cell>
          <cell r="AK29">
            <v>2420</v>
          </cell>
          <cell r="AL29">
            <v>1275</v>
          </cell>
          <cell r="AM29">
            <v>57</v>
          </cell>
          <cell r="AN29">
            <v>3752</v>
          </cell>
          <cell r="AO29">
            <v>1480</v>
          </cell>
          <cell r="AP29">
            <v>7356</v>
          </cell>
          <cell r="AQ29">
            <v>1187</v>
          </cell>
          <cell r="AR29">
            <v>964</v>
          </cell>
          <cell r="AS29">
            <v>0.81213142375737157</v>
          </cell>
          <cell r="AT29">
            <v>223</v>
          </cell>
          <cell r="AU29">
            <v>0.18786857624262848</v>
          </cell>
          <cell r="AV29">
            <v>203</v>
          </cell>
          <cell r="AW29">
            <v>1</v>
          </cell>
          <cell r="AX29">
            <v>12</v>
          </cell>
          <cell r="AY29">
            <v>0</v>
          </cell>
          <cell r="AZ29">
            <v>0</v>
          </cell>
          <cell r="BA29">
            <v>74</v>
          </cell>
          <cell r="BB29">
            <v>21748</v>
          </cell>
        </row>
        <row r="30">
          <cell r="B30" t="str">
            <v>E6106</v>
          </cell>
          <cell r="C30" t="str">
            <v>Cheshire</v>
          </cell>
          <cell r="D30">
            <v>1059200</v>
          </cell>
          <cell r="E30">
            <v>234277.00000000003</v>
          </cell>
          <cell r="F30">
            <v>29083.866460000001</v>
          </cell>
          <cell r="G30">
            <v>374117.14</v>
          </cell>
          <cell r="H30">
            <v>77.739999990377342</v>
          </cell>
          <cell r="I30">
            <v>474136</v>
          </cell>
          <cell r="J30">
            <v>36918</v>
          </cell>
          <cell r="K30">
            <v>483086</v>
          </cell>
          <cell r="M30">
            <v>3</v>
          </cell>
          <cell r="N30">
            <v>3</v>
          </cell>
          <cell r="O30">
            <v>7</v>
          </cell>
          <cell r="P30">
            <v>25</v>
          </cell>
          <cell r="Q30">
            <v>63</v>
          </cell>
          <cell r="R30">
            <v>58</v>
          </cell>
          <cell r="S30">
            <v>255</v>
          </cell>
          <cell r="T30">
            <v>414</v>
          </cell>
          <cell r="U30">
            <v>416</v>
          </cell>
          <cell r="V30">
            <v>0</v>
          </cell>
          <cell r="W30">
            <v>0</v>
          </cell>
          <cell r="X30">
            <v>10</v>
          </cell>
          <cell r="Y30">
            <v>30</v>
          </cell>
          <cell r="Z30">
            <v>110</v>
          </cell>
          <cell r="AA30">
            <v>150</v>
          </cell>
          <cell r="AB30">
            <v>256</v>
          </cell>
          <cell r="AC30">
            <v>0</v>
          </cell>
          <cell r="AD30">
            <v>152</v>
          </cell>
          <cell r="AE30">
            <v>716</v>
          </cell>
          <cell r="AG30">
            <v>1079</v>
          </cell>
          <cell r="AH30">
            <v>1770</v>
          </cell>
          <cell r="AI30">
            <v>82</v>
          </cell>
          <cell r="AJ30">
            <v>2931</v>
          </cell>
          <cell r="AK30">
            <v>1811</v>
          </cell>
          <cell r="AL30">
            <v>1326</v>
          </cell>
          <cell r="AM30">
            <v>91</v>
          </cell>
          <cell r="AN30">
            <v>3228</v>
          </cell>
          <cell r="AO30">
            <v>2251</v>
          </cell>
          <cell r="AP30">
            <v>8410</v>
          </cell>
          <cell r="AQ30">
            <v>1673</v>
          </cell>
          <cell r="AR30">
            <v>1279</v>
          </cell>
          <cell r="AS30">
            <v>0.76449491930663482</v>
          </cell>
          <cell r="AT30">
            <v>394</v>
          </cell>
          <cell r="AU30">
            <v>0.2355050806933652</v>
          </cell>
          <cell r="AV30">
            <v>379</v>
          </cell>
          <cell r="AW30">
            <v>18</v>
          </cell>
          <cell r="AX30">
            <v>6</v>
          </cell>
          <cell r="AY30">
            <v>2</v>
          </cell>
          <cell r="AZ30">
            <v>0</v>
          </cell>
          <cell r="BA30">
            <v>173</v>
          </cell>
          <cell r="BB30">
            <v>27792</v>
          </cell>
        </row>
        <row r="31">
          <cell r="B31" t="str">
            <v>E6107</v>
          </cell>
          <cell r="C31" t="str">
            <v>Cleveland</v>
          </cell>
          <cell r="D31">
            <v>567600</v>
          </cell>
          <cell r="E31">
            <v>59723.090000000011</v>
          </cell>
          <cell r="F31">
            <v>11867.697</v>
          </cell>
          <cell r="G31">
            <v>153408.70000000001</v>
          </cell>
          <cell r="H31">
            <v>77.359999791406864</v>
          </cell>
          <cell r="I31">
            <v>252140</v>
          </cell>
          <cell r="J31">
            <v>17097</v>
          </cell>
          <cell r="K31">
            <v>258395</v>
          </cell>
          <cell r="M31">
            <v>2</v>
          </cell>
          <cell r="N31">
            <v>2</v>
          </cell>
          <cell r="O31">
            <v>5</v>
          </cell>
          <cell r="P31">
            <v>16</v>
          </cell>
          <cell r="Q31">
            <v>49</v>
          </cell>
          <cell r="R31">
            <v>53</v>
          </cell>
          <cell r="S31">
            <v>199</v>
          </cell>
          <cell r="T31">
            <v>326</v>
          </cell>
          <cell r="U31">
            <v>326</v>
          </cell>
          <cell r="V31">
            <v>0</v>
          </cell>
          <cell r="W31">
            <v>0</v>
          </cell>
          <cell r="X31">
            <v>4</v>
          </cell>
          <cell r="Y31">
            <v>11</v>
          </cell>
          <cell r="Z31">
            <v>71</v>
          </cell>
          <cell r="AA31">
            <v>86</v>
          </cell>
          <cell r="AB31">
            <v>113</v>
          </cell>
          <cell r="AC31">
            <v>20</v>
          </cell>
          <cell r="AD31">
            <v>106</v>
          </cell>
          <cell r="AE31">
            <v>537</v>
          </cell>
          <cell r="AG31">
            <v>663</v>
          </cell>
          <cell r="AH31">
            <v>3190</v>
          </cell>
          <cell r="AI31">
            <v>12</v>
          </cell>
          <cell r="AJ31">
            <v>3865</v>
          </cell>
          <cell r="AK31">
            <v>1118</v>
          </cell>
          <cell r="AL31">
            <v>1746</v>
          </cell>
          <cell r="AM31">
            <v>115</v>
          </cell>
          <cell r="AN31">
            <v>2979</v>
          </cell>
          <cell r="AO31">
            <v>1321</v>
          </cell>
          <cell r="AP31">
            <v>8165</v>
          </cell>
          <cell r="AQ31">
            <v>1456</v>
          </cell>
          <cell r="AR31">
            <v>1316</v>
          </cell>
          <cell r="AS31">
            <v>0.90384615384615385</v>
          </cell>
          <cell r="AT31">
            <v>140</v>
          </cell>
          <cell r="AU31">
            <v>9.6153846153846159E-2</v>
          </cell>
          <cell r="AV31">
            <v>95</v>
          </cell>
          <cell r="AW31">
            <v>3</v>
          </cell>
          <cell r="AX31">
            <v>12</v>
          </cell>
          <cell r="AY31">
            <v>0</v>
          </cell>
          <cell r="AZ31">
            <v>2</v>
          </cell>
          <cell r="BA31">
            <v>70</v>
          </cell>
          <cell r="BB31">
            <v>15947</v>
          </cell>
        </row>
        <row r="32">
          <cell r="B32" t="str">
            <v>E6110</v>
          </cell>
          <cell r="C32" t="str">
            <v>Derbyshire</v>
          </cell>
          <cell r="D32">
            <v>1053300</v>
          </cell>
          <cell r="E32">
            <v>262879.32</v>
          </cell>
          <cell r="F32">
            <v>24080.955999999998</v>
          </cell>
          <cell r="G32">
            <v>315940.13999999996</v>
          </cell>
          <cell r="H32">
            <v>76.219995344687774</v>
          </cell>
          <cell r="I32">
            <v>463104</v>
          </cell>
          <cell r="J32">
            <v>34968.999999999993</v>
          </cell>
          <cell r="K32">
            <v>470339</v>
          </cell>
          <cell r="M32">
            <v>2</v>
          </cell>
          <cell r="N32">
            <v>3</v>
          </cell>
          <cell r="O32">
            <v>9</v>
          </cell>
          <cell r="P32">
            <v>20</v>
          </cell>
          <cell r="Q32">
            <v>58</v>
          </cell>
          <cell r="R32">
            <v>61</v>
          </cell>
          <cell r="S32">
            <v>196</v>
          </cell>
          <cell r="T32">
            <v>349</v>
          </cell>
          <cell r="U32">
            <v>349</v>
          </cell>
          <cell r="V32">
            <v>0</v>
          </cell>
          <cell r="W32">
            <v>0</v>
          </cell>
          <cell r="X32">
            <v>22</v>
          </cell>
          <cell r="Y32">
            <v>42</v>
          </cell>
          <cell r="Z32">
            <v>149</v>
          </cell>
          <cell r="AA32">
            <v>213</v>
          </cell>
          <cell r="AB32">
            <v>322</v>
          </cell>
          <cell r="AC32">
            <v>28</v>
          </cell>
          <cell r="AD32">
            <v>146</v>
          </cell>
          <cell r="AE32">
            <v>736</v>
          </cell>
          <cell r="AG32">
            <v>1166</v>
          </cell>
          <cell r="AH32">
            <v>1413</v>
          </cell>
          <cell r="AI32">
            <v>80</v>
          </cell>
          <cell r="AJ32">
            <v>2659</v>
          </cell>
          <cell r="AK32">
            <v>1913</v>
          </cell>
          <cell r="AL32">
            <v>936</v>
          </cell>
          <cell r="AM32">
            <v>75</v>
          </cell>
          <cell r="AN32">
            <v>2924</v>
          </cell>
          <cell r="AO32">
            <v>1528</v>
          </cell>
          <cell r="AP32">
            <v>7111</v>
          </cell>
          <cell r="AQ32">
            <v>1090</v>
          </cell>
          <cell r="AR32">
            <v>724</v>
          </cell>
          <cell r="AS32">
            <v>0.66422018348623857</v>
          </cell>
          <cell r="AT32">
            <v>366</v>
          </cell>
          <cell r="AU32">
            <v>0.33577981651376149</v>
          </cell>
          <cell r="AV32">
            <v>337</v>
          </cell>
          <cell r="AW32">
            <v>30</v>
          </cell>
          <cell r="AX32">
            <v>18</v>
          </cell>
          <cell r="AY32">
            <v>1</v>
          </cell>
          <cell r="AZ32">
            <v>2</v>
          </cell>
          <cell r="BA32">
            <v>315</v>
          </cell>
          <cell r="BB32">
            <v>43036</v>
          </cell>
        </row>
        <row r="33">
          <cell r="B33" t="str">
            <v>E6161</v>
          </cell>
          <cell r="C33" t="str">
            <v>Devon and Somerset</v>
          </cell>
          <cell r="D33">
            <v>1753600</v>
          </cell>
          <cell r="E33">
            <v>1016198.2999999999</v>
          </cell>
          <cell r="F33">
            <v>52554.307000000001</v>
          </cell>
          <cell r="G33">
            <v>607423.80999999994</v>
          </cell>
          <cell r="H33">
            <v>86.519998285875559</v>
          </cell>
          <cell r="I33">
            <v>794658</v>
          </cell>
          <cell r="J33">
            <v>72231.000000000015</v>
          </cell>
          <cell r="K33">
            <v>818084</v>
          </cell>
          <cell r="M33">
            <v>3</v>
          </cell>
          <cell r="N33">
            <v>7</v>
          </cell>
          <cell r="O33">
            <v>26</v>
          </cell>
          <cell r="P33">
            <v>52</v>
          </cell>
          <cell r="Q33">
            <v>111</v>
          </cell>
          <cell r="R33">
            <v>75</v>
          </cell>
          <cell r="S33">
            <v>250</v>
          </cell>
          <cell r="T33">
            <v>522</v>
          </cell>
          <cell r="U33">
            <v>529</v>
          </cell>
          <cell r="V33">
            <v>0</v>
          </cell>
          <cell r="W33">
            <v>0</v>
          </cell>
          <cell r="X33">
            <v>75</v>
          </cell>
          <cell r="Y33">
            <v>184</v>
          </cell>
          <cell r="Z33">
            <v>682</v>
          </cell>
          <cell r="AA33">
            <v>941</v>
          </cell>
          <cell r="AB33">
            <v>1144</v>
          </cell>
          <cell r="AC33">
            <v>33</v>
          </cell>
          <cell r="AD33">
            <v>253</v>
          </cell>
          <cell r="AE33">
            <v>1749</v>
          </cell>
          <cell r="AG33">
            <v>2339</v>
          </cell>
          <cell r="AH33">
            <v>1821</v>
          </cell>
          <cell r="AI33">
            <v>346</v>
          </cell>
          <cell r="AJ33">
            <v>4506</v>
          </cell>
          <cell r="AK33">
            <v>4064</v>
          </cell>
          <cell r="AL33">
            <v>1586</v>
          </cell>
          <cell r="AM33">
            <v>110</v>
          </cell>
          <cell r="AN33">
            <v>5760</v>
          </cell>
          <cell r="AO33">
            <v>7548</v>
          </cell>
          <cell r="AP33">
            <v>17814</v>
          </cell>
          <cell r="AQ33">
            <v>859</v>
          </cell>
          <cell r="AR33">
            <v>238</v>
          </cell>
          <cell r="AS33">
            <v>0.27706635622817227</v>
          </cell>
          <cell r="AT33">
            <v>621</v>
          </cell>
          <cell r="AU33">
            <v>0.72293364377182767</v>
          </cell>
          <cell r="AV33">
            <v>523</v>
          </cell>
          <cell r="AW33">
            <v>68</v>
          </cell>
          <cell r="AX33">
            <v>48</v>
          </cell>
          <cell r="AY33">
            <v>3</v>
          </cell>
          <cell r="AZ33">
            <v>1</v>
          </cell>
          <cell r="BA33">
            <v>79</v>
          </cell>
          <cell r="BB33">
            <v>103767</v>
          </cell>
        </row>
        <row r="34">
          <cell r="B34" t="str">
            <v>E6162</v>
          </cell>
          <cell r="C34" t="str">
            <v>Dorset and Wiltshire</v>
          </cell>
          <cell r="D34">
            <v>1492400</v>
          </cell>
          <cell r="E34">
            <v>613810.74</v>
          </cell>
          <cell r="F34">
            <v>41208.762999999999</v>
          </cell>
          <cell r="G34">
            <v>550404.19999999995</v>
          </cell>
          <cell r="H34">
            <v>74.87</v>
          </cell>
          <cell r="I34">
            <v>658430</v>
          </cell>
          <cell r="J34">
            <v>53981</v>
          </cell>
          <cell r="K34">
            <v>677396</v>
          </cell>
          <cell r="M34">
            <v>3</v>
          </cell>
          <cell r="N34">
            <v>5</v>
          </cell>
          <cell r="O34">
            <v>10</v>
          </cell>
          <cell r="P34">
            <v>37</v>
          </cell>
          <cell r="Q34">
            <v>74</v>
          </cell>
          <cell r="R34">
            <v>67</v>
          </cell>
          <cell r="S34">
            <v>228</v>
          </cell>
          <cell r="T34">
            <v>424</v>
          </cell>
          <cell r="U34">
            <v>424</v>
          </cell>
          <cell r="V34">
            <v>0</v>
          </cell>
          <cell r="W34">
            <v>0</v>
          </cell>
          <cell r="X34">
            <v>55</v>
          </cell>
          <cell r="Y34">
            <v>101</v>
          </cell>
          <cell r="Z34">
            <v>316</v>
          </cell>
          <cell r="AA34">
            <v>472</v>
          </cell>
          <cell r="AB34">
            <v>581</v>
          </cell>
          <cell r="AC34">
            <v>34</v>
          </cell>
          <cell r="AD34">
            <v>260</v>
          </cell>
          <cell r="AE34">
            <v>1190</v>
          </cell>
          <cell r="AG34">
            <v>1837</v>
          </cell>
          <cell r="AH34">
            <v>1703</v>
          </cell>
          <cell r="AI34">
            <v>224</v>
          </cell>
          <cell r="AJ34">
            <v>3764</v>
          </cell>
          <cell r="AK34">
            <v>4940</v>
          </cell>
          <cell r="AL34">
            <v>1695</v>
          </cell>
          <cell r="AM34">
            <v>197</v>
          </cell>
          <cell r="AN34">
            <v>6832</v>
          </cell>
          <cell r="AO34">
            <v>3773</v>
          </cell>
          <cell r="AP34">
            <v>14369</v>
          </cell>
          <cell r="AQ34">
            <v>1198</v>
          </cell>
          <cell r="AR34">
            <v>641</v>
          </cell>
          <cell r="AS34">
            <v>0.53505843071786308</v>
          </cell>
          <cell r="AT34">
            <v>557</v>
          </cell>
          <cell r="AU34">
            <v>0.46494156928213687</v>
          </cell>
          <cell r="AV34">
            <v>116</v>
          </cell>
          <cell r="AW34">
            <v>2</v>
          </cell>
          <cell r="AX34">
            <v>9</v>
          </cell>
          <cell r="AY34">
            <v>0</v>
          </cell>
          <cell r="AZ34">
            <v>1</v>
          </cell>
          <cell r="BA34">
            <v>6</v>
          </cell>
          <cell r="BB34">
            <v>91902</v>
          </cell>
        </row>
        <row r="35">
          <cell r="B35" t="str">
            <v>E6113</v>
          </cell>
          <cell r="C35" t="str">
            <v>Durham</v>
          </cell>
          <cell r="D35">
            <v>633600</v>
          </cell>
          <cell r="E35">
            <v>242901.8</v>
          </cell>
          <cell r="F35">
            <v>17865.393749999999</v>
          </cell>
          <cell r="G35">
            <v>172612.5</v>
          </cell>
          <cell r="H35">
            <v>103.5</v>
          </cell>
          <cell r="I35">
            <v>288898</v>
          </cell>
          <cell r="J35">
            <v>19435</v>
          </cell>
          <cell r="K35">
            <v>295406</v>
          </cell>
          <cell r="M35">
            <v>3</v>
          </cell>
          <cell r="N35">
            <v>3</v>
          </cell>
          <cell r="O35">
            <v>4</v>
          </cell>
          <cell r="P35">
            <v>23</v>
          </cell>
          <cell r="Q35">
            <v>37</v>
          </cell>
          <cell r="R35">
            <v>52</v>
          </cell>
          <cell r="S35">
            <v>173</v>
          </cell>
          <cell r="T35">
            <v>295</v>
          </cell>
          <cell r="U35">
            <v>295</v>
          </cell>
          <cell r="V35">
            <v>0</v>
          </cell>
          <cell r="W35">
            <v>0</v>
          </cell>
          <cell r="X35">
            <v>10</v>
          </cell>
          <cell r="Y35">
            <v>26</v>
          </cell>
          <cell r="Z35">
            <v>101</v>
          </cell>
          <cell r="AA35">
            <v>137</v>
          </cell>
          <cell r="AB35">
            <v>180</v>
          </cell>
          <cell r="AC35">
            <v>21</v>
          </cell>
          <cell r="AD35">
            <v>80</v>
          </cell>
          <cell r="AE35">
            <v>533</v>
          </cell>
          <cell r="AG35">
            <v>1008</v>
          </cell>
          <cell r="AH35">
            <v>2596</v>
          </cell>
          <cell r="AI35">
            <v>63</v>
          </cell>
          <cell r="AJ35">
            <v>3667</v>
          </cell>
          <cell r="AK35">
            <v>1119</v>
          </cell>
          <cell r="AL35">
            <v>1151</v>
          </cell>
          <cell r="AM35">
            <v>77</v>
          </cell>
          <cell r="AN35">
            <v>2347</v>
          </cell>
          <cell r="AO35">
            <v>1287</v>
          </cell>
          <cell r="AP35">
            <v>7301</v>
          </cell>
          <cell r="AQ35">
            <v>2187</v>
          </cell>
          <cell r="AR35">
            <v>1889</v>
          </cell>
          <cell r="AS35">
            <v>0.86374028349336995</v>
          </cell>
          <cell r="AT35">
            <v>298</v>
          </cell>
          <cell r="AU35">
            <v>0.13625971650663007</v>
          </cell>
          <cell r="AV35">
            <v>317</v>
          </cell>
          <cell r="AW35">
            <v>0</v>
          </cell>
          <cell r="AX35">
            <v>0</v>
          </cell>
          <cell r="AY35">
            <v>0</v>
          </cell>
          <cell r="AZ35">
            <v>0</v>
          </cell>
          <cell r="BA35">
            <v>0</v>
          </cell>
          <cell r="BB35">
            <v>16948</v>
          </cell>
        </row>
        <row r="36">
          <cell r="B36" t="str">
            <v>E6114</v>
          </cell>
          <cell r="C36" t="str">
            <v>East Sussex</v>
          </cell>
          <cell r="D36">
            <v>845000</v>
          </cell>
          <cell r="E36">
            <v>179547.69</v>
          </cell>
          <cell r="F36">
            <v>27214.93</v>
          </cell>
          <cell r="G36">
            <v>290540.5</v>
          </cell>
          <cell r="H36">
            <v>93.67000469814019</v>
          </cell>
          <cell r="I36">
            <v>368978</v>
          </cell>
          <cell r="J36">
            <v>31905.000000000004</v>
          </cell>
          <cell r="K36">
            <v>381557</v>
          </cell>
          <cell r="M36">
            <v>3</v>
          </cell>
          <cell r="N36">
            <v>3</v>
          </cell>
          <cell r="O36">
            <v>8</v>
          </cell>
          <cell r="P36">
            <v>25</v>
          </cell>
          <cell r="Q36">
            <v>56</v>
          </cell>
          <cell r="R36">
            <v>59</v>
          </cell>
          <cell r="S36">
            <v>198</v>
          </cell>
          <cell r="T36">
            <v>351</v>
          </cell>
          <cell r="U36">
            <v>352</v>
          </cell>
          <cell r="V36">
            <v>0</v>
          </cell>
          <cell r="W36">
            <v>0</v>
          </cell>
          <cell r="X36">
            <v>14</v>
          </cell>
          <cell r="Y36">
            <v>28</v>
          </cell>
          <cell r="Z36">
            <v>154</v>
          </cell>
          <cell r="AA36">
            <v>196</v>
          </cell>
          <cell r="AB36">
            <v>235</v>
          </cell>
          <cell r="AC36">
            <v>45</v>
          </cell>
          <cell r="AD36">
            <v>162</v>
          </cell>
          <cell r="AE36">
            <v>753</v>
          </cell>
          <cell r="AG36">
            <v>1176</v>
          </cell>
          <cell r="AH36">
            <v>790</v>
          </cell>
          <cell r="AI36">
            <v>100</v>
          </cell>
          <cell r="AJ36">
            <v>2066</v>
          </cell>
          <cell r="AK36">
            <v>3102</v>
          </cell>
          <cell r="AL36">
            <v>1234</v>
          </cell>
          <cell r="AM36">
            <v>105</v>
          </cell>
          <cell r="AN36">
            <v>4441</v>
          </cell>
          <cell r="AO36">
            <v>2877</v>
          </cell>
          <cell r="AP36">
            <v>9384</v>
          </cell>
          <cell r="AQ36">
            <v>581</v>
          </cell>
          <cell r="AR36">
            <v>411</v>
          </cell>
          <cell r="AS36">
            <v>0.70740103270223753</v>
          </cell>
          <cell r="AT36">
            <v>170</v>
          </cell>
          <cell r="AU36">
            <v>0.29259896729776247</v>
          </cell>
          <cell r="AV36">
            <v>125</v>
          </cell>
          <cell r="AW36">
            <v>23</v>
          </cell>
          <cell r="AX36">
            <v>19</v>
          </cell>
          <cell r="AY36">
            <v>0</v>
          </cell>
          <cell r="AZ36">
            <v>0</v>
          </cell>
          <cell r="BA36">
            <v>130</v>
          </cell>
          <cell r="BB36">
            <v>27326</v>
          </cell>
        </row>
        <row r="37">
          <cell r="B37" t="str">
            <v>E6115</v>
          </cell>
          <cell r="C37" t="str">
            <v>Essex</v>
          </cell>
          <cell r="D37">
            <v>1832800</v>
          </cell>
          <cell r="E37">
            <v>367723.03</v>
          </cell>
          <cell r="F37">
            <v>46232.785000000003</v>
          </cell>
          <cell r="G37">
            <v>638133.68000000005</v>
          </cell>
          <cell r="H37">
            <v>72.449999818219894</v>
          </cell>
          <cell r="I37">
            <v>773260</v>
          </cell>
          <cell r="J37">
            <v>58811.999999999993</v>
          </cell>
          <cell r="K37">
            <v>786707</v>
          </cell>
          <cell r="M37">
            <v>1</v>
          </cell>
          <cell r="N37">
            <v>4</v>
          </cell>
          <cell r="O37">
            <v>13</v>
          </cell>
          <cell r="P37">
            <v>39</v>
          </cell>
          <cell r="Q37">
            <v>118</v>
          </cell>
          <cell r="R37">
            <v>85</v>
          </cell>
          <cell r="S37">
            <v>368</v>
          </cell>
          <cell r="T37">
            <v>628</v>
          </cell>
          <cell r="U37">
            <v>629</v>
          </cell>
          <cell r="V37">
            <v>0</v>
          </cell>
          <cell r="W37">
            <v>4</v>
          </cell>
          <cell r="X37">
            <v>25</v>
          </cell>
          <cell r="Y37">
            <v>72</v>
          </cell>
          <cell r="Z37">
            <v>297</v>
          </cell>
          <cell r="AA37">
            <v>398</v>
          </cell>
          <cell r="AB37">
            <v>500</v>
          </cell>
          <cell r="AC37">
            <v>31</v>
          </cell>
          <cell r="AD37">
            <v>263</v>
          </cell>
          <cell r="AE37">
            <v>1320</v>
          </cell>
          <cell r="AG37">
            <v>2386</v>
          </cell>
          <cell r="AH37">
            <v>2409</v>
          </cell>
          <cell r="AI37">
            <v>67</v>
          </cell>
          <cell r="AJ37">
            <v>4862</v>
          </cell>
          <cell r="AK37">
            <v>2543</v>
          </cell>
          <cell r="AL37">
            <v>3238</v>
          </cell>
          <cell r="AM37">
            <v>207</v>
          </cell>
          <cell r="AN37">
            <v>5988</v>
          </cell>
          <cell r="AO37">
            <v>4774</v>
          </cell>
          <cell r="AP37">
            <v>15624</v>
          </cell>
          <cell r="AQ37">
            <v>846</v>
          </cell>
          <cell r="AR37">
            <v>482</v>
          </cell>
          <cell r="AS37">
            <v>0.56973995271867617</v>
          </cell>
          <cell r="AT37">
            <v>364</v>
          </cell>
          <cell r="AU37">
            <v>0.43026004728132389</v>
          </cell>
          <cell r="AV37">
            <v>364</v>
          </cell>
          <cell r="AW37">
            <v>1</v>
          </cell>
          <cell r="AX37">
            <v>0</v>
          </cell>
          <cell r="AY37">
            <v>0</v>
          </cell>
          <cell r="AZ37">
            <v>0</v>
          </cell>
          <cell r="BA37">
            <v>0</v>
          </cell>
          <cell r="BB37">
            <v>46318</v>
          </cell>
        </row>
        <row r="38">
          <cell r="B38" t="str">
            <v>E6117</v>
          </cell>
          <cell r="C38" t="str">
            <v>Hampshire</v>
          </cell>
          <cell r="D38">
            <v>1844200</v>
          </cell>
          <cell r="E38">
            <v>376920.14999999997</v>
          </cell>
          <cell r="F38">
            <v>43070.127870000004</v>
          </cell>
          <cell r="G38">
            <v>636096.99999999988</v>
          </cell>
          <cell r="H38">
            <v>67.710000000000022</v>
          </cell>
          <cell r="I38">
            <v>769173</v>
          </cell>
          <cell r="J38">
            <v>55072</v>
          </cell>
          <cell r="K38">
            <v>794754</v>
          </cell>
          <cell r="M38">
            <v>4</v>
          </cell>
          <cell r="N38">
            <v>5</v>
          </cell>
          <cell r="O38">
            <v>18</v>
          </cell>
          <cell r="P38">
            <v>37</v>
          </cell>
          <cell r="Q38">
            <v>91</v>
          </cell>
          <cell r="R38">
            <v>97</v>
          </cell>
          <cell r="S38">
            <v>399</v>
          </cell>
          <cell r="T38">
            <v>650</v>
          </cell>
          <cell r="U38">
            <v>658</v>
          </cell>
          <cell r="V38">
            <v>0</v>
          </cell>
          <cell r="W38">
            <v>2</v>
          </cell>
          <cell r="X38">
            <v>50</v>
          </cell>
          <cell r="Y38">
            <v>96</v>
          </cell>
          <cell r="Z38">
            <v>421</v>
          </cell>
          <cell r="AA38">
            <v>569</v>
          </cell>
          <cell r="AB38">
            <v>697</v>
          </cell>
          <cell r="AC38">
            <v>33</v>
          </cell>
          <cell r="AD38">
            <v>226</v>
          </cell>
          <cell r="AE38">
            <v>1478</v>
          </cell>
          <cell r="AG38">
            <v>2073</v>
          </cell>
          <cell r="AH38">
            <v>2150</v>
          </cell>
          <cell r="AI38">
            <v>153</v>
          </cell>
          <cell r="AJ38">
            <v>4376</v>
          </cell>
          <cell r="AK38">
            <v>4485</v>
          </cell>
          <cell r="AL38">
            <v>2329</v>
          </cell>
          <cell r="AM38">
            <v>295</v>
          </cell>
          <cell r="AN38">
            <v>7109</v>
          </cell>
          <cell r="AO38">
            <v>4175</v>
          </cell>
          <cell r="AP38">
            <v>15660</v>
          </cell>
          <cell r="AQ38">
            <v>923</v>
          </cell>
          <cell r="AR38">
            <v>393</v>
          </cell>
          <cell r="AS38">
            <v>0.42578548212351031</v>
          </cell>
          <cell r="AT38">
            <v>530</v>
          </cell>
          <cell r="AU38">
            <v>0.57421451787648969</v>
          </cell>
          <cell r="AV38">
            <v>69</v>
          </cell>
          <cell r="AW38">
            <v>1</v>
          </cell>
          <cell r="AX38">
            <v>16</v>
          </cell>
          <cell r="AY38">
            <v>0</v>
          </cell>
          <cell r="AZ38">
            <v>16</v>
          </cell>
          <cell r="BA38">
            <v>58</v>
          </cell>
          <cell r="BB38">
            <v>198159</v>
          </cell>
        </row>
        <row r="39">
          <cell r="B39" t="str">
            <v>E6118</v>
          </cell>
          <cell r="C39" t="str">
            <v>Hereford and Worcester</v>
          </cell>
          <cell r="D39">
            <v>784200</v>
          </cell>
          <cell r="E39">
            <v>392022.35</v>
          </cell>
          <cell r="F39">
            <v>23494.12</v>
          </cell>
          <cell r="G39">
            <v>278564.53999999998</v>
          </cell>
          <cell r="H39">
            <v>84.339952242306225</v>
          </cell>
          <cell r="I39">
            <v>342269</v>
          </cell>
          <cell r="J39">
            <v>28965.000000000004</v>
          </cell>
          <cell r="K39">
            <v>348623</v>
          </cell>
          <cell r="M39">
            <v>3</v>
          </cell>
          <cell r="N39">
            <v>3</v>
          </cell>
          <cell r="O39">
            <v>11</v>
          </cell>
          <cell r="P39">
            <v>17</v>
          </cell>
          <cell r="Q39">
            <v>45</v>
          </cell>
          <cell r="R39">
            <v>43</v>
          </cell>
          <cell r="S39">
            <v>102</v>
          </cell>
          <cell r="T39">
            <v>224</v>
          </cell>
          <cell r="U39">
            <v>224</v>
          </cell>
          <cell r="V39">
            <v>0</v>
          </cell>
          <cell r="W39">
            <v>0</v>
          </cell>
          <cell r="X39">
            <v>18</v>
          </cell>
          <cell r="Y39">
            <v>42</v>
          </cell>
          <cell r="Z39">
            <v>161</v>
          </cell>
          <cell r="AA39">
            <v>221</v>
          </cell>
          <cell r="AB39">
            <v>366</v>
          </cell>
          <cell r="AC39">
            <v>16</v>
          </cell>
          <cell r="AD39">
            <v>96</v>
          </cell>
          <cell r="AE39">
            <v>557</v>
          </cell>
          <cell r="AG39">
            <v>1117</v>
          </cell>
          <cell r="AH39">
            <v>918</v>
          </cell>
          <cell r="AI39">
            <v>125</v>
          </cell>
          <cell r="AJ39">
            <v>2160</v>
          </cell>
          <cell r="AK39">
            <v>2472</v>
          </cell>
          <cell r="AL39">
            <v>801</v>
          </cell>
          <cell r="AM39">
            <v>41</v>
          </cell>
          <cell r="AN39">
            <v>3314</v>
          </cell>
          <cell r="AO39">
            <v>2017</v>
          </cell>
          <cell r="AP39">
            <v>7491</v>
          </cell>
          <cell r="AQ39">
            <v>714</v>
          </cell>
          <cell r="AR39">
            <v>345</v>
          </cell>
          <cell r="AS39">
            <v>0.48319327731092437</v>
          </cell>
          <cell r="AT39">
            <v>369</v>
          </cell>
          <cell r="AU39">
            <v>0.51680672268907568</v>
          </cell>
          <cell r="AV39">
            <v>284</v>
          </cell>
          <cell r="AW39">
            <v>113</v>
          </cell>
          <cell r="AX39">
            <v>82</v>
          </cell>
          <cell r="AY39">
            <v>0</v>
          </cell>
          <cell r="AZ39">
            <v>31</v>
          </cell>
          <cell r="BA39">
            <v>244</v>
          </cell>
          <cell r="BB39">
            <v>19208</v>
          </cell>
        </row>
        <row r="40">
          <cell r="B40" t="str">
            <v>E6120</v>
          </cell>
          <cell r="C40" t="str">
            <v>Humberside</v>
          </cell>
          <cell r="D40">
            <v>932000</v>
          </cell>
          <cell r="E40">
            <v>351610.18000000005</v>
          </cell>
          <cell r="F40">
            <v>22992.612000000001</v>
          </cell>
          <cell r="G40">
            <v>270692.39999999997</v>
          </cell>
          <cell r="H40">
            <v>84.939998315431112</v>
          </cell>
          <cell r="I40">
            <v>417055</v>
          </cell>
          <cell r="J40">
            <v>31898.999999999996</v>
          </cell>
          <cell r="K40">
            <v>425276</v>
          </cell>
          <cell r="M40">
            <v>2</v>
          </cell>
          <cell r="N40">
            <v>3</v>
          </cell>
          <cell r="O40">
            <v>12</v>
          </cell>
          <cell r="P40">
            <v>24</v>
          </cell>
          <cell r="Q40">
            <v>76</v>
          </cell>
          <cell r="R40">
            <v>65</v>
          </cell>
          <cell r="S40">
            <v>312</v>
          </cell>
          <cell r="T40">
            <v>494</v>
          </cell>
          <cell r="U40">
            <v>494</v>
          </cell>
          <cell r="V40">
            <v>0</v>
          </cell>
          <cell r="W40">
            <v>0</v>
          </cell>
          <cell r="X40">
            <v>22</v>
          </cell>
          <cell r="Y40">
            <v>64</v>
          </cell>
          <cell r="Z40">
            <v>256</v>
          </cell>
          <cell r="AA40">
            <v>342</v>
          </cell>
          <cell r="AB40">
            <v>342</v>
          </cell>
          <cell r="AC40">
            <v>27</v>
          </cell>
          <cell r="AD40">
            <v>181</v>
          </cell>
          <cell r="AE40">
            <v>1044</v>
          </cell>
          <cell r="AG40">
            <v>1457</v>
          </cell>
          <cell r="AH40">
            <v>2812</v>
          </cell>
          <cell r="AI40">
            <v>68</v>
          </cell>
          <cell r="AJ40">
            <v>4337</v>
          </cell>
          <cell r="AK40">
            <v>2678</v>
          </cell>
          <cell r="AL40">
            <v>1242</v>
          </cell>
          <cell r="AM40">
            <v>172</v>
          </cell>
          <cell r="AN40">
            <v>4092</v>
          </cell>
          <cell r="AO40">
            <v>5231</v>
          </cell>
          <cell r="AP40">
            <v>13660</v>
          </cell>
          <cell r="AQ40">
            <v>501</v>
          </cell>
          <cell r="AR40">
            <v>421</v>
          </cell>
          <cell r="AS40">
            <v>0.84031936127744511</v>
          </cell>
          <cell r="AT40">
            <v>80</v>
          </cell>
          <cell r="AU40">
            <v>0.15968063872255489</v>
          </cell>
          <cell r="AV40">
            <v>65</v>
          </cell>
          <cell r="AW40">
            <v>8</v>
          </cell>
          <cell r="AX40">
            <v>9</v>
          </cell>
          <cell r="AY40">
            <v>0</v>
          </cell>
          <cell r="AZ40">
            <v>3</v>
          </cell>
          <cell r="BA40">
            <v>70</v>
          </cell>
          <cell r="BB40">
            <v>38712</v>
          </cell>
        </row>
        <row r="41">
          <cell r="B41" t="str">
            <v>E6122</v>
          </cell>
          <cell r="C41" t="str">
            <v>Kent</v>
          </cell>
          <cell r="D41">
            <v>1846500</v>
          </cell>
          <cell r="E41">
            <v>373959.6</v>
          </cell>
          <cell r="F41">
            <v>49060.964999999997</v>
          </cell>
          <cell r="G41">
            <v>630928.04</v>
          </cell>
          <cell r="H41">
            <v>77.760000966195761</v>
          </cell>
          <cell r="I41">
            <v>769173</v>
          </cell>
          <cell r="J41">
            <v>53717.999999999993</v>
          </cell>
          <cell r="K41">
            <v>785469</v>
          </cell>
          <cell r="M41">
            <v>4</v>
          </cell>
          <cell r="N41">
            <v>4</v>
          </cell>
          <cell r="O41">
            <v>15</v>
          </cell>
          <cell r="P41">
            <v>49</v>
          </cell>
          <cell r="Q41">
            <v>61</v>
          </cell>
          <cell r="R41">
            <v>129</v>
          </cell>
          <cell r="S41">
            <v>396</v>
          </cell>
          <cell r="T41">
            <v>658</v>
          </cell>
          <cell r="U41">
            <v>658</v>
          </cell>
          <cell r="V41">
            <v>0</v>
          </cell>
          <cell r="W41">
            <v>0</v>
          </cell>
          <cell r="X41">
            <v>28</v>
          </cell>
          <cell r="Y41">
            <v>81</v>
          </cell>
          <cell r="Z41">
            <v>372</v>
          </cell>
          <cell r="AA41">
            <v>481</v>
          </cell>
          <cell r="AB41">
            <v>481</v>
          </cell>
          <cell r="AC41">
            <v>40</v>
          </cell>
          <cell r="AD41">
            <v>281</v>
          </cell>
          <cell r="AE41">
            <v>1460</v>
          </cell>
          <cell r="AG41">
            <v>2074</v>
          </cell>
          <cell r="AH41">
            <v>2122</v>
          </cell>
          <cell r="AI41">
            <v>153</v>
          </cell>
          <cell r="AJ41">
            <v>4349</v>
          </cell>
          <cell r="AK41">
            <v>2367</v>
          </cell>
          <cell r="AL41">
            <v>2681</v>
          </cell>
          <cell r="AM41">
            <v>69</v>
          </cell>
          <cell r="AN41">
            <v>5117</v>
          </cell>
          <cell r="AO41">
            <v>12417</v>
          </cell>
          <cell r="AP41">
            <v>21883</v>
          </cell>
          <cell r="AQ41">
            <v>1517</v>
          </cell>
          <cell r="AR41">
            <v>1217</v>
          </cell>
          <cell r="AS41">
            <v>0.80224126565589982</v>
          </cell>
          <cell r="AT41">
            <v>300</v>
          </cell>
          <cell r="AU41">
            <v>0.19775873434410018</v>
          </cell>
          <cell r="AV41">
            <v>839</v>
          </cell>
          <cell r="AW41">
            <v>149</v>
          </cell>
          <cell r="AX41">
            <v>28</v>
          </cell>
          <cell r="AY41">
            <v>1</v>
          </cell>
          <cell r="AZ41">
            <v>1</v>
          </cell>
          <cell r="BA41">
            <v>51</v>
          </cell>
          <cell r="BB41">
            <v>28171</v>
          </cell>
        </row>
        <row r="42">
          <cell r="B42" t="str">
            <v>E6123</v>
          </cell>
          <cell r="C42" t="str">
            <v>Lancashire</v>
          </cell>
          <cell r="D42">
            <v>1498300</v>
          </cell>
          <cell r="E42">
            <v>307641.32</v>
          </cell>
          <cell r="F42">
            <v>30441.813999999998</v>
          </cell>
          <cell r="G42">
            <v>438137.67</v>
          </cell>
          <cell r="H42">
            <v>69.480019830296726</v>
          </cell>
          <cell r="I42">
            <v>661920</v>
          </cell>
          <cell r="J42">
            <v>56800.999999999993</v>
          </cell>
          <cell r="K42">
            <v>678902</v>
          </cell>
          <cell r="M42">
            <v>3</v>
          </cell>
          <cell r="N42">
            <v>4</v>
          </cell>
          <cell r="O42">
            <v>11</v>
          </cell>
          <cell r="P42">
            <v>30</v>
          </cell>
          <cell r="Q42">
            <v>88</v>
          </cell>
          <cell r="R42">
            <v>112</v>
          </cell>
          <cell r="S42">
            <v>397</v>
          </cell>
          <cell r="T42">
            <v>645</v>
          </cell>
          <cell r="U42">
            <v>645</v>
          </cell>
          <cell r="V42">
            <v>0</v>
          </cell>
          <cell r="W42">
            <v>0</v>
          </cell>
          <cell r="X42">
            <v>23</v>
          </cell>
          <cell r="Y42">
            <v>67</v>
          </cell>
          <cell r="Z42">
            <v>179</v>
          </cell>
          <cell r="AA42">
            <v>269</v>
          </cell>
          <cell r="AB42">
            <v>427</v>
          </cell>
          <cell r="AC42">
            <v>1</v>
          </cell>
          <cell r="AD42">
            <v>210</v>
          </cell>
          <cell r="AE42">
            <v>1125</v>
          </cell>
          <cell r="AG42">
            <v>2078</v>
          </cell>
          <cell r="AH42">
            <v>3544</v>
          </cell>
          <cell r="AI42">
            <v>83</v>
          </cell>
          <cell r="AJ42">
            <v>5705</v>
          </cell>
          <cell r="AK42">
            <v>4332</v>
          </cell>
          <cell r="AL42">
            <v>2775</v>
          </cell>
          <cell r="AM42">
            <v>328</v>
          </cell>
          <cell r="AN42">
            <v>7435</v>
          </cell>
          <cell r="AO42">
            <v>4014</v>
          </cell>
          <cell r="AP42">
            <v>17154</v>
          </cell>
          <cell r="AQ42">
            <v>1662</v>
          </cell>
          <cell r="AR42">
            <v>468</v>
          </cell>
          <cell r="AS42">
            <v>0.28158844765342961</v>
          </cell>
          <cell r="AT42">
            <v>1194</v>
          </cell>
          <cell r="AU42">
            <v>0.71841155234657039</v>
          </cell>
          <cell r="AV42">
            <v>1010</v>
          </cell>
          <cell r="AW42">
            <v>145</v>
          </cell>
          <cell r="AX42">
            <v>9</v>
          </cell>
          <cell r="AY42">
            <v>1</v>
          </cell>
          <cell r="AZ42">
            <v>6</v>
          </cell>
          <cell r="BA42">
            <v>101</v>
          </cell>
          <cell r="BB42">
            <v>27337</v>
          </cell>
        </row>
        <row r="43">
          <cell r="B43" t="str">
            <v>E6124</v>
          </cell>
          <cell r="C43" t="str">
            <v>Leicestershire</v>
          </cell>
          <cell r="D43">
            <v>1093200</v>
          </cell>
          <cell r="E43">
            <v>255087.85999999993</v>
          </cell>
          <cell r="F43">
            <v>21512.438999999998</v>
          </cell>
          <cell r="G43">
            <v>322815.71000000002</v>
          </cell>
          <cell r="H43">
            <v>66.640000265166762</v>
          </cell>
          <cell r="I43">
            <v>435067</v>
          </cell>
          <cell r="J43">
            <v>33742.999999999993</v>
          </cell>
          <cell r="K43">
            <v>453125</v>
          </cell>
          <cell r="M43">
            <v>4</v>
          </cell>
          <cell r="N43">
            <v>3</v>
          </cell>
          <cell r="O43">
            <v>5</v>
          </cell>
          <cell r="P43">
            <v>20</v>
          </cell>
          <cell r="Q43">
            <v>52</v>
          </cell>
          <cell r="R43">
            <v>63</v>
          </cell>
          <cell r="S43">
            <v>196</v>
          </cell>
          <cell r="T43">
            <v>343</v>
          </cell>
          <cell r="U43">
            <v>345</v>
          </cell>
          <cell r="V43">
            <v>0</v>
          </cell>
          <cell r="W43">
            <v>0</v>
          </cell>
          <cell r="X43">
            <v>10</v>
          </cell>
          <cell r="Y43">
            <v>21</v>
          </cell>
          <cell r="Z43">
            <v>96</v>
          </cell>
          <cell r="AA43">
            <v>128</v>
          </cell>
          <cell r="AB43">
            <v>206</v>
          </cell>
          <cell r="AC43">
            <v>26</v>
          </cell>
          <cell r="AD43">
            <v>106</v>
          </cell>
          <cell r="AE43">
            <v>602</v>
          </cell>
          <cell r="AG43">
            <v>1245</v>
          </cell>
          <cell r="AH43">
            <v>1215</v>
          </cell>
          <cell r="AI43">
            <v>65</v>
          </cell>
          <cell r="AJ43">
            <v>2525</v>
          </cell>
          <cell r="AK43">
            <v>1690</v>
          </cell>
          <cell r="AL43">
            <v>1045</v>
          </cell>
          <cell r="AM43">
            <v>99</v>
          </cell>
          <cell r="AN43">
            <v>2834</v>
          </cell>
          <cell r="AO43">
            <v>3195</v>
          </cell>
          <cell r="AP43">
            <v>8554</v>
          </cell>
          <cell r="AQ43">
            <v>444</v>
          </cell>
          <cell r="AR43">
            <v>318</v>
          </cell>
          <cell r="AS43">
            <v>0.71621621621621623</v>
          </cell>
          <cell r="AT43">
            <v>126</v>
          </cell>
          <cell r="AU43">
            <v>0.28378378378378377</v>
          </cell>
          <cell r="AV43">
            <v>206</v>
          </cell>
          <cell r="AW43">
            <v>34</v>
          </cell>
          <cell r="AX43">
            <v>20</v>
          </cell>
          <cell r="AY43">
            <v>1</v>
          </cell>
          <cell r="AZ43">
            <v>4</v>
          </cell>
          <cell r="BA43">
            <v>121</v>
          </cell>
          <cell r="BB43">
            <v>26086</v>
          </cell>
        </row>
        <row r="44">
          <cell r="B44" t="str">
            <v>E6127</v>
          </cell>
          <cell r="C44" t="str">
            <v>North Yorkshire</v>
          </cell>
          <cell r="D44">
            <v>824400</v>
          </cell>
          <cell r="E44">
            <v>831219.88999999978</v>
          </cell>
          <cell r="F44">
            <v>21450.48</v>
          </cell>
          <cell r="G44">
            <v>300974.88</v>
          </cell>
          <cell r="H44">
            <v>71.270001004735008</v>
          </cell>
          <cell r="I44">
            <v>364731</v>
          </cell>
          <cell r="J44">
            <v>37075</v>
          </cell>
          <cell r="K44">
            <v>378111</v>
          </cell>
          <cell r="M44">
            <v>2</v>
          </cell>
          <cell r="N44">
            <v>2</v>
          </cell>
          <cell r="O44">
            <v>9</v>
          </cell>
          <cell r="P44">
            <v>16</v>
          </cell>
          <cell r="Q44">
            <v>54</v>
          </cell>
          <cell r="R44">
            <v>56</v>
          </cell>
          <cell r="S44">
            <v>158</v>
          </cell>
          <cell r="T44">
            <v>297</v>
          </cell>
          <cell r="U44">
            <v>299</v>
          </cell>
          <cell r="V44">
            <v>0</v>
          </cell>
          <cell r="W44">
            <v>0</v>
          </cell>
          <cell r="X44">
            <v>24</v>
          </cell>
          <cell r="Y44">
            <v>58</v>
          </cell>
          <cell r="Z44">
            <v>207</v>
          </cell>
          <cell r="AA44">
            <v>289</v>
          </cell>
          <cell r="AB44">
            <v>358</v>
          </cell>
          <cell r="AC44">
            <v>15</v>
          </cell>
          <cell r="AD44">
            <v>82</v>
          </cell>
          <cell r="AE44">
            <v>683</v>
          </cell>
          <cell r="AG44">
            <v>1088</v>
          </cell>
          <cell r="AH44">
            <v>837</v>
          </cell>
          <cell r="AI44">
            <v>149</v>
          </cell>
          <cell r="AJ44">
            <v>2074</v>
          </cell>
          <cell r="AK44">
            <v>2332</v>
          </cell>
          <cell r="AL44">
            <v>896</v>
          </cell>
          <cell r="AM44">
            <v>87</v>
          </cell>
          <cell r="AN44">
            <v>3315</v>
          </cell>
          <cell r="AO44">
            <v>1768</v>
          </cell>
          <cell r="AP44">
            <v>7157</v>
          </cell>
          <cell r="AQ44">
            <v>1131</v>
          </cell>
          <cell r="AR44">
            <v>702</v>
          </cell>
          <cell r="AS44">
            <v>0.62068965517241381</v>
          </cell>
          <cell r="AT44">
            <v>429</v>
          </cell>
          <cell r="AU44">
            <v>0.37931034482758619</v>
          </cell>
          <cell r="AV44">
            <v>1094</v>
          </cell>
          <cell r="AW44">
            <v>21</v>
          </cell>
          <cell r="AX44">
            <v>16</v>
          </cell>
          <cell r="AY44">
            <v>2</v>
          </cell>
          <cell r="AZ44">
            <v>0</v>
          </cell>
          <cell r="BA44">
            <v>74</v>
          </cell>
          <cell r="BB44">
            <v>44511</v>
          </cell>
        </row>
        <row r="45">
          <cell r="B45" t="str">
            <v>E6128</v>
          </cell>
          <cell r="C45" t="str">
            <v>Northamptonshire</v>
          </cell>
          <cell r="D45">
            <v>747600</v>
          </cell>
          <cell r="E45">
            <v>236698.99</v>
          </cell>
          <cell r="F45">
            <v>14910.030080000002</v>
          </cell>
          <cell r="G45">
            <v>245392.2</v>
          </cell>
          <cell r="H45">
            <v>60.760000032600878</v>
          </cell>
          <cell r="I45">
            <v>317510</v>
          </cell>
          <cell r="J45">
            <v>22152</v>
          </cell>
          <cell r="K45">
            <v>322392</v>
          </cell>
          <cell r="M45">
            <v>3</v>
          </cell>
          <cell r="N45">
            <v>2</v>
          </cell>
          <cell r="O45">
            <v>10</v>
          </cell>
          <cell r="P45">
            <v>21</v>
          </cell>
          <cell r="Q45">
            <v>47</v>
          </cell>
          <cell r="R45">
            <v>34</v>
          </cell>
          <cell r="S45">
            <v>116</v>
          </cell>
          <cell r="T45">
            <v>233</v>
          </cell>
          <cell r="U45">
            <v>235</v>
          </cell>
          <cell r="V45">
            <v>0</v>
          </cell>
          <cell r="W45">
            <v>0</v>
          </cell>
          <cell r="X45">
            <v>10</v>
          </cell>
          <cell r="Y45">
            <v>24</v>
          </cell>
          <cell r="Z45">
            <v>123</v>
          </cell>
          <cell r="AA45">
            <v>156</v>
          </cell>
          <cell r="AB45">
            <v>207</v>
          </cell>
          <cell r="AC45">
            <v>17</v>
          </cell>
          <cell r="AD45">
            <v>59</v>
          </cell>
          <cell r="AE45">
            <v>464</v>
          </cell>
          <cell r="AG45">
            <v>1002</v>
          </cell>
          <cell r="AH45">
            <v>851</v>
          </cell>
          <cell r="AI45">
            <v>39</v>
          </cell>
          <cell r="AJ45">
            <v>1892</v>
          </cell>
          <cell r="AK45">
            <v>735</v>
          </cell>
          <cell r="AL45">
            <v>956</v>
          </cell>
          <cell r="AM45">
            <v>41</v>
          </cell>
          <cell r="AN45">
            <v>1732</v>
          </cell>
          <cell r="AO45">
            <v>1940</v>
          </cell>
          <cell r="AP45">
            <v>5564</v>
          </cell>
          <cell r="AQ45">
            <v>838</v>
          </cell>
          <cell r="AR45">
            <v>628</v>
          </cell>
          <cell r="AS45">
            <v>0.74940334128878283</v>
          </cell>
          <cell r="AT45">
            <v>210</v>
          </cell>
          <cell r="AU45">
            <v>0.25059665871121717</v>
          </cell>
          <cell r="AV45">
            <v>100</v>
          </cell>
          <cell r="AW45">
            <v>28</v>
          </cell>
          <cell r="AX45">
            <v>8</v>
          </cell>
          <cell r="AY45">
            <v>0</v>
          </cell>
          <cell r="AZ45">
            <v>0</v>
          </cell>
          <cell r="BA45">
            <v>16</v>
          </cell>
          <cell r="BB45">
            <v>21305</v>
          </cell>
        </row>
        <row r="46">
          <cell r="B46" t="str">
            <v>E6130</v>
          </cell>
          <cell r="C46" t="str">
            <v>Nottinghamshire</v>
          </cell>
          <cell r="D46">
            <v>1154200</v>
          </cell>
          <cell r="E46">
            <v>215932.47</v>
          </cell>
          <cell r="F46">
            <v>25293.057990000001</v>
          </cell>
          <cell r="G46">
            <v>316955.61</v>
          </cell>
          <cell r="H46">
            <v>79.800000984364985</v>
          </cell>
          <cell r="I46">
            <v>483157</v>
          </cell>
          <cell r="J46">
            <v>35507</v>
          </cell>
          <cell r="K46">
            <v>502636</v>
          </cell>
          <cell r="M46">
            <v>3</v>
          </cell>
          <cell r="N46">
            <v>4</v>
          </cell>
          <cell r="O46">
            <v>8</v>
          </cell>
          <cell r="P46">
            <v>23</v>
          </cell>
          <cell r="Q46">
            <v>77</v>
          </cell>
          <cell r="R46">
            <v>72</v>
          </cell>
          <cell r="S46">
            <v>264</v>
          </cell>
          <cell r="T46">
            <v>451</v>
          </cell>
          <cell r="U46">
            <v>456</v>
          </cell>
          <cell r="V46">
            <v>0</v>
          </cell>
          <cell r="W46">
            <v>0</v>
          </cell>
          <cell r="X46">
            <v>17</v>
          </cell>
          <cell r="Y46">
            <v>25</v>
          </cell>
          <cell r="Z46">
            <v>98</v>
          </cell>
          <cell r="AA46">
            <v>139</v>
          </cell>
          <cell r="AB46">
            <v>259</v>
          </cell>
          <cell r="AC46">
            <v>26</v>
          </cell>
          <cell r="AD46">
            <v>149</v>
          </cell>
          <cell r="AE46">
            <v>765</v>
          </cell>
          <cell r="AG46">
            <v>1775</v>
          </cell>
          <cell r="AH46">
            <v>2251</v>
          </cell>
          <cell r="AI46">
            <v>47</v>
          </cell>
          <cell r="AJ46">
            <v>4073</v>
          </cell>
          <cell r="AK46">
            <v>3263</v>
          </cell>
          <cell r="AL46">
            <v>1107</v>
          </cell>
          <cell r="AM46">
            <v>152</v>
          </cell>
          <cell r="AN46">
            <v>4522</v>
          </cell>
          <cell r="AO46">
            <v>2670</v>
          </cell>
          <cell r="AP46">
            <v>11265</v>
          </cell>
          <cell r="AQ46">
            <v>1043</v>
          </cell>
          <cell r="AR46">
            <v>724</v>
          </cell>
          <cell r="AS46">
            <v>0.69415148609779487</v>
          </cell>
          <cell r="AT46">
            <v>319</v>
          </cell>
          <cell r="AU46">
            <v>0.30584851390220519</v>
          </cell>
          <cell r="AV46">
            <v>291</v>
          </cell>
          <cell r="AW46">
            <v>22</v>
          </cell>
          <cell r="AX46">
            <v>11</v>
          </cell>
          <cell r="AY46">
            <v>1</v>
          </cell>
          <cell r="AZ46">
            <v>0</v>
          </cell>
          <cell r="BA46">
            <v>135</v>
          </cell>
          <cell r="BB46">
            <v>25895</v>
          </cell>
        </row>
        <row r="47">
          <cell r="B47" t="str">
            <v>E6132</v>
          </cell>
          <cell r="C47" t="str">
            <v>Shropshire</v>
          </cell>
          <cell r="D47">
            <v>498100</v>
          </cell>
          <cell r="E47">
            <v>348758.95</v>
          </cell>
          <cell r="F47">
            <v>16228.512000000001</v>
          </cell>
          <cell r="G47">
            <v>161880.40000000002</v>
          </cell>
          <cell r="H47">
            <v>100.25001173706019</v>
          </cell>
          <cell r="I47">
            <v>214951</v>
          </cell>
          <cell r="J47">
            <v>17317.999999999996</v>
          </cell>
          <cell r="K47">
            <v>219199</v>
          </cell>
          <cell r="M47">
            <v>3</v>
          </cell>
          <cell r="N47">
            <v>3</v>
          </cell>
          <cell r="O47">
            <v>7</v>
          </cell>
          <cell r="P47">
            <v>14</v>
          </cell>
          <cell r="Q47">
            <v>25</v>
          </cell>
          <cell r="R47">
            <v>24</v>
          </cell>
          <cell r="S47">
            <v>106</v>
          </cell>
          <cell r="T47">
            <v>182</v>
          </cell>
          <cell r="U47">
            <v>185</v>
          </cell>
          <cell r="V47">
            <v>0</v>
          </cell>
          <cell r="W47">
            <v>0</v>
          </cell>
          <cell r="X47">
            <v>23</v>
          </cell>
          <cell r="Y47">
            <v>65</v>
          </cell>
          <cell r="Z47">
            <v>235</v>
          </cell>
          <cell r="AA47">
            <v>323</v>
          </cell>
          <cell r="AB47">
            <v>326</v>
          </cell>
          <cell r="AC47">
            <v>19</v>
          </cell>
          <cell r="AD47">
            <v>67</v>
          </cell>
          <cell r="AE47">
            <v>591</v>
          </cell>
          <cell r="AG47">
            <v>623</v>
          </cell>
          <cell r="AH47">
            <v>532</v>
          </cell>
          <cell r="AI47">
            <v>95</v>
          </cell>
          <cell r="AJ47">
            <v>1250</v>
          </cell>
          <cell r="AK47">
            <v>1379</v>
          </cell>
          <cell r="AL47">
            <v>416</v>
          </cell>
          <cell r="AM47">
            <v>40</v>
          </cell>
          <cell r="AN47">
            <v>1835</v>
          </cell>
          <cell r="AO47">
            <v>854</v>
          </cell>
          <cell r="AP47">
            <v>3939</v>
          </cell>
          <cell r="AQ47">
            <v>312</v>
          </cell>
          <cell r="AR47">
            <v>211</v>
          </cell>
          <cell r="AS47">
            <v>0.67628205128205132</v>
          </cell>
          <cell r="AT47">
            <v>101</v>
          </cell>
          <cell r="AU47">
            <v>0.32371794871794873</v>
          </cell>
          <cell r="AV47">
            <v>21</v>
          </cell>
          <cell r="AW47">
            <v>0</v>
          </cell>
          <cell r="AX47">
            <v>9</v>
          </cell>
          <cell r="AY47">
            <v>0</v>
          </cell>
          <cell r="AZ47">
            <v>1</v>
          </cell>
          <cell r="BA47">
            <v>59</v>
          </cell>
          <cell r="BB47">
            <v>25235</v>
          </cell>
        </row>
        <row r="48">
          <cell r="B48" t="str">
            <v>E6134</v>
          </cell>
          <cell r="C48" t="str">
            <v>Staffordshire</v>
          </cell>
          <cell r="D48">
            <v>1131000</v>
          </cell>
          <cell r="E48">
            <v>271676.3</v>
          </cell>
          <cell r="F48">
            <v>26246.520817900004</v>
          </cell>
          <cell r="G48">
            <v>346580.23</v>
          </cell>
          <cell r="H48">
            <v>75.73</v>
          </cell>
          <cell r="I48">
            <v>488186</v>
          </cell>
          <cell r="J48">
            <v>35857</v>
          </cell>
          <cell r="K48">
            <v>496527</v>
          </cell>
          <cell r="M48">
            <v>2</v>
          </cell>
          <cell r="N48">
            <v>2</v>
          </cell>
          <cell r="O48">
            <v>8</v>
          </cell>
          <cell r="P48">
            <v>26</v>
          </cell>
          <cell r="Q48">
            <v>63</v>
          </cell>
          <cell r="R48">
            <v>40</v>
          </cell>
          <cell r="S48">
            <v>178</v>
          </cell>
          <cell r="T48">
            <v>319</v>
          </cell>
          <cell r="U48">
            <v>319</v>
          </cell>
          <cell r="V48">
            <v>0</v>
          </cell>
          <cell r="W48">
            <v>0</v>
          </cell>
          <cell r="X48">
            <v>28</v>
          </cell>
          <cell r="Y48">
            <v>65</v>
          </cell>
          <cell r="Z48">
            <v>278</v>
          </cell>
          <cell r="AA48">
            <v>371</v>
          </cell>
          <cell r="AB48">
            <v>371</v>
          </cell>
          <cell r="AC48">
            <v>0</v>
          </cell>
          <cell r="AD48">
            <v>222</v>
          </cell>
          <cell r="AE48">
            <v>912</v>
          </cell>
          <cell r="AG48">
            <v>1529</v>
          </cell>
          <cell r="AH48">
            <v>2561</v>
          </cell>
          <cell r="AI48">
            <v>74</v>
          </cell>
          <cell r="AJ48">
            <v>4164</v>
          </cell>
          <cell r="AK48">
            <v>1384</v>
          </cell>
          <cell r="AL48">
            <v>1576</v>
          </cell>
          <cell r="AM48">
            <v>108</v>
          </cell>
          <cell r="AN48">
            <v>3068</v>
          </cell>
          <cell r="AO48">
            <v>2091</v>
          </cell>
          <cell r="AP48">
            <v>9323</v>
          </cell>
          <cell r="AQ48">
            <v>429</v>
          </cell>
          <cell r="AR48">
            <v>308</v>
          </cell>
          <cell r="AS48">
            <v>0.71794871794871795</v>
          </cell>
          <cell r="AT48">
            <v>121</v>
          </cell>
          <cell r="AU48">
            <v>0.28205128205128205</v>
          </cell>
          <cell r="AV48">
            <v>115</v>
          </cell>
          <cell r="AW48">
            <v>6</v>
          </cell>
          <cell r="AX48">
            <v>4</v>
          </cell>
          <cell r="AY48">
            <v>0</v>
          </cell>
          <cell r="AZ48">
            <v>0</v>
          </cell>
          <cell r="BA48">
            <v>0</v>
          </cell>
          <cell r="BB48">
            <v>26598</v>
          </cell>
        </row>
        <row r="49">
          <cell r="B49" t="str">
            <v>E6142</v>
          </cell>
          <cell r="C49" t="str">
            <v>Greater Manchester</v>
          </cell>
          <cell r="D49">
            <v>2812600</v>
          </cell>
          <cell r="E49">
            <v>403243.79000000004</v>
          </cell>
          <cell r="F49">
            <v>0</v>
          </cell>
          <cell r="G49">
            <v>750203.72</v>
          </cell>
          <cell r="H49">
            <v>0</v>
          </cell>
          <cell r="I49">
            <v>1193751</v>
          </cell>
          <cell r="J49">
            <v>108285.99999999999</v>
          </cell>
          <cell r="K49">
            <v>1221542</v>
          </cell>
          <cell r="M49">
            <v>5</v>
          </cell>
          <cell r="N49">
            <v>6</v>
          </cell>
          <cell r="O49">
            <v>13</v>
          </cell>
          <cell r="P49">
            <v>57</v>
          </cell>
          <cell r="Q49">
            <v>208</v>
          </cell>
          <cell r="R49">
            <v>179</v>
          </cell>
          <cell r="S49">
            <v>895</v>
          </cell>
          <cell r="T49">
            <v>1363</v>
          </cell>
          <cell r="U49">
            <v>1364</v>
          </cell>
          <cell r="V49">
            <v>0</v>
          </cell>
          <cell r="W49">
            <v>0</v>
          </cell>
          <cell r="X49">
            <v>0</v>
          </cell>
          <cell r="Y49">
            <v>0</v>
          </cell>
          <cell r="Z49">
            <v>4</v>
          </cell>
          <cell r="AA49">
            <v>4</v>
          </cell>
          <cell r="AB49">
            <v>4</v>
          </cell>
          <cell r="AC49">
            <v>0</v>
          </cell>
          <cell r="AD49">
            <v>391</v>
          </cell>
          <cell r="AE49">
            <v>1758</v>
          </cell>
          <cell r="AG49">
            <v>4743</v>
          </cell>
          <cell r="AH49">
            <v>7868</v>
          </cell>
          <cell r="AI49">
            <v>20</v>
          </cell>
          <cell r="AJ49">
            <v>12631</v>
          </cell>
          <cell r="AK49">
            <v>9470</v>
          </cell>
          <cell r="AL49">
            <v>3642</v>
          </cell>
          <cell r="AM49">
            <v>722</v>
          </cell>
          <cell r="AN49">
            <v>13834</v>
          </cell>
          <cell r="AO49">
            <v>5565</v>
          </cell>
          <cell r="AP49">
            <v>32030</v>
          </cell>
          <cell r="AQ49">
            <v>2133</v>
          </cell>
          <cell r="AR49">
            <v>1119</v>
          </cell>
          <cell r="AS49">
            <v>0.52461322081575246</v>
          </cell>
          <cell r="AT49">
            <v>1014</v>
          </cell>
          <cell r="AU49">
            <v>0.47538677918424754</v>
          </cell>
          <cell r="AV49">
            <v>921</v>
          </cell>
          <cell r="AW49">
            <v>94</v>
          </cell>
          <cell r="AX49">
            <v>48</v>
          </cell>
          <cell r="AY49">
            <v>0</v>
          </cell>
          <cell r="AZ49">
            <v>0</v>
          </cell>
          <cell r="BA49">
            <v>22</v>
          </cell>
          <cell r="BB49">
            <v>114319</v>
          </cell>
        </row>
        <row r="50">
          <cell r="B50" t="str">
            <v>E6143</v>
          </cell>
          <cell r="C50" t="str">
            <v>Merseyside</v>
          </cell>
          <cell r="D50">
            <v>1423000</v>
          </cell>
          <cell r="E50">
            <v>64673.2</v>
          </cell>
          <cell r="F50">
            <v>29223.958999999999</v>
          </cell>
          <cell r="G50">
            <v>370674.26999999996</v>
          </cell>
          <cell r="H50">
            <v>78.839998794629054</v>
          </cell>
          <cell r="I50">
            <v>630971</v>
          </cell>
          <cell r="J50">
            <v>43883</v>
          </cell>
          <cell r="K50">
            <v>654038</v>
          </cell>
          <cell r="M50">
            <v>3</v>
          </cell>
          <cell r="N50">
            <v>4</v>
          </cell>
          <cell r="O50">
            <v>13</v>
          </cell>
          <cell r="P50">
            <v>29</v>
          </cell>
          <cell r="Q50">
            <v>115</v>
          </cell>
          <cell r="R50">
            <v>46</v>
          </cell>
          <cell r="S50">
            <v>397</v>
          </cell>
          <cell r="T50">
            <v>607</v>
          </cell>
          <cell r="U50">
            <v>610</v>
          </cell>
          <cell r="V50">
            <v>0</v>
          </cell>
          <cell r="W50">
            <v>0</v>
          </cell>
          <cell r="X50">
            <v>15</v>
          </cell>
          <cell r="Y50">
            <v>6</v>
          </cell>
          <cell r="Z50">
            <v>46</v>
          </cell>
          <cell r="AA50">
            <v>67</v>
          </cell>
          <cell r="AB50">
            <v>192</v>
          </cell>
          <cell r="AC50">
            <v>32</v>
          </cell>
          <cell r="AD50">
            <v>319</v>
          </cell>
          <cell r="AE50">
            <v>1026</v>
          </cell>
          <cell r="AG50">
            <v>2320</v>
          </cell>
          <cell r="AH50">
            <v>5187</v>
          </cell>
          <cell r="AI50">
            <v>17</v>
          </cell>
          <cell r="AJ50">
            <v>7524</v>
          </cell>
          <cell r="AK50">
            <v>3331</v>
          </cell>
          <cell r="AL50">
            <v>1799</v>
          </cell>
          <cell r="AM50">
            <v>197</v>
          </cell>
          <cell r="AN50">
            <v>5327</v>
          </cell>
          <cell r="AO50">
            <v>3414</v>
          </cell>
          <cell r="AP50">
            <v>16265</v>
          </cell>
          <cell r="AQ50">
            <v>847</v>
          </cell>
          <cell r="AR50">
            <v>697</v>
          </cell>
          <cell r="AS50">
            <v>0.82290436835891378</v>
          </cell>
          <cell r="AT50">
            <v>150</v>
          </cell>
          <cell r="AU50">
            <v>0.17709563164108619</v>
          </cell>
          <cell r="AV50">
            <v>98</v>
          </cell>
          <cell r="AW50">
            <v>52</v>
          </cell>
          <cell r="AX50">
            <v>34</v>
          </cell>
          <cell r="AY50">
            <v>1</v>
          </cell>
          <cell r="AZ50">
            <v>1</v>
          </cell>
          <cell r="BA50">
            <v>78</v>
          </cell>
          <cell r="BB50">
            <v>32281</v>
          </cell>
        </row>
        <row r="51">
          <cell r="B51" t="str">
            <v>E6144</v>
          </cell>
          <cell r="C51" t="str">
            <v>South Yorkshire</v>
          </cell>
          <cell r="D51">
            <v>1402900</v>
          </cell>
          <cell r="E51">
            <v>155156.43</v>
          </cell>
          <cell r="F51">
            <v>26025.645</v>
          </cell>
          <cell r="G51">
            <v>355881.93000000005</v>
          </cell>
          <cell r="H51">
            <v>73.129998480113883</v>
          </cell>
          <cell r="I51">
            <v>594435</v>
          </cell>
          <cell r="J51">
            <v>44982</v>
          </cell>
          <cell r="K51">
            <v>613738</v>
          </cell>
          <cell r="M51">
            <v>3</v>
          </cell>
          <cell r="N51">
            <v>3</v>
          </cell>
          <cell r="O51">
            <v>10</v>
          </cell>
          <cell r="P51">
            <v>24</v>
          </cell>
          <cell r="Q51">
            <v>84</v>
          </cell>
          <cell r="R51">
            <v>83</v>
          </cell>
          <cell r="S51">
            <v>366</v>
          </cell>
          <cell r="T51">
            <v>573</v>
          </cell>
          <cell r="U51">
            <v>573</v>
          </cell>
          <cell r="V51">
            <v>0</v>
          </cell>
          <cell r="W51">
            <v>0</v>
          </cell>
          <cell r="X51">
            <v>7</v>
          </cell>
          <cell r="Y51">
            <v>17</v>
          </cell>
          <cell r="Z51">
            <v>56</v>
          </cell>
          <cell r="AA51">
            <v>80</v>
          </cell>
          <cell r="AB51">
            <v>80</v>
          </cell>
          <cell r="AC51">
            <v>28</v>
          </cell>
          <cell r="AD51">
            <v>215</v>
          </cell>
          <cell r="AE51">
            <v>896</v>
          </cell>
          <cell r="AG51">
            <v>2134</v>
          </cell>
          <cell r="AH51">
            <v>5207</v>
          </cell>
          <cell r="AI51">
            <v>27</v>
          </cell>
          <cell r="AJ51">
            <v>7368</v>
          </cell>
          <cell r="AK51">
            <v>1882</v>
          </cell>
          <cell r="AL51">
            <v>2599</v>
          </cell>
          <cell r="AM51">
            <v>129</v>
          </cell>
          <cell r="AN51">
            <v>4610</v>
          </cell>
          <cell r="AO51">
            <v>3304</v>
          </cell>
          <cell r="AP51">
            <v>15282</v>
          </cell>
          <cell r="AQ51">
            <v>1877</v>
          </cell>
          <cell r="AR51">
            <v>435</v>
          </cell>
          <cell r="AS51">
            <v>0.23175279701651572</v>
          </cell>
          <cell r="AT51">
            <v>1442</v>
          </cell>
          <cell r="AU51">
            <v>0.76824720298348426</v>
          </cell>
          <cell r="AV51">
            <v>1058</v>
          </cell>
          <cell r="AW51">
            <v>30</v>
          </cell>
          <cell r="AX51">
            <v>9</v>
          </cell>
          <cell r="AY51">
            <v>0</v>
          </cell>
          <cell r="AZ51">
            <v>5</v>
          </cell>
          <cell r="BA51">
            <v>32</v>
          </cell>
          <cell r="BB51">
            <v>40716</v>
          </cell>
        </row>
        <row r="52">
          <cell r="B52" t="str">
            <v>E6145</v>
          </cell>
          <cell r="C52" t="str">
            <v>Tyne and Wear</v>
          </cell>
          <cell r="D52">
            <v>1136400</v>
          </cell>
          <cell r="E52">
            <v>53996.580000000009</v>
          </cell>
          <cell r="F52">
            <v>23712.191999999999</v>
          </cell>
          <cell r="G52">
            <v>288014</v>
          </cell>
          <cell r="H52">
            <v>82.329997847326865</v>
          </cell>
          <cell r="I52">
            <v>506961</v>
          </cell>
          <cell r="J52">
            <v>36009</v>
          </cell>
          <cell r="K52">
            <v>526086</v>
          </cell>
          <cell r="M52">
            <v>3</v>
          </cell>
          <cell r="N52">
            <v>4</v>
          </cell>
          <cell r="O52">
            <v>13</v>
          </cell>
          <cell r="P52">
            <v>23</v>
          </cell>
          <cell r="Q52">
            <v>104</v>
          </cell>
          <cell r="R52">
            <v>103</v>
          </cell>
          <cell r="S52">
            <v>337</v>
          </cell>
          <cell r="T52">
            <v>588</v>
          </cell>
          <cell r="U52">
            <v>590</v>
          </cell>
          <cell r="V52">
            <v>0</v>
          </cell>
          <cell r="W52">
            <v>0</v>
          </cell>
          <cell r="X52">
            <v>1</v>
          </cell>
          <cell r="Y52">
            <v>1</v>
          </cell>
          <cell r="Z52">
            <v>8</v>
          </cell>
          <cell r="AA52">
            <v>10</v>
          </cell>
          <cell r="AB52">
            <v>11</v>
          </cell>
          <cell r="AC52">
            <v>32</v>
          </cell>
          <cell r="AD52">
            <v>183</v>
          </cell>
          <cell r="AE52">
            <v>813</v>
          </cell>
          <cell r="AG52">
            <v>1801</v>
          </cell>
          <cell r="AH52">
            <v>5078</v>
          </cell>
          <cell r="AI52">
            <v>23</v>
          </cell>
          <cell r="AJ52">
            <v>6902</v>
          </cell>
          <cell r="AK52">
            <v>4315</v>
          </cell>
          <cell r="AL52">
            <v>2000</v>
          </cell>
          <cell r="AM52">
            <v>296</v>
          </cell>
          <cell r="AN52">
            <v>6611</v>
          </cell>
          <cell r="AO52">
            <v>3008</v>
          </cell>
          <cell r="AP52">
            <v>16521</v>
          </cell>
          <cell r="AQ52">
            <v>1714</v>
          </cell>
          <cell r="AR52">
            <v>1167</v>
          </cell>
          <cell r="AS52">
            <v>0.68086347724620766</v>
          </cell>
          <cell r="AT52">
            <v>547</v>
          </cell>
          <cell r="AU52">
            <v>0.31913652275379228</v>
          </cell>
          <cell r="AV52">
            <v>528</v>
          </cell>
          <cell r="AW52">
            <v>13</v>
          </cell>
          <cell r="AX52">
            <v>25</v>
          </cell>
          <cell r="AY52">
            <v>1</v>
          </cell>
          <cell r="AZ52">
            <v>2</v>
          </cell>
          <cell r="BA52">
            <v>47</v>
          </cell>
          <cell r="BB52">
            <v>31870</v>
          </cell>
        </row>
        <row r="53">
          <cell r="B53" t="str">
            <v>E6146</v>
          </cell>
          <cell r="C53" t="str">
            <v>West Midlands</v>
          </cell>
          <cell r="D53">
            <v>2916500</v>
          </cell>
          <cell r="E53">
            <v>90163.949999999983</v>
          </cell>
          <cell r="F53">
            <v>43214.92</v>
          </cell>
          <cell r="G53">
            <v>713120.04</v>
          </cell>
          <cell r="H53">
            <v>60.599783453007433</v>
          </cell>
          <cell r="I53">
            <v>1143180</v>
          </cell>
          <cell r="J53">
            <v>101050.00000000001</v>
          </cell>
          <cell r="K53">
            <v>1173319</v>
          </cell>
          <cell r="M53">
            <v>3</v>
          </cell>
          <cell r="N53">
            <v>7</v>
          </cell>
          <cell r="O53">
            <v>12</v>
          </cell>
          <cell r="P53">
            <v>46</v>
          </cell>
          <cell r="Q53">
            <v>248</v>
          </cell>
          <cell r="R53">
            <v>236</v>
          </cell>
          <cell r="S53">
            <v>843</v>
          </cell>
          <cell r="T53">
            <v>1395</v>
          </cell>
          <cell r="U53">
            <v>1398</v>
          </cell>
          <cell r="V53">
            <v>0</v>
          </cell>
          <cell r="W53">
            <v>1</v>
          </cell>
          <cell r="X53">
            <v>6</v>
          </cell>
          <cell r="Y53">
            <v>0</v>
          </cell>
          <cell r="Z53">
            <v>0</v>
          </cell>
          <cell r="AA53">
            <v>7</v>
          </cell>
          <cell r="AB53">
            <v>7</v>
          </cell>
          <cell r="AC53">
            <v>57</v>
          </cell>
          <cell r="AD53">
            <v>359</v>
          </cell>
          <cell r="AE53">
            <v>1818</v>
          </cell>
          <cell r="AG53">
            <v>4111</v>
          </cell>
          <cell r="AH53">
            <v>7385</v>
          </cell>
          <cell r="AI53">
            <v>44</v>
          </cell>
          <cell r="AJ53">
            <v>11540</v>
          </cell>
          <cell r="AK53">
            <v>5806</v>
          </cell>
          <cell r="AL53">
            <v>2726</v>
          </cell>
          <cell r="AM53">
            <v>548</v>
          </cell>
          <cell r="AN53">
            <v>9080</v>
          </cell>
          <cell r="AO53">
            <v>7550</v>
          </cell>
          <cell r="AP53">
            <v>28170</v>
          </cell>
          <cell r="AQ53">
            <v>1463</v>
          </cell>
          <cell r="AR53">
            <v>1006</v>
          </cell>
          <cell r="AS53">
            <v>0.68762816131237181</v>
          </cell>
          <cell r="AT53">
            <v>457</v>
          </cell>
          <cell r="AU53">
            <v>0.31237183868762813</v>
          </cell>
          <cell r="AV53">
            <v>724</v>
          </cell>
          <cell r="AW53">
            <v>27</v>
          </cell>
          <cell r="AX53">
            <v>22</v>
          </cell>
          <cell r="AY53">
            <v>12</v>
          </cell>
          <cell r="AZ53">
            <v>4</v>
          </cell>
          <cell r="BA53">
            <v>669</v>
          </cell>
          <cell r="BB53">
            <v>91154</v>
          </cell>
        </row>
        <row r="54">
          <cell r="B54" t="str">
            <v>E6147</v>
          </cell>
          <cell r="C54" t="str">
            <v>West Yorkshire</v>
          </cell>
          <cell r="D54">
            <v>2320200</v>
          </cell>
          <cell r="E54">
            <v>202925.87000000002</v>
          </cell>
          <cell r="F54">
            <v>42157.296999999999</v>
          </cell>
          <cell r="G54">
            <v>652678.55999999994</v>
          </cell>
          <cell r="H54">
            <v>64.59120857286932</v>
          </cell>
          <cell r="I54">
            <v>981524</v>
          </cell>
          <cell r="J54">
            <v>85551</v>
          </cell>
          <cell r="K54">
            <v>1009457</v>
          </cell>
          <cell r="M54">
            <v>3</v>
          </cell>
          <cell r="N54">
            <v>3</v>
          </cell>
          <cell r="O54">
            <v>10</v>
          </cell>
          <cell r="P54">
            <v>43</v>
          </cell>
          <cell r="Q54">
            <v>159</v>
          </cell>
          <cell r="R54">
            <v>143</v>
          </cell>
          <cell r="S54">
            <v>590</v>
          </cell>
          <cell r="T54">
            <v>950</v>
          </cell>
          <cell r="U54">
            <v>952</v>
          </cell>
          <cell r="V54">
            <v>0</v>
          </cell>
          <cell r="W54">
            <v>0</v>
          </cell>
          <cell r="X54">
            <v>7</v>
          </cell>
          <cell r="Y54">
            <v>9</v>
          </cell>
          <cell r="Z54">
            <v>61</v>
          </cell>
          <cell r="AA54">
            <v>77</v>
          </cell>
          <cell r="AB54">
            <v>141</v>
          </cell>
          <cell r="AC54">
            <v>41</v>
          </cell>
          <cell r="AD54">
            <v>265</v>
          </cell>
          <cell r="AE54">
            <v>1334</v>
          </cell>
          <cell r="AG54">
            <v>3353</v>
          </cell>
          <cell r="AH54">
            <v>8435</v>
          </cell>
          <cell r="AI54">
            <v>85</v>
          </cell>
          <cell r="AJ54">
            <v>11873</v>
          </cell>
          <cell r="AK54">
            <v>6644</v>
          </cell>
          <cell r="AL54">
            <v>3113</v>
          </cell>
          <cell r="AM54">
            <v>367</v>
          </cell>
          <cell r="AN54">
            <v>10124</v>
          </cell>
          <cell r="AO54">
            <v>2947</v>
          </cell>
          <cell r="AP54">
            <v>24944</v>
          </cell>
          <cell r="AQ54">
            <v>795</v>
          </cell>
          <cell r="AR54">
            <v>468</v>
          </cell>
          <cell r="AS54">
            <v>0.58867924528301885</v>
          </cell>
          <cell r="AT54">
            <v>327</v>
          </cell>
          <cell r="AU54">
            <v>0.41132075471698115</v>
          </cell>
          <cell r="AV54">
            <v>239</v>
          </cell>
          <cell r="AW54">
            <v>67</v>
          </cell>
          <cell r="AX54">
            <v>170</v>
          </cell>
          <cell r="AY54">
            <v>11</v>
          </cell>
          <cell r="AZ54">
            <v>0</v>
          </cell>
          <cell r="BA54">
            <v>87</v>
          </cell>
          <cell r="BB54">
            <v>83511</v>
          </cell>
        </row>
        <row r="55">
          <cell r="B55" t="str">
            <v>E6160</v>
          </cell>
          <cell r="C55" t="str">
            <v>London (LFC)</v>
          </cell>
          <cell r="D55">
            <v>8908000</v>
          </cell>
          <cell r="E55">
            <v>157350.94</v>
          </cell>
          <cell r="F55">
            <v>0</v>
          </cell>
          <cell r="G55">
            <v>3002882.73</v>
          </cell>
          <cell r="H55">
            <v>0</v>
          </cell>
          <cell r="I55">
            <v>3530572</v>
          </cell>
          <cell r="J55">
            <v>289082.99999999994</v>
          </cell>
          <cell r="K55">
            <v>3611894</v>
          </cell>
          <cell r="M55">
            <v>1</v>
          </cell>
          <cell r="N55">
            <v>26</v>
          </cell>
          <cell r="O55">
            <v>67</v>
          </cell>
          <cell r="P55">
            <v>154</v>
          </cell>
          <cell r="Q55">
            <v>686</v>
          </cell>
          <cell r="R55">
            <v>549</v>
          </cell>
          <cell r="S55">
            <v>3187</v>
          </cell>
          <cell r="T55">
            <v>4671</v>
          </cell>
          <cell r="U55">
            <v>4683</v>
          </cell>
          <cell r="V55">
            <v>0</v>
          </cell>
          <cell r="W55">
            <v>0</v>
          </cell>
          <cell r="X55">
            <v>0</v>
          </cell>
          <cell r="Y55">
            <v>0</v>
          </cell>
          <cell r="Z55">
            <v>0</v>
          </cell>
          <cell r="AA55">
            <v>0</v>
          </cell>
          <cell r="AB55">
            <v>0</v>
          </cell>
          <cell r="AC55">
            <v>100</v>
          </cell>
          <cell r="AD55">
            <v>791</v>
          </cell>
          <cell r="AE55">
            <v>5561</v>
          </cell>
          <cell r="AG55">
            <v>10213</v>
          </cell>
          <cell r="AH55">
            <v>9434</v>
          </cell>
          <cell r="AI55">
            <v>28</v>
          </cell>
          <cell r="AJ55">
            <v>19675</v>
          </cell>
          <cell r="AK55">
            <v>39855</v>
          </cell>
          <cell r="AL55">
            <v>10245</v>
          </cell>
          <cell r="AM55">
            <v>1087</v>
          </cell>
          <cell r="AN55">
            <v>51187</v>
          </cell>
          <cell r="AO55">
            <v>35008</v>
          </cell>
          <cell r="AP55">
            <v>105870</v>
          </cell>
          <cell r="AQ55">
            <v>10372</v>
          </cell>
          <cell r="AR55">
            <v>7827</v>
          </cell>
          <cell r="AS55">
            <v>0.75462784419591211</v>
          </cell>
          <cell r="AT55">
            <v>2545</v>
          </cell>
          <cell r="AU55">
            <v>0.24537215580408792</v>
          </cell>
          <cell r="AV55">
            <v>2128</v>
          </cell>
          <cell r="AW55">
            <v>376</v>
          </cell>
          <cell r="AX55">
            <v>49</v>
          </cell>
          <cell r="AY55">
            <v>2</v>
          </cell>
          <cell r="AZ55">
            <v>0</v>
          </cell>
          <cell r="BA55">
            <v>392</v>
          </cell>
          <cell r="BB55">
            <v>190119</v>
          </cell>
        </row>
        <row r="56">
          <cell r="B56" t="str">
            <v>W6171</v>
          </cell>
          <cell r="C56" t="str">
            <v>Mid and West Wales</v>
          </cell>
          <cell r="D56">
            <v>907500</v>
          </cell>
          <cell r="E56">
            <v>1179612.76</v>
          </cell>
          <cell r="F56">
            <v>0</v>
          </cell>
          <cell r="G56">
            <v>358928.17190000002</v>
          </cell>
          <cell r="H56">
            <v>0</v>
          </cell>
          <cell r="I56">
            <v>409945</v>
          </cell>
          <cell r="J56">
            <v>38339</v>
          </cell>
          <cell r="K56">
            <v>429069</v>
          </cell>
          <cell r="M56">
            <v>3</v>
          </cell>
          <cell r="N56">
            <v>3</v>
          </cell>
          <cell r="O56">
            <v>18</v>
          </cell>
          <cell r="P56">
            <v>46</v>
          </cell>
          <cell r="Q56">
            <v>107</v>
          </cell>
          <cell r="R56">
            <v>47</v>
          </cell>
          <cell r="S56">
            <v>160</v>
          </cell>
          <cell r="T56">
            <v>384</v>
          </cell>
          <cell r="U56">
            <v>384</v>
          </cell>
          <cell r="V56">
            <v>0</v>
          </cell>
          <cell r="W56">
            <v>0</v>
          </cell>
          <cell r="X56">
            <v>52</v>
          </cell>
          <cell r="Y56">
            <v>128.5</v>
          </cell>
          <cell r="Z56">
            <v>470.25</v>
          </cell>
          <cell r="AA56">
            <v>650.75</v>
          </cell>
          <cell r="AB56">
            <v>769</v>
          </cell>
          <cell r="AC56">
            <v>26.3</v>
          </cell>
          <cell r="AD56">
            <v>197</v>
          </cell>
          <cell r="AE56">
            <v>1258.05</v>
          </cell>
          <cell r="AG56">
            <v>1362</v>
          </cell>
          <cell r="AH56">
            <v>1640</v>
          </cell>
          <cell r="AI56">
            <v>197</v>
          </cell>
          <cell r="AJ56">
            <v>3199</v>
          </cell>
          <cell r="AK56">
            <v>2939</v>
          </cell>
          <cell r="AL56">
            <v>1682</v>
          </cell>
          <cell r="AM56">
            <v>138</v>
          </cell>
          <cell r="AN56">
            <v>4759</v>
          </cell>
          <cell r="AO56">
            <v>5654</v>
          </cell>
          <cell r="AP56">
            <v>13612</v>
          </cell>
          <cell r="AQ56">
            <v>1520</v>
          </cell>
          <cell r="AR56">
            <v>89</v>
          </cell>
          <cell r="AS56">
            <v>5.8552631578947372</v>
          </cell>
          <cell r="AT56">
            <v>1431</v>
          </cell>
          <cell r="AU56">
            <v>94.14473684210526</v>
          </cell>
          <cell r="AV56">
            <v>1416</v>
          </cell>
          <cell r="AW56">
            <v>10</v>
          </cell>
          <cell r="AX56">
            <v>12</v>
          </cell>
          <cell r="AY56">
            <v>0</v>
          </cell>
          <cell r="AZ56">
            <v>0</v>
          </cell>
          <cell r="BA56" t="str">
            <v>..</v>
          </cell>
          <cell r="BB56">
            <v>28273</v>
          </cell>
        </row>
        <row r="57">
          <cell r="B57" t="str">
            <v>W6172</v>
          </cell>
          <cell r="C57" t="str">
            <v>North Wales</v>
          </cell>
          <cell r="D57">
            <v>698400</v>
          </cell>
          <cell r="E57">
            <v>617253.27</v>
          </cell>
          <cell r="F57">
            <v>0</v>
          </cell>
          <cell r="G57">
            <v>289553.19501999998</v>
          </cell>
          <cell r="H57">
            <v>0</v>
          </cell>
          <cell r="I57">
            <v>315654.77100000001</v>
          </cell>
          <cell r="J57">
            <v>31159</v>
          </cell>
          <cell r="K57">
            <v>326904</v>
          </cell>
          <cell r="M57">
            <v>4</v>
          </cell>
          <cell r="N57">
            <v>3</v>
          </cell>
          <cell r="O57">
            <v>11</v>
          </cell>
          <cell r="P57">
            <v>25</v>
          </cell>
          <cell r="Q57">
            <v>42</v>
          </cell>
          <cell r="R57">
            <v>49</v>
          </cell>
          <cell r="S57">
            <v>111</v>
          </cell>
          <cell r="T57">
            <v>245</v>
          </cell>
          <cell r="U57">
            <v>248</v>
          </cell>
          <cell r="V57">
            <v>0</v>
          </cell>
          <cell r="W57">
            <v>0</v>
          </cell>
          <cell r="X57">
            <v>38.75</v>
          </cell>
          <cell r="Y57">
            <v>62.5</v>
          </cell>
          <cell r="Z57">
            <v>276.25</v>
          </cell>
          <cell r="AA57">
            <v>377.5</v>
          </cell>
          <cell r="AB57">
            <v>456</v>
          </cell>
          <cell r="AC57">
            <v>30.25</v>
          </cell>
          <cell r="AD57">
            <v>147.32</v>
          </cell>
          <cell r="AE57">
            <v>800.06999999999994</v>
          </cell>
          <cell r="AG57">
            <v>995</v>
          </cell>
          <cell r="AH57">
            <v>893</v>
          </cell>
          <cell r="AI57">
            <v>141</v>
          </cell>
          <cell r="AJ57">
            <v>2029</v>
          </cell>
          <cell r="AK57">
            <v>1113</v>
          </cell>
          <cell r="AL57">
            <v>950</v>
          </cell>
          <cell r="AM57">
            <v>39</v>
          </cell>
          <cell r="AN57">
            <v>2102</v>
          </cell>
          <cell r="AO57">
            <v>1592</v>
          </cell>
          <cell r="AP57">
            <v>5723</v>
          </cell>
          <cell r="AQ57">
            <v>960</v>
          </cell>
          <cell r="AR57">
            <v>513</v>
          </cell>
          <cell r="AS57">
            <v>53.437500000000007</v>
          </cell>
          <cell r="AT57">
            <v>447</v>
          </cell>
          <cell r="AU57">
            <v>46.5625</v>
          </cell>
          <cell r="AV57">
            <v>336</v>
          </cell>
          <cell r="AW57">
            <v>3</v>
          </cell>
          <cell r="AX57">
            <v>7</v>
          </cell>
          <cell r="AY57">
            <v>0</v>
          </cell>
          <cell r="AZ57">
            <v>0</v>
          </cell>
          <cell r="BA57" t="str">
            <v>..</v>
          </cell>
          <cell r="BB57">
            <v>19239</v>
          </cell>
        </row>
        <row r="58">
          <cell r="B58" t="str">
            <v>W6173</v>
          </cell>
          <cell r="C58" t="str">
            <v>South Wales</v>
          </cell>
          <cell r="D58">
            <v>1532700</v>
          </cell>
          <cell r="E58">
            <v>281346.93</v>
          </cell>
          <cell r="F58">
            <v>0</v>
          </cell>
          <cell r="G58">
            <v>567018.28634999995</v>
          </cell>
          <cell r="H58">
            <v>0</v>
          </cell>
          <cell r="I58">
            <v>654971</v>
          </cell>
          <cell r="J58">
            <v>49146</v>
          </cell>
          <cell r="K58">
            <v>683732</v>
          </cell>
          <cell r="M58">
            <v>3</v>
          </cell>
          <cell r="N58">
            <v>4</v>
          </cell>
          <cell r="O58">
            <v>19</v>
          </cell>
          <cell r="P58">
            <v>58</v>
          </cell>
          <cell r="Q58">
            <v>126</v>
          </cell>
          <cell r="R58">
            <v>103</v>
          </cell>
          <cell r="S58">
            <v>479</v>
          </cell>
          <cell r="T58">
            <v>792</v>
          </cell>
          <cell r="U58">
            <v>792</v>
          </cell>
          <cell r="V58">
            <v>0</v>
          </cell>
          <cell r="W58">
            <v>0</v>
          </cell>
          <cell r="X58">
            <v>26.2</v>
          </cell>
          <cell r="Y58">
            <v>97.6</v>
          </cell>
          <cell r="Z58">
            <v>222.3</v>
          </cell>
          <cell r="AA58">
            <v>346</v>
          </cell>
          <cell r="AB58">
            <v>346</v>
          </cell>
          <cell r="AC58">
            <v>38.9</v>
          </cell>
          <cell r="AD58">
            <v>252.2</v>
          </cell>
          <cell r="AE58">
            <v>1429.2</v>
          </cell>
          <cell r="AG58">
            <v>1958</v>
          </cell>
          <cell r="AH58">
            <v>3766</v>
          </cell>
          <cell r="AI58">
            <v>68</v>
          </cell>
          <cell r="AJ58">
            <v>5792</v>
          </cell>
          <cell r="AK58">
            <v>4693</v>
          </cell>
          <cell r="AL58">
            <v>2365</v>
          </cell>
          <cell r="AM58">
            <v>242</v>
          </cell>
          <cell r="AN58">
            <v>7300</v>
          </cell>
          <cell r="AO58">
            <v>3762</v>
          </cell>
          <cell r="AP58">
            <v>16854</v>
          </cell>
          <cell r="AQ58">
            <v>890</v>
          </cell>
          <cell r="AR58">
            <v>119</v>
          </cell>
          <cell r="AS58">
            <v>13.370786516853933</v>
          </cell>
          <cell r="AT58">
            <v>771</v>
          </cell>
          <cell r="AU58">
            <v>86.629213483146074</v>
          </cell>
          <cell r="AV58">
            <v>704</v>
          </cell>
          <cell r="AW58">
            <v>62</v>
          </cell>
          <cell r="AX58">
            <v>5</v>
          </cell>
          <cell r="AY58">
            <v>4</v>
          </cell>
          <cell r="AZ58">
            <v>1</v>
          </cell>
          <cell r="BA58" t="str">
            <v>..</v>
          </cell>
          <cell r="BB58">
            <v>32511</v>
          </cell>
        </row>
        <row r="59">
          <cell r="B59" t="str">
            <v>S6189</v>
          </cell>
          <cell r="C59" t="str">
            <v>Scotland (SFRS)</v>
          </cell>
          <cell r="D59">
            <v>5438100</v>
          </cell>
          <cell r="E59">
            <v>7881107.330000001</v>
          </cell>
          <cell r="F59">
            <v>0</v>
          </cell>
          <cell r="G59">
            <v>2221645.4940057974</v>
          </cell>
          <cell r="H59">
            <v>0</v>
          </cell>
          <cell r="I59">
            <v>2487101</v>
          </cell>
          <cell r="J59" t="str">
            <v>..</v>
          </cell>
          <cell r="K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G59">
            <v>10654</v>
          </cell>
          <cell r="AH59">
            <v>14698</v>
          </cell>
          <cell r="AI59">
            <v>763</v>
          </cell>
          <cell r="AJ59">
            <v>26115</v>
          </cell>
          <cell r="AK59">
            <v>40359</v>
          </cell>
          <cell r="AL59">
            <v>9090</v>
          </cell>
          <cell r="AM59">
            <v>2338</v>
          </cell>
          <cell r="AN59">
            <v>51787</v>
          </cell>
          <cell r="AO59">
            <v>13128</v>
          </cell>
          <cell r="AP59">
            <v>91030</v>
          </cell>
          <cell r="AQ59">
            <v>8939</v>
          </cell>
          <cell r="AR59" t="str">
            <v>..</v>
          </cell>
          <cell r="AS59" t="str">
            <v>..</v>
          </cell>
          <cell r="AT59" t="str">
            <v>..</v>
          </cell>
          <cell r="AU59" t="str">
            <v>..</v>
          </cell>
          <cell r="AV59" t="str">
            <v>..</v>
          </cell>
          <cell r="AW59">
            <v>24</v>
          </cell>
          <cell r="AX59">
            <v>14</v>
          </cell>
          <cell r="AY59" t="str">
            <v>..</v>
          </cell>
          <cell r="AZ59" t="str">
            <v>..</v>
          </cell>
          <cell r="BA59" t="str">
            <v>..</v>
          </cell>
          <cell r="BB59" t="str">
            <v>..</v>
          </cell>
        </row>
        <row r="60">
          <cell r="B60" t="str">
            <v>N6190</v>
          </cell>
          <cell r="C60" t="str">
            <v>Northern Ireland</v>
          </cell>
          <cell r="D60">
            <v>1881700</v>
          </cell>
          <cell r="E60">
            <v>1432976.4100000001</v>
          </cell>
          <cell r="F60">
            <v>0</v>
          </cell>
          <cell r="G60">
            <v>0</v>
          </cell>
          <cell r="H60">
            <v>0</v>
          </cell>
          <cell r="I60" t="str">
            <v>..</v>
          </cell>
          <cell r="J60" t="str">
            <v>..</v>
          </cell>
          <cell r="K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row>
        <row r="62">
          <cell r="B62" t="str">
            <v>TOT1</v>
          </cell>
          <cell r="C62" t="str">
            <v>TOTAL SHIRE AREAS</v>
          </cell>
          <cell r="D62">
            <v>35805000</v>
          </cell>
          <cell r="E62">
            <v>12430966.41</v>
          </cell>
          <cell r="F62">
            <v>655808.45712789998</v>
          </cell>
          <cell r="G62">
            <v>12086103.310000001</v>
          </cell>
          <cell r="H62">
            <v>1874.5299845232782</v>
          </cell>
          <cell r="I62">
            <v>15427515</v>
          </cell>
          <cell r="J62">
            <v>1222643</v>
          </cell>
          <cell r="K62">
            <v>15803247</v>
          </cell>
          <cell r="M62">
            <v>102</v>
          </cell>
          <cell r="N62">
            <v>134</v>
          </cell>
          <cell r="O62">
            <v>327</v>
          </cell>
          <cell r="P62">
            <v>870</v>
          </cell>
          <cell r="Q62">
            <v>2086</v>
          </cell>
          <cell r="R62">
            <v>1946</v>
          </cell>
          <cell r="S62">
            <v>7139</v>
          </cell>
          <cell r="T62">
            <v>12603</v>
          </cell>
          <cell r="U62">
            <v>12739</v>
          </cell>
          <cell r="V62">
            <v>0</v>
          </cell>
          <cell r="W62">
            <v>25</v>
          </cell>
          <cell r="X62">
            <v>768</v>
          </cell>
          <cell r="Y62">
            <v>1791</v>
          </cell>
          <cell r="Z62">
            <v>6934</v>
          </cell>
          <cell r="AA62">
            <v>9517</v>
          </cell>
          <cell r="AB62">
            <v>11807</v>
          </cell>
          <cell r="AC62">
            <v>765</v>
          </cell>
          <cell r="AD62">
            <v>4596</v>
          </cell>
          <cell r="AE62">
            <v>27481</v>
          </cell>
          <cell r="AG62">
            <v>44380</v>
          </cell>
          <cell r="AH62">
            <v>44829</v>
          </cell>
          <cell r="AI62">
            <v>3729</v>
          </cell>
          <cell r="AJ62">
            <v>92938</v>
          </cell>
          <cell r="AK62">
            <v>80968</v>
          </cell>
          <cell r="AL62">
            <v>41777</v>
          </cell>
          <cell r="AM62">
            <v>3785</v>
          </cell>
          <cell r="AN62">
            <v>126530</v>
          </cell>
          <cell r="AO62">
            <v>111187</v>
          </cell>
          <cell r="AP62">
            <v>330655</v>
          </cell>
          <cell r="AQ62">
            <v>30298</v>
          </cell>
          <cell r="AR62">
            <v>21122</v>
          </cell>
          <cell r="AS62">
            <v>69.714172552643731</v>
          </cell>
          <cell r="AT62">
            <v>9176</v>
          </cell>
          <cell r="AU62">
            <v>30.285827447356262</v>
          </cell>
          <cell r="AV62">
            <v>8033</v>
          </cell>
          <cell r="AW62">
            <v>752</v>
          </cell>
          <cell r="AX62">
            <v>415</v>
          </cell>
          <cell r="AY62">
            <v>41</v>
          </cell>
          <cell r="AZ62">
            <v>96</v>
          </cell>
          <cell r="BA62">
            <v>2544</v>
          </cell>
          <cell r="BB62">
            <v>1081522</v>
          </cell>
        </row>
        <row r="63">
          <cell r="B63" t="str">
            <v>TOT2</v>
          </cell>
          <cell r="C63" t="str">
            <v>TOTAL METROPOLITAN FRSs</v>
          </cell>
          <cell r="D63">
            <v>12011600</v>
          </cell>
          <cell r="E63">
            <v>970159.82</v>
          </cell>
          <cell r="F63">
            <v>164334.01300000001</v>
          </cell>
          <cell r="G63">
            <v>3130572.52</v>
          </cell>
          <cell r="H63">
            <v>359.49098714794656</v>
          </cell>
          <cell r="I63">
            <v>5050822</v>
          </cell>
          <cell r="J63">
            <v>419761</v>
          </cell>
          <cell r="K63">
            <v>5198180</v>
          </cell>
          <cell r="M63">
            <v>18</v>
          </cell>
          <cell r="N63">
            <v>27</v>
          </cell>
          <cell r="O63">
            <v>69</v>
          </cell>
          <cell r="P63">
            <v>220</v>
          </cell>
          <cell r="Q63">
            <v>906</v>
          </cell>
          <cell r="R63">
            <v>794</v>
          </cell>
          <cell r="S63">
            <v>3377</v>
          </cell>
          <cell r="T63">
            <v>5412</v>
          </cell>
          <cell r="U63">
            <v>5433</v>
          </cell>
          <cell r="V63">
            <v>0</v>
          </cell>
          <cell r="W63">
            <v>0</v>
          </cell>
          <cell r="X63">
            <v>43</v>
          </cell>
          <cell r="Y63">
            <v>28</v>
          </cell>
          <cell r="Z63">
            <v>173</v>
          </cell>
          <cell r="AA63">
            <v>243</v>
          </cell>
          <cell r="AB63">
            <v>406</v>
          </cell>
          <cell r="AC63">
            <v>188</v>
          </cell>
          <cell r="AD63">
            <v>1701</v>
          </cell>
          <cell r="AE63">
            <v>7542</v>
          </cell>
          <cell r="AG63">
            <v>19109</v>
          </cell>
          <cell r="AH63">
            <v>35310</v>
          </cell>
          <cell r="AI63">
            <v>260</v>
          </cell>
          <cell r="AJ63">
            <v>54679</v>
          </cell>
          <cell r="AK63">
            <v>30902</v>
          </cell>
          <cell r="AL63">
            <v>15221</v>
          </cell>
          <cell r="AM63">
            <v>2318</v>
          </cell>
          <cell r="AN63">
            <v>48441</v>
          </cell>
          <cell r="AO63">
            <v>26443</v>
          </cell>
          <cell r="AP63">
            <v>129563</v>
          </cell>
          <cell r="AQ63">
            <v>8725</v>
          </cell>
          <cell r="AR63">
            <v>4853</v>
          </cell>
          <cell r="AS63">
            <v>55.621776504297991</v>
          </cell>
          <cell r="AT63">
            <v>3872</v>
          </cell>
          <cell r="AU63">
            <v>44.378223495702009</v>
          </cell>
          <cell r="AV63">
            <v>4572</v>
          </cell>
          <cell r="AW63">
            <v>290</v>
          </cell>
          <cell r="AX63">
            <v>157</v>
          </cell>
          <cell r="AY63">
            <v>33</v>
          </cell>
          <cell r="AZ63">
            <v>9</v>
          </cell>
          <cell r="BA63">
            <v>515</v>
          </cell>
          <cell r="BB63">
            <v>386682</v>
          </cell>
        </row>
        <row r="64">
          <cell r="B64" t="str">
            <v>TOT3</v>
          </cell>
          <cell r="C64" t="str">
            <v>TOTAL ENGLAND</v>
          </cell>
          <cell r="D64">
            <v>56724600</v>
          </cell>
          <cell r="E64">
            <v>13558477.169999996</v>
          </cell>
          <cell r="F64">
            <v>820142.47012790013</v>
          </cell>
          <cell r="G64">
            <v>18219558.559999999</v>
          </cell>
          <cell r="H64">
            <v>2234.0209716712247</v>
          </cell>
          <cell r="I64">
            <v>24008909</v>
          </cell>
          <cell r="J64">
            <v>1931487</v>
          </cell>
          <cell r="K64">
            <v>24613321</v>
          </cell>
          <cell r="M64">
            <v>128</v>
          </cell>
          <cell r="N64">
            <v>179</v>
          </cell>
          <cell r="O64">
            <v>456</v>
          </cell>
          <cell r="P64">
            <v>1233</v>
          </cell>
          <cell r="Q64">
            <v>3627</v>
          </cell>
          <cell r="R64">
            <v>3302</v>
          </cell>
          <cell r="S64">
            <v>13655</v>
          </cell>
          <cell r="T64">
            <v>22580</v>
          </cell>
          <cell r="U64">
            <v>22749</v>
          </cell>
          <cell r="V64">
            <v>0</v>
          </cell>
          <cell r="W64">
            <v>25</v>
          </cell>
          <cell r="X64">
            <v>810</v>
          </cell>
          <cell r="Y64">
            <v>1819</v>
          </cell>
          <cell r="Z64">
            <v>7107</v>
          </cell>
          <cell r="AA64">
            <v>9760</v>
          </cell>
          <cell r="AB64">
            <v>12213</v>
          </cell>
          <cell r="AC64">
            <v>1061</v>
          </cell>
          <cell r="AD64">
            <v>7050</v>
          </cell>
          <cell r="AE64">
            <v>40451</v>
          </cell>
          <cell r="AG64">
            <v>74118</v>
          </cell>
          <cell r="AH64">
            <v>89017</v>
          </cell>
          <cell r="AI64">
            <v>4015</v>
          </cell>
          <cell r="AJ64">
            <v>167150</v>
          </cell>
          <cell r="AK64">
            <v>151487</v>
          </cell>
          <cell r="AL64">
            <v>66881</v>
          </cell>
          <cell r="AM64">
            <v>7257</v>
          </cell>
          <cell r="AN64">
            <v>225625</v>
          </cell>
          <cell r="AO64">
            <v>172052</v>
          </cell>
          <cell r="AP64">
            <v>564827</v>
          </cell>
          <cell r="AQ64">
            <v>49423</v>
          </cell>
          <cell r="AR64">
            <v>33851</v>
          </cell>
          <cell r="AS64">
            <v>68.492402322805162</v>
          </cell>
          <cell r="AT64">
            <v>15572</v>
          </cell>
          <cell r="AU64">
            <v>31.507597677194827</v>
          </cell>
          <cell r="AV64">
            <v>14734</v>
          </cell>
          <cell r="AW64">
            <v>1424</v>
          </cell>
          <cell r="AX64">
            <v>635</v>
          </cell>
          <cell r="AY64">
            <v>82</v>
          </cell>
          <cell r="AZ64">
            <v>105</v>
          </cell>
          <cell r="BA64">
            <v>3500</v>
          </cell>
          <cell r="BB64">
            <v>1647617</v>
          </cell>
        </row>
        <row r="65">
          <cell r="B65" t="str">
            <v>TOT4</v>
          </cell>
          <cell r="C65" t="str">
            <v>TOTAL WALES</v>
          </cell>
          <cell r="D65">
            <v>3138600</v>
          </cell>
          <cell r="E65">
            <v>2078212.96</v>
          </cell>
          <cell r="F65">
            <v>0</v>
          </cell>
          <cell r="G65">
            <v>1215499.6532699999</v>
          </cell>
          <cell r="H65">
            <v>0</v>
          </cell>
          <cell r="I65">
            <v>1380570.7709999999</v>
          </cell>
          <cell r="J65">
            <v>118644</v>
          </cell>
          <cell r="K65">
            <v>1439705</v>
          </cell>
          <cell r="M65">
            <v>10</v>
          </cell>
          <cell r="N65">
            <v>12</v>
          </cell>
          <cell r="O65">
            <v>49</v>
          </cell>
          <cell r="P65">
            <v>124</v>
          </cell>
          <cell r="Q65">
            <v>286</v>
          </cell>
          <cell r="R65">
            <v>190.67000000000002</v>
          </cell>
          <cell r="S65">
            <v>792</v>
          </cell>
          <cell r="T65">
            <v>1463.67</v>
          </cell>
          <cell r="U65">
            <v>1470</v>
          </cell>
          <cell r="V65">
            <v>0</v>
          </cell>
          <cell r="W65">
            <v>0</v>
          </cell>
          <cell r="X65">
            <v>115.6</v>
          </cell>
          <cell r="Y65">
            <v>307.5</v>
          </cell>
          <cell r="Z65">
            <v>1052.4000000000001</v>
          </cell>
          <cell r="AA65">
            <v>1475.5</v>
          </cell>
          <cell r="AB65">
            <v>1817</v>
          </cell>
          <cell r="AC65">
            <v>96.43</v>
          </cell>
          <cell r="AD65">
            <v>605.16000000000008</v>
          </cell>
          <cell r="AE65">
            <v>3640.76</v>
          </cell>
          <cell r="AG65">
            <v>4315</v>
          </cell>
          <cell r="AH65">
            <v>6299</v>
          </cell>
          <cell r="AI65">
            <v>406</v>
          </cell>
          <cell r="AJ65">
            <v>11020</v>
          </cell>
          <cell r="AK65">
            <v>8745</v>
          </cell>
          <cell r="AL65">
            <v>4997</v>
          </cell>
          <cell r="AM65">
            <v>419</v>
          </cell>
          <cell r="AN65">
            <v>14161</v>
          </cell>
          <cell r="AO65">
            <v>11008</v>
          </cell>
          <cell r="AP65">
            <v>36189</v>
          </cell>
          <cell r="AQ65">
            <v>3370</v>
          </cell>
          <cell r="AR65">
            <v>721</v>
          </cell>
          <cell r="AS65">
            <v>21.394658753709198</v>
          </cell>
          <cell r="AT65">
            <v>2649</v>
          </cell>
          <cell r="AU65">
            <v>78.605341246290806</v>
          </cell>
          <cell r="AV65">
            <v>2456</v>
          </cell>
          <cell r="AW65">
            <v>75</v>
          </cell>
          <cell r="AX65">
            <v>24</v>
          </cell>
          <cell r="AY65">
            <v>4</v>
          </cell>
          <cell r="AZ65">
            <v>1</v>
          </cell>
          <cell r="BA65" t="str">
            <v>..</v>
          </cell>
          <cell r="BB65">
            <v>80023</v>
          </cell>
        </row>
        <row r="66">
          <cell r="B66" t="str">
            <v>TOT5</v>
          </cell>
          <cell r="C66" t="str">
            <v>TOTAL ENGLAND &amp; WALES</v>
          </cell>
          <cell r="D66">
            <v>59863200</v>
          </cell>
          <cell r="E66">
            <v>15636690.129999995</v>
          </cell>
          <cell r="F66">
            <v>820142.47012790013</v>
          </cell>
          <cell r="G66">
            <v>19435058.213269997</v>
          </cell>
          <cell r="H66">
            <v>2234.0209716712247</v>
          </cell>
          <cell r="I66">
            <v>25389479.771000002</v>
          </cell>
          <cell r="J66">
            <v>2050131</v>
          </cell>
          <cell r="K66">
            <v>26053026</v>
          </cell>
          <cell r="M66">
            <v>138</v>
          </cell>
          <cell r="N66">
            <v>191</v>
          </cell>
          <cell r="O66">
            <v>505</v>
          </cell>
          <cell r="P66">
            <v>1357</v>
          </cell>
          <cell r="Q66">
            <v>3913</v>
          </cell>
          <cell r="R66">
            <v>3492.67</v>
          </cell>
          <cell r="S66">
            <v>14447</v>
          </cell>
          <cell r="T66">
            <v>24043.67</v>
          </cell>
          <cell r="U66">
            <v>24219</v>
          </cell>
          <cell r="V66">
            <v>0</v>
          </cell>
          <cell r="W66">
            <v>25</v>
          </cell>
          <cell r="X66">
            <v>925.6</v>
          </cell>
          <cell r="Y66">
            <v>2126.5</v>
          </cell>
          <cell r="Z66">
            <v>8159.4</v>
          </cell>
          <cell r="AA66">
            <v>11235.5</v>
          </cell>
          <cell r="AB66">
            <v>14030</v>
          </cell>
          <cell r="AC66">
            <v>1157.43</v>
          </cell>
          <cell r="AD66">
            <v>7655.16</v>
          </cell>
          <cell r="AE66">
            <v>44091.76</v>
          </cell>
          <cell r="AG66">
            <v>78433</v>
          </cell>
          <cell r="AH66">
            <v>95316</v>
          </cell>
          <cell r="AI66">
            <v>4421</v>
          </cell>
          <cell r="AJ66">
            <v>178170</v>
          </cell>
          <cell r="AK66">
            <v>160232</v>
          </cell>
          <cell r="AL66">
            <v>71878</v>
          </cell>
          <cell r="AM66">
            <v>7676</v>
          </cell>
          <cell r="AN66">
            <v>239786</v>
          </cell>
          <cell r="AO66">
            <v>183060</v>
          </cell>
          <cell r="AP66">
            <v>601016</v>
          </cell>
          <cell r="AQ66">
            <v>52793</v>
          </cell>
          <cell r="AR66">
            <v>34572</v>
          </cell>
          <cell r="AS66">
            <v>65.485954577311389</v>
          </cell>
          <cell r="AT66">
            <v>18221</v>
          </cell>
          <cell r="AU66">
            <v>34.514045422688618</v>
          </cell>
          <cell r="AV66">
            <v>17190</v>
          </cell>
          <cell r="AW66">
            <v>1499</v>
          </cell>
          <cell r="AX66">
            <v>659</v>
          </cell>
          <cell r="AY66">
            <v>86</v>
          </cell>
          <cell r="AZ66">
            <v>106</v>
          </cell>
          <cell r="BA66" t="str">
            <v>..</v>
          </cell>
          <cell r="BB66">
            <v>1727640</v>
          </cell>
        </row>
        <row r="67">
          <cell r="B67" t="str">
            <v>TOT6</v>
          </cell>
          <cell r="C67" t="str">
            <v>TOTAL ALL AUTHORITIES</v>
          </cell>
          <cell r="D67">
            <v>67183000</v>
          </cell>
          <cell r="E67">
            <v>24950773.869999997</v>
          </cell>
          <cell r="F67">
            <v>820142.47012790013</v>
          </cell>
          <cell r="G67">
            <v>21656703.7072758</v>
          </cell>
          <cell r="H67">
            <v>2234.0209716712247</v>
          </cell>
          <cell r="I67">
            <v>27876580.771000002</v>
          </cell>
          <cell r="J67">
            <v>2050131</v>
          </cell>
          <cell r="K67">
            <v>26053026</v>
          </cell>
          <cell r="M67">
            <v>146</v>
          </cell>
          <cell r="N67">
            <v>232</v>
          </cell>
          <cell r="O67">
            <v>623</v>
          </cell>
          <cell r="P67">
            <v>1578</v>
          </cell>
          <cell r="Q67">
            <v>4632</v>
          </cell>
          <cell r="R67">
            <v>4335.67</v>
          </cell>
          <cell r="S67">
            <v>16885</v>
          </cell>
          <cell r="T67">
            <v>28431.67</v>
          </cell>
          <cell r="U67">
            <v>28609</v>
          </cell>
          <cell r="V67">
            <v>0</v>
          </cell>
          <cell r="W67">
            <v>25</v>
          </cell>
          <cell r="X67">
            <v>1225.5999999999999</v>
          </cell>
          <cell r="Y67">
            <v>2792.5</v>
          </cell>
          <cell r="Z67">
            <v>10694.4</v>
          </cell>
          <cell r="AA67">
            <v>14736.5</v>
          </cell>
          <cell r="AB67">
            <v>17849</v>
          </cell>
          <cell r="AC67">
            <v>1394.93</v>
          </cell>
          <cell r="AD67">
            <v>8641.86</v>
          </cell>
          <cell r="AE67">
            <v>53204.959999999999</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row>
        <row r="71">
          <cell r="D71" t="str">
            <v>Source: ONS Mid Year Population Estimates</v>
          </cell>
          <cell r="E71" t="str">
            <v>Source: ONS Area</v>
          </cell>
          <cell r="F71" t="str">
            <v>Source: CIPFA Council Tax Demands &amp; Precepts Statistics</v>
          </cell>
          <cell r="G71" t="str">
            <v>Source: CIPFA Council Tax Demands &amp; Precepts Statistics</v>
          </cell>
          <cell r="H71" t="str">
            <v>Source: CIPFA Council Tax Demands &amp; Precepts Statistics</v>
          </cell>
          <cell r="I71" t="str">
            <v>Source: MHCLG CTB Data October; WG CT1 Data; SG CTAXBASE Data|ctax1920 'global tab column DA'</v>
          </cell>
          <cell r="J71" t="str">
            <v>Source: MHCLG NNDR1 Data December|NNDR1 1920 Supplementary table</v>
          </cell>
          <cell r="K71" t="str">
            <v>Source: MHCLG CTB Data October; WG CT1 Data</v>
          </cell>
          <cell r="M71" t="str">
            <v>Source: CIPFA; Home Office; Fire Scotland</v>
          </cell>
          <cell r="N71" t="str">
            <v>Source: CIPFA; Home Office; Fire Scotland</v>
          </cell>
          <cell r="O71" t="str">
            <v>Source: CIPFA; Home Office; Fire Scotland</v>
          </cell>
          <cell r="P71" t="str">
            <v>Source: CIPFA; Home Office; Fire Scotland</v>
          </cell>
          <cell r="Q71" t="str">
            <v>Source: CIPFA; Home Office; Fire Scotland</v>
          </cell>
          <cell r="R71" t="str">
            <v>Source: CIPFA; Home Office; Fire Scotland</v>
          </cell>
          <cell r="S71" t="str">
            <v>Source: CIPFA; Home Office; Fire Scotland</v>
          </cell>
          <cell r="T71" t="str">
            <v>Source: CIPFA; Home Office; Fire Scotland</v>
          </cell>
          <cell r="U71" t="str">
            <v>Source: CIPFA; Home Office; Fire Scotland</v>
          </cell>
          <cell r="V71" t="str">
            <v>Source: CIPFA; Home Office; Fire Scotland</v>
          </cell>
          <cell r="W71" t="str">
            <v>Source: CIPFA; Home Office; Fire Scotland</v>
          </cell>
          <cell r="X71" t="str">
            <v>Source: CIPFA; Home Office; Fire Scotland</v>
          </cell>
          <cell r="Y71" t="str">
            <v>Source: CIPFA; Home Office; Fire Scotland</v>
          </cell>
          <cell r="Z71" t="str">
            <v>Source: CIPFA; Home Office; Fire Scotland</v>
          </cell>
          <cell r="AA71" t="str">
            <v>Source: CIPFA; Home Office; Fire Scotland</v>
          </cell>
          <cell r="AB71" t="str">
            <v>Source: CIPFA; Home Office; Fire Scotland</v>
          </cell>
          <cell r="AC71" t="str">
            <v>Source: CIPFA; Home Office; Fire Scotland</v>
          </cell>
          <cell r="AD71" t="str">
            <v>Source: CIPFA; Home Office; Fire Scotland</v>
          </cell>
          <cell r="AE71" t="str">
            <v>Source: CIPFA; Home Office; Fire Scotland</v>
          </cell>
          <cell r="AG71" t="str">
            <v>Source: Home Office; WG Incident Statistics</v>
          </cell>
          <cell r="AH71" t="str">
            <v>Source: Home Office; WG Incident Statistics</v>
          </cell>
          <cell r="AI71" t="str">
            <v>Source: Home Office; WG Incident Statistics</v>
          </cell>
          <cell r="AJ71" t="str">
            <v>Source: Home Office; WG Incident Statistics</v>
          </cell>
          <cell r="AK71" t="str">
            <v>Source: Home Office; WG Incident Statistics</v>
          </cell>
          <cell r="AL71" t="str">
            <v>Source: Home Office; WG Incident Statistics</v>
          </cell>
          <cell r="AM71" t="str">
            <v>Source: Home Office; WG Incident Statistics</v>
          </cell>
          <cell r="AN71" t="str">
            <v>Source: Home Office; WG Incident Statistics</v>
          </cell>
          <cell r="AO71" t="str">
            <v>Source: Home Office; WG Incident Statistics</v>
          </cell>
          <cell r="AP71" t="str">
            <v>Source: Home Office; WG Incident Statistics</v>
          </cell>
          <cell r="AQ71" t="str">
            <v>Source: Home Office; WG Operational Statistics</v>
          </cell>
          <cell r="AR71" t="str">
            <v>Source: Home Office; WG Operational Statistics</v>
          </cell>
          <cell r="AS71" t="str">
            <v>Source: Home Office; WG Operational Statistics</v>
          </cell>
          <cell r="AT71" t="str">
            <v>Source: Home Office; WG Operational Statistics</v>
          </cell>
          <cell r="AU71" t="str">
            <v>Source: Home Office; WG Operational Statistics</v>
          </cell>
          <cell r="AV71" t="str">
            <v>Source: Home Office; WG Operational Statistics</v>
          </cell>
          <cell r="AW71" t="str">
            <v>Source: Home Office; WG Operational Statistics</v>
          </cell>
          <cell r="AX71" t="str">
            <v>Source: Home Office; WG Operational Statistics</v>
          </cell>
          <cell r="AY71" t="str">
            <v>Source: Home Office; WG Operational Statistics</v>
          </cell>
          <cell r="AZ71" t="str">
            <v>Source: Home Office; WG Operational Statistics</v>
          </cell>
          <cell r="BA71" t="str">
            <v>Source: Home Office</v>
          </cell>
          <cell r="BB71" t="str">
            <v>Source: Home Office; WG Operational Statistics</v>
          </cell>
        </row>
        <row r="72">
          <cell r="J72" t="str">
            <v>N:\Information Services\Surveys\General Finance\Finance and General Estimates\2019-20\England\External Data</v>
          </cell>
          <cell r="K72" t="str">
            <v>ctax eBook 2019-20</v>
          </cell>
          <cell r="U72" t="str">
            <v>fire-stats-data-tables-fire1101</v>
          </cell>
        </row>
        <row r="73">
          <cell r="K73" t="str">
            <v>For combined authorities, e.g. Avon &amp; Bedfordshire, need to SUM authorities, find from Fire Population figures in ONSPOP</v>
          </cell>
        </row>
        <row r="74">
          <cell r="M74" t="str">
            <v>Figures published in October/November</v>
          </cell>
          <cell r="V74">
            <v>0</v>
          </cell>
          <cell r="W74">
            <v>16</v>
          </cell>
          <cell r="X74">
            <v>27</v>
          </cell>
          <cell r="Y74">
            <v>45</v>
          </cell>
          <cell r="Z74">
            <v>280</v>
          </cell>
          <cell r="AA74">
            <v>367</v>
          </cell>
          <cell r="AB74">
            <v>398</v>
          </cell>
        </row>
        <row r="75">
          <cell r="V75">
            <v>0</v>
          </cell>
          <cell r="W75">
            <v>0</v>
          </cell>
          <cell r="X75">
            <v>9</v>
          </cell>
          <cell r="Y75">
            <v>67</v>
          </cell>
          <cell r="Z75">
            <v>244</v>
          </cell>
          <cell r="AA75">
            <v>320</v>
          </cell>
          <cell r="AB75">
            <v>363</v>
          </cell>
        </row>
        <row r="76">
          <cell r="V76">
            <v>0</v>
          </cell>
          <cell r="W76">
            <v>0</v>
          </cell>
          <cell r="X76">
            <v>15</v>
          </cell>
          <cell r="Y76">
            <v>34</v>
          </cell>
          <cell r="Z76">
            <v>131</v>
          </cell>
          <cell r="AA76">
            <v>180</v>
          </cell>
          <cell r="AB76">
            <v>226</v>
          </cell>
        </row>
        <row r="77">
          <cell r="V77">
            <v>0</v>
          </cell>
          <cell r="W77">
            <v>0</v>
          </cell>
          <cell r="X77">
            <v>7</v>
          </cell>
          <cell r="Y77">
            <v>32</v>
          </cell>
          <cell r="Z77">
            <v>123</v>
          </cell>
          <cell r="AA77">
            <v>162</v>
          </cell>
          <cell r="AB77">
            <v>229</v>
          </cell>
        </row>
        <row r="78">
          <cell r="V78">
            <v>0</v>
          </cell>
          <cell r="W78">
            <v>0</v>
          </cell>
          <cell r="X78">
            <v>8</v>
          </cell>
          <cell r="Y78">
            <v>18</v>
          </cell>
          <cell r="Z78">
            <v>53</v>
          </cell>
          <cell r="AA78">
            <v>80</v>
          </cell>
          <cell r="AB78">
            <v>86</v>
          </cell>
        </row>
        <row r="79">
          <cell r="V79">
            <v>0</v>
          </cell>
          <cell r="W79">
            <v>0</v>
          </cell>
          <cell r="X79">
            <v>42</v>
          </cell>
          <cell r="Y79">
            <v>73</v>
          </cell>
          <cell r="Z79">
            <v>287</v>
          </cell>
          <cell r="AA79">
            <v>402</v>
          </cell>
          <cell r="AB79">
            <v>438</v>
          </cell>
        </row>
        <row r="80">
          <cell r="V80">
            <v>0</v>
          </cell>
          <cell r="W80">
            <v>0</v>
          </cell>
          <cell r="X80">
            <v>40</v>
          </cell>
          <cell r="Y80">
            <v>78</v>
          </cell>
          <cell r="Z80">
            <v>321</v>
          </cell>
          <cell r="AA80">
            <v>439</v>
          </cell>
          <cell r="AB80">
            <v>471</v>
          </cell>
        </row>
        <row r="81">
          <cell r="V81">
            <v>0</v>
          </cell>
          <cell r="W81">
            <v>0</v>
          </cell>
          <cell r="X81">
            <v>12</v>
          </cell>
          <cell r="Y81">
            <v>27</v>
          </cell>
          <cell r="Z81">
            <v>80</v>
          </cell>
          <cell r="AA81">
            <v>119</v>
          </cell>
          <cell r="AB81">
            <v>155</v>
          </cell>
        </row>
        <row r="82">
          <cell r="V82">
            <v>0</v>
          </cell>
          <cell r="W82">
            <v>0</v>
          </cell>
          <cell r="X82">
            <v>20</v>
          </cell>
          <cell r="Y82">
            <v>44</v>
          </cell>
          <cell r="Z82">
            <v>142</v>
          </cell>
          <cell r="AA82">
            <v>206</v>
          </cell>
          <cell r="AB82">
            <v>332</v>
          </cell>
        </row>
        <row r="83">
          <cell r="V83">
            <v>0</v>
          </cell>
          <cell r="W83">
            <v>0</v>
          </cell>
          <cell r="X83">
            <v>30</v>
          </cell>
          <cell r="Y83">
            <v>71</v>
          </cell>
          <cell r="Z83">
            <v>243</v>
          </cell>
          <cell r="AA83">
            <v>344</v>
          </cell>
          <cell r="AB83">
            <v>397</v>
          </cell>
        </row>
        <row r="84">
          <cell r="V84">
            <v>0</v>
          </cell>
          <cell r="W84">
            <v>0</v>
          </cell>
          <cell r="X84">
            <v>13</v>
          </cell>
          <cell r="Y84">
            <v>16</v>
          </cell>
          <cell r="Z84">
            <v>61</v>
          </cell>
          <cell r="AA84">
            <v>89</v>
          </cell>
          <cell r="AB84">
            <v>119</v>
          </cell>
        </row>
        <row r="85">
          <cell r="V85">
            <v>0</v>
          </cell>
          <cell r="W85">
            <v>0</v>
          </cell>
          <cell r="X85">
            <v>12</v>
          </cell>
          <cell r="Y85">
            <v>14</v>
          </cell>
          <cell r="Z85">
            <v>55</v>
          </cell>
          <cell r="AA85">
            <v>82</v>
          </cell>
          <cell r="AB85">
            <v>140</v>
          </cell>
        </row>
        <row r="86">
          <cell r="V86">
            <v>0</v>
          </cell>
          <cell r="W86">
            <v>0</v>
          </cell>
          <cell r="X86">
            <v>16</v>
          </cell>
          <cell r="Y86">
            <v>55</v>
          </cell>
          <cell r="Z86">
            <v>128</v>
          </cell>
          <cell r="AA86">
            <v>199</v>
          </cell>
          <cell r="AB86">
            <v>261</v>
          </cell>
        </row>
        <row r="87">
          <cell r="V87">
            <v>0</v>
          </cell>
          <cell r="W87">
            <v>1</v>
          </cell>
          <cell r="X87">
            <v>6</v>
          </cell>
          <cell r="Y87">
            <v>6</v>
          </cell>
          <cell r="Z87">
            <v>0</v>
          </cell>
          <cell r="AA87">
            <v>13</v>
          </cell>
          <cell r="AB87">
            <v>37</v>
          </cell>
        </row>
        <row r="88">
          <cell r="V88">
            <v>0</v>
          </cell>
          <cell r="W88">
            <v>0</v>
          </cell>
          <cell r="X88">
            <v>8</v>
          </cell>
          <cell r="Y88">
            <v>27</v>
          </cell>
          <cell r="Z88">
            <v>107</v>
          </cell>
          <cell r="AA88">
            <v>143</v>
          </cell>
          <cell r="AB88">
            <v>201</v>
          </cell>
        </row>
        <row r="89">
          <cell r="V89">
            <v>0</v>
          </cell>
          <cell r="W89">
            <v>0</v>
          </cell>
          <cell r="X89">
            <v>9</v>
          </cell>
          <cell r="Y89">
            <v>15</v>
          </cell>
          <cell r="Z89">
            <v>86</v>
          </cell>
          <cell r="AA89">
            <v>110</v>
          </cell>
          <cell r="AB89">
            <v>138</v>
          </cell>
        </row>
        <row r="90">
          <cell r="V90">
            <v>0</v>
          </cell>
          <cell r="W90">
            <v>0</v>
          </cell>
          <cell r="X90">
            <v>5</v>
          </cell>
          <cell r="Y90">
            <v>10</v>
          </cell>
          <cell r="Z90">
            <v>36</v>
          </cell>
          <cell r="AA90">
            <v>51</v>
          </cell>
          <cell r="AB90">
            <v>75</v>
          </cell>
        </row>
        <row r="91">
          <cell r="V91">
            <v>0</v>
          </cell>
          <cell r="W91">
            <v>0</v>
          </cell>
          <cell r="X91">
            <v>6</v>
          </cell>
          <cell r="Y91">
            <v>19</v>
          </cell>
          <cell r="Z91">
            <v>76</v>
          </cell>
          <cell r="AA91">
            <v>101</v>
          </cell>
          <cell r="AB91">
            <v>132</v>
          </cell>
        </row>
        <row r="92">
          <cell r="V92">
            <v>0</v>
          </cell>
          <cell r="W92">
            <v>0</v>
          </cell>
          <cell r="X92">
            <v>15</v>
          </cell>
          <cell r="Y92">
            <v>29</v>
          </cell>
          <cell r="Z92">
            <v>85</v>
          </cell>
          <cell r="AA92">
            <v>128</v>
          </cell>
          <cell r="AB92">
            <v>227</v>
          </cell>
        </row>
        <row r="93">
          <cell r="V93">
            <v>0</v>
          </cell>
          <cell r="W93">
            <v>0</v>
          </cell>
          <cell r="X93">
            <v>11</v>
          </cell>
          <cell r="Y93">
            <v>30</v>
          </cell>
          <cell r="Z93">
            <v>124</v>
          </cell>
          <cell r="AA93">
            <v>165</v>
          </cell>
          <cell r="AB93">
            <v>274</v>
          </cell>
        </row>
        <row r="94">
          <cell r="V94">
            <v>0</v>
          </cell>
          <cell r="W94">
            <v>0</v>
          </cell>
          <cell r="X94">
            <v>6</v>
          </cell>
          <cell r="Y94">
            <v>14</v>
          </cell>
          <cell r="Z94">
            <v>72</v>
          </cell>
          <cell r="AA94">
            <v>92</v>
          </cell>
          <cell r="AB94">
            <v>121</v>
          </cell>
        </row>
        <row r="95">
          <cell r="V95">
            <v>0</v>
          </cell>
          <cell r="W95">
            <v>0</v>
          </cell>
          <cell r="X95">
            <v>22</v>
          </cell>
          <cell r="Y95">
            <v>42</v>
          </cell>
          <cell r="Z95">
            <v>152</v>
          </cell>
          <cell r="AA95">
            <v>216</v>
          </cell>
          <cell r="AB95">
            <v>325</v>
          </cell>
        </row>
        <row r="96">
          <cell r="V96">
            <v>0</v>
          </cell>
          <cell r="W96">
            <v>0</v>
          </cell>
          <cell r="X96">
            <v>79</v>
          </cell>
          <cell r="Y96">
            <v>183</v>
          </cell>
          <cell r="Z96">
            <v>702</v>
          </cell>
          <cell r="AA96">
            <v>964</v>
          </cell>
          <cell r="AB96">
            <v>1137</v>
          </cell>
        </row>
        <row r="97">
          <cell r="V97">
            <v>0</v>
          </cell>
          <cell r="W97">
            <v>0</v>
          </cell>
          <cell r="X97">
            <v>59</v>
          </cell>
          <cell r="Y97">
            <v>93</v>
          </cell>
          <cell r="Z97">
            <v>344</v>
          </cell>
          <cell r="AA97">
            <v>496</v>
          </cell>
          <cell r="AB97">
            <v>609</v>
          </cell>
        </row>
        <row r="98">
          <cell r="V98">
            <v>0</v>
          </cell>
          <cell r="W98">
            <v>0</v>
          </cell>
          <cell r="X98">
            <v>12</v>
          </cell>
          <cell r="Y98">
            <v>30</v>
          </cell>
          <cell r="Z98">
            <v>110</v>
          </cell>
          <cell r="AA98">
            <v>152</v>
          </cell>
          <cell r="AB98">
            <v>194</v>
          </cell>
        </row>
        <row r="99">
          <cell r="V99">
            <v>0</v>
          </cell>
          <cell r="W99">
            <v>0</v>
          </cell>
          <cell r="X99">
            <v>14</v>
          </cell>
          <cell r="Y99">
            <v>33</v>
          </cell>
          <cell r="Z99">
            <v>149</v>
          </cell>
          <cell r="AA99">
            <v>196</v>
          </cell>
          <cell r="AB99">
            <v>246</v>
          </cell>
        </row>
        <row r="100">
          <cell r="V100">
            <v>0</v>
          </cell>
          <cell r="W100">
            <v>6</v>
          </cell>
          <cell r="X100">
            <v>26</v>
          </cell>
          <cell r="Y100">
            <v>72</v>
          </cell>
          <cell r="Z100">
            <v>301</v>
          </cell>
          <cell r="AA100">
            <v>405</v>
          </cell>
          <cell r="AB100">
            <v>509</v>
          </cell>
        </row>
        <row r="101">
          <cell r="V101">
            <v>0</v>
          </cell>
          <cell r="W101">
            <v>2</v>
          </cell>
          <cell r="X101">
            <v>40</v>
          </cell>
          <cell r="Y101">
            <v>78</v>
          </cell>
          <cell r="Z101">
            <v>375</v>
          </cell>
          <cell r="AA101">
            <v>495</v>
          </cell>
          <cell r="AB101">
            <v>690</v>
          </cell>
        </row>
        <row r="102">
          <cell r="V102">
            <v>0</v>
          </cell>
          <cell r="W102">
            <v>0</v>
          </cell>
          <cell r="X102">
            <v>15</v>
          </cell>
          <cell r="Y102">
            <v>49</v>
          </cell>
          <cell r="Z102">
            <v>161</v>
          </cell>
          <cell r="AA102">
            <v>225</v>
          </cell>
          <cell r="AB102">
            <v>365</v>
          </cell>
        </row>
        <row r="103">
          <cell r="V103">
            <v>0</v>
          </cell>
          <cell r="W103">
            <v>0</v>
          </cell>
          <cell r="X103">
            <v>20</v>
          </cell>
          <cell r="Y103">
            <v>60</v>
          </cell>
          <cell r="Z103">
            <v>260</v>
          </cell>
          <cell r="AA103">
            <v>340</v>
          </cell>
          <cell r="AB103">
            <v>340</v>
          </cell>
        </row>
        <row r="104">
          <cell r="V104">
            <v>0</v>
          </cell>
          <cell r="W104">
            <v>0</v>
          </cell>
          <cell r="X104">
            <v>29</v>
          </cell>
          <cell r="Y104">
            <v>77</v>
          </cell>
          <cell r="Z104">
            <v>343</v>
          </cell>
          <cell r="AA104">
            <v>449</v>
          </cell>
          <cell r="AB104">
            <v>449</v>
          </cell>
        </row>
        <row r="105">
          <cell r="V105">
            <v>0</v>
          </cell>
          <cell r="W105">
            <v>0</v>
          </cell>
          <cell r="X105">
            <v>23</v>
          </cell>
          <cell r="Y105">
            <v>71</v>
          </cell>
          <cell r="Z105">
            <v>163</v>
          </cell>
          <cell r="AA105">
            <v>257</v>
          </cell>
          <cell r="AB105">
            <v>405</v>
          </cell>
        </row>
        <row r="106">
          <cell r="V106">
            <v>0</v>
          </cell>
          <cell r="W106">
            <v>0</v>
          </cell>
          <cell r="X106">
            <v>11</v>
          </cell>
          <cell r="Y106">
            <v>21</v>
          </cell>
          <cell r="Z106">
            <v>96</v>
          </cell>
          <cell r="AA106">
            <v>128</v>
          </cell>
          <cell r="AB106">
            <v>200</v>
          </cell>
        </row>
        <row r="107">
          <cell r="V107">
            <v>0</v>
          </cell>
          <cell r="W107">
            <v>0</v>
          </cell>
          <cell r="X107">
            <v>29</v>
          </cell>
          <cell r="Y107">
            <v>59</v>
          </cell>
          <cell r="Z107">
            <v>212</v>
          </cell>
          <cell r="AA107">
            <v>300</v>
          </cell>
          <cell r="AB107">
            <v>367</v>
          </cell>
        </row>
        <row r="108">
          <cell r="V108">
            <v>0</v>
          </cell>
          <cell r="W108">
            <v>0</v>
          </cell>
          <cell r="X108">
            <v>8</v>
          </cell>
          <cell r="Y108">
            <v>25</v>
          </cell>
          <cell r="Z108">
            <v>117</v>
          </cell>
          <cell r="AA108">
            <v>149</v>
          </cell>
          <cell r="AB108">
            <v>196</v>
          </cell>
        </row>
        <row r="109">
          <cell r="V109">
            <v>0</v>
          </cell>
          <cell r="W109">
            <v>0</v>
          </cell>
          <cell r="X109">
            <v>17</v>
          </cell>
          <cell r="Y109">
            <v>43</v>
          </cell>
          <cell r="Z109">
            <v>198</v>
          </cell>
          <cell r="AA109">
            <v>258</v>
          </cell>
          <cell r="AB109">
            <v>258</v>
          </cell>
        </row>
        <row r="110">
          <cell r="V110">
            <v>0</v>
          </cell>
          <cell r="W110">
            <v>0</v>
          </cell>
          <cell r="X110">
            <v>22</v>
          </cell>
          <cell r="Y110">
            <v>62</v>
          </cell>
          <cell r="Z110">
            <v>258</v>
          </cell>
          <cell r="AA110">
            <v>342</v>
          </cell>
          <cell r="AB110">
            <v>342</v>
          </cell>
        </row>
        <row r="111">
          <cell r="V111">
            <v>0</v>
          </cell>
          <cell r="W111">
            <v>0</v>
          </cell>
          <cell r="X111">
            <v>27</v>
          </cell>
          <cell r="Y111">
            <v>69</v>
          </cell>
          <cell r="Z111">
            <v>259</v>
          </cell>
          <cell r="AA111">
            <v>355</v>
          </cell>
          <cell r="AB111">
            <v>355</v>
          </cell>
        </row>
        <row r="112">
          <cell r="V112">
            <v>0</v>
          </cell>
          <cell r="W112">
            <v>0</v>
          </cell>
          <cell r="X112">
            <v>1</v>
          </cell>
          <cell r="Y112">
            <v>0</v>
          </cell>
          <cell r="Z112">
            <v>6</v>
          </cell>
          <cell r="AA112">
            <v>7</v>
          </cell>
          <cell r="AB112">
            <v>7</v>
          </cell>
        </row>
        <row r="113">
          <cell r="V113">
            <v>0</v>
          </cell>
          <cell r="W113">
            <v>0</v>
          </cell>
          <cell r="X113">
            <v>15</v>
          </cell>
          <cell r="Y113">
            <v>1</v>
          </cell>
          <cell r="Z113">
            <v>39</v>
          </cell>
          <cell r="AA113">
            <v>54</v>
          </cell>
          <cell r="AB113">
            <v>152</v>
          </cell>
        </row>
        <row r="114">
          <cell r="V114">
            <v>0</v>
          </cell>
          <cell r="W114">
            <v>0</v>
          </cell>
          <cell r="X114">
            <v>8</v>
          </cell>
          <cell r="Y114">
            <v>14</v>
          </cell>
          <cell r="Z114">
            <v>45</v>
          </cell>
          <cell r="AA114">
            <v>67</v>
          </cell>
          <cell r="AB114">
            <v>67</v>
          </cell>
        </row>
        <row r="115">
          <cell r="V115">
            <v>0</v>
          </cell>
          <cell r="W115">
            <v>0</v>
          </cell>
          <cell r="X115">
            <v>5</v>
          </cell>
          <cell r="Y115">
            <v>4</v>
          </cell>
          <cell r="Z115">
            <v>26</v>
          </cell>
          <cell r="AA115">
            <v>35</v>
          </cell>
          <cell r="AB115">
            <v>38</v>
          </cell>
        </row>
        <row r="116">
          <cell r="V116">
            <v>0</v>
          </cell>
          <cell r="W116">
            <v>0</v>
          </cell>
          <cell r="X116">
            <v>6</v>
          </cell>
          <cell r="Y116">
            <v>0</v>
          </cell>
          <cell r="Z116">
            <v>0</v>
          </cell>
          <cell r="AA116">
            <v>6</v>
          </cell>
          <cell r="AB116">
            <v>6</v>
          </cell>
        </row>
        <row r="117">
          <cell r="V117">
            <v>0</v>
          </cell>
          <cell r="W117">
            <v>0</v>
          </cell>
          <cell r="X117">
            <v>8</v>
          </cell>
          <cell r="Y117">
            <v>9</v>
          </cell>
          <cell r="Z117">
            <v>58</v>
          </cell>
          <cell r="AA117">
            <v>76</v>
          </cell>
          <cell r="AB117">
            <v>136</v>
          </cell>
        </row>
        <row r="118">
          <cell r="V118">
            <v>0</v>
          </cell>
          <cell r="W118">
            <v>0</v>
          </cell>
          <cell r="X118">
            <v>0</v>
          </cell>
          <cell r="Y118">
            <v>0</v>
          </cell>
          <cell r="Z118">
            <v>0</v>
          </cell>
          <cell r="AA118">
            <v>0</v>
          </cell>
          <cell r="AB118">
            <v>0</v>
          </cell>
        </row>
        <row r="119">
          <cell r="V119">
            <v>0</v>
          </cell>
          <cell r="W119">
            <v>0</v>
          </cell>
          <cell r="X119">
            <v>48.75</v>
          </cell>
          <cell r="Y119">
            <v>135.75</v>
          </cell>
          <cell r="Z119">
            <v>470.25</v>
          </cell>
          <cell r="AA119">
            <v>654.75</v>
          </cell>
          <cell r="AB119">
            <v>754</v>
          </cell>
        </row>
        <row r="120">
          <cell r="V120">
            <v>0</v>
          </cell>
          <cell r="W120">
            <v>0</v>
          </cell>
          <cell r="X120">
            <v>36.25</v>
          </cell>
          <cell r="Y120">
            <v>64.25</v>
          </cell>
          <cell r="Z120">
            <v>269.25</v>
          </cell>
          <cell r="AA120">
            <v>369.75</v>
          </cell>
          <cell r="AB120">
            <v>443</v>
          </cell>
        </row>
        <row r="121">
          <cell r="V121">
            <v>0</v>
          </cell>
          <cell r="W121">
            <v>0</v>
          </cell>
          <cell r="X121">
            <v>30.6</v>
          </cell>
          <cell r="Y121">
            <v>107.5</v>
          </cell>
          <cell r="Z121">
            <v>312.89999999999998</v>
          </cell>
          <cell r="AA121">
            <v>451</v>
          </cell>
          <cell r="AB121">
            <v>620</v>
          </cell>
        </row>
        <row r="122">
          <cell r="V122">
            <v>0</v>
          </cell>
          <cell r="W122">
            <v>0</v>
          </cell>
          <cell r="X122">
            <v>246</v>
          </cell>
          <cell r="Y122">
            <v>477</v>
          </cell>
          <cell r="Z122">
            <v>1822</v>
          </cell>
          <cell r="AA122">
            <v>2545</v>
          </cell>
          <cell r="AB122">
            <v>2863</v>
          </cell>
        </row>
        <row r="123">
          <cell r="V123">
            <v>0</v>
          </cell>
          <cell r="W123">
            <v>0</v>
          </cell>
          <cell r="X123">
            <v>54</v>
          </cell>
          <cell r="Y123">
            <v>189</v>
          </cell>
          <cell r="Z123">
            <v>713</v>
          </cell>
          <cell r="AA123">
            <v>956</v>
          </cell>
          <cell r="AB123">
            <v>956</v>
          </cell>
        </row>
      </sheetData>
      <sheetData sheetId="9"/>
      <sheetData sheetId="10">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FIRE0058</v>
          </cell>
          <cell r="AC9" t="str">
            <v>FIRE0063</v>
          </cell>
          <cell r="AD9" t="str">
            <v>FIRE0064</v>
          </cell>
          <cell r="AE9" t="str">
            <v>FIRE0065</v>
          </cell>
          <cell r="AF9" t="str">
            <v>FIRE0066</v>
          </cell>
          <cell r="AG9" t="str">
            <v>FIRE0067</v>
          </cell>
          <cell r="AH9" t="str">
            <v>FIRE0068</v>
          </cell>
          <cell r="AI9" t="str">
            <v>FIRE0069</v>
          </cell>
          <cell r="AJ9" t="str">
            <v>FIRE0070</v>
          </cell>
          <cell r="AK9" t="str">
            <v>FIRE0071</v>
          </cell>
          <cell r="AL9" t="str">
            <v>FIRE0274</v>
          </cell>
          <cell r="AM9" t="str">
            <v>FIRE0072</v>
          </cell>
          <cell r="AN9" t="str">
            <v>FIRE0073</v>
          </cell>
          <cell r="AO9" t="str">
            <v>FIRE0074</v>
          </cell>
          <cell r="AP9" t="str">
            <v>FIRE0075</v>
          </cell>
          <cell r="AQ9" t="str">
            <v>FIRE0076</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S9" t="str">
            <v>FIRE0319</v>
          </cell>
        </row>
        <row r="10">
          <cell r="B10" t="str">
            <v>E0801</v>
          </cell>
          <cell r="C10" t="str">
            <v>Cornwall</v>
          </cell>
          <cell r="D10">
            <v>1</v>
          </cell>
          <cell r="E10">
            <v>2</v>
          </cell>
          <cell r="F10">
            <v>23</v>
          </cell>
          <cell r="G10">
            <v>6</v>
          </cell>
          <cell r="H10">
            <v>0</v>
          </cell>
          <cell r="I10">
            <v>31</v>
          </cell>
          <cell r="J10">
            <v>6</v>
          </cell>
          <cell r="K10">
            <v>2</v>
          </cell>
          <cell r="L10">
            <v>23</v>
          </cell>
          <cell r="M10">
            <v>6</v>
          </cell>
          <cell r="N10">
            <v>0</v>
          </cell>
          <cell r="O10">
            <v>31</v>
          </cell>
          <cell r="P10">
            <v>6</v>
          </cell>
          <cell r="Q10">
            <v>44</v>
          </cell>
          <cell r="R10">
            <v>2</v>
          </cell>
          <cell r="S10">
            <v>44</v>
          </cell>
          <cell r="T10">
            <v>33</v>
          </cell>
          <cell r="U10">
            <v>6</v>
          </cell>
          <cell r="V10">
            <v>129</v>
          </cell>
          <cell r="W10">
            <v>70</v>
          </cell>
          <cell r="X10">
            <v>8</v>
          </cell>
          <cell r="Y10">
            <v>3</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v>9044</v>
          </cell>
          <cell r="AT10">
            <v>4028</v>
          </cell>
          <cell r="AU10">
            <v>680</v>
          </cell>
          <cell r="AV10">
            <v>1712</v>
          </cell>
          <cell r="AW10">
            <v>323</v>
          </cell>
          <cell r="AX10">
            <v>343</v>
          </cell>
          <cell r="AY10">
            <v>16130</v>
          </cell>
          <cell r="AZ10">
            <v>1466</v>
          </cell>
          <cell r="BA10">
            <v>1342</v>
          </cell>
          <cell r="BB10">
            <v>817</v>
          </cell>
          <cell r="BC10">
            <v>2951</v>
          </cell>
          <cell r="BD10">
            <v>0</v>
          </cell>
          <cell r="BE10">
            <v>0</v>
          </cell>
          <cell r="BF10">
            <v>0</v>
          </cell>
          <cell r="BG10">
            <v>22706</v>
          </cell>
          <cell r="BH10">
            <v>250</v>
          </cell>
          <cell r="BI10">
            <v>0</v>
          </cell>
          <cell r="BJ10">
            <v>0</v>
          </cell>
          <cell r="BK10">
            <v>650</v>
          </cell>
          <cell r="BL10">
            <v>900</v>
          </cell>
          <cell r="BM10">
            <v>21806</v>
          </cell>
          <cell r="BN10">
            <v>900</v>
          </cell>
          <cell r="BO10">
            <v>0</v>
          </cell>
          <cell r="BP10">
            <v>9080</v>
          </cell>
          <cell r="BQ10">
            <v>3812</v>
          </cell>
          <cell r="BR10">
            <v>694</v>
          </cell>
          <cell r="BS10">
            <v>350</v>
          </cell>
          <cell r="BT10">
            <v>360</v>
          </cell>
          <cell r="BU10">
            <v>16042</v>
          </cell>
          <cell r="BV10">
            <v>1460</v>
          </cell>
          <cell r="BW10">
            <v>1300</v>
          </cell>
          <cell r="BX10">
            <v>820</v>
          </cell>
          <cell r="BY10">
            <v>3000</v>
          </cell>
          <cell r="BZ10">
            <v>0</v>
          </cell>
          <cell r="CA10">
            <v>0</v>
          </cell>
          <cell r="CB10">
            <v>0</v>
          </cell>
          <cell r="CC10">
            <v>22622</v>
          </cell>
          <cell r="CD10">
            <v>275</v>
          </cell>
          <cell r="CE10">
            <v>0</v>
          </cell>
          <cell r="CF10">
            <v>0</v>
          </cell>
          <cell r="CG10">
            <v>750</v>
          </cell>
          <cell r="CH10">
            <v>1025</v>
          </cell>
          <cell r="CI10">
            <v>21597</v>
          </cell>
          <cell r="CJ10">
            <v>891.37393377969363</v>
          </cell>
          <cell r="CK10">
            <v>0</v>
          </cell>
          <cell r="CL10">
            <v>0</v>
          </cell>
          <cell r="CM10">
            <v>0</v>
          </cell>
          <cell r="CN10">
            <v>17.5</v>
          </cell>
          <cell r="CO10">
            <v>0</v>
          </cell>
          <cell r="CP10">
            <v>0</v>
          </cell>
          <cell r="CQ10">
            <v>0</v>
          </cell>
          <cell r="CR10">
            <v>0</v>
          </cell>
          <cell r="CS10">
            <v>0</v>
          </cell>
          <cell r="CT10">
            <v>0</v>
          </cell>
          <cell r="CU10">
            <v>1383</v>
          </cell>
          <cell r="CV10">
            <v>18372</v>
          </cell>
          <cell r="CW10">
            <v>0</v>
          </cell>
          <cell r="CX10">
            <v>2951</v>
          </cell>
          <cell r="CY10">
            <v>0</v>
          </cell>
          <cell r="CZ10">
            <v>22706</v>
          </cell>
          <cell r="DA10" t="str">
            <v>..</v>
          </cell>
          <cell r="DB10" t="str">
            <v>..</v>
          </cell>
          <cell r="DC10" t="str">
            <v>..</v>
          </cell>
          <cell r="DD10" t="str">
            <v>..</v>
          </cell>
          <cell r="DE10" t="str">
            <v>..</v>
          </cell>
          <cell r="DF10" t="str">
            <v>..</v>
          </cell>
          <cell r="DG10">
            <v>0</v>
          </cell>
          <cell r="DH10">
            <v>0</v>
          </cell>
          <cell r="DI10">
            <v>-1266</v>
          </cell>
          <cell r="DJ10">
            <v>-34</v>
          </cell>
          <cell r="DK10">
            <v>4582</v>
          </cell>
          <cell r="DL10">
            <v>1470</v>
          </cell>
          <cell r="DM10">
            <v>19</v>
          </cell>
          <cell r="DN10">
            <v>3243</v>
          </cell>
          <cell r="DO10">
            <v>0</v>
          </cell>
          <cell r="DP10">
            <v>-1566</v>
          </cell>
          <cell r="DQ10">
            <v>-80</v>
          </cell>
          <cell r="DR10">
            <v>0</v>
          </cell>
          <cell r="DS10">
            <v>-1166</v>
          </cell>
          <cell r="DT10">
            <v>-30</v>
          </cell>
          <cell r="DU10">
            <v>4697</v>
          </cell>
          <cell r="DV10">
            <v>900</v>
          </cell>
          <cell r="DW10">
            <v>0</v>
          </cell>
          <cell r="DX10">
            <v>2755</v>
          </cell>
          <cell r="DY10">
            <v>0</v>
          </cell>
          <cell r="DZ10">
            <v>346</v>
          </cell>
          <cell r="EA10">
            <v>350</v>
          </cell>
          <cell r="EB10">
            <v>13</v>
          </cell>
          <cell r="EC10">
            <v>1</v>
          </cell>
          <cell r="ED10">
            <v>36</v>
          </cell>
          <cell r="EE10">
            <v>35</v>
          </cell>
          <cell r="EF10">
            <v>507</v>
          </cell>
          <cell r="EG10">
            <v>31</v>
          </cell>
          <cell r="EH10">
            <v>15</v>
          </cell>
          <cell r="EI10">
            <v>163</v>
          </cell>
          <cell r="EJ10">
            <v>75</v>
          </cell>
          <cell r="EK10">
            <v>10</v>
          </cell>
          <cell r="EL10">
            <v>0</v>
          </cell>
          <cell r="EM10">
            <v>0</v>
          </cell>
          <cell r="EN10">
            <v>93</v>
          </cell>
          <cell r="EO10">
            <v>0</v>
          </cell>
          <cell r="EP10">
            <v>0</v>
          </cell>
          <cell r="EQ10">
            <v>93</v>
          </cell>
        </row>
        <row r="11">
          <cell r="B11" t="str">
            <v>E0920</v>
          </cell>
          <cell r="C11" t="str">
            <v>Cumbria</v>
          </cell>
          <cell r="D11">
            <v>1</v>
          </cell>
          <cell r="E11">
            <v>3</v>
          </cell>
          <cell r="F11">
            <v>30</v>
          </cell>
          <cell r="G11">
            <v>5</v>
          </cell>
          <cell r="H11">
            <v>0</v>
          </cell>
          <cell r="I11">
            <v>38</v>
          </cell>
          <cell r="J11">
            <v>0</v>
          </cell>
          <cell r="K11">
            <v>2</v>
          </cell>
          <cell r="L11">
            <v>30</v>
          </cell>
          <cell r="M11">
            <v>6</v>
          </cell>
          <cell r="N11">
            <v>0</v>
          </cell>
          <cell r="O11">
            <v>38</v>
          </cell>
          <cell r="P11">
            <v>2</v>
          </cell>
          <cell r="Q11">
            <v>45</v>
          </cell>
          <cell r="R11">
            <v>2</v>
          </cell>
          <cell r="S11">
            <v>28</v>
          </cell>
          <cell r="T11">
            <v>44</v>
          </cell>
          <cell r="U11">
            <v>3</v>
          </cell>
          <cell r="V11">
            <v>122</v>
          </cell>
          <cell r="W11">
            <v>22</v>
          </cell>
          <cell r="X11">
            <v>4</v>
          </cell>
          <cell r="Y11">
            <v>3</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v>9391</v>
          </cell>
          <cell r="AT11">
            <v>2481</v>
          </cell>
          <cell r="AU11">
            <v>0</v>
          </cell>
          <cell r="AV11">
            <v>679</v>
          </cell>
          <cell r="AW11">
            <v>192</v>
          </cell>
          <cell r="AX11">
            <v>51</v>
          </cell>
          <cell r="AY11">
            <v>12794</v>
          </cell>
          <cell r="AZ11">
            <v>15</v>
          </cell>
          <cell r="BA11">
            <v>954</v>
          </cell>
          <cell r="BB11">
            <v>817</v>
          </cell>
          <cell r="BC11">
            <v>5331</v>
          </cell>
          <cell r="BD11">
            <v>331</v>
          </cell>
          <cell r="BE11">
            <v>0</v>
          </cell>
          <cell r="BF11">
            <v>0</v>
          </cell>
          <cell r="BG11">
            <v>20242</v>
          </cell>
          <cell r="BH11">
            <v>6</v>
          </cell>
          <cell r="BI11">
            <v>0</v>
          </cell>
          <cell r="BJ11">
            <v>0</v>
          </cell>
          <cell r="BK11">
            <v>155</v>
          </cell>
          <cell r="BL11">
            <v>161</v>
          </cell>
          <cell r="BM11">
            <v>20081</v>
          </cell>
          <cell r="BN11">
            <v>1521</v>
          </cell>
          <cell r="BO11">
            <v>291</v>
          </cell>
          <cell r="BP11">
            <v>9774</v>
          </cell>
          <cell r="BQ11">
            <v>2699</v>
          </cell>
          <cell r="BR11">
            <v>0</v>
          </cell>
          <cell r="BS11">
            <v>175</v>
          </cell>
          <cell r="BT11">
            <v>17</v>
          </cell>
          <cell r="BU11">
            <v>13480</v>
          </cell>
          <cell r="BV11">
            <v>15</v>
          </cell>
          <cell r="BW11">
            <v>736</v>
          </cell>
          <cell r="BX11">
            <v>575</v>
          </cell>
          <cell r="BY11">
            <v>4740</v>
          </cell>
          <cell r="BZ11">
            <v>458</v>
          </cell>
          <cell r="CA11">
            <v>0</v>
          </cell>
          <cell r="CB11">
            <v>0</v>
          </cell>
          <cell r="CC11">
            <v>20004</v>
          </cell>
          <cell r="CD11">
            <v>0</v>
          </cell>
          <cell r="CE11">
            <v>0</v>
          </cell>
          <cell r="CF11">
            <v>0</v>
          </cell>
          <cell r="CG11">
            <v>104</v>
          </cell>
          <cell r="CH11">
            <v>104</v>
          </cell>
          <cell r="CI11">
            <v>19900</v>
          </cell>
          <cell r="CJ11">
            <v>1509</v>
          </cell>
          <cell r="CK11">
            <v>273</v>
          </cell>
          <cell r="CL11">
            <v>0</v>
          </cell>
          <cell r="CM11">
            <v>0</v>
          </cell>
          <cell r="CN11">
            <v>14.9</v>
          </cell>
          <cell r="CO11">
            <v>0</v>
          </cell>
          <cell r="CP11">
            <v>0</v>
          </cell>
          <cell r="CQ11">
            <v>0</v>
          </cell>
          <cell r="CR11">
            <v>0</v>
          </cell>
          <cell r="CS11">
            <v>0</v>
          </cell>
          <cell r="CT11">
            <v>0</v>
          </cell>
          <cell r="CU11">
            <v>1173</v>
          </cell>
          <cell r="CV11">
            <v>20429</v>
          </cell>
          <cell r="CW11">
            <v>0</v>
          </cell>
          <cell r="CX11">
            <v>0</v>
          </cell>
          <cell r="CY11">
            <v>0</v>
          </cell>
          <cell r="CZ11">
            <v>21602</v>
          </cell>
          <cell r="DA11">
            <v>286</v>
          </cell>
          <cell r="DB11">
            <v>5024</v>
          </cell>
          <cell r="DC11">
            <v>0</v>
          </cell>
          <cell r="DD11">
            <v>0</v>
          </cell>
          <cell r="DE11">
            <v>0</v>
          </cell>
          <cell r="DF11">
            <v>5310</v>
          </cell>
          <cell r="DG11">
            <v>0</v>
          </cell>
          <cell r="DH11">
            <v>0</v>
          </cell>
          <cell r="DI11">
            <v>-1192.893</v>
          </cell>
          <cell r="DJ11">
            <v>-9.2910000000000004</v>
          </cell>
          <cell r="DK11">
            <v>6322.3010000000004</v>
          </cell>
          <cell r="DL11">
            <v>795.71500000000003</v>
          </cell>
          <cell r="DM11">
            <v>0</v>
          </cell>
          <cell r="DN11">
            <v>4447.2719999999999</v>
          </cell>
          <cell r="DO11">
            <v>0</v>
          </cell>
          <cell r="DP11">
            <v>-1480</v>
          </cell>
          <cell r="DQ11">
            <v>0</v>
          </cell>
          <cell r="DR11">
            <v>0</v>
          </cell>
          <cell r="DS11">
            <v>-1154</v>
          </cell>
          <cell r="DT11">
            <v>0</v>
          </cell>
          <cell r="DU11">
            <v>6569</v>
          </cell>
          <cell r="DV11">
            <v>1283</v>
          </cell>
          <cell r="DW11">
            <v>0</v>
          </cell>
          <cell r="DX11">
            <v>5218</v>
          </cell>
          <cell r="DY11">
            <v>0</v>
          </cell>
          <cell r="DZ11">
            <v>480</v>
          </cell>
          <cell r="EA11">
            <v>487</v>
          </cell>
          <cell r="EB11">
            <v>13</v>
          </cell>
          <cell r="EC11">
            <v>2</v>
          </cell>
          <cell r="ED11">
            <v>133</v>
          </cell>
          <cell r="EE11">
            <v>15</v>
          </cell>
          <cell r="EF11">
            <v>308</v>
          </cell>
          <cell r="EG11">
            <v>61</v>
          </cell>
          <cell r="EH11">
            <v>38</v>
          </cell>
          <cell r="EI11">
            <v>158</v>
          </cell>
          <cell r="EJ11">
            <v>51</v>
          </cell>
          <cell r="EK11">
            <v>32</v>
          </cell>
          <cell r="EL11">
            <v>50</v>
          </cell>
          <cell r="EM11">
            <v>0</v>
          </cell>
          <cell r="EN11">
            <v>0</v>
          </cell>
          <cell r="EO11">
            <v>240</v>
          </cell>
          <cell r="EP11">
            <v>0</v>
          </cell>
          <cell r="EQ11">
            <v>0</v>
          </cell>
        </row>
        <row r="12">
          <cell r="B12" t="str">
            <v>E1620</v>
          </cell>
          <cell r="C12" t="str">
            <v>Gloucestershire</v>
          </cell>
          <cell r="D12">
            <v>1</v>
          </cell>
          <cell r="E12">
            <v>2</v>
          </cell>
          <cell r="F12">
            <v>16</v>
          </cell>
          <cell r="G12">
            <v>3</v>
          </cell>
          <cell r="H12">
            <v>0</v>
          </cell>
          <cell r="I12">
            <v>21</v>
          </cell>
          <cell r="J12">
            <v>5</v>
          </cell>
          <cell r="K12">
            <v>2</v>
          </cell>
          <cell r="L12">
            <v>16</v>
          </cell>
          <cell r="M12">
            <v>3</v>
          </cell>
          <cell r="N12">
            <v>0</v>
          </cell>
          <cell r="O12">
            <v>21</v>
          </cell>
          <cell r="P12">
            <v>9</v>
          </cell>
          <cell r="Q12">
            <v>31</v>
          </cell>
          <cell r="R12">
            <v>2</v>
          </cell>
          <cell r="S12">
            <v>11</v>
          </cell>
          <cell r="T12">
            <v>24</v>
          </cell>
          <cell r="U12">
            <v>4</v>
          </cell>
          <cell r="V12">
            <v>72</v>
          </cell>
          <cell r="W12">
            <v>50</v>
          </cell>
          <cell r="X12">
            <v>5</v>
          </cell>
          <cell r="Y12">
            <v>3</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v>8236</v>
          </cell>
          <cell r="AT12">
            <v>2078</v>
          </cell>
          <cell r="AU12">
            <v>787</v>
          </cell>
          <cell r="AV12">
            <v>1082</v>
          </cell>
          <cell r="AW12">
            <v>624</v>
          </cell>
          <cell r="AX12">
            <v>169</v>
          </cell>
          <cell r="AY12">
            <v>12976</v>
          </cell>
          <cell r="AZ12">
            <v>2404</v>
          </cell>
          <cell r="BA12">
            <v>1057</v>
          </cell>
          <cell r="BB12">
            <v>2122</v>
          </cell>
          <cell r="BC12">
            <v>468</v>
          </cell>
          <cell r="BD12">
            <v>0</v>
          </cell>
          <cell r="BE12">
            <v>0</v>
          </cell>
          <cell r="BF12">
            <v>2120</v>
          </cell>
          <cell r="BG12">
            <v>21147</v>
          </cell>
          <cell r="BH12">
            <v>5126</v>
          </cell>
          <cell r="BI12">
            <v>0</v>
          </cell>
          <cell r="BJ12">
            <v>0</v>
          </cell>
          <cell r="BK12">
            <v>750</v>
          </cell>
          <cell r="BL12">
            <v>5876</v>
          </cell>
          <cell r="BM12">
            <v>15271</v>
          </cell>
          <cell r="BN12">
            <v>3737</v>
          </cell>
          <cell r="BO12">
            <v>3939</v>
          </cell>
          <cell r="BP12">
            <v>8213</v>
          </cell>
          <cell r="BQ12">
            <v>2116</v>
          </cell>
          <cell r="BR12">
            <v>777</v>
          </cell>
          <cell r="BS12">
            <v>541</v>
          </cell>
          <cell r="BT12">
            <v>527</v>
          </cell>
          <cell r="BU12">
            <v>13318</v>
          </cell>
          <cell r="BV12">
            <v>2161</v>
          </cell>
          <cell r="BW12">
            <v>1137</v>
          </cell>
          <cell r="BX12">
            <v>2790</v>
          </cell>
          <cell r="BY12">
            <v>1513</v>
          </cell>
          <cell r="BZ12">
            <v>0</v>
          </cell>
          <cell r="CA12">
            <v>0</v>
          </cell>
          <cell r="CB12">
            <v>2000</v>
          </cell>
          <cell r="CC12">
            <v>22919</v>
          </cell>
          <cell r="CD12">
            <v>5138</v>
          </cell>
          <cell r="CE12">
            <v>0</v>
          </cell>
          <cell r="CF12">
            <v>0</v>
          </cell>
          <cell r="CG12">
            <v>646</v>
          </cell>
          <cell r="CH12">
            <v>5784</v>
          </cell>
          <cell r="CI12">
            <v>17135</v>
          </cell>
          <cell r="CJ12">
            <v>3780</v>
          </cell>
          <cell r="CK12">
            <v>2500</v>
          </cell>
          <cell r="CL12">
            <v>0</v>
          </cell>
          <cell r="CM12">
            <v>40</v>
          </cell>
          <cell r="CN12">
            <v>29.9</v>
          </cell>
          <cell r="CO12">
            <v>0</v>
          </cell>
          <cell r="CP12">
            <v>0</v>
          </cell>
          <cell r="CQ12">
            <v>0</v>
          </cell>
          <cell r="CR12">
            <v>0</v>
          </cell>
          <cell r="CS12">
            <v>0</v>
          </cell>
          <cell r="CT12">
            <v>0</v>
          </cell>
          <cell r="CU12">
            <v>1068</v>
          </cell>
          <cell r="CV12">
            <v>17881</v>
          </cell>
          <cell r="CW12">
            <v>-141</v>
          </cell>
          <cell r="CX12">
            <v>200</v>
          </cell>
          <cell r="CY12">
            <v>0</v>
          </cell>
          <cell r="CZ12">
            <v>19008</v>
          </cell>
          <cell r="DA12">
            <v>662</v>
          </cell>
          <cell r="DB12">
            <v>9699</v>
          </cell>
          <cell r="DC12">
            <v>0</v>
          </cell>
          <cell r="DD12">
            <v>0</v>
          </cell>
          <cell r="DE12">
            <v>0</v>
          </cell>
          <cell r="DF12">
            <v>10361</v>
          </cell>
          <cell r="DG12">
            <v>0</v>
          </cell>
          <cell r="DH12">
            <v>0</v>
          </cell>
          <cell r="DI12">
            <v>-1046</v>
          </cell>
          <cell r="DJ12">
            <v>0</v>
          </cell>
          <cell r="DK12">
            <v>5360</v>
          </cell>
          <cell r="DL12">
            <v>2359</v>
          </cell>
          <cell r="DM12">
            <v>15</v>
          </cell>
          <cell r="DN12">
            <v>5392</v>
          </cell>
          <cell r="DO12">
            <v>142</v>
          </cell>
          <cell r="DP12">
            <v>-1354</v>
          </cell>
          <cell r="DQ12">
            <v>0</v>
          </cell>
          <cell r="DR12">
            <v>0</v>
          </cell>
          <cell r="DS12">
            <v>-1068</v>
          </cell>
          <cell r="DT12">
            <v>0</v>
          </cell>
          <cell r="DU12">
            <v>5671</v>
          </cell>
          <cell r="DV12">
            <v>602</v>
          </cell>
          <cell r="DW12">
            <v>0</v>
          </cell>
          <cell r="DX12">
            <v>3851</v>
          </cell>
          <cell r="DY12">
            <v>144</v>
          </cell>
          <cell r="DZ12">
            <v>387</v>
          </cell>
          <cell r="EA12">
            <v>413</v>
          </cell>
          <cell r="EB12">
            <v>26</v>
          </cell>
          <cell r="EC12">
            <v>1</v>
          </cell>
          <cell r="ED12">
            <v>56</v>
          </cell>
          <cell r="EE12">
            <v>11</v>
          </cell>
          <cell r="EF12">
            <v>311</v>
          </cell>
          <cell r="EG12">
            <v>14</v>
          </cell>
          <cell r="EH12">
            <v>31</v>
          </cell>
          <cell r="EI12">
            <v>185</v>
          </cell>
          <cell r="EJ12">
            <v>80</v>
          </cell>
          <cell r="EK12">
            <v>14</v>
          </cell>
          <cell r="EL12">
            <v>4319</v>
          </cell>
          <cell r="EM12">
            <v>0</v>
          </cell>
          <cell r="EN12">
            <v>10</v>
          </cell>
          <cell r="EO12">
            <v>4542</v>
          </cell>
          <cell r="EP12">
            <v>0</v>
          </cell>
          <cell r="EQ12">
            <v>10</v>
          </cell>
        </row>
        <row r="13">
          <cell r="B13" t="str">
            <v>E1920</v>
          </cell>
          <cell r="C13" t="str">
            <v>Hertfordshire</v>
          </cell>
          <cell r="D13">
            <v>1</v>
          </cell>
          <cell r="E13">
            <v>13</v>
          </cell>
          <cell r="F13">
            <v>9</v>
          </cell>
          <cell r="G13">
            <v>7</v>
          </cell>
          <cell r="H13">
            <v>0</v>
          </cell>
          <cell r="I13">
            <v>29</v>
          </cell>
          <cell r="J13">
            <v>19</v>
          </cell>
          <cell r="K13">
            <v>13</v>
          </cell>
          <cell r="L13">
            <v>9</v>
          </cell>
          <cell r="M13">
            <v>7</v>
          </cell>
          <cell r="N13">
            <v>0</v>
          </cell>
          <cell r="O13">
            <v>29</v>
          </cell>
          <cell r="P13">
            <v>19</v>
          </cell>
          <cell r="Q13">
            <v>40</v>
          </cell>
          <cell r="R13">
            <v>2</v>
          </cell>
          <cell r="S13">
            <v>2</v>
          </cell>
          <cell r="T13">
            <v>44</v>
          </cell>
          <cell r="U13">
            <v>6</v>
          </cell>
          <cell r="V13">
            <v>94</v>
          </cell>
          <cell r="W13">
            <v>53</v>
          </cell>
          <cell r="X13">
            <v>6</v>
          </cell>
          <cell r="Y13">
            <v>7</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v>23310</v>
          </cell>
          <cell r="AT13">
            <v>1832</v>
          </cell>
          <cell r="AU13">
            <v>1190</v>
          </cell>
          <cell r="AV13">
            <v>3523</v>
          </cell>
          <cell r="AW13">
            <v>287</v>
          </cell>
          <cell r="AX13">
            <v>120</v>
          </cell>
          <cell r="AY13">
            <v>30262</v>
          </cell>
          <cell r="AZ13">
            <v>2808</v>
          </cell>
          <cell r="BA13">
            <v>1439</v>
          </cell>
          <cell r="BB13">
            <v>2762</v>
          </cell>
          <cell r="BC13">
            <v>2132</v>
          </cell>
          <cell r="BD13">
            <v>0</v>
          </cell>
          <cell r="BE13">
            <v>0</v>
          </cell>
          <cell r="BF13">
            <v>0</v>
          </cell>
          <cell r="BG13">
            <v>39403</v>
          </cell>
          <cell r="BH13">
            <v>358</v>
          </cell>
          <cell r="BI13">
            <v>0</v>
          </cell>
          <cell r="BJ13">
            <v>0</v>
          </cell>
          <cell r="BK13">
            <v>1958</v>
          </cell>
          <cell r="BL13">
            <v>2316</v>
          </cell>
          <cell r="BM13">
            <v>37087</v>
          </cell>
          <cell r="BN13">
            <v>2261</v>
          </cell>
          <cell r="BO13">
            <v>7711</v>
          </cell>
          <cell r="BP13">
            <v>23048</v>
          </cell>
          <cell r="BQ13">
            <v>1818</v>
          </cell>
          <cell r="BR13">
            <v>1224</v>
          </cell>
          <cell r="BS13">
            <v>303</v>
          </cell>
          <cell r="BT13">
            <v>128</v>
          </cell>
          <cell r="BU13">
            <v>30167</v>
          </cell>
          <cell r="BV13">
            <v>2588</v>
          </cell>
          <cell r="BW13">
            <v>1316</v>
          </cell>
          <cell r="BX13">
            <v>2710</v>
          </cell>
          <cell r="BY13">
            <v>2318</v>
          </cell>
          <cell r="BZ13">
            <v>0</v>
          </cell>
          <cell r="CA13">
            <v>0</v>
          </cell>
          <cell r="CB13">
            <v>0</v>
          </cell>
          <cell r="CC13">
            <v>39099</v>
          </cell>
          <cell r="CD13">
            <v>0</v>
          </cell>
          <cell r="CE13">
            <v>0</v>
          </cell>
          <cell r="CF13">
            <v>0</v>
          </cell>
          <cell r="CG13">
            <v>1747</v>
          </cell>
          <cell r="CH13">
            <v>1747</v>
          </cell>
          <cell r="CI13">
            <v>37352</v>
          </cell>
          <cell r="CJ13">
            <v>0</v>
          </cell>
          <cell r="CK13">
            <v>0</v>
          </cell>
          <cell r="CL13">
            <v>0</v>
          </cell>
          <cell r="CM13">
            <v>0</v>
          </cell>
          <cell r="CN13">
            <v>20.6</v>
          </cell>
          <cell r="CO13">
            <v>0</v>
          </cell>
          <cell r="CP13">
            <v>0</v>
          </cell>
          <cell r="CQ13">
            <v>0</v>
          </cell>
          <cell r="CR13">
            <v>0</v>
          </cell>
          <cell r="CS13">
            <v>0</v>
          </cell>
          <cell r="CT13">
            <v>0</v>
          </cell>
          <cell r="CU13">
            <v>2487</v>
          </cell>
          <cell r="CV13">
            <v>36935</v>
          </cell>
          <cell r="CW13">
            <v>0</v>
          </cell>
          <cell r="CX13">
            <v>-74</v>
          </cell>
          <cell r="CY13">
            <v>0</v>
          </cell>
          <cell r="CZ13">
            <v>39348</v>
          </cell>
          <cell r="DA13">
            <v>612</v>
          </cell>
          <cell r="DB13">
            <v>4111</v>
          </cell>
          <cell r="DC13">
            <v>0</v>
          </cell>
          <cell r="DD13">
            <v>-74</v>
          </cell>
          <cell r="DE13">
            <v>0</v>
          </cell>
          <cell r="DF13">
            <v>4649</v>
          </cell>
          <cell r="DG13">
            <v>-41</v>
          </cell>
          <cell r="DH13">
            <v>0</v>
          </cell>
          <cell r="DI13">
            <v>-2167</v>
          </cell>
          <cell r="DJ13">
            <v>-49</v>
          </cell>
          <cell r="DK13">
            <v>10304</v>
          </cell>
          <cell r="DL13">
            <v>2610</v>
          </cell>
          <cell r="DM13">
            <v>0</v>
          </cell>
          <cell r="DN13">
            <v>7923</v>
          </cell>
          <cell r="DO13">
            <v>631</v>
          </cell>
          <cell r="DP13">
            <v>-2517</v>
          </cell>
          <cell r="DQ13">
            <v>-85</v>
          </cell>
          <cell r="DR13">
            <v>0</v>
          </cell>
          <cell r="DS13">
            <v>-2075</v>
          </cell>
          <cell r="DT13">
            <v>-3</v>
          </cell>
          <cell r="DU13">
            <v>10854</v>
          </cell>
          <cell r="DV13">
            <v>2166</v>
          </cell>
          <cell r="DW13">
            <v>2</v>
          </cell>
          <cell r="DX13">
            <v>8342</v>
          </cell>
          <cell r="DY13">
            <v>746</v>
          </cell>
          <cell r="DZ13">
            <v>657</v>
          </cell>
          <cell r="EA13">
            <v>671</v>
          </cell>
          <cell r="EB13">
            <v>21</v>
          </cell>
          <cell r="EC13">
            <v>0</v>
          </cell>
          <cell r="ED13">
            <v>106</v>
          </cell>
          <cell r="EE13">
            <v>15</v>
          </cell>
          <cell r="EF13">
            <v>481</v>
          </cell>
          <cell r="EG13">
            <v>12</v>
          </cell>
          <cell r="EH13">
            <v>81</v>
          </cell>
          <cell r="EI13">
            <v>135</v>
          </cell>
          <cell r="EJ13">
            <v>43</v>
          </cell>
          <cell r="EK13">
            <v>0</v>
          </cell>
          <cell r="EL13">
            <v>0</v>
          </cell>
          <cell r="EM13">
            <v>0</v>
          </cell>
          <cell r="EN13">
            <v>9</v>
          </cell>
          <cell r="EO13">
            <v>0</v>
          </cell>
          <cell r="EP13">
            <v>0</v>
          </cell>
          <cell r="EQ13">
            <v>15</v>
          </cell>
        </row>
        <row r="14">
          <cell r="B14" t="str">
            <v>E2101</v>
          </cell>
          <cell r="C14" t="str">
            <v>Isle of Wight</v>
          </cell>
          <cell r="D14">
            <v>1</v>
          </cell>
          <cell r="E14">
            <v>1</v>
          </cell>
          <cell r="F14">
            <v>8</v>
          </cell>
          <cell r="G14">
            <v>1</v>
          </cell>
          <cell r="H14">
            <v>0</v>
          </cell>
          <cell r="I14">
            <v>10</v>
          </cell>
          <cell r="J14">
            <v>1</v>
          </cell>
          <cell r="K14">
            <v>1</v>
          </cell>
          <cell r="L14">
            <v>8</v>
          </cell>
          <cell r="M14">
            <v>1</v>
          </cell>
          <cell r="N14">
            <v>0</v>
          </cell>
          <cell r="O14">
            <v>10</v>
          </cell>
          <cell r="P14">
            <v>1</v>
          </cell>
          <cell r="Q14">
            <v>16</v>
          </cell>
          <cell r="R14">
            <v>2</v>
          </cell>
          <cell r="S14">
            <v>2</v>
          </cell>
          <cell r="T14">
            <v>13</v>
          </cell>
          <cell r="U14">
            <v>6</v>
          </cell>
          <cell r="V14">
            <v>39</v>
          </cell>
          <cell r="W14">
            <v>16</v>
          </cell>
          <cell r="X14">
            <v>2</v>
          </cell>
          <cell r="Y14">
            <v>1</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v>3759</v>
          </cell>
          <cell r="AT14">
            <v>717</v>
          </cell>
          <cell r="AU14">
            <v>0</v>
          </cell>
          <cell r="AV14">
            <v>510</v>
          </cell>
          <cell r="AW14">
            <v>43</v>
          </cell>
          <cell r="AX14">
            <v>4</v>
          </cell>
          <cell r="AY14">
            <v>5033</v>
          </cell>
          <cell r="AZ14">
            <v>339</v>
          </cell>
          <cell r="BA14">
            <v>199</v>
          </cell>
          <cell r="BB14">
            <v>661</v>
          </cell>
          <cell r="BC14">
            <v>412</v>
          </cell>
          <cell r="BD14">
            <v>200</v>
          </cell>
          <cell r="BE14">
            <v>248</v>
          </cell>
          <cell r="BF14">
            <v>0</v>
          </cell>
          <cell r="BG14">
            <v>7092</v>
          </cell>
          <cell r="BH14">
            <v>234</v>
          </cell>
          <cell r="BI14">
            <v>0</v>
          </cell>
          <cell r="BJ14">
            <v>366</v>
          </cell>
          <cell r="BK14">
            <v>77</v>
          </cell>
          <cell r="BL14">
            <v>677</v>
          </cell>
          <cell r="BM14">
            <v>6415</v>
          </cell>
          <cell r="BN14">
            <v>692</v>
          </cell>
          <cell r="BO14">
            <v>-234</v>
          </cell>
          <cell r="BP14">
            <v>3690</v>
          </cell>
          <cell r="BQ14">
            <v>836</v>
          </cell>
          <cell r="BR14">
            <v>0</v>
          </cell>
          <cell r="BS14">
            <v>57</v>
          </cell>
          <cell r="BT14">
            <v>3</v>
          </cell>
          <cell r="BU14">
            <v>5122</v>
          </cell>
          <cell r="BV14">
            <v>327</v>
          </cell>
          <cell r="BW14">
            <v>123</v>
          </cell>
          <cell r="BX14">
            <v>634</v>
          </cell>
          <cell r="BY14">
            <v>785</v>
          </cell>
          <cell r="BZ14">
            <v>200</v>
          </cell>
          <cell r="CA14">
            <v>317</v>
          </cell>
          <cell r="CB14">
            <v>0</v>
          </cell>
          <cell r="CC14">
            <v>7508</v>
          </cell>
          <cell r="CD14">
            <v>140</v>
          </cell>
          <cell r="CE14">
            <v>0</v>
          </cell>
          <cell r="CF14">
            <v>218</v>
          </cell>
          <cell r="CG14">
            <v>56</v>
          </cell>
          <cell r="CH14">
            <v>414</v>
          </cell>
          <cell r="CI14">
            <v>7094</v>
          </cell>
          <cell r="CJ14">
            <v>544</v>
          </cell>
          <cell r="CK14">
            <v>74</v>
          </cell>
          <cell r="CL14">
            <v>0</v>
          </cell>
          <cell r="CM14">
            <v>0</v>
          </cell>
          <cell r="CN14">
            <v>23.5</v>
          </cell>
          <cell r="CO14">
            <v>0</v>
          </cell>
          <cell r="CP14">
            <v>0</v>
          </cell>
          <cell r="CQ14">
            <v>0</v>
          </cell>
          <cell r="CR14">
            <v>0</v>
          </cell>
          <cell r="CS14">
            <v>0</v>
          </cell>
          <cell r="CT14">
            <v>0</v>
          </cell>
          <cell r="CU14">
            <v>1609</v>
          </cell>
          <cell r="CV14">
            <v>5522</v>
          </cell>
          <cell r="CW14">
            <v>0</v>
          </cell>
          <cell r="CX14">
            <v>-24</v>
          </cell>
          <cell r="CY14">
            <v>0</v>
          </cell>
          <cell r="CZ14">
            <v>7107</v>
          </cell>
          <cell r="DA14">
            <v>103</v>
          </cell>
          <cell r="DB14">
            <v>309</v>
          </cell>
          <cell r="DC14">
            <v>0</v>
          </cell>
          <cell r="DD14">
            <v>0</v>
          </cell>
          <cell r="DE14">
            <v>0</v>
          </cell>
          <cell r="DF14">
            <v>412</v>
          </cell>
          <cell r="DG14">
            <v>0</v>
          </cell>
          <cell r="DH14">
            <v>0</v>
          </cell>
          <cell r="DI14">
            <v>-342</v>
          </cell>
          <cell r="DJ14">
            <v>0</v>
          </cell>
          <cell r="DK14">
            <v>1583</v>
          </cell>
          <cell r="DL14">
            <v>226</v>
          </cell>
          <cell r="DM14">
            <v>0</v>
          </cell>
          <cell r="DN14">
            <v>1071</v>
          </cell>
          <cell r="DO14">
            <v>418</v>
          </cell>
          <cell r="DP14">
            <v>-408</v>
          </cell>
          <cell r="DQ14">
            <v>0</v>
          </cell>
          <cell r="DR14">
            <v>0</v>
          </cell>
          <cell r="DS14">
            <v>-355</v>
          </cell>
          <cell r="DT14">
            <v>0</v>
          </cell>
          <cell r="DU14">
            <v>1595</v>
          </cell>
          <cell r="DV14">
            <v>57</v>
          </cell>
          <cell r="DW14">
            <v>0</v>
          </cell>
          <cell r="DX14">
            <v>889</v>
          </cell>
          <cell r="DY14">
            <v>432</v>
          </cell>
          <cell r="DZ14">
            <v>110</v>
          </cell>
          <cell r="EA14">
            <v>111</v>
          </cell>
          <cell r="EB14">
            <v>3</v>
          </cell>
          <cell r="EC14">
            <v>0</v>
          </cell>
          <cell r="ED14">
            <v>21</v>
          </cell>
          <cell r="EE14">
            <v>3</v>
          </cell>
          <cell r="EF14">
            <v>78</v>
          </cell>
          <cell r="EG14">
            <v>15</v>
          </cell>
          <cell r="EH14">
            <v>0</v>
          </cell>
          <cell r="EI14">
            <v>3</v>
          </cell>
          <cell r="EJ14">
            <v>4</v>
          </cell>
          <cell r="EK14">
            <v>0</v>
          </cell>
          <cell r="EL14">
            <v>106</v>
          </cell>
          <cell r="EM14">
            <v>0</v>
          </cell>
          <cell r="EN14">
            <v>32</v>
          </cell>
          <cell r="EO14">
            <v>106</v>
          </cell>
          <cell r="EP14">
            <v>0</v>
          </cell>
          <cell r="EQ14">
            <v>32</v>
          </cell>
        </row>
        <row r="15">
          <cell r="B15" t="str">
            <v>E2520</v>
          </cell>
          <cell r="C15" t="str">
            <v>Lincolnshire</v>
          </cell>
          <cell r="D15">
            <v>1</v>
          </cell>
          <cell r="E15">
            <v>0</v>
          </cell>
          <cell r="F15">
            <v>29</v>
          </cell>
          <cell r="G15">
            <v>9</v>
          </cell>
          <cell r="H15">
            <v>0</v>
          </cell>
          <cell r="I15">
            <v>38</v>
          </cell>
          <cell r="J15">
            <v>4</v>
          </cell>
          <cell r="K15">
            <v>0</v>
          </cell>
          <cell r="L15">
            <v>29</v>
          </cell>
          <cell r="M15">
            <v>9</v>
          </cell>
          <cell r="N15">
            <v>0</v>
          </cell>
          <cell r="O15">
            <v>38</v>
          </cell>
          <cell r="P15">
            <v>5</v>
          </cell>
          <cell r="Q15">
            <v>48</v>
          </cell>
          <cell r="R15">
            <v>2</v>
          </cell>
          <cell r="S15">
            <v>37</v>
          </cell>
          <cell r="T15">
            <v>48</v>
          </cell>
          <cell r="U15">
            <v>7</v>
          </cell>
          <cell r="V15">
            <v>142</v>
          </cell>
          <cell r="W15">
            <v>45</v>
          </cell>
          <cell r="X15">
            <v>5</v>
          </cell>
          <cell r="Y15">
            <v>3</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v>10207</v>
          </cell>
          <cell r="AT15">
            <v>4539</v>
          </cell>
          <cell r="AU15">
            <v>690</v>
          </cell>
          <cell r="AV15">
            <v>1535</v>
          </cell>
          <cell r="AW15">
            <v>472</v>
          </cell>
          <cell r="AX15">
            <v>-1</v>
          </cell>
          <cell r="AY15">
            <v>17442</v>
          </cell>
          <cell r="AZ15">
            <v>1305</v>
          </cell>
          <cell r="BA15">
            <v>1340</v>
          </cell>
          <cell r="BB15">
            <v>1903</v>
          </cell>
          <cell r="BC15">
            <v>3396</v>
          </cell>
          <cell r="BD15">
            <v>0</v>
          </cell>
          <cell r="BE15">
            <v>0</v>
          </cell>
          <cell r="BF15">
            <v>0</v>
          </cell>
          <cell r="BG15">
            <v>25386</v>
          </cell>
          <cell r="BH15">
            <v>1401</v>
          </cell>
          <cell r="BI15">
            <v>0</v>
          </cell>
          <cell r="BJ15">
            <v>0</v>
          </cell>
          <cell r="BK15">
            <v>1193</v>
          </cell>
          <cell r="BL15">
            <v>2594</v>
          </cell>
          <cell r="BM15">
            <v>22792</v>
          </cell>
          <cell r="BN15">
            <v>3611</v>
          </cell>
          <cell r="BO15">
            <v>2650</v>
          </cell>
          <cell r="BP15">
            <v>10115</v>
          </cell>
          <cell r="BQ15">
            <v>4332</v>
          </cell>
          <cell r="BR15">
            <v>684</v>
          </cell>
          <cell r="BS15">
            <v>444</v>
          </cell>
          <cell r="BT15">
            <v>212</v>
          </cell>
          <cell r="BU15">
            <v>17351</v>
          </cell>
          <cell r="BV15">
            <v>1190</v>
          </cell>
          <cell r="BW15">
            <v>1188</v>
          </cell>
          <cell r="BX15">
            <v>1777</v>
          </cell>
          <cell r="BY15">
            <v>3546</v>
          </cell>
          <cell r="BZ15">
            <v>0</v>
          </cell>
          <cell r="CA15">
            <v>0</v>
          </cell>
          <cell r="CB15">
            <v>0</v>
          </cell>
          <cell r="CC15">
            <v>25052</v>
          </cell>
          <cell r="CD15">
            <v>1174</v>
          </cell>
          <cell r="CE15">
            <v>0</v>
          </cell>
          <cell r="CF15">
            <v>0</v>
          </cell>
          <cell r="CG15">
            <v>1242</v>
          </cell>
          <cell r="CH15">
            <v>2416</v>
          </cell>
          <cell r="CI15">
            <v>22636</v>
          </cell>
          <cell r="CJ15">
            <v>3611</v>
          </cell>
          <cell r="CK15">
            <v>2650</v>
          </cell>
          <cell r="CL15" t="str">
            <v>..</v>
          </cell>
          <cell r="CM15">
            <v>50</v>
          </cell>
          <cell r="CN15">
            <v>16.227698185291306</v>
          </cell>
          <cell r="CO15" t="str">
            <v>..</v>
          </cell>
          <cell r="CP15">
            <v>0</v>
          </cell>
          <cell r="CQ15">
            <v>0</v>
          </cell>
          <cell r="CR15">
            <v>0</v>
          </cell>
          <cell r="CS15">
            <v>0</v>
          </cell>
          <cell r="CT15">
            <v>0</v>
          </cell>
          <cell r="CU15">
            <v>1149</v>
          </cell>
          <cell r="CV15">
            <v>25254</v>
          </cell>
          <cell r="CW15">
            <v>0</v>
          </cell>
          <cell r="CX15">
            <v>0</v>
          </cell>
          <cell r="CY15">
            <v>0</v>
          </cell>
          <cell r="CZ15">
            <v>26403</v>
          </cell>
          <cell r="DA15">
            <v>0</v>
          </cell>
          <cell r="DB15">
            <v>0</v>
          </cell>
          <cell r="DC15">
            <v>0</v>
          </cell>
          <cell r="DD15">
            <v>0</v>
          </cell>
          <cell r="DE15">
            <v>0</v>
          </cell>
          <cell r="DF15">
            <v>0</v>
          </cell>
          <cell r="DG15">
            <v>0</v>
          </cell>
          <cell r="DH15">
            <v>-3</v>
          </cell>
          <cell r="DI15">
            <v>-1392</v>
          </cell>
          <cell r="DJ15">
            <v>-97</v>
          </cell>
          <cell r="DK15">
            <v>4896</v>
          </cell>
          <cell r="DL15">
            <v>1000</v>
          </cell>
          <cell r="DM15">
            <v>0</v>
          </cell>
          <cell r="DN15">
            <v>2693</v>
          </cell>
          <cell r="DO15">
            <v>0</v>
          </cell>
          <cell r="DP15">
            <v>-1652</v>
          </cell>
          <cell r="DQ15">
            <v>0</v>
          </cell>
          <cell r="DR15">
            <v>0</v>
          </cell>
          <cell r="DS15">
            <v>-1355</v>
          </cell>
          <cell r="DT15">
            <v>-35</v>
          </cell>
          <cell r="DU15">
            <v>5435</v>
          </cell>
          <cell r="DV15">
            <v>1604</v>
          </cell>
          <cell r="DW15">
            <v>0</v>
          </cell>
          <cell r="DX15">
            <v>3997</v>
          </cell>
          <cell r="DY15">
            <v>0</v>
          </cell>
          <cell r="DZ15">
            <v>322</v>
          </cell>
          <cell r="EA15">
            <v>322</v>
          </cell>
          <cell r="EB15">
            <v>10</v>
          </cell>
          <cell r="EC15">
            <v>0</v>
          </cell>
          <cell r="ED15">
            <v>59</v>
          </cell>
          <cell r="EE15">
            <v>31</v>
          </cell>
          <cell r="EF15">
            <v>484</v>
          </cell>
          <cell r="EG15">
            <v>33</v>
          </cell>
          <cell r="EH15">
            <v>21</v>
          </cell>
          <cell r="EI15">
            <v>321</v>
          </cell>
          <cell r="EJ15">
            <v>14</v>
          </cell>
          <cell r="EK15">
            <v>113</v>
          </cell>
          <cell r="EL15">
            <v>150</v>
          </cell>
          <cell r="EM15">
            <v>0</v>
          </cell>
          <cell r="EN15">
            <v>0</v>
          </cell>
          <cell r="EO15">
            <v>150</v>
          </cell>
          <cell r="EP15">
            <v>0</v>
          </cell>
          <cell r="EQ15">
            <v>0</v>
          </cell>
        </row>
        <row r="16">
          <cell r="B16" t="str">
            <v>E2620</v>
          </cell>
          <cell r="C16" t="str">
            <v>Norfolk</v>
          </cell>
          <cell r="D16">
            <v>1</v>
          </cell>
          <cell r="E16">
            <v>3</v>
          </cell>
          <cell r="F16">
            <v>34</v>
          </cell>
          <cell r="G16">
            <v>5</v>
          </cell>
          <cell r="H16">
            <v>0</v>
          </cell>
          <cell r="I16">
            <v>42</v>
          </cell>
          <cell r="J16">
            <v>11</v>
          </cell>
          <cell r="K16">
            <v>3</v>
          </cell>
          <cell r="L16">
            <v>34</v>
          </cell>
          <cell r="M16">
            <v>5</v>
          </cell>
          <cell r="N16">
            <v>0</v>
          </cell>
          <cell r="O16">
            <v>42</v>
          </cell>
          <cell r="P16">
            <v>15</v>
          </cell>
          <cell r="Q16">
            <v>53</v>
          </cell>
          <cell r="R16">
            <v>3</v>
          </cell>
          <cell r="S16">
            <v>15</v>
          </cell>
          <cell r="T16">
            <v>46</v>
          </cell>
          <cell r="U16">
            <v>13</v>
          </cell>
          <cell r="V16">
            <v>130</v>
          </cell>
          <cell r="W16">
            <v>44</v>
          </cell>
          <cell r="X16">
            <v>4</v>
          </cell>
          <cell r="Y16">
            <v>5</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v>12785</v>
          </cell>
          <cell r="AT16">
            <v>4540</v>
          </cell>
          <cell r="AU16">
            <v>804</v>
          </cell>
          <cell r="AV16">
            <v>2263</v>
          </cell>
          <cell r="AW16">
            <v>340</v>
          </cell>
          <cell r="AX16">
            <v>1605</v>
          </cell>
          <cell r="AY16">
            <v>22337</v>
          </cell>
          <cell r="AZ16">
            <v>1476</v>
          </cell>
          <cell r="BA16">
            <v>1605</v>
          </cell>
          <cell r="BB16">
            <v>2752</v>
          </cell>
          <cell r="BC16">
            <v>1322</v>
          </cell>
          <cell r="BD16">
            <v>0</v>
          </cell>
          <cell r="BE16">
            <v>0</v>
          </cell>
          <cell r="BF16">
            <v>0</v>
          </cell>
          <cell r="BG16">
            <v>29492</v>
          </cell>
          <cell r="BH16">
            <v>1136</v>
          </cell>
          <cell r="BI16">
            <v>0</v>
          </cell>
          <cell r="BJ16">
            <v>0</v>
          </cell>
          <cell r="BK16">
            <v>1308</v>
          </cell>
          <cell r="BL16">
            <v>2444</v>
          </cell>
          <cell r="BM16">
            <v>27048</v>
          </cell>
          <cell r="BN16">
            <v>1605</v>
          </cell>
          <cell r="BO16">
            <v>2</v>
          </cell>
          <cell r="BP16">
            <v>12508</v>
          </cell>
          <cell r="BQ16">
            <v>4829</v>
          </cell>
          <cell r="BR16">
            <v>866</v>
          </cell>
          <cell r="BS16">
            <v>261</v>
          </cell>
          <cell r="BT16">
            <v>1513</v>
          </cell>
          <cell r="BU16">
            <v>22442</v>
          </cell>
          <cell r="BV16">
            <v>1460</v>
          </cell>
          <cell r="BW16">
            <v>1261</v>
          </cell>
          <cell r="BX16">
            <v>3026</v>
          </cell>
          <cell r="BY16">
            <v>1301</v>
          </cell>
          <cell r="BZ16">
            <v>0</v>
          </cell>
          <cell r="CA16">
            <v>0</v>
          </cell>
          <cell r="CB16">
            <v>0</v>
          </cell>
          <cell r="CC16">
            <v>29490</v>
          </cell>
          <cell r="CD16">
            <v>1131</v>
          </cell>
          <cell r="CE16">
            <v>0</v>
          </cell>
          <cell r="CF16">
            <v>0</v>
          </cell>
          <cell r="CG16">
            <v>987</v>
          </cell>
          <cell r="CH16">
            <v>2118</v>
          </cell>
          <cell r="CI16">
            <v>27372</v>
          </cell>
          <cell r="CJ16">
            <v>2152</v>
          </cell>
          <cell r="CK16">
            <v>2</v>
          </cell>
          <cell r="CL16">
            <v>0</v>
          </cell>
          <cell r="CM16">
            <v>0</v>
          </cell>
          <cell r="CN16">
            <v>15.276177566926465</v>
          </cell>
          <cell r="CO16" t="str">
            <v>..</v>
          </cell>
          <cell r="CP16">
            <v>0</v>
          </cell>
          <cell r="CQ16">
            <v>0</v>
          </cell>
          <cell r="CR16">
            <v>0</v>
          </cell>
          <cell r="CS16">
            <v>0</v>
          </cell>
          <cell r="CT16">
            <v>0</v>
          </cell>
          <cell r="CU16">
            <v>1197</v>
          </cell>
          <cell r="CV16">
            <v>25817</v>
          </cell>
          <cell r="CW16">
            <v>358</v>
          </cell>
          <cell r="CX16">
            <v>1281</v>
          </cell>
          <cell r="CY16">
            <v>0</v>
          </cell>
          <cell r="CZ16">
            <v>28653</v>
          </cell>
          <cell r="DA16">
            <v>262</v>
          </cell>
          <cell r="DB16">
            <v>6814</v>
          </cell>
          <cell r="DC16">
            <v>94</v>
          </cell>
          <cell r="DD16">
            <v>1281</v>
          </cell>
          <cell r="DE16">
            <v>0</v>
          </cell>
          <cell r="DF16">
            <v>8451</v>
          </cell>
          <cell r="DG16">
            <v>-202</v>
          </cell>
          <cell r="DH16">
            <v>0</v>
          </cell>
          <cell r="DI16">
            <v>-1521</v>
          </cell>
          <cell r="DJ16">
            <v>0</v>
          </cell>
          <cell r="DK16">
            <v>6715</v>
          </cell>
          <cell r="DL16">
            <v>2220</v>
          </cell>
          <cell r="DM16">
            <v>0</v>
          </cell>
          <cell r="DN16">
            <v>5345</v>
          </cell>
          <cell r="DO16">
            <v>2</v>
          </cell>
          <cell r="DP16">
            <v>-1822</v>
          </cell>
          <cell r="DQ16">
            <v>-138</v>
          </cell>
          <cell r="DR16">
            <v>0</v>
          </cell>
          <cell r="DS16">
            <v>-1514</v>
          </cell>
          <cell r="DT16">
            <v>0</v>
          </cell>
          <cell r="DU16">
            <v>6857</v>
          </cell>
          <cell r="DV16">
            <v>602</v>
          </cell>
          <cell r="DW16">
            <v>0</v>
          </cell>
          <cell r="DX16">
            <v>3985</v>
          </cell>
          <cell r="DY16">
            <v>1</v>
          </cell>
          <cell r="DZ16">
            <v>524</v>
          </cell>
          <cell r="EA16">
            <v>534</v>
          </cell>
          <cell r="EB16">
            <v>17</v>
          </cell>
          <cell r="EC16">
            <v>2</v>
          </cell>
          <cell r="ED16">
            <v>70</v>
          </cell>
          <cell r="EE16">
            <v>22</v>
          </cell>
          <cell r="EF16">
            <v>479</v>
          </cell>
          <cell r="EG16">
            <v>8</v>
          </cell>
          <cell r="EH16">
            <v>51</v>
          </cell>
          <cell r="EI16">
            <v>146</v>
          </cell>
          <cell r="EJ16">
            <v>49</v>
          </cell>
          <cell r="EK16">
            <v>11</v>
          </cell>
          <cell r="EL16">
            <v>1563</v>
          </cell>
          <cell r="EM16">
            <v>0</v>
          </cell>
          <cell r="EN16">
            <v>48</v>
          </cell>
          <cell r="EO16">
            <v>1160</v>
          </cell>
          <cell r="EP16">
            <v>0</v>
          </cell>
          <cell r="EQ16">
            <v>48</v>
          </cell>
        </row>
        <row r="17">
          <cell r="B17" t="str">
            <v>E2820</v>
          </cell>
          <cell r="C17" t="str">
            <v>Northamptonshire</v>
          </cell>
          <cell r="D17">
            <v>1</v>
          </cell>
          <cell r="E17">
            <v>3</v>
          </cell>
          <cell r="F17">
            <v>14</v>
          </cell>
          <cell r="G17">
            <v>5</v>
          </cell>
          <cell r="H17">
            <v>0</v>
          </cell>
          <cell r="I17">
            <v>22</v>
          </cell>
          <cell r="J17">
            <v>3</v>
          </cell>
          <cell r="K17">
            <v>3</v>
          </cell>
          <cell r="L17">
            <v>14</v>
          </cell>
          <cell r="M17">
            <v>5</v>
          </cell>
          <cell r="N17">
            <v>0</v>
          </cell>
          <cell r="O17">
            <v>22</v>
          </cell>
          <cell r="P17">
            <v>3</v>
          </cell>
          <cell r="Q17">
            <v>26</v>
          </cell>
          <cell r="R17">
            <v>2</v>
          </cell>
          <cell r="S17">
            <v>28</v>
          </cell>
          <cell r="T17">
            <v>36</v>
          </cell>
          <cell r="U17">
            <v>6</v>
          </cell>
          <cell r="V17">
            <v>98</v>
          </cell>
          <cell r="W17">
            <v>50</v>
          </cell>
          <cell r="X17">
            <v>4</v>
          </cell>
          <cell r="Y17">
            <v>3</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v>12235</v>
          </cell>
          <cell r="AT17">
            <v>1705</v>
          </cell>
          <cell r="AU17">
            <v>783</v>
          </cell>
          <cell r="AV17">
            <v>2023</v>
          </cell>
          <cell r="AW17">
            <v>564</v>
          </cell>
          <cell r="AX17">
            <v>54</v>
          </cell>
          <cell r="AY17">
            <v>17364</v>
          </cell>
          <cell r="AZ17">
            <v>1070</v>
          </cell>
          <cell r="BA17">
            <v>635</v>
          </cell>
          <cell r="BB17">
            <v>3036</v>
          </cell>
          <cell r="BC17">
            <v>2263</v>
          </cell>
          <cell r="BD17">
            <v>0</v>
          </cell>
          <cell r="BE17">
            <v>0</v>
          </cell>
          <cell r="BF17">
            <v>0</v>
          </cell>
          <cell r="BG17">
            <v>24368</v>
          </cell>
          <cell r="BH17">
            <v>439</v>
          </cell>
          <cell r="BI17">
            <v>0</v>
          </cell>
          <cell r="BJ17">
            <v>0</v>
          </cell>
          <cell r="BK17">
            <v>392</v>
          </cell>
          <cell r="BL17">
            <v>831</v>
          </cell>
          <cell r="BM17">
            <v>23537</v>
          </cell>
          <cell r="BN17">
            <v>2292</v>
          </cell>
          <cell r="BO17">
            <v>-1938</v>
          </cell>
          <cell r="BP17">
            <v>11832</v>
          </cell>
          <cell r="BQ17">
            <v>1905</v>
          </cell>
          <cell r="BR17">
            <v>678</v>
          </cell>
          <cell r="BS17">
            <v>367</v>
          </cell>
          <cell r="BT17">
            <v>133</v>
          </cell>
          <cell r="BU17">
            <v>17173</v>
          </cell>
          <cell r="BV17">
            <v>1036</v>
          </cell>
          <cell r="BW17">
            <v>681</v>
          </cell>
          <cell r="BX17">
            <v>2917</v>
          </cell>
          <cell r="BY17">
            <v>2263</v>
          </cell>
          <cell r="BZ17">
            <v>0</v>
          </cell>
          <cell r="CA17">
            <v>0</v>
          </cell>
          <cell r="CB17">
            <v>0</v>
          </cell>
          <cell r="CC17">
            <v>24070</v>
          </cell>
          <cell r="CD17">
            <v>647</v>
          </cell>
          <cell r="CE17">
            <v>0</v>
          </cell>
          <cell r="CF17">
            <v>0</v>
          </cell>
          <cell r="CG17">
            <v>349</v>
          </cell>
          <cell r="CH17">
            <v>996</v>
          </cell>
          <cell r="CI17">
            <v>23074</v>
          </cell>
          <cell r="CJ17">
            <v>2292</v>
          </cell>
          <cell r="CK17">
            <v>-1938</v>
          </cell>
          <cell r="CL17">
            <v>0</v>
          </cell>
          <cell r="CM17">
            <v>26</v>
          </cell>
          <cell r="CN17">
            <v>16.2</v>
          </cell>
          <cell r="CO17">
            <v>5791</v>
          </cell>
          <cell r="CP17">
            <v>0</v>
          </cell>
          <cell r="CQ17">
            <v>0</v>
          </cell>
          <cell r="CR17">
            <v>0</v>
          </cell>
          <cell r="CS17">
            <v>0</v>
          </cell>
          <cell r="CT17">
            <v>0</v>
          </cell>
          <cell r="CU17">
            <v>2235</v>
          </cell>
          <cell r="CV17">
            <v>17504</v>
          </cell>
          <cell r="CW17">
            <v>25</v>
          </cell>
          <cell r="CX17">
            <v>0</v>
          </cell>
          <cell r="CY17">
            <v>6065</v>
          </cell>
          <cell r="CZ17">
            <v>25829</v>
          </cell>
          <cell r="DA17">
            <v>196</v>
          </cell>
          <cell r="DB17">
            <v>1534</v>
          </cell>
          <cell r="DC17">
            <v>2</v>
          </cell>
          <cell r="DD17">
            <v>0</v>
          </cell>
          <cell r="DE17">
            <v>531</v>
          </cell>
          <cell r="DF17">
            <v>2263</v>
          </cell>
          <cell r="DG17">
            <v>0</v>
          </cell>
          <cell r="DH17">
            <v>0</v>
          </cell>
          <cell r="DI17">
            <v>-1091.40887</v>
          </cell>
          <cell r="DJ17">
            <v>0</v>
          </cell>
          <cell r="DK17">
            <v>6463.0618899999999</v>
          </cell>
          <cell r="DL17">
            <v>1712.74449</v>
          </cell>
          <cell r="DM17">
            <v>0</v>
          </cell>
          <cell r="DN17">
            <v>5724.1994400000003</v>
          </cell>
          <cell r="DO17">
            <v>0</v>
          </cell>
          <cell r="DP17">
            <v>-1417.29915231313</v>
          </cell>
          <cell r="DQ17">
            <v>0</v>
          </cell>
          <cell r="DR17">
            <v>0</v>
          </cell>
          <cell r="DS17">
            <v>-1056.5530564745</v>
          </cell>
          <cell r="DT17">
            <v>0</v>
          </cell>
          <cell r="DU17">
            <v>6331.0770000000002</v>
          </cell>
          <cell r="DV17">
            <v>2135.4560000000001</v>
          </cell>
          <cell r="DW17">
            <v>0</v>
          </cell>
          <cell r="DX17">
            <v>5992.6807912123704</v>
          </cell>
          <cell r="DY17">
            <v>0</v>
          </cell>
          <cell r="DZ17">
            <v>391</v>
          </cell>
          <cell r="EA17">
            <v>409</v>
          </cell>
          <cell r="EB17">
            <v>18</v>
          </cell>
          <cell r="EC17">
            <v>0</v>
          </cell>
          <cell r="ED17">
            <v>70</v>
          </cell>
          <cell r="EE17">
            <v>62</v>
          </cell>
          <cell r="EF17">
            <v>245</v>
          </cell>
          <cell r="EG17">
            <v>0</v>
          </cell>
          <cell r="EH17">
            <v>24</v>
          </cell>
          <cell r="EI17">
            <v>76</v>
          </cell>
          <cell r="EJ17">
            <v>91</v>
          </cell>
          <cell r="EK17">
            <v>7</v>
          </cell>
          <cell r="EL17">
            <v>0</v>
          </cell>
          <cell r="EM17">
            <v>0</v>
          </cell>
          <cell r="EN17">
            <v>0</v>
          </cell>
          <cell r="EO17">
            <v>0</v>
          </cell>
          <cell r="EP17">
            <v>0</v>
          </cell>
          <cell r="EQ17">
            <v>0</v>
          </cell>
        </row>
        <row r="18">
          <cell r="B18" t="str">
            <v>E2901</v>
          </cell>
          <cell r="C18" t="str">
            <v>Northumberland</v>
          </cell>
          <cell r="D18">
            <v>1</v>
          </cell>
          <cell r="E18">
            <v>1</v>
          </cell>
          <cell r="F18">
            <v>11</v>
          </cell>
          <cell r="G18">
            <v>3</v>
          </cell>
          <cell r="H18">
            <v>0</v>
          </cell>
          <cell r="I18">
            <v>15</v>
          </cell>
          <cell r="J18">
            <v>7</v>
          </cell>
          <cell r="K18">
            <v>1</v>
          </cell>
          <cell r="L18">
            <v>11</v>
          </cell>
          <cell r="M18">
            <v>3</v>
          </cell>
          <cell r="N18">
            <v>0</v>
          </cell>
          <cell r="O18">
            <v>15</v>
          </cell>
          <cell r="P18">
            <v>7</v>
          </cell>
          <cell r="Q18">
            <v>22</v>
          </cell>
          <cell r="R18">
            <v>0</v>
          </cell>
          <cell r="S18">
            <v>11</v>
          </cell>
          <cell r="T18">
            <v>18</v>
          </cell>
          <cell r="U18">
            <v>3</v>
          </cell>
          <cell r="V18">
            <v>54</v>
          </cell>
          <cell r="W18">
            <v>21</v>
          </cell>
          <cell r="X18">
            <v>3</v>
          </cell>
          <cell r="Y18">
            <v>3</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v>7111</v>
          </cell>
          <cell r="AT18">
            <v>1397</v>
          </cell>
          <cell r="AU18">
            <v>649</v>
          </cell>
          <cell r="AV18">
            <v>1034</v>
          </cell>
          <cell r="AW18">
            <v>144</v>
          </cell>
          <cell r="AX18">
            <v>82</v>
          </cell>
          <cell r="AY18">
            <v>10417</v>
          </cell>
          <cell r="AZ18">
            <v>1625</v>
          </cell>
          <cell r="BA18">
            <v>223</v>
          </cell>
          <cell r="BB18">
            <v>1469</v>
          </cell>
          <cell r="BC18">
            <v>5</v>
          </cell>
          <cell r="BD18">
            <v>0</v>
          </cell>
          <cell r="BE18">
            <v>389</v>
          </cell>
          <cell r="BF18">
            <v>0</v>
          </cell>
          <cell r="BG18">
            <v>14128</v>
          </cell>
          <cell r="BH18">
            <v>1986</v>
          </cell>
          <cell r="BI18">
            <v>0</v>
          </cell>
          <cell r="BJ18">
            <v>0</v>
          </cell>
          <cell r="BK18">
            <v>960</v>
          </cell>
          <cell r="BL18">
            <v>2946</v>
          </cell>
          <cell r="BM18">
            <v>11182</v>
          </cell>
          <cell r="BN18">
            <v>1552</v>
          </cell>
          <cell r="BO18">
            <v>-2499</v>
          </cell>
          <cell r="BP18">
            <v>7224</v>
          </cell>
          <cell r="BQ18">
            <v>1923</v>
          </cell>
          <cell r="BR18">
            <v>645</v>
          </cell>
          <cell r="BS18">
            <v>171</v>
          </cell>
          <cell r="BT18">
            <v>81</v>
          </cell>
          <cell r="BU18">
            <v>11079</v>
          </cell>
          <cell r="BV18">
            <v>1664</v>
          </cell>
          <cell r="BW18">
            <v>291</v>
          </cell>
          <cell r="BX18">
            <v>1200</v>
          </cell>
          <cell r="BY18">
            <v>0</v>
          </cell>
          <cell r="BZ18">
            <v>0</v>
          </cell>
          <cell r="CA18">
            <v>310</v>
          </cell>
          <cell r="CB18">
            <v>0</v>
          </cell>
          <cell r="CC18">
            <v>14544</v>
          </cell>
          <cell r="CD18">
            <v>1795</v>
          </cell>
          <cell r="CE18">
            <v>0</v>
          </cell>
          <cell r="CF18">
            <v>0</v>
          </cell>
          <cell r="CG18">
            <v>720</v>
          </cell>
          <cell r="CH18">
            <v>2515</v>
          </cell>
          <cell r="CI18">
            <v>12029</v>
          </cell>
          <cell r="CJ18">
            <v>1552</v>
          </cell>
          <cell r="CK18">
            <v>-2499</v>
          </cell>
          <cell r="CL18" t="str">
            <v>..</v>
          </cell>
          <cell r="CM18">
            <v>0</v>
          </cell>
          <cell r="CN18">
            <v>18.5</v>
          </cell>
          <cell r="CO18" t="str">
            <v>..</v>
          </cell>
          <cell r="CP18">
            <v>0</v>
          </cell>
          <cell r="CQ18">
            <v>0</v>
          </cell>
          <cell r="CR18">
            <v>0</v>
          </cell>
          <cell r="CS18">
            <v>0</v>
          </cell>
          <cell r="CT18">
            <v>0</v>
          </cell>
          <cell r="CU18">
            <v>374</v>
          </cell>
          <cell r="CV18">
            <v>12360</v>
          </cell>
          <cell r="CW18">
            <v>0</v>
          </cell>
          <cell r="CX18">
            <v>0</v>
          </cell>
          <cell r="CY18">
            <v>0</v>
          </cell>
          <cell r="CZ18">
            <v>12734</v>
          </cell>
          <cell r="DA18">
            <v>0</v>
          </cell>
          <cell r="DB18">
            <v>0</v>
          </cell>
          <cell r="DC18">
            <v>0</v>
          </cell>
          <cell r="DD18">
            <v>0</v>
          </cell>
          <cell r="DE18">
            <v>0</v>
          </cell>
          <cell r="DF18">
            <v>0</v>
          </cell>
          <cell r="DG18">
            <v>-23</v>
          </cell>
          <cell r="DH18">
            <v>0</v>
          </cell>
          <cell r="DI18">
            <v>-755</v>
          </cell>
          <cell r="DJ18">
            <v>-63</v>
          </cell>
          <cell r="DK18">
            <v>5000</v>
          </cell>
          <cell r="DL18">
            <v>1131</v>
          </cell>
          <cell r="DM18">
            <v>0</v>
          </cell>
          <cell r="DN18">
            <v>4317</v>
          </cell>
          <cell r="DO18">
            <v>153</v>
          </cell>
          <cell r="DP18">
            <v>-885</v>
          </cell>
          <cell r="DQ18">
            <v>0</v>
          </cell>
          <cell r="DR18">
            <v>0</v>
          </cell>
          <cell r="DS18">
            <v>-705</v>
          </cell>
          <cell r="DT18">
            <v>0</v>
          </cell>
          <cell r="DU18">
            <v>5403</v>
          </cell>
          <cell r="DV18">
            <v>720</v>
          </cell>
          <cell r="DW18">
            <v>0</v>
          </cell>
          <cell r="DX18">
            <v>4533</v>
          </cell>
          <cell r="DY18">
            <v>156</v>
          </cell>
          <cell r="DZ18">
            <v>350</v>
          </cell>
          <cell r="EA18">
            <v>361</v>
          </cell>
          <cell r="EB18">
            <v>9</v>
          </cell>
          <cell r="EC18">
            <v>0</v>
          </cell>
          <cell r="ED18">
            <v>47</v>
          </cell>
          <cell r="EE18">
            <v>10</v>
          </cell>
          <cell r="EF18">
            <v>178</v>
          </cell>
          <cell r="EG18">
            <v>12</v>
          </cell>
          <cell r="EH18">
            <v>21</v>
          </cell>
          <cell r="EI18">
            <v>117</v>
          </cell>
          <cell r="EJ18">
            <v>57</v>
          </cell>
          <cell r="EK18">
            <v>18</v>
          </cell>
          <cell r="EL18">
            <v>315</v>
          </cell>
          <cell r="EM18">
            <v>0</v>
          </cell>
          <cell r="EN18">
            <v>0</v>
          </cell>
          <cell r="EO18">
            <v>447</v>
          </cell>
          <cell r="EP18">
            <v>0</v>
          </cell>
          <cell r="EQ18">
            <v>0</v>
          </cell>
        </row>
        <row r="19">
          <cell r="B19" t="str">
            <v>E3120</v>
          </cell>
          <cell r="C19" t="str">
            <v>Oxfordshire</v>
          </cell>
          <cell r="D19">
            <v>1</v>
          </cell>
          <cell r="E19">
            <v>0</v>
          </cell>
          <cell r="F19">
            <v>0</v>
          </cell>
          <cell r="G19">
            <v>24</v>
          </cell>
          <cell r="H19">
            <v>0</v>
          </cell>
          <cell r="I19">
            <v>24</v>
          </cell>
          <cell r="J19">
            <v>0</v>
          </cell>
          <cell r="K19">
            <v>0</v>
          </cell>
          <cell r="L19">
            <v>0</v>
          </cell>
          <cell r="M19">
            <v>25</v>
          </cell>
          <cell r="N19">
            <v>0</v>
          </cell>
          <cell r="O19">
            <v>25</v>
          </cell>
          <cell r="P19">
            <v>0</v>
          </cell>
          <cell r="Q19">
            <v>35</v>
          </cell>
          <cell r="R19">
            <v>2</v>
          </cell>
          <cell r="S19">
            <v>5</v>
          </cell>
          <cell r="T19">
            <v>35</v>
          </cell>
          <cell r="U19">
            <v>4</v>
          </cell>
          <cell r="V19">
            <v>81</v>
          </cell>
          <cell r="W19">
            <v>90</v>
          </cell>
          <cell r="X19">
            <v>5</v>
          </cell>
          <cell r="Y19">
            <v>4</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v>11407</v>
          </cell>
          <cell r="AT19">
            <v>3461</v>
          </cell>
          <cell r="AU19">
            <v>0</v>
          </cell>
          <cell r="AV19">
            <v>1868</v>
          </cell>
          <cell r="AW19">
            <v>385</v>
          </cell>
          <cell r="AX19">
            <v>110</v>
          </cell>
          <cell r="AY19">
            <v>17231</v>
          </cell>
          <cell r="AZ19">
            <v>201</v>
          </cell>
          <cell r="BA19">
            <v>1152</v>
          </cell>
          <cell r="BB19">
            <v>2152</v>
          </cell>
          <cell r="BC19">
            <v>2435</v>
          </cell>
          <cell r="BD19">
            <v>569</v>
          </cell>
          <cell r="BE19">
            <v>35</v>
          </cell>
          <cell r="BF19">
            <v>881</v>
          </cell>
          <cell r="BG19">
            <v>24656</v>
          </cell>
          <cell r="BH19">
            <v>121</v>
          </cell>
          <cell r="BI19">
            <v>32</v>
          </cell>
          <cell r="BJ19">
            <v>0</v>
          </cell>
          <cell r="BK19">
            <v>871</v>
          </cell>
          <cell r="BL19">
            <v>1024</v>
          </cell>
          <cell r="BM19">
            <v>23632</v>
          </cell>
          <cell r="BN19">
            <v>117</v>
          </cell>
          <cell r="BO19">
            <v>5325</v>
          </cell>
          <cell r="BP19">
            <v>11535</v>
          </cell>
          <cell r="BQ19">
            <v>3659</v>
          </cell>
          <cell r="BR19">
            <v>0</v>
          </cell>
          <cell r="BS19">
            <v>543</v>
          </cell>
          <cell r="BT19">
            <v>149</v>
          </cell>
          <cell r="BU19">
            <v>18540</v>
          </cell>
          <cell r="BV19">
            <v>187</v>
          </cell>
          <cell r="BW19">
            <v>1217</v>
          </cell>
          <cell r="BX19">
            <v>1995</v>
          </cell>
          <cell r="BY19">
            <v>2082</v>
          </cell>
          <cell r="BZ19">
            <v>642</v>
          </cell>
          <cell r="CA19">
            <v>0</v>
          </cell>
          <cell r="CB19">
            <v>114</v>
          </cell>
          <cell r="CC19">
            <v>24777</v>
          </cell>
          <cell r="CD19">
            <v>0</v>
          </cell>
          <cell r="CE19">
            <v>22</v>
          </cell>
          <cell r="CF19">
            <v>0</v>
          </cell>
          <cell r="CG19">
            <v>823</v>
          </cell>
          <cell r="CH19">
            <v>845</v>
          </cell>
          <cell r="CI19">
            <v>23932</v>
          </cell>
          <cell r="CJ19">
            <v>118.48527420446851</v>
          </cell>
          <cell r="CK19">
            <v>5392.599018280298</v>
          </cell>
          <cell r="CL19" t="str">
            <v>..</v>
          </cell>
          <cell r="CM19">
            <v>4</v>
          </cell>
          <cell r="CN19">
            <v>19.899999999999999</v>
          </cell>
          <cell r="CO19" t="str">
            <v>..</v>
          </cell>
          <cell r="CP19">
            <v>0</v>
          </cell>
          <cell r="CQ19">
            <v>0</v>
          </cell>
          <cell r="CR19">
            <v>0</v>
          </cell>
          <cell r="CS19">
            <v>0</v>
          </cell>
          <cell r="CT19">
            <v>0</v>
          </cell>
          <cell r="CU19">
            <v>1000</v>
          </cell>
          <cell r="CV19">
            <v>22749</v>
          </cell>
          <cell r="CW19">
            <v>0</v>
          </cell>
          <cell r="CX19">
            <v>0</v>
          </cell>
          <cell r="CY19">
            <v>0</v>
          </cell>
          <cell r="CZ19">
            <v>23749</v>
          </cell>
          <cell r="DA19">
            <v>0</v>
          </cell>
          <cell r="DB19">
            <v>2333</v>
          </cell>
          <cell r="DC19">
            <v>0</v>
          </cell>
          <cell r="DD19">
            <v>0</v>
          </cell>
          <cell r="DE19">
            <v>0</v>
          </cell>
          <cell r="DF19">
            <v>2333</v>
          </cell>
          <cell r="DG19">
            <v>-59</v>
          </cell>
          <cell r="DH19">
            <v>84</v>
          </cell>
          <cell r="DI19">
            <v>-1351</v>
          </cell>
          <cell r="DJ19">
            <v>-1</v>
          </cell>
          <cell r="DK19">
            <v>5211</v>
          </cell>
          <cell r="DL19">
            <v>1282</v>
          </cell>
          <cell r="DM19">
            <v>28</v>
          </cell>
          <cell r="DN19">
            <v>3595</v>
          </cell>
          <cell r="DO19">
            <v>275</v>
          </cell>
          <cell r="DP19">
            <v>-1502.4825294660211</v>
          </cell>
          <cell r="DQ19">
            <v>-55.438692456845054</v>
          </cell>
          <cell r="DR19">
            <v>0</v>
          </cell>
          <cell r="DS19">
            <v>-1269.4520933762317</v>
          </cell>
          <cell r="DT19">
            <v>-0.93963885520076373</v>
          </cell>
          <cell r="DU19">
            <v>4896.4580744511795</v>
          </cell>
          <cell r="DV19">
            <v>1283.5466762042433</v>
          </cell>
          <cell r="DW19">
            <v>26.309887945621384</v>
          </cell>
          <cell r="DX19">
            <v>3378.0016844467455</v>
          </cell>
          <cell r="DY19">
            <v>345</v>
          </cell>
          <cell r="DZ19">
            <v>362</v>
          </cell>
          <cell r="EA19">
            <v>370</v>
          </cell>
          <cell r="EB19">
            <v>6</v>
          </cell>
          <cell r="EC19">
            <v>1</v>
          </cell>
          <cell r="ED19">
            <v>36</v>
          </cell>
          <cell r="EE19">
            <v>15</v>
          </cell>
          <cell r="EF19">
            <v>456</v>
          </cell>
          <cell r="EG19">
            <v>15</v>
          </cell>
          <cell r="EH19">
            <v>43</v>
          </cell>
          <cell r="EI19">
            <v>352</v>
          </cell>
          <cell r="EJ19">
            <v>123</v>
          </cell>
          <cell r="EK19">
            <v>23</v>
          </cell>
          <cell r="EL19">
            <v>3778</v>
          </cell>
          <cell r="EM19">
            <v>0</v>
          </cell>
          <cell r="EN19">
            <v>0</v>
          </cell>
          <cell r="EO19">
            <v>2746</v>
          </cell>
          <cell r="EP19">
            <v>0</v>
          </cell>
          <cell r="EQ19">
            <v>0</v>
          </cell>
        </row>
        <row r="20">
          <cell r="B20" t="str">
            <v>E3520</v>
          </cell>
          <cell r="C20" t="str">
            <v>Suffolk</v>
          </cell>
          <cell r="D20">
            <v>1</v>
          </cell>
          <cell r="E20">
            <v>0</v>
          </cell>
          <cell r="F20">
            <v>29</v>
          </cell>
          <cell r="G20">
            <v>6</v>
          </cell>
          <cell r="H20">
            <v>0</v>
          </cell>
          <cell r="I20">
            <v>35</v>
          </cell>
          <cell r="J20">
            <v>14</v>
          </cell>
          <cell r="K20">
            <v>0</v>
          </cell>
          <cell r="L20">
            <v>29</v>
          </cell>
          <cell r="M20">
            <v>6</v>
          </cell>
          <cell r="N20">
            <v>0</v>
          </cell>
          <cell r="O20">
            <v>35</v>
          </cell>
          <cell r="P20">
            <v>16</v>
          </cell>
          <cell r="Q20">
            <v>37</v>
          </cell>
          <cell r="R20">
            <v>2</v>
          </cell>
          <cell r="S20">
            <v>19</v>
          </cell>
          <cell r="T20">
            <v>31</v>
          </cell>
          <cell r="U20">
            <v>2</v>
          </cell>
          <cell r="V20">
            <v>91</v>
          </cell>
          <cell r="W20">
            <v>64</v>
          </cell>
          <cell r="X20">
            <v>3</v>
          </cell>
          <cell r="Y20">
            <v>3</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v>9702</v>
          </cell>
          <cell r="AT20">
            <v>3717</v>
          </cell>
          <cell r="AU20">
            <v>0</v>
          </cell>
          <cell r="AV20">
            <v>1939</v>
          </cell>
          <cell r="AW20">
            <v>221</v>
          </cell>
          <cell r="AX20">
            <v>103</v>
          </cell>
          <cell r="AY20">
            <v>15682</v>
          </cell>
          <cell r="AZ20">
            <v>1108</v>
          </cell>
          <cell r="BA20">
            <v>1543</v>
          </cell>
          <cell r="BB20">
            <v>5493</v>
          </cell>
          <cell r="BC20">
            <v>2297</v>
          </cell>
          <cell r="BD20">
            <v>819</v>
          </cell>
          <cell r="BE20">
            <v>0</v>
          </cell>
          <cell r="BF20">
            <v>0</v>
          </cell>
          <cell r="BG20">
            <v>26942</v>
          </cell>
          <cell r="BH20">
            <v>2539</v>
          </cell>
          <cell r="BI20">
            <v>0</v>
          </cell>
          <cell r="BJ20">
            <v>137</v>
          </cell>
          <cell r="BK20">
            <v>340</v>
          </cell>
          <cell r="BL20">
            <v>3016</v>
          </cell>
          <cell r="BM20">
            <v>23926</v>
          </cell>
          <cell r="BN20">
            <v>2851</v>
          </cell>
          <cell r="BO20">
            <v>467</v>
          </cell>
          <cell r="BP20">
            <v>9817</v>
          </cell>
          <cell r="BQ20">
            <v>3427</v>
          </cell>
          <cell r="BR20">
            <v>0</v>
          </cell>
          <cell r="BS20">
            <v>228</v>
          </cell>
          <cell r="BT20">
            <v>85</v>
          </cell>
          <cell r="BU20">
            <v>15462</v>
          </cell>
          <cell r="BV20">
            <v>1128</v>
          </cell>
          <cell r="BW20">
            <v>1585</v>
          </cell>
          <cell r="BX20">
            <v>5559</v>
          </cell>
          <cell r="BY20">
            <v>2320</v>
          </cell>
          <cell r="BZ20">
            <v>819</v>
          </cell>
          <cell r="CA20">
            <v>0</v>
          </cell>
          <cell r="CB20">
            <v>0</v>
          </cell>
          <cell r="CC20">
            <v>26873</v>
          </cell>
          <cell r="CD20">
            <v>2493</v>
          </cell>
          <cell r="CE20">
            <v>0</v>
          </cell>
          <cell r="CF20">
            <v>117</v>
          </cell>
          <cell r="CG20">
            <v>95</v>
          </cell>
          <cell r="CH20">
            <v>2705</v>
          </cell>
          <cell r="CI20">
            <v>24168</v>
          </cell>
          <cell r="CJ20">
            <v>2879.8364958622419</v>
          </cell>
          <cell r="CK20">
            <v>471.72348073225777</v>
          </cell>
          <cell r="CL20">
            <v>0</v>
          </cell>
          <cell r="CM20">
            <v>0</v>
          </cell>
          <cell r="CN20">
            <v>26</v>
          </cell>
          <cell r="CO20">
            <v>0</v>
          </cell>
          <cell r="CP20">
            <v>0</v>
          </cell>
          <cell r="CQ20">
            <v>0</v>
          </cell>
          <cell r="CR20">
            <v>0</v>
          </cell>
          <cell r="CS20">
            <v>0</v>
          </cell>
          <cell r="CT20">
            <v>0</v>
          </cell>
          <cell r="CU20">
            <v>1483</v>
          </cell>
          <cell r="CV20">
            <v>24941</v>
          </cell>
          <cell r="CW20">
            <v>303</v>
          </cell>
          <cell r="CX20">
            <v>50</v>
          </cell>
          <cell r="CY20">
            <v>0</v>
          </cell>
          <cell r="CZ20">
            <v>26777</v>
          </cell>
          <cell r="DA20">
            <v>104</v>
          </cell>
          <cell r="DB20">
            <v>2193</v>
          </cell>
          <cell r="DC20">
            <v>0</v>
          </cell>
          <cell r="DD20">
            <v>0</v>
          </cell>
          <cell r="DE20">
            <v>0</v>
          </cell>
          <cell r="DF20">
            <v>2297</v>
          </cell>
          <cell r="DG20">
            <v>0</v>
          </cell>
          <cell r="DH20">
            <v>0</v>
          </cell>
          <cell r="DI20">
            <v>-1244</v>
          </cell>
          <cell r="DJ20">
            <v>0</v>
          </cell>
          <cell r="DK20">
            <v>5641</v>
          </cell>
          <cell r="DL20">
            <v>640</v>
          </cell>
          <cell r="DM20">
            <v>0</v>
          </cell>
          <cell r="DN20">
            <v>3496</v>
          </cell>
          <cell r="DO20">
            <v>500</v>
          </cell>
          <cell r="DP20">
            <v>-1570</v>
          </cell>
          <cell r="DQ20">
            <v>0</v>
          </cell>
          <cell r="DR20">
            <v>0</v>
          </cell>
          <cell r="DS20">
            <v>-1279</v>
          </cell>
          <cell r="DT20">
            <v>0</v>
          </cell>
          <cell r="DU20">
            <v>5712</v>
          </cell>
          <cell r="DV20">
            <v>1310</v>
          </cell>
          <cell r="DW20">
            <v>0</v>
          </cell>
          <cell r="DX20">
            <v>4173</v>
          </cell>
          <cell r="DY20">
            <v>503</v>
          </cell>
          <cell r="DZ20">
            <v>383</v>
          </cell>
          <cell r="EA20">
            <v>387</v>
          </cell>
          <cell r="EB20">
            <v>8</v>
          </cell>
          <cell r="EC20">
            <v>1</v>
          </cell>
          <cell r="ED20">
            <v>67</v>
          </cell>
          <cell r="EE20">
            <v>33</v>
          </cell>
          <cell r="EF20">
            <v>386</v>
          </cell>
          <cell r="EG20">
            <v>20</v>
          </cell>
          <cell r="EH20">
            <v>24</v>
          </cell>
          <cell r="EI20">
            <v>173</v>
          </cell>
          <cell r="EJ20">
            <v>90</v>
          </cell>
          <cell r="EK20">
            <v>14</v>
          </cell>
          <cell r="EL20">
            <v>3880</v>
          </cell>
          <cell r="EM20">
            <v>1460</v>
          </cell>
          <cell r="EN20">
            <v>0</v>
          </cell>
          <cell r="EO20">
            <v>3787</v>
          </cell>
          <cell r="EP20">
            <v>1225</v>
          </cell>
          <cell r="EQ20" t="str">
            <v>..</v>
          </cell>
        </row>
        <row r="21">
          <cell r="B21" t="str">
            <v>E3620</v>
          </cell>
          <cell r="C21" t="str">
            <v>Surrey</v>
          </cell>
          <cell r="D21">
            <v>1</v>
          </cell>
          <cell r="E21">
            <v>18</v>
          </cell>
          <cell r="F21">
            <v>7</v>
          </cell>
          <cell r="G21">
            <v>1</v>
          </cell>
          <cell r="H21">
            <v>0</v>
          </cell>
          <cell r="I21">
            <v>26</v>
          </cell>
          <cell r="J21">
            <v>8</v>
          </cell>
          <cell r="K21">
            <v>17</v>
          </cell>
          <cell r="L21">
            <v>7</v>
          </cell>
          <cell r="M21">
            <v>1</v>
          </cell>
          <cell r="N21">
            <v>0</v>
          </cell>
          <cell r="O21">
            <v>25</v>
          </cell>
          <cell r="P21">
            <v>8</v>
          </cell>
          <cell r="Q21">
            <v>30</v>
          </cell>
          <cell r="R21">
            <v>2</v>
          </cell>
          <cell r="S21">
            <v>41</v>
          </cell>
          <cell r="T21">
            <v>39</v>
          </cell>
          <cell r="U21">
            <v>5</v>
          </cell>
          <cell r="V21">
            <v>117</v>
          </cell>
          <cell r="W21">
            <v>79</v>
          </cell>
          <cell r="X21">
            <v>7</v>
          </cell>
          <cell r="Y21">
            <v>3</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v>25496</v>
          </cell>
          <cell r="AT21">
            <v>1449</v>
          </cell>
          <cell r="AU21">
            <v>1122</v>
          </cell>
          <cell r="AV21">
            <v>2533</v>
          </cell>
          <cell r="AW21">
            <v>471</v>
          </cell>
          <cell r="AX21">
            <v>405</v>
          </cell>
          <cell r="AY21">
            <v>31476</v>
          </cell>
          <cell r="AZ21">
            <v>42</v>
          </cell>
          <cell r="BA21">
            <v>873</v>
          </cell>
          <cell r="BB21">
            <v>2334</v>
          </cell>
          <cell r="BC21">
            <v>6391</v>
          </cell>
          <cell r="BD21">
            <v>0</v>
          </cell>
          <cell r="BE21">
            <v>0</v>
          </cell>
          <cell r="BF21">
            <v>279</v>
          </cell>
          <cell r="BG21">
            <v>41395</v>
          </cell>
          <cell r="BH21">
            <v>1005</v>
          </cell>
          <cell r="BI21">
            <v>0</v>
          </cell>
          <cell r="BJ21">
            <v>0</v>
          </cell>
          <cell r="BK21">
            <v>1114</v>
          </cell>
          <cell r="BL21">
            <v>2119</v>
          </cell>
          <cell r="BM21">
            <v>39276</v>
          </cell>
          <cell r="BN21">
            <v>1411</v>
          </cell>
          <cell r="BO21">
            <v>-3421</v>
          </cell>
          <cell r="BP21">
            <v>25347</v>
          </cell>
          <cell r="BQ21">
            <v>1746</v>
          </cell>
          <cell r="BR21">
            <v>906</v>
          </cell>
          <cell r="BS21">
            <v>553</v>
          </cell>
          <cell r="BT21">
            <v>54</v>
          </cell>
          <cell r="BU21">
            <v>31505</v>
          </cell>
          <cell r="BV21">
            <v>22</v>
          </cell>
          <cell r="BW21">
            <v>824</v>
          </cell>
          <cell r="BX21">
            <v>1746</v>
          </cell>
          <cell r="BY21">
            <v>5940</v>
          </cell>
          <cell r="BZ21">
            <v>0</v>
          </cell>
          <cell r="CA21">
            <v>0</v>
          </cell>
          <cell r="CB21">
            <v>32</v>
          </cell>
          <cell r="CC21">
            <v>40069</v>
          </cell>
          <cell r="CD21">
            <v>394</v>
          </cell>
          <cell r="CE21">
            <v>0</v>
          </cell>
          <cell r="CF21">
            <v>0</v>
          </cell>
          <cell r="CG21">
            <v>906</v>
          </cell>
          <cell r="CH21">
            <v>1300</v>
          </cell>
          <cell r="CI21">
            <v>38769</v>
          </cell>
          <cell r="CJ21">
            <v>0</v>
          </cell>
          <cell r="CK21">
            <v>0</v>
          </cell>
          <cell r="CL21">
            <v>0</v>
          </cell>
          <cell r="CM21">
            <v>0</v>
          </cell>
          <cell r="CN21">
            <v>14.8</v>
          </cell>
          <cell r="CO21">
            <v>0</v>
          </cell>
          <cell r="CP21">
            <v>0</v>
          </cell>
          <cell r="CQ21">
            <v>0</v>
          </cell>
          <cell r="CR21">
            <v>0</v>
          </cell>
          <cell r="CS21">
            <v>0</v>
          </cell>
          <cell r="CT21">
            <v>0</v>
          </cell>
          <cell r="CU21">
            <v>1786</v>
          </cell>
          <cell r="CV21">
            <v>30112</v>
          </cell>
          <cell r="CW21">
            <v>124</v>
          </cell>
          <cell r="CX21">
            <v>0</v>
          </cell>
          <cell r="CY21">
            <v>8665</v>
          </cell>
          <cell r="CZ21">
            <v>40687</v>
          </cell>
          <cell r="DA21">
            <v>0</v>
          </cell>
          <cell r="DB21">
            <v>0</v>
          </cell>
          <cell r="DC21">
            <v>0</v>
          </cell>
          <cell r="DD21">
            <v>0</v>
          </cell>
          <cell r="DE21">
            <v>6391</v>
          </cell>
          <cell r="DF21">
            <v>6391</v>
          </cell>
          <cell r="DG21">
            <v>0</v>
          </cell>
          <cell r="DH21">
            <v>0</v>
          </cell>
          <cell r="DI21">
            <v>-2275</v>
          </cell>
          <cell r="DJ21">
            <v>0</v>
          </cell>
          <cell r="DK21">
            <v>13008</v>
          </cell>
          <cell r="DL21">
            <v>2178</v>
          </cell>
          <cell r="DM21">
            <v>0</v>
          </cell>
          <cell r="DN21">
            <v>9978</v>
          </cell>
          <cell r="DO21">
            <v>1303</v>
          </cell>
          <cell r="DP21">
            <v>-2885</v>
          </cell>
          <cell r="DQ21">
            <v>0</v>
          </cell>
          <cell r="DR21">
            <v>0</v>
          </cell>
          <cell r="DS21">
            <v>-2119</v>
          </cell>
          <cell r="DT21">
            <v>0</v>
          </cell>
          <cell r="DU21">
            <v>12987</v>
          </cell>
          <cell r="DV21">
            <v>2454</v>
          </cell>
          <cell r="DW21">
            <v>0</v>
          </cell>
          <cell r="DX21">
            <v>10437</v>
          </cell>
          <cell r="DY21">
            <v>1300</v>
          </cell>
          <cell r="DZ21">
            <v>914</v>
          </cell>
          <cell r="EA21">
            <v>920</v>
          </cell>
          <cell r="EB21">
            <v>24</v>
          </cell>
          <cell r="EC21">
            <v>2</v>
          </cell>
          <cell r="ED21">
            <v>135</v>
          </cell>
          <cell r="EE21">
            <v>53</v>
          </cell>
          <cell r="EF21">
            <v>374</v>
          </cell>
          <cell r="EG21">
            <v>0</v>
          </cell>
          <cell r="EH21">
            <v>77</v>
          </cell>
          <cell r="EI21">
            <v>70</v>
          </cell>
          <cell r="EJ21">
            <v>0</v>
          </cell>
          <cell r="EK21">
            <v>0</v>
          </cell>
          <cell r="EL21">
            <v>0</v>
          </cell>
          <cell r="EM21">
            <v>0</v>
          </cell>
          <cell r="EN21">
            <v>0</v>
          </cell>
          <cell r="EO21">
            <v>0</v>
          </cell>
          <cell r="EP21">
            <v>0</v>
          </cell>
          <cell r="EQ21">
            <v>0</v>
          </cell>
        </row>
        <row r="22">
          <cell r="B22" t="str">
            <v>E3720</v>
          </cell>
          <cell r="C22" t="str">
            <v>Warwickshire</v>
          </cell>
          <cell r="D22">
            <v>1</v>
          </cell>
          <cell r="E22">
            <v>5</v>
          </cell>
          <cell r="F22">
            <v>9</v>
          </cell>
          <cell r="G22">
            <v>3</v>
          </cell>
          <cell r="H22">
            <v>0</v>
          </cell>
          <cell r="I22">
            <v>17</v>
          </cell>
          <cell r="J22">
            <v>0</v>
          </cell>
          <cell r="K22">
            <v>5</v>
          </cell>
          <cell r="L22">
            <v>9</v>
          </cell>
          <cell r="M22">
            <v>3</v>
          </cell>
          <cell r="N22">
            <v>0</v>
          </cell>
          <cell r="O22">
            <v>17</v>
          </cell>
          <cell r="P22">
            <v>0</v>
          </cell>
          <cell r="Q22">
            <v>23</v>
          </cell>
          <cell r="R22">
            <v>1</v>
          </cell>
          <cell r="S22">
            <v>3</v>
          </cell>
          <cell r="T22">
            <v>14</v>
          </cell>
          <cell r="U22">
            <v>7</v>
          </cell>
          <cell r="V22">
            <v>48</v>
          </cell>
          <cell r="W22">
            <v>40</v>
          </cell>
          <cell r="X22">
            <v>5</v>
          </cell>
          <cell r="Y22">
            <v>6</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v>12234</v>
          </cell>
          <cell r="AT22">
            <v>1246</v>
          </cell>
          <cell r="AU22">
            <v>744</v>
          </cell>
          <cell r="AV22">
            <v>1602</v>
          </cell>
          <cell r="AW22">
            <v>638</v>
          </cell>
          <cell r="AX22">
            <v>286</v>
          </cell>
          <cell r="AY22">
            <v>16750</v>
          </cell>
          <cell r="AZ22">
            <v>36</v>
          </cell>
          <cell r="BA22">
            <v>981</v>
          </cell>
          <cell r="BB22">
            <v>2243</v>
          </cell>
          <cell r="BC22">
            <v>2238</v>
          </cell>
          <cell r="BD22">
            <v>0</v>
          </cell>
          <cell r="BE22">
            <v>40</v>
          </cell>
          <cell r="BF22">
            <v>0</v>
          </cell>
          <cell r="BG22">
            <v>22288</v>
          </cell>
          <cell r="BH22">
            <v>165</v>
          </cell>
          <cell r="BI22">
            <v>0</v>
          </cell>
          <cell r="BJ22">
            <v>0</v>
          </cell>
          <cell r="BK22">
            <v>523</v>
          </cell>
          <cell r="BL22">
            <v>688</v>
          </cell>
          <cell r="BM22">
            <v>21600</v>
          </cell>
          <cell r="BN22">
            <v>877</v>
          </cell>
          <cell r="BO22">
            <v>4400</v>
          </cell>
          <cell r="BP22">
            <v>11955</v>
          </cell>
          <cell r="BQ22">
            <v>1352</v>
          </cell>
          <cell r="BR22">
            <v>656</v>
          </cell>
          <cell r="BS22">
            <v>286</v>
          </cell>
          <cell r="BT22">
            <v>76</v>
          </cell>
          <cell r="BU22">
            <v>16284</v>
          </cell>
          <cell r="BV22">
            <v>35</v>
          </cell>
          <cell r="BW22">
            <v>978</v>
          </cell>
          <cell r="BX22">
            <v>2064</v>
          </cell>
          <cell r="BY22">
            <v>2238</v>
          </cell>
          <cell r="BZ22">
            <v>0</v>
          </cell>
          <cell r="CA22">
            <v>31</v>
          </cell>
          <cell r="CB22">
            <v>0</v>
          </cell>
          <cell r="CC22">
            <v>21630</v>
          </cell>
          <cell r="CD22">
            <v>0</v>
          </cell>
          <cell r="CE22">
            <v>0</v>
          </cell>
          <cell r="CF22">
            <v>0</v>
          </cell>
          <cell r="CG22">
            <v>218</v>
          </cell>
          <cell r="CH22">
            <v>218</v>
          </cell>
          <cell r="CI22">
            <v>21412</v>
          </cell>
          <cell r="CJ22">
            <v>877</v>
          </cell>
          <cell r="CK22">
            <v>0</v>
          </cell>
          <cell r="CL22">
            <v>0</v>
          </cell>
          <cell r="CM22">
            <v>0</v>
          </cell>
          <cell r="CN22">
            <v>19.100000000000001</v>
          </cell>
          <cell r="CO22" t="str">
            <v>..</v>
          </cell>
          <cell r="CP22">
            <v>0</v>
          </cell>
          <cell r="CQ22">
            <v>0</v>
          </cell>
          <cell r="CR22">
            <v>0</v>
          </cell>
          <cell r="CS22">
            <v>0</v>
          </cell>
          <cell r="CT22">
            <v>0</v>
          </cell>
          <cell r="CU22">
            <v>4758</v>
          </cell>
          <cell r="CV22">
            <v>17288</v>
          </cell>
          <cell r="CW22">
            <v>431</v>
          </cell>
          <cell r="CX22">
            <v>0</v>
          </cell>
          <cell r="CY22">
            <v>0</v>
          </cell>
          <cell r="CZ22">
            <v>22477</v>
          </cell>
          <cell r="DA22">
            <v>1895</v>
          </cell>
          <cell r="DB22">
            <v>7103</v>
          </cell>
          <cell r="DC22">
            <v>167</v>
          </cell>
          <cell r="DD22">
            <v>0</v>
          </cell>
          <cell r="DE22">
            <v>0</v>
          </cell>
          <cell r="DF22">
            <v>9165</v>
          </cell>
          <cell r="DG22">
            <v>0</v>
          </cell>
          <cell r="DH22">
            <v>0</v>
          </cell>
          <cell r="DI22">
            <v>-1097</v>
          </cell>
          <cell r="DJ22">
            <v>-51</v>
          </cell>
          <cell r="DK22">
            <v>6211</v>
          </cell>
          <cell r="DL22">
            <v>807</v>
          </cell>
          <cell r="DM22">
            <v>146</v>
          </cell>
          <cell r="DN22">
            <v>4644</v>
          </cell>
          <cell r="DO22">
            <v>687</v>
          </cell>
          <cell r="DP22">
            <v>-1502</v>
          </cell>
          <cell r="DQ22">
            <v>-39</v>
          </cell>
          <cell r="DR22">
            <v>0</v>
          </cell>
          <cell r="DS22">
            <v>-1195</v>
          </cell>
          <cell r="DT22">
            <v>0</v>
          </cell>
          <cell r="DU22">
            <v>6383</v>
          </cell>
          <cell r="DV22">
            <v>513</v>
          </cell>
          <cell r="DW22">
            <v>0</v>
          </cell>
          <cell r="DX22">
            <v>4160</v>
          </cell>
          <cell r="DY22">
            <v>700</v>
          </cell>
          <cell r="DZ22">
            <v>358</v>
          </cell>
          <cell r="EA22">
            <v>363</v>
          </cell>
          <cell r="EB22">
            <v>8</v>
          </cell>
          <cell r="EC22">
            <v>0</v>
          </cell>
          <cell r="ED22">
            <v>139</v>
          </cell>
          <cell r="EE22">
            <v>150</v>
          </cell>
          <cell r="EF22">
            <v>257</v>
          </cell>
          <cell r="EG22">
            <v>4</v>
          </cell>
          <cell r="EH22">
            <v>0</v>
          </cell>
          <cell r="EI22">
            <v>0</v>
          </cell>
          <cell r="EJ22">
            <v>4</v>
          </cell>
          <cell r="EK22">
            <v>1</v>
          </cell>
          <cell r="EL22">
            <v>684</v>
          </cell>
          <cell r="EM22">
            <v>2053</v>
          </cell>
          <cell r="EN22">
            <v>0</v>
          </cell>
          <cell r="EO22">
            <v>754</v>
          </cell>
          <cell r="EP22">
            <v>1136</v>
          </cell>
          <cell r="EQ22">
            <v>0</v>
          </cell>
        </row>
        <row r="23">
          <cell r="B23" t="str">
            <v>E3820</v>
          </cell>
          <cell r="C23" t="str">
            <v>West Sussex</v>
          </cell>
          <cell r="D23">
            <v>1</v>
          </cell>
          <cell r="E23">
            <v>1</v>
          </cell>
          <cell r="F23">
            <v>15</v>
          </cell>
          <cell r="G23">
            <v>9</v>
          </cell>
          <cell r="H23">
            <v>0</v>
          </cell>
          <cell r="I23">
            <v>25</v>
          </cell>
          <cell r="J23">
            <v>3</v>
          </cell>
          <cell r="K23">
            <v>1</v>
          </cell>
          <cell r="L23">
            <v>15</v>
          </cell>
          <cell r="M23">
            <v>9</v>
          </cell>
          <cell r="N23">
            <v>0</v>
          </cell>
          <cell r="O23">
            <v>25</v>
          </cell>
          <cell r="P23">
            <v>3</v>
          </cell>
          <cell r="Q23">
            <v>48</v>
          </cell>
          <cell r="R23">
            <v>2</v>
          </cell>
          <cell r="S23">
            <v>8</v>
          </cell>
          <cell r="T23">
            <v>36</v>
          </cell>
          <cell r="U23">
            <v>5</v>
          </cell>
          <cell r="V23">
            <v>99</v>
          </cell>
          <cell r="W23">
            <v>13</v>
          </cell>
          <cell r="X23">
            <v>2</v>
          </cell>
          <cell r="Y23">
            <v>4</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v>15657</v>
          </cell>
          <cell r="AT23">
            <v>3078</v>
          </cell>
          <cell r="AU23">
            <v>0</v>
          </cell>
          <cell r="AV23">
            <v>3948</v>
          </cell>
          <cell r="AW23">
            <v>519</v>
          </cell>
          <cell r="AX23">
            <v>252</v>
          </cell>
          <cell r="AY23">
            <v>23454</v>
          </cell>
          <cell r="AZ23">
            <v>98</v>
          </cell>
          <cell r="BA23">
            <v>1079</v>
          </cell>
          <cell r="BB23">
            <v>2239</v>
          </cell>
          <cell r="BC23">
            <v>2136</v>
          </cell>
          <cell r="BD23">
            <v>1650</v>
          </cell>
          <cell r="BE23">
            <v>0</v>
          </cell>
          <cell r="BF23">
            <v>0</v>
          </cell>
          <cell r="BG23">
            <v>30656</v>
          </cell>
          <cell r="BH23">
            <v>1305</v>
          </cell>
          <cell r="BI23">
            <v>0</v>
          </cell>
          <cell r="BJ23">
            <v>0</v>
          </cell>
          <cell r="BK23">
            <v>1892</v>
          </cell>
          <cell r="BL23">
            <v>3197</v>
          </cell>
          <cell r="BM23">
            <v>27459</v>
          </cell>
          <cell r="BN23">
            <v>970</v>
          </cell>
          <cell r="BO23">
            <v>106</v>
          </cell>
          <cell r="BP23">
            <v>16180</v>
          </cell>
          <cell r="BQ23">
            <v>3308</v>
          </cell>
          <cell r="BR23">
            <v>0</v>
          </cell>
          <cell r="BS23">
            <v>431</v>
          </cell>
          <cell r="BT23">
            <v>120</v>
          </cell>
          <cell r="BU23">
            <v>23266</v>
          </cell>
          <cell r="BV23">
            <v>113</v>
          </cell>
          <cell r="BW23">
            <v>1167</v>
          </cell>
          <cell r="BX23">
            <v>1702</v>
          </cell>
          <cell r="BY23">
            <v>2128</v>
          </cell>
          <cell r="BZ23">
            <v>1391</v>
          </cell>
          <cell r="CA23">
            <v>0</v>
          </cell>
          <cell r="CB23">
            <v>0</v>
          </cell>
          <cell r="CC23">
            <v>29767</v>
          </cell>
          <cell r="CD23">
            <v>2027</v>
          </cell>
          <cell r="CE23">
            <v>0</v>
          </cell>
          <cell r="CF23">
            <v>0</v>
          </cell>
          <cell r="CG23">
            <v>480</v>
          </cell>
          <cell r="CH23">
            <v>2507</v>
          </cell>
          <cell r="CI23">
            <v>27260</v>
          </cell>
          <cell r="CJ23">
            <v>970</v>
          </cell>
          <cell r="CK23">
            <v>106</v>
          </cell>
          <cell r="CL23">
            <v>0</v>
          </cell>
          <cell r="CM23">
            <v>0</v>
          </cell>
          <cell r="CN23">
            <v>20.570922150139015</v>
          </cell>
          <cell r="CO23" t="str">
            <v>..</v>
          </cell>
          <cell r="CP23">
            <v>0</v>
          </cell>
          <cell r="CQ23">
            <v>0</v>
          </cell>
          <cell r="CR23">
            <v>0</v>
          </cell>
          <cell r="CS23">
            <v>0</v>
          </cell>
          <cell r="CT23">
            <v>0</v>
          </cell>
          <cell r="CU23">
            <v>4177</v>
          </cell>
          <cell r="CV23">
            <v>23751</v>
          </cell>
          <cell r="CW23">
            <v>501</v>
          </cell>
          <cell r="CX23">
            <v>0</v>
          </cell>
          <cell r="CY23">
            <v>0</v>
          </cell>
          <cell r="CZ23">
            <v>28429</v>
          </cell>
          <cell r="DA23">
            <v>0</v>
          </cell>
          <cell r="DB23">
            <v>0</v>
          </cell>
          <cell r="DC23">
            <v>0</v>
          </cell>
          <cell r="DD23">
            <v>0</v>
          </cell>
          <cell r="DE23">
            <v>0</v>
          </cell>
          <cell r="DF23">
            <v>0</v>
          </cell>
          <cell r="DG23">
            <v>-39</v>
          </cell>
          <cell r="DH23">
            <v>0</v>
          </cell>
          <cell r="DI23">
            <v>-1635</v>
          </cell>
          <cell r="DJ23">
            <v>-16</v>
          </cell>
          <cell r="DK23">
            <v>7314</v>
          </cell>
          <cell r="DL23">
            <v>2621</v>
          </cell>
          <cell r="DM23">
            <v>0</v>
          </cell>
          <cell r="DN23">
            <v>6229</v>
          </cell>
          <cell r="DO23">
            <v>736</v>
          </cell>
          <cell r="DP23">
            <v>-2020</v>
          </cell>
          <cell r="DQ23">
            <v>-86</v>
          </cell>
          <cell r="DR23">
            <v>0</v>
          </cell>
          <cell r="DS23">
            <v>-1622</v>
          </cell>
          <cell r="DT23">
            <v>0</v>
          </cell>
          <cell r="DU23">
            <v>7743</v>
          </cell>
          <cell r="DV23">
            <v>1162</v>
          </cell>
          <cell r="DW23">
            <v>0</v>
          </cell>
          <cell r="DX23">
            <v>5177</v>
          </cell>
          <cell r="DY23">
            <v>725</v>
          </cell>
          <cell r="DZ23">
            <v>485</v>
          </cell>
          <cell r="EA23">
            <v>500</v>
          </cell>
          <cell r="EB23">
            <v>19</v>
          </cell>
          <cell r="EC23">
            <v>1</v>
          </cell>
          <cell r="ED23">
            <v>66</v>
          </cell>
          <cell r="EE23">
            <v>17</v>
          </cell>
          <cell r="EF23">
            <v>449</v>
          </cell>
          <cell r="EG23">
            <v>15</v>
          </cell>
          <cell r="EH23">
            <v>57</v>
          </cell>
          <cell r="EI23">
            <v>192</v>
          </cell>
          <cell r="EJ23">
            <v>41</v>
          </cell>
          <cell r="EK23">
            <v>14</v>
          </cell>
          <cell r="EL23">
            <v>0</v>
          </cell>
          <cell r="EM23">
            <v>0</v>
          </cell>
          <cell r="EN23">
            <v>0</v>
          </cell>
          <cell r="EO23">
            <v>0</v>
          </cell>
          <cell r="EP23">
            <v>0</v>
          </cell>
          <cell r="EQ23">
            <v>0</v>
          </cell>
        </row>
        <row r="24">
          <cell r="B24" t="str">
            <v>E4001</v>
          </cell>
          <cell r="C24" t="str">
            <v>Isles of Scilly</v>
          </cell>
          <cell r="D24">
            <v>1</v>
          </cell>
          <cell r="E24">
            <v>0</v>
          </cell>
          <cell r="F24">
            <v>5</v>
          </cell>
          <cell r="G24">
            <v>0</v>
          </cell>
          <cell r="H24">
            <v>0</v>
          </cell>
          <cell r="I24">
            <v>5</v>
          </cell>
          <cell r="J24">
            <v>0</v>
          </cell>
          <cell r="K24">
            <v>0</v>
          </cell>
          <cell r="L24">
            <v>5</v>
          </cell>
          <cell r="M24">
            <v>0</v>
          </cell>
          <cell r="N24">
            <v>0</v>
          </cell>
          <cell r="O24">
            <v>5</v>
          </cell>
          <cell r="P24">
            <v>0</v>
          </cell>
          <cell r="Q24">
            <v>7</v>
          </cell>
          <cell r="R24">
            <v>0</v>
          </cell>
          <cell r="S24">
            <v>0</v>
          </cell>
          <cell r="T24">
            <v>0</v>
          </cell>
          <cell r="U24">
            <v>0</v>
          </cell>
          <cell r="V24">
            <v>7</v>
          </cell>
          <cell r="W24">
            <v>3</v>
          </cell>
          <cell r="X24">
            <v>1</v>
          </cell>
          <cell r="Y24">
            <v>0</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v>0</v>
          </cell>
          <cell r="AT24">
            <v>56.937797353853448</v>
          </cell>
          <cell r="AU24">
            <v>0</v>
          </cell>
          <cell r="AV24">
            <v>0</v>
          </cell>
          <cell r="AW24">
            <v>2.8468898676926724</v>
          </cell>
          <cell r="AX24">
            <v>0</v>
          </cell>
          <cell r="AY24">
            <v>59.784687221546122</v>
          </cell>
          <cell r="AZ24">
            <v>0</v>
          </cell>
          <cell r="BA24">
            <v>0</v>
          </cell>
          <cell r="BB24">
            <v>0</v>
          </cell>
          <cell r="BC24">
            <v>0</v>
          </cell>
          <cell r="BD24">
            <v>0</v>
          </cell>
          <cell r="BE24">
            <v>0</v>
          </cell>
          <cell r="BF24">
            <v>0</v>
          </cell>
          <cell r="BG24">
            <v>59.784687221546122</v>
          </cell>
          <cell r="BH24">
            <v>0</v>
          </cell>
          <cell r="BI24">
            <v>0</v>
          </cell>
          <cell r="BJ24">
            <v>0</v>
          </cell>
          <cell r="BK24">
            <v>0</v>
          </cell>
          <cell r="BL24">
            <v>0</v>
          </cell>
          <cell r="BM24">
            <v>59.784687221546122</v>
          </cell>
          <cell r="BN24">
            <v>0</v>
          </cell>
          <cell r="BO24">
            <v>0</v>
          </cell>
          <cell r="BP24">
            <v>0</v>
          </cell>
          <cell r="BQ24">
            <v>59.074087670671297</v>
          </cell>
          <cell r="BR24">
            <v>0</v>
          </cell>
          <cell r="BS24">
            <v>2.953704383533565</v>
          </cell>
          <cell r="BT24">
            <v>0</v>
          </cell>
          <cell r="BU24">
            <v>62.027792054204866</v>
          </cell>
          <cell r="BV24">
            <v>0</v>
          </cell>
          <cell r="BW24">
            <v>0</v>
          </cell>
          <cell r="BX24">
            <v>0</v>
          </cell>
          <cell r="BY24">
            <v>0</v>
          </cell>
          <cell r="BZ24">
            <v>0</v>
          </cell>
          <cell r="CA24">
            <v>0</v>
          </cell>
          <cell r="CB24">
            <v>0</v>
          </cell>
          <cell r="CC24">
            <v>62.027792054204866</v>
          </cell>
          <cell r="CD24">
            <v>0</v>
          </cell>
          <cell r="CE24">
            <v>0</v>
          </cell>
          <cell r="CF24">
            <v>0</v>
          </cell>
          <cell r="CG24">
            <v>0</v>
          </cell>
          <cell r="CH24">
            <v>0</v>
          </cell>
          <cell r="CI24">
            <v>62.027792054204866</v>
          </cell>
          <cell r="CJ24">
            <v>0</v>
          </cell>
          <cell r="CK24">
            <v>0</v>
          </cell>
          <cell r="CL24" t="str">
            <v>..</v>
          </cell>
          <cell r="CM24">
            <v>0</v>
          </cell>
          <cell r="CN24" t="str">
            <v>..</v>
          </cell>
          <cell r="CO24" t="str">
            <v>..</v>
          </cell>
          <cell r="CP24">
            <v>0</v>
          </cell>
          <cell r="CQ24">
            <v>0</v>
          </cell>
          <cell r="CR24">
            <v>0</v>
          </cell>
          <cell r="CS24">
            <v>0</v>
          </cell>
          <cell r="CT24">
            <v>0</v>
          </cell>
          <cell r="CU24">
            <v>7.1141054588244588</v>
          </cell>
          <cell r="CV24">
            <v>49.9907529197854</v>
          </cell>
          <cell r="CW24">
            <v>0.18955860393725996</v>
          </cell>
          <cell r="CX24">
            <v>1.0515195579351706</v>
          </cell>
          <cell r="CY24">
            <v>1.4387506810638304</v>
          </cell>
          <cell r="CZ24">
            <v>59.784687221546122</v>
          </cell>
          <cell r="DA24" t="str">
            <v>..</v>
          </cell>
          <cell r="DB24" t="str">
            <v>..</v>
          </cell>
          <cell r="DC24" t="str">
            <v>..</v>
          </cell>
          <cell r="DD24" t="str">
            <v>..</v>
          </cell>
          <cell r="DE24" t="str">
            <v>..</v>
          </cell>
          <cell r="DF24" t="str">
            <v>..</v>
          </cell>
          <cell r="DG24">
            <v>0</v>
          </cell>
          <cell r="DH24">
            <v>0</v>
          </cell>
          <cell r="DI24">
            <v>-11.600610398806253</v>
          </cell>
          <cell r="DJ24">
            <v>0</v>
          </cell>
          <cell r="DK24">
            <v>10.335408499007674</v>
          </cell>
          <cell r="DL24">
            <v>0</v>
          </cell>
          <cell r="DM24">
            <v>0</v>
          </cell>
          <cell r="DN24">
            <v>-14.177491002885816</v>
          </cell>
          <cell r="DO24">
            <v>0</v>
          </cell>
          <cell r="DP24">
            <v>-13.529470143002481</v>
          </cell>
          <cell r="DQ24">
            <v>0</v>
          </cell>
          <cell r="DR24">
            <v>0</v>
          </cell>
          <cell r="DS24">
            <v>-12.155095876356091</v>
          </cell>
          <cell r="DT24">
            <v>0</v>
          </cell>
          <cell r="DU24">
            <v>10.829419910496386</v>
          </cell>
          <cell r="DV24">
            <v>0</v>
          </cell>
          <cell r="DW24">
            <v>0</v>
          </cell>
          <cell r="DX24">
            <v>-14.855146108862188</v>
          </cell>
          <cell r="DY24">
            <v>0</v>
          </cell>
          <cell r="DZ24">
            <v>5</v>
          </cell>
          <cell r="EA24">
            <v>5</v>
          </cell>
          <cell r="EB24">
            <v>0</v>
          </cell>
          <cell r="EC24">
            <v>0</v>
          </cell>
          <cell r="ED24">
            <v>0</v>
          </cell>
          <cell r="EE24">
            <v>5</v>
          </cell>
          <cell r="EF24">
            <v>17</v>
          </cell>
          <cell r="EG24">
            <v>0</v>
          </cell>
          <cell r="EH24">
            <v>0</v>
          </cell>
          <cell r="EI24">
            <v>0</v>
          </cell>
          <cell r="EJ24">
            <v>0</v>
          </cell>
          <cell r="EK24">
            <v>0</v>
          </cell>
          <cell r="EL24">
            <v>0</v>
          </cell>
          <cell r="EM24">
            <v>0</v>
          </cell>
          <cell r="EN24">
            <v>0</v>
          </cell>
          <cell r="EO24">
            <v>0</v>
          </cell>
          <cell r="EP24">
            <v>0</v>
          </cell>
          <cell r="EQ24">
            <v>0</v>
          </cell>
        </row>
        <row r="25">
          <cell r="B25" t="str">
            <v>E6101</v>
          </cell>
          <cell r="C25" t="str">
            <v>Avon</v>
          </cell>
          <cell r="D25">
            <v>1</v>
          </cell>
          <cell r="E25">
            <v>7</v>
          </cell>
          <cell r="F25">
            <v>11</v>
          </cell>
          <cell r="G25">
            <v>3</v>
          </cell>
          <cell r="H25">
            <v>0</v>
          </cell>
          <cell r="I25">
            <v>21</v>
          </cell>
          <cell r="J25">
            <v>8</v>
          </cell>
          <cell r="K25">
            <v>7</v>
          </cell>
          <cell r="L25">
            <v>11</v>
          </cell>
          <cell r="M25">
            <v>3</v>
          </cell>
          <cell r="N25">
            <v>0</v>
          </cell>
          <cell r="O25">
            <v>21</v>
          </cell>
          <cell r="P25">
            <v>6</v>
          </cell>
          <cell r="Q25">
            <v>34</v>
          </cell>
          <cell r="R25">
            <v>4</v>
          </cell>
          <cell r="S25">
            <v>16</v>
          </cell>
          <cell r="T25">
            <v>33</v>
          </cell>
          <cell r="U25">
            <v>6</v>
          </cell>
          <cell r="V25">
            <v>93</v>
          </cell>
          <cell r="W25">
            <v>75</v>
          </cell>
          <cell r="X25">
            <v>8</v>
          </cell>
          <cell r="Y25">
            <v>3</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v>22240</v>
          </cell>
          <cell r="AT25">
            <v>2091</v>
          </cell>
          <cell r="AU25">
            <v>1572</v>
          </cell>
          <cell r="AV25">
            <v>4260</v>
          </cell>
          <cell r="AW25">
            <v>324</v>
          </cell>
          <cell r="AX25">
            <v>2281</v>
          </cell>
          <cell r="AY25">
            <v>32768</v>
          </cell>
          <cell r="AZ25">
            <v>2936</v>
          </cell>
          <cell r="BA25">
            <v>1301</v>
          </cell>
          <cell r="BB25">
            <v>5033</v>
          </cell>
          <cell r="BC25">
            <v>0</v>
          </cell>
          <cell r="BD25">
            <v>0</v>
          </cell>
          <cell r="BE25">
            <v>0</v>
          </cell>
          <cell r="BF25">
            <v>0</v>
          </cell>
          <cell r="BG25">
            <v>42038</v>
          </cell>
          <cell r="BH25">
            <v>2163</v>
          </cell>
          <cell r="BI25">
            <v>0</v>
          </cell>
          <cell r="BJ25">
            <v>0</v>
          </cell>
          <cell r="BK25">
            <v>416</v>
          </cell>
          <cell r="BL25">
            <v>2579</v>
          </cell>
          <cell r="BM25">
            <v>39459</v>
          </cell>
          <cell r="BN25">
            <v>2970</v>
          </cell>
          <cell r="BO25">
            <v>5267</v>
          </cell>
          <cell r="BP25">
            <v>22307.403999999999</v>
          </cell>
          <cell r="BQ25">
            <v>2290.4920000000002</v>
          </cell>
          <cell r="BR25">
            <v>1521.27</v>
          </cell>
          <cell r="BS25">
            <v>459.22999999999996</v>
          </cell>
          <cell r="BT25">
            <v>2040.8769999999997</v>
          </cell>
          <cell r="BU25">
            <v>33103.453999999998</v>
          </cell>
          <cell r="BV25">
            <v>2175.7339999999999</v>
          </cell>
          <cell r="BW25">
            <v>1793.88</v>
          </cell>
          <cell r="BX25">
            <v>5884.3220000000001</v>
          </cell>
          <cell r="BY25">
            <v>0</v>
          </cell>
          <cell r="BZ25">
            <v>0</v>
          </cell>
          <cell r="CA25">
            <v>0</v>
          </cell>
          <cell r="CB25">
            <v>0</v>
          </cell>
          <cell r="CC25">
            <v>42957.389999999992</v>
          </cell>
          <cell r="CD25">
            <v>1875.2180000000001</v>
          </cell>
          <cell r="CE25">
            <v>0</v>
          </cell>
          <cell r="CF25">
            <v>0</v>
          </cell>
          <cell r="CG25">
            <v>290</v>
          </cell>
          <cell r="CH25">
            <v>2165.2179999999998</v>
          </cell>
          <cell r="CI25">
            <v>40792.171999999991</v>
          </cell>
          <cell r="CJ25">
            <v>1777</v>
          </cell>
          <cell r="CK25">
            <v>5091</v>
          </cell>
          <cell r="CL25">
            <v>0</v>
          </cell>
          <cell r="CM25">
            <v>0</v>
          </cell>
          <cell r="CN25">
            <v>14.7</v>
          </cell>
          <cell r="CO25">
            <v>371</v>
          </cell>
          <cell r="CP25">
            <v>11553</v>
          </cell>
          <cell r="CQ25">
            <v>4658.2740000000003</v>
          </cell>
          <cell r="CR25">
            <v>25741.592000000001</v>
          </cell>
          <cell r="CS25">
            <v>-109</v>
          </cell>
          <cell r="CT25">
            <v>41843.866000000002</v>
          </cell>
          <cell r="CU25">
            <v>4366.6873777120745</v>
          </cell>
          <cell r="CV25">
            <v>36919.447041175699</v>
          </cell>
          <cell r="CW25">
            <v>87.628918648636898</v>
          </cell>
          <cell r="CX25">
            <v>749.91906169833464</v>
          </cell>
          <cell r="CY25">
            <v>305.31760076525069</v>
          </cell>
          <cell r="CZ25">
            <v>42428.999999999993</v>
          </cell>
          <cell r="DA25">
            <v>4366.6873777120745</v>
          </cell>
          <cell r="DB25">
            <v>36919.447041175699</v>
          </cell>
          <cell r="DC25">
            <v>87.628918648636898</v>
          </cell>
          <cell r="DD25">
            <v>749.91906169833464</v>
          </cell>
          <cell r="DE25">
            <v>305.31760076525069</v>
          </cell>
          <cell r="DF25">
            <v>42428.999999999993</v>
          </cell>
          <cell r="DG25">
            <v>-239.69711999999998</v>
          </cell>
          <cell r="DH25">
            <v>-81.741720000000001</v>
          </cell>
          <cell r="DI25">
            <v>-2343.02432</v>
          </cell>
          <cell r="DJ25">
            <v>-823.79309999999998</v>
          </cell>
          <cell r="DK25">
            <v>13187.15978</v>
          </cell>
          <cell r="DL25">
            <v>1698.50324</v>
          </cell>
          <cell r="DM25">
            <v>159.77802</v>
          </cell>
          <cell r="DN25">
            <v>8605.0567900000005</v>
          </cell>
          <cell r="DO25">
            <v>1277.24397</v>
          </cell>
          <cell r="DP25">
            <v>-2740.6188784799515</v>
          </cell>
          <cell r="DQ25">
            <v>-381.56633333333338</v>
          </cell>
          <cell r="DR25">
            <v>0</v>
          </cell>
          <cell r="DS25">
            <v>-2220.0082307299185</v>
          </cell>
          <cell r="DT25">
            <v>-50</v>
          </cell>
          <cell r="DU25">
            <v>13736.251659589727</v>
          </cell>
          <cell r="DV25">
            <v>3125.1888463487994</v>
          </cell>
          <cell r="DW25">
            <v>0</v>
          </cell>
          <cell r="DX25">
            <v>11469.247063395323</v>
          </cell>
          <cell r="DY25">
            <v>1301.8800000000001</v>
          </cell>
          <cell r="DZ25">
            <v>855</v>
          </cell>
          <cell r="EA25">
            <v>871</v>
          </cell>
          <cell r="EB25">
            <v>43</v>
          </cell>
          <cell r="EC25">
            <v>3</v>
          </cell>
          <cell r="ED25">
            <v>140</v>
          </cell>
          <cell r="EE25">
            <v>15</v>
          </cell>
          <cell r="EF25">
            <v>475</v>
          </cell>
          <cell r="EG25">
            <v>23</v>
          </cell>
          <cell r="EH25">
            <v>85</v>
          </cell>
          <cell r="EI25">
            <v>114</v>
          </cell>
          <cell r="EJ25">
            <v>8</v>
          </cell>
          <cell r="EK25">
            <v>50</v>
          </cell>
          <cell r="EL25">
            <v>7373</v>
          </cell>
          <cell r="EM25">
            <v>1500</v>
          </cell>
          <cell r="EN25">
            <v>1655</v>
          </cell>
          <cell r="EO25">
            <v>6630</v>
          </cell>
          <cell r="EP25">
            <v>1500</v>
          </cell>
          <cell r="EQ25">
            <v>1618</v>
          </cell>
        </row>
        <row r="26">
          <cell r="B26" t="str">
            <v>E6102</v>
          </cell>
          <cell r="C26" t="str">
            <v>Bedfordshire</v>
          </cell>
          <cell r="D26">
            <v>1</v>
          </cell>
          <cell r="E26">
            <v>3</v>
          </cell>
          <cell r="F26">
            <v>8</v>
          </cell>
          <cell r="G26">
            <v>3</v>
          </cell>
          <cell r="H26">
            <v>0</v>
          </cell>
          <cell r="I26">
            <v>14</v>
          </cell>
          <cell r="J26">
            <v>6</v>
          </cell>
          <cell r="K26">
            <v>3</v>
          </cell>
          <cell r="L26">
            <v>8</v>
          </cell>
          <cell r="M26">
            <v>3</v>
          </cell>
          <cell r="N26">
            <v>0</v>
          </cell>
          <cell r="O26">
            <v>14</v>
          </cell>
          <cell r="P26">
            <v>6</v>
          </cell>
          <cell r="Q26">
            <v>22</v>
          </cell>
          <cell r="R26">
            <v>2</v>
          </cell>
          <cell r="S26">
            <v>14</v>
          </cell>
          <cell r="T26">
            <v>28</v>
          </cell>
          <cell r="U26">
            <v>8</v>
          </cell>
          <cell r="V26">
            <v>74</v>
          </cell>
          <cell r="W26">
            <v>39</v>
          </cell>
          <cell r="X26">
            <v>4</v>
          </cell>
          <cell r="Y26">
            <v>2</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v>13747</v>
          </cell>
          <cell r="AT26">
            <v>1745</v>
          </cell>
          <cell r="AU26">
            <v>1018</v>
          </cell>
          <cell r="AV26">
            <v>3804</v>
          </cell>
          <cell r="AW26">
            <v>429</v>
          </cell>
          <cell r="AX26">
            <v>312</v>
          </cell>
          <cell r="AY26">
            <v>21055</v>
          </cell>
          <cell r="AZ26">
            <v>1208</v>
          </cell>
          <cell r="BA26">
            <v>684</v>
          </cell>
          <cell r="BB26">
            <v>2627</v>
          </cell>
          <cell r="BC26">
            <v>1002</v>
          </cell>
          <cell r="BD26">
            <v>545</v>
          </cell>
          <cell r="BE26">
            <v>0</v>
          </cell>
          <cell r="BF26">
            <v>321</v>
          </cell>
          <cell r="BG26">
            <v>27442</v>
          </cell>
          <cell r="BH26">
            <v>208</v>
          </cell>
          <cell r="BI26">
            <v>50</v>
          </cell>
          <cell r="BJ26">
            <v>0</v>
          </cell>
          <cell r="BK26">
            <v>492</v>
          </cell>
          <cell r="BL26">
            <v>750</v>
          </cell>
          <cell r="BM26">
            <v>26692</v>
          </cell>
          <cell r="BN26">
            <v>1010</v>
          </cell>
          <cell r="BO26">
            <v>-2011</v>
          </cell>
          <cell r="BP26">
            <v>13252</v>
          </cell>
          <cell r="BQ26">
            <v>1945</v>
          </cell>
          <cell r="BR26">
            <v>875</v>
          </cell>
          <cell r="BS26">
            <v>587</v>
          </cell>
          <cell r="BT26">
            <v>238</v>
          </cell>
          <cell r="BU26">
            <v>20020</v>
          </cell>
          <cell r="BV26">
            <v>1316</v>
          </cell>
          <cell r="BW26">
            <v>696</v>
          </cell>
          <cell r="BX26">
            <v>2661</v>
          </cell>
          <cell r="BY26">
            <v>1704</v>
          </cell>
          <cell r="BZ26">
            <v>500</v>
          </cell>
          <cell r="CA26">
            <v>0</v>
          </cell>
          <cell r="CB26">
            <v>330</v>
          </cell>
          <cell r="CC26">
            <v>27227</v>
          </cell>
          <cell r="CD26">
            <v>208</v>
          </cell>
          <cell r="CE26">
            <v>0</v>
          </cell>
          <cell r="CF26">
            <v>0</v>
          </cell>
          <cell r="CG26">
            <v>213</v>
          </cell>
          <cell r="CH26">
            <v>421</v>
          </cell>
          <cell r="CI26">
            <v>26806</v>
          </cell>
          <cell r="CJ26">
            <v>880</v>
          </cell>
          <cell r="CK26">
            <v>-2000</v>
          </cell>
          <cell r="CL26">
            <v>0</v>
          </cell>
          <cell r="CM26">
            <v>0</v>
          </cell>
          <cell r="CN26">
            <v>17.3</v>
          </cell>
          <cell r="CO26">
            <v>97</v>
          </cell>
          <cell r="CP26">
            <v>6768</v>
          </cell>
          <cell r="CQ26">
            <v>2136</v>
          </cell>
          <cell r="CR26">
            <v>19972</v>
          </cell>
          <cell r="CS26">
            <v>561</v>
          </cell>
          <cell r="CT26">
            <v>29437</v>
          </cell>
          <cell r="CU26">
            <v>1611</v>
          </cell>
          <cell r="CV26">
            <v>22452</v>
          </cell>
          <cell r="CW26">
            <v>450</v>
          </cell>
          <cell r="CX26">
            <v>1625</v>
          </cell>
          <cell r="CY26">
            <v>1564</v>
          </cell>
          <cell r="CZ26">
            <v>27702</v>
          </cell>
          <cell r="DA26">
            <v>0</v>
          </cell>
          <cell r="DB26">
            <v>0</v>
          </cell>
          <cell r="DC26">
            <v>0</v>
          </cell>
          <cell r="DD26">
            <v>0</v>
          </cell>
          <cell r="DE26">
            <v>0</v>
          </cell>
          <cell r="DF26">
            <v>0</v>
          </cell>
          <cell r="DG26">
            <v>-88</v>
          </cell>
          <cell r="DH26">
            <v>-5</v>
          </cell>
          <cell r="DI26">
            <v>-1313</v>
          </cell>
          <cell r="DJ26">
            <v>-73</v>
          </cell>
          <cell r="DK26">
            <v>6201</v>
          </cell>
          <cell r="DL26">
            <v>2252</v>
          </cell>
          <cell r="DM26">
            <v>48</v>
          </cell>
          <cell r="DN26">
            <v>5413</v>
          </cell>
          <cell r="DO26">
            <v>846</v>
          </cell>
          <cell r="DP26">
            <v>-1885</v>
          </cell>
          <cell r="DQ26">
            <v>-115</v>
          </cell>
          <cell r="DR26">
            <v>0</v>
          </cell>
          <cell r="DS26">
            <v>-1238</v>
          </cell>
          <cell r="DT26">
            <v>0</v>
          </cell>
          <cell r="DU26">
            <v>6200</v>
          </cell>
          <cell r="DV26">
            <v>1401</v>
          </cell>
          <cell r="DW26">
            <v>0</v>
          </cell>
          <cell r="DX26">
            <v>4363</v>
          </cell>
          <cell r="DY26">
            <v>677</v>
          </cell>
          <cell r="DZ26">
            <v>420</v>
          </cell>
          <cell r="EA26">
            <v>430</v>
          </cell>
          <cell r="EB26">
            <v>17</v>
          </cell>
          <cell r="EC26">
            <v>1</v>
          </cell>
          <cell r="ED26">
            <v>83</v>
          </cell>
          <cell r="EE26">
            <v>10</v>
          </cell>
          <cell r="EF26">
            <v>281</v>
          </cell>
          <cell r="EG26">
            <v>4</v>
          </cell>
          <cell r="EH26">
            <v>60</v>
          </cell>
          <cell r="EI26">
            <v>108</v>
          </cell>
          <cell r="EJ26">
            <v>44</v>
          </cell>
          <cell r="EK26">
            <v>13</v>
          </cell>
          <cell r="EL26">
            <v>12248</v>
          </cell>
          <cell r="EM26">
            <v>2600</v>
          </cell>
          <cell r="EN26">
            <v>212</v>
          </cell>
          <cell r="EO26">
            <v>12447</v>
          </cell>
          <cell r="EP26">
            <v>2600</v>
          </cell>
          <cell r="EQ26">
            <v>229</v>
          </cell>
        </row>
        <row r="27">
          <cell r="B27" t="str">
            <v>E6103</v>
          </cell>
          <cell r="C27" t="str">
            <v>Berkshire</v>
          </cell>
          <cell r="D27">
            <v>1</v>
          </cell>
          <cell r="E27">
            <v>11</v>
          </cell>
          <cell r="F27">
            <v>6</v>
          </cell>
          <cell r="G27">
            <v>1</v>
          </cell>
          <cell r="H27">
            <v>0</v>
          </cell>
          <cell r="I27">
            <v>18</v>
          </cell>
          <cell r="J27">
            <v>5</v>
          </cell>
          <cell r="K27">
            <v>11</v>
          </cell>
          <cell r="L27">
            <v>6</v>
          </cell>
          <cell r="M27">
            <v>1</v>
          </cell>
          <cell r="N27">
            <v>0</v>
          </cell>
          <cell r="O27">
            <v>18</v>
          </cell>
          <cell r="P27">
            <v>5</v>
          </cell>
          <cell r="Q27">
            <v>21</v>
          </cell>
          <cell r="R27">
            <v>1</v>
          </cell>
          <cell r="S27">
            <v>14</v>
          </cell>
          <cell r="T27">
            <v>28</v>
          </cell>
          <cell r="U27">
            <v>7</v>
          </cell>
          <cell r="V27">
            <v>71</v>
          </cell>
          <cell r="W27">
            <v>53</v>
          </cell>
          <cell r="X27">
            <v>7</v>
          </cell>
          <cell r="Y27">
            <v>4</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v>17417</v>
          </cell>
          <cell r="AT27">
            <v>550</v>
          </cell>
          <cell r="AU27">
            <v>0</v>
          </cell>
          <cell r="AV27">
            <v>5685</v>
          </cell>
          <cell r="AW27">
            <v>458</v>
          </cell>
          <cell r="AX27">
            <v>137</v>
          </cell>
          <cell r="AY27">
            <v>24247</v>
          </cell>
          <cell r="AZ27">
            <v>2306</v>
          </cell>
          <cell r="BA27">
            <v>939</v>
          </cell>
          <cell r="BB27">
            <v>3291</v>
          </cell>
          <cell r="BC27">
            <v>0</v>
          </cell>
          <cell r="BD27">
            <v>2030</v>
          </cell>
          <cell r="BE27">
            <v>591</v>
          </cell>
          <cell r="BF27">
            <v>590</v>
          </cell>
          <cell r="BG27">
            <v>33994</v>
          </cell>
          <cell r="BH27">
            <v>686</v>
          </cell>
          <cell r="BI27">
            <v>1258</v>
          </cell>
          <cell r="BJ27">
            <v>3</v>
          </cell>
          <cell r="BK27">
            <v>579</v>
          </cell>
          <cell r="BL27">
            <v>2526</v>
          </cell>
          <cell r="BM27">
            <v>31468</v>
          </cell>
          <cell r="BN27">
            <v>1053</v>
          </cell>
          <cell r="BO27">
            <v>6058</v>
          </cell>
          <cell r="BP27">
            <v>17875</v>
          </cell>
          <cell r="BQ27">
            <v>867</v>
          </cell>
          <cell r="BR27">
            <v>0</v>
          </cell>
          <cell r="BS27">
            <v>640</v>
          </cell>
          <cell r="BT27">
            <v>105</v>
          </cell>
          <cell r="BU27">
            <v>25522</v>
          </cell>
          <cell r="BV27">
            <v>2168</v>
          </cell>
          <cell r="BW27">
            <v>963</v>
          </cell>
          <cell r="BX27">
            <v>3123</v>
          </cell>
          <cell r="BY27">
            <v>0</v>
          </cell>
          <cell r="BZ27">
            <v>2105</v>
          </cell>
          <cell r="CA27">
            <v>622</v>
          </cell>
          <cell r="CB27">
            <v>419</v>
          </cell>
          <cell r="CC27">
            <v>34922</v>
          </cell>
          <cell r="CD27">
            <v>387</v>
          </cell>
          <cell r="CE27">
            <v>1287</v>
          </cell>
          <cell r="CF27">
            <v>66</v>
          </cell>
          <cell r="CG27">
            <v>510</v>
          </cell>
          <cell r="CH27">
            <v>2250</v>
          </cell>
          <cell r="CI27">
            <v>32672</v>
          </cell>
          <cell r="CJ27">
            <v>1050</v>
          </cell>
          <cell r="CK27">
            <v>6050</v>
          </cell>
          <cell r="CL27">
            <v>0</v>
          </cell>
          <cell r="CM27">
            <v>0</v>
          </cell>
          <cell r="CN27">
            <v>13.7</v>
          </cell>
          <cell r="CO27">
            <v>158</v>
          </cell>
          <cell r="CP27">
            <v>10335</v>
          </cell>
          <cell r="CQ27">
            <v>955</v>
          </cell>
          <cell r="CR27">
            <v>22079</v>
          </cell>
          <cell r="CS27">
            <v>110</v>
          </cell>
          <cell r="CT27">
            <v>33479</v>
          </cell>
          <cell r="CU27">
            <v>14735</v>
          </cell>
          <cell r="CV27">
            <v>16549</v>
          </cell>
          <cell r="CW27">
            <v>149</v>
          </cell>
          <cell r="CX27">
            <v>694</v>
          </cell>
          <cell r="CY27">
            <v>394</v>
          </cell>
          <cell r="CZ27">
            <v>32521</v>
          </cell>
          <cell r="DA27">
            <v>14735</v>
          </cell>
          <cell r="DB27">
            <v>16549</v>
          </cell>
          <cell r="DC27">
            <v>149</v>
          </cell>
          <cell r="DD27">
            <v>694</v>
          </cell>
          <cell r="DE27">
            <v>394</v>
          </cell>
          <cell r="DF27">
            <v>32521</v>
          </cell>
          <cell r="DG27">
            <v>-136</v>
          </cell>
          <cell r="DH27">
            <v>0</v>
          </cell>
          <cell r="DI27">
            <v>-1663</v>
          </cell>
          <cell r="DJ27">
            <v>-6</v>
          </cell>
          <cell r="DK27">
            <v>7981</v>
          </cell>
          <cell r="DL27">
            <v>2076</v>
          </cell>
          <cell r="DM27">
            <v>0</v>
          </cell>
          <cell r="DN27">
            <v>6255</v>
          </cell>
          <cell r="DO27">
            <v>412</v>
          </cell>
          <cell r="DP27">
            <v>-1972</v>
          </cell>
          <cell r="DQ27">
            <v>-100</v>
          </cell>
          <cell r="DR27">
            <v>0</v>
          </cell>
          <cell r="DS27">
            <v>-1665</v>
          </cell>
          <cell r="DT27">
            <v>-10</v>
          </cell>
          <cell r="DU27">
            <v>7835</v>
          </cell>
          <cell r="DV27">
            <v>2241</v>
          </cell>
          <cell r="DW27">
            <v>85</v>
          </cell>
          <cell r="DX27">
            <v>6414</v>
          </cell>
          <cell r="DY27">
            <v>400</v>
          </cell>
          <cell r="DZ27">
            <v>480</v>
          </cell>
          <cell r="EA27">
            <v>485</v>
          </cell>
          <cell r="EB27">
            <v>11</v>
          </cell>
          <cell r="EC27">
            <v>1</v>
          </cell>
          <cell r="ED27">
            <v>67</v>
          </cell>
          <cell r="EE27">
            <v>5</v>
          </cell>
          <cell r="EF27">
            <v>338</v>
          </cell>
          <cell r="EG27">
            <v>9</v>
          </cell>
          <cell r="EH27">
            <v>66</v>
          </cell>
          <cell r="EI27">
            <v>64</v>
          </cell>
          <cell r="EJ27">
            <v>44</v>
          </cell>
          <cell r="EK27">
            <v>15</v>
          </cell>
          <cell r="EL27">
            <v>7652</v>
          </cell>
          <cell r="EM27">
            <v>2344</v>
          </cell>
          <cell r="EN27">
            <v>589</v>
          </cell>
          <cell r="EO27">
            <v>7937</v>
          </cell>
          <cell r="EP27">
            <v>2321</v>
          </cell>
          <cell r="EQ27">
            <v>442</v>
          </cell>
        </row>
        <row r="28">
          <cell r="B28" t="str">
            <v>E6104</v>
          </cell>
          <cell r="C28" t="str">
            <v>Buckinghamshire</v>
          </cell>
          <cell r="D28">
            <v>1</v>
          </cell>
          <cell r="E28">
            <v>6</v>
          </cell>
          <cell r="F28">
            <v>10</v>
          </cell>
          <cell r="G28">
            <v>4</v>
          </cell>
          <cell r="H28">
            <v>0</v>
          </cell>
          <cell r="I28">
            <v>20</v>
          </cell>
          <cell r="J28">
            <v>0</v>
          </cell>
          <cell r="K28">
            <v>6</v>
          </cell>
          <cell r="L28">
            <v>10</v>
          </cell>
          <cell r="M28">
            <v>4</v>
          </cell>
          <cell r="N28">
            <v>0</v>
          </cell>
          <cell r="O28">
            <v>20</v>
          </cell>
          <cell r="P28">
            <v>0</v>
          </cell>
          <cell r="Q28">
            <v>30</v>
          </cell>
          <cell r="R28">
            <v>2</v>
          </cell>
          <cell r="S28">
            <v>4</v>
          </cell>
          <cell r="T28">
            <v>33</v>
          </cell>
          <cell r="U28">
            <v>9</v>
          </cell>
          <cell r="V28">
            <v>78</v>
          </cell>
          <cell r="W28">
            <v>43</v>
          </cell>
          <cell r="X28">
            <v>4</v>
          </cell>
          <cell r="Y28">
            <v>3</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v>13300</v>
          </cell>
          <cell r="AT28">
            <v>1208</v>
          </cell>
          <cell r="AU28">
            <v>0</v>
          </cell>
          <cell r="AV28">
            <v>4250</v>
          </cell>
          <cell r="AW28">
            <v>485</v>
          </cell>
          <cell r="AX28">
            <v>711</v>
          </cell>
          <cell r="AY28">
            <v>19954</v>
          </cell>
          <cell r="AZ28">
            <v>1441</v>
          </cell>
          <cell r="BA28">
            <v>658</v>
          </cell>
          <cell r="BB28">
            <v>3817</v>
          </cell>
          <cell r="BC28">
            <v>0</v>
          </cell>
          <cell r="BD28">
            <v>685</v>
          </cell>
          <cell r="BE28">
            <v>0</v>
          </cell>
          <cell r="BF28">
            <v>2591</v>
          </cell>
          <cell r="BG28">
            <v>29146</v>
          </cell>
          <cell r="BH28">
            <v>1089</v>
          </cell>
          <cell r="BI28">
            <v>0</v>
          </cell>
          <cell r="BJ28">
            <v>0</v>
          </cell>
          <cell r="BK28">
            <v>1241</v>
          </cell>
          <cell r="BL28">
            <v>2330</v>
          </cell>
          <cell r="BM28">
            <v>26816</v>
          </cell>
          <cell r="BN28">
            <v>2752</v>
          </cell>
          <cell r="BO28">
            <v>3420</v>
          </cell>
          <cell r="BP28">
            <v>13533</v>
          </cell>
          <cell r="BQ28">
            <v>1635</v>
          </cell>
          <cell r="BR28">
            <v>0</v>
          </cell>
          <cell r="BS28">
            <v>578</v>
          </cell>
          <cell r="BT28">
            <v>356</v>
          </cell>
          <cell r="BU28">
            <v>20566</v>
          </cell>
          <cell r="BV28">
            <v>1519</v>
          </cell>
          <cell r="BW28">
            <v>636</v>
          </cell>
          <cell r="BX28">
            <v>2636</v>
          </cell>
          <cell r="BY28">
            <v>0</v>
          </cell>
          <cell r="BZ28">
            <v>766</v>
          </cell>
          <cell r="CA28">
            <v>14</v>
          </cell>
          <cell r="CB28">
            <v>3119</v>
          </cell>
          <cell r="CC28">
            <v>29256</v>
          </cell>
          <cell r="CD28">
            <v>1097</v>
          </cell>
          <cell r="CE28">
            <v>0</v>
          </cell>
          <cell r="CF28">
            <v>0</v>
          </cell>
          <cell r="CG28">
            <v>763</v>
          </cell>
          <cell r="CH28">
            <v>1860</v>
          </cell>
          <cell r="CI28">
            <v>27396</v>
          </cell>
          <cell r="CJ28">
            <v>2752</v>
          </cell>
          <cell r="CK28">
            <v>3420</v>
          </cell>
          <cell r="CL28">
            <v>0</v>
          </cell>
          <cell r="CM28">
            <v>52</v>
          </cell>
          <cell r="CN28">
            <v>15.5</v>
          </cell>
          <cell r="CO28">
            <v>0</v>
          </cell>
          <cell r="CP28">
            <v>2633</v>
          </cell>
          <cell r="CQ28">
            <v>5461</v>
          </cell>
          <cell r="CR28">
            <v>18848</v>
          </cell>
          <cell r="CS28">
            <v>453</v>
          </cell>
          <cell r="CT28">
            <v>27395</v>
          </cell>
          <cell r="CU28">
            <v>960</v>
          </cell>
          <cell r="CV28">
            <v>27009</v>
          </cell>
          <cell r="CW28">
            <v>0</v>
          </cell>
          <cell r="CX28">
            <v>1221</v>
          </cell>
          <cell r="CY28">
            <v>378</v>
          </cell>
          <cell r="CZ28">
            <v>29568</v>
          </cell>
          <cell r="DA28">
            <v>0</v>
          </cell>
          <cell r="DB28">
            <v>0</v>
          </cell>
          <cell r="DC28">
            <v>0</v>
          </cell>
          <cell r="DD28">
            <v>0</v>
          </cell>
          <cell r="DE28">
            <v>0</v>
          </cell>
          <cell r="DF28">
            <v>0</v>
          </cell>
          <cell r="DG28">
            <v>-20</v>
          </cell>
          <cell r="DH28">
            <v>-59</v>
          </cell>
          <cell r="DI28">
            <v>-1262</v>
          </cell>
          <cell r="DJ28">
            <v>0</v>
          </cell>
          <cell r="DK28">
            <v>6819</v>
          </cell>
          <cell r="DL28">
            <v>925</v>
          </cell>
          <cell r="DM28">
            <v>0</v>
          </cell>
          <cell r="DN28">
            <v>4864</v>
          </cell>
          <cell r="DO28">
            <v>345</v>
          </cell>
          <cell r="DP28">
            <v>-1433</v>
          </cell>
          <cell r="DQ28">
            <v>0</v>
          </cell>
          <cell r="DR28">
            <v>0</v>
          </cell>
          <cell r="DS28">
            <v>-1206</v>
          </cell>
          <cell r="DT28">
            <v>0</v>
          </cell>
          <cell r="DU28">
            <v>7116</v>
          </cell>
          <cell r="DV28">
            <v>1602</v>
          </cell>
          <cell r="DW28">
            <v>0</v>
          </cell>
          <cell r="DX28">
            <v>6079</v>
          </cell>
          <cell r="DY28">
            <v>213</v>
          </cell>
          <cell r="DZ28">
            <v>446</v>
          </cell>
          <cell r="EA28">
            <v>458</v>
          </cell>
          <cell r="EB28">
            <v>13</v>
          </cell>
          <cell r="EC28">
            <v>0</v>
          </cell>
          <cell r="ED28">
            <v>59</v>
          </cell>
          <cell r="EE28">
            <v>18</v>
          </cell>
          <cell r="EF28">
            <v>277</v>
          </cell>
          <cell r="EG28">
            <v>0</v>
          </cell>
          <cell r="EH28">
            <v>50</v>
          </cell>
          <cell r="EI28">
            <v>178</v>
          </cell>
          <cell r="EJ28">
            <v>95</v>
          </cell>
          <cell r="EK28">
            <v>0</v>
          </cell>
          <cell r="EL28">
            <v>8994</v>
          </cell>
          <cell r="EM28">
            <v>2165</v>
          </cell>
          <cell r="EN28">
            <v>2921</v>
          </cell>
          <cell r="EO28">
            <v>8359</v>
          </cell>
          <cell r="EP28">
            <v>3035</v>
          </cell>
          <cell r="EQ28">
            <v>2879</v>
          </cell>
        </row>
        <row r="29">
          <cell r="B29" t="str">
            <v>E6105</v>
          </cell>
          <cell r="C29" t="str">
            <v>Cambridgeshire</v>
          </cell>
          <cell r="D29">
            <v>1</v>
          </cell>
          <cell r="E29">
            <v>3</v>
          </cell>
          <cell r="F29">
            <v>19</v>
          </cell>
          <cell r="G29">
            <v>4</v>
          </cell>
          <cell r="H29">
            <v>1</v>
          </cell>
          <cell r="I29">
            <v>27</v>
          </cell>
          <cell r="J29">
            <v>7</v>
          </cell>
          <cell r="K29">
            <v>3</v>
          </cell>
          <cell r="L29">
            <v>19</v>
          </cell>
          <cell r="M29">
            <v>4</v>
          </cell>
          <cell r="N29">
            <v>1</v>
          </cell>
          <cell r="O29">
            <v>27</v>
          </cell>
          <cell r="P29">
            <v>7</v>
          </cell>
          <cell r="Q29">
            <v>36</v>
          </cell>
          <cell r="R29">
            <v>2</v>
          </cell>
          <cell r="S29">
            <v>5</v>
          </cell>
          <cell r="T29">
            <v>42</v>
          </cell>
          <cell r="U29">
            <v>3</v>
          </cell>
          <cell r="V29">
            <v>88</v>
          </cell>
          <cell r="W29">
            <v>0</v>
          </cell>
          <cell r="X29">
            <v>4</v>
          </cell>
          <cell r="Y29">
            <v>3</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v>12486</v>
          </cell>
          <cell r="AT29">
            <v>2290</v>
          </cell>
          <cell r="AU29">
            <v>0</v>
          </cell>
          <cell r="AV29">
            <v>4990</v>
          </cell>
          <cell r="AW29">
            <v>582</v>
          </cell>
          <cell r="AX29">
            <v>420</v>
          </cell>
          <cell r="AY29">
            <v>20768</v>
          </cell>
          <cell r="AZ29">
            <v>1200</v>
          </cell>
          <cell r="BA29">
            <v>740</v>
          </cell>
          <cell r="BB29">
            <v>4095</v>
          </cell>
          <cell r="BC29">
            <v>89</v>
          </cell>
          <cell r="BD29">
            <v>1603</v>
          </cell>
          <cell r="BE29">
            <v>0</v>
          </cell>
          <cell r="BF29">
            <v>1508</v>
          </cell>
          <cell r="BG29">
            <v>30003</v>
          </cell>
          <cell r="BH29">
            <v>498</v>
          </cell>
          <cell r="BI29">
            <v>827</v>
          </cell>
          <cell r="BJ29">
            <v>0</v>
          </cell>
          <cell r="BK29">
            <v>842</v>
          </cell>
          <cell r="BL29">
            <v>2167</v>
          </cell>
          <cell r="BM29">
            <v>27836</v>
          </cell>
          <cell r="BN29">
            <v>3668</v>
          </cell>
          <cell r="BO29">
            <v>7831</v>
          </cell>
          <cell r="BP29">
            <v>12178</v>
          </cell>
          <cell r="BQ29">
            <v>2547</v>
          </cell>
          <cell r="BR29">
            <v>0</v>
          </cell>
          <cell r="BS29">
            <v>531</v>
          </cell>
          <cell r="BT29">
            <v>201</v>
          </cell>
          <cell r="BU29">
            <v>20643</v>
          </cell>
          <cell r="BV29">
            <v>1346</v>
          </cell>
          <cell r="BW29">
            <v>773</v>
          </cell>
          <cell r="BX29">
            <v>4389</v>
          </cell>
          <cell r="BY29">
            <v>104</v>
          </cell>
          <cell r="BZ29">
            <v>1813</v>
          </cell>
          <cell r="CA29">
            <v>0</v>
          </cell>
          <cell r="CB29">
            <v>1443</v>
          </cell>
          <cell r="CC29">
            <v>30511</v>
          </cell>
          <cell r="CD29">
            <v>468</v>
          </cell>
          <cell r="CE29">
            <v>896</v>
          </cell>
          <cell r="CF29">
            <v>0</v>
          </cell>
          <cell r="CG29">
            <v>523</v>
          </cell>
          <cell r="CH29">
            <v>1887</v>
          </cell>
          <cell r="CI29">
            <v>28624</v>
          </cell>
          <cell r="CJ29">
            <v>3734</v>
          </cell>
          <cell r="CK29">
            <v>8747</v>
          </cell>
          <cell r="CL29">
            <v>0</v>
          </cell>
          <cell r="CM29">
            <v>0</v>
          </cell>
          <cell r="CN29">
            <v>17.8</v>
          </cell>
          <cell r="CO29">
            <v>364</v>
          </cell>
          <cell r="CP29">
            <v>5474</v>
          </cell>
          <cell r="CQ29">
            <v>3667</v>
          </cell>
          <cell r="CR29">
            <v>19245</v>
          </cell>
          <cell r="CS29">
            <v>238</v>
          </cell>
          <cell r="CT29">
            <v>28624</v>
          </cell>
          <cell r="CU29">
            <v>1642</v>
          </cell>
          <cell r="CV29">
            <v>27082</v>
          </cell>
          <cell r="CW29">
            <v>427</v>
          </cell>
          <cell r="CX29">
            <v>2200</v>
          </cell>
          <cell r="CY29">
            <v>153</v>
          </cell>
          <cell r="CZ29">
            <v>31504</v>
          </cell>
          <cell r="DA29">
            <v>998</v>
          </cell>
          <cell r="DB29">
            <v>2395</v>
          </cell>
          <cell r="DC29">
            <v>75</v>
          </cell>
          <cell r="DD29">
            <v>1497</v>
          </cell>
          <cell r="DE29">
            <v>25</v>
          </cell>
          <cell r="DF29">
            <v>4990</v>
          </cell>
          <cell r="DG29">
            <v>-127</v>
          </cell>
          <cell r="DH29">
            <v>0</v>
          </cell>
          <cell r="DI29">
            <v>-1325</v>
          </cell>
          <cell r="DJ29">
            <v>0</v>
          </cell>
          <cell r="DK29">
            <v>6340</v>
          </cell>
          <cell r="DL29">
            <v>713</v>
          </cell>
          <cell r="DM29">
            <v>0</v>
          </cell>
          <cell r="DN29">
            <v>4004</v>
          </cell>
          <cell r="DO29">
            <v>576</v>
          </cell>
          <cell r="DP29">
            <v>-1587</v>
          </cell>
          <cell r="DQ29">
            <v>-128</v>
          </cell>
          <cell r="DR29">
            <v>0</v>
          </cell>
          <cell r="DS29">
            <v>-1242</v>
          </cell>
          <cell r="DT29">
            <v>0</v>
          </cell>
          <cell r="DU29">
            <v>6624</v>
          </cell>
          <cell r="DV29">
            <v>1031</v>
          </cell>
          <cell r="DW29">
            <v>0</v>
          </cell>
          <cell r="DX29">
            <v>4698</v>
          </cell>
          <cell r="DY29">
            <v>611</v>
          </cell>
          <cell r="DZ29">
            <v>413</v>
          </cell>
          <cell r="EA29">
            <v>426</v>
          </cell>
          <cell r="EB29">
            <v>8</v>
          </cell>
          <cell r="EC29">
            <v>0</v>
          </cell>
          <cell r="ED29">
            <v>55</v>
          </cell>
          <cell r="EE29">
            <v>9</v>
          </cell>
          <cell r="EF29">
            <v>345</v>
          </cell>
          <cell r="EG29">
            <v>37</v>
          </cell>
          <cell r="EH29">
            <v>19</v>
          </cell>
          <cell r="EI29">
            <v>182</v>
          </cell>
          <cell r="EJ29">
            <v>118</v>
          </cell>
          <cell r="EK29">
            <v>25</v>
          </cell>
          <cell r="EL29">
            <v>9593</v>
          </cell>
          <cell r="EM29">
            <v>2423</v>
          </cell>
          <cell r="EN29">
            <v>336</v>
          </cell>
          <cell r="EO29">
            <v>10033</v>
          </cell>
          <cell r="EP29">
            <v>2471</v>
          </cell>
          <cell r="EQ29">
            <v>371</v>
          </cell>
        </row>
        <row r="30">
          <cell r="B30" t="str">
            <v>E6106</v>
          </cell>
          <cell r="C30" t="str">
            <v>Cheshire</v>
          </cell>
          <cell r="D30">
            <v>1</v>
          </cell>
          <cell r="E30">
            <v>7</v>
          </cell>
          <cell r="F30">
            <v>11</v>
          </cell>
          <cell r="G30">
            <v>10</v>
          </cell>
          <cell r="H30">
            <v>0</v>
          </cell>
          <cell r="I30">
            <v>28</v>
          </cell>
          <cell r="J30">
            <v>6</v>
          </cell>
          <cell r="K30">
            <v>8</v>
          </cell>
          <cell r="L30">
            <v>11</v>
          </cell>
          <cell r="M30">
            <v>9</v>
          </cell>
          <cell r="N30">
            <v>0</v>
          </cell>
          <cell r="O30">
            <v>28</v>
          </cell>
          <cell r="P30">
            <v>7</v>
          </cell>
          <cell r="Q30">
            <v>37</v>
          </cell>
          <cell r="R30">
            <v>3</v>
          </cell>
          <cell r="S30">
            <v>10</v>
          </cell>
          <cell r="T30">
            <v>34</v>
          </cell>
          <cell r="U30">
            <v>14</v>
          </cell>
          <cell r="V30">
            <v>98</v>
          </cell>
          <cell r="W30">
            <v>131</v>
          </cell>
          <cell r="X30">
            <v>11</v>
          </cell>
          <cell r="Y30">
            <v>4</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v>18647</v>
          </cell>
          <cell r="AT30">
            <v>2749</v>
          </cell>
          <cell r="AU30">
            <v>0</v>
          </cell>
          <cell r="AV30">
            <v>7308</v>
          </cell>
          <cell r="AW30">
            <v>412</v>
          </cell>
          <cell r="AX30">
            <v>336</v>
          </cell>
          <cell r="AY30">
            <v>29452</v>
          </cell>
          <cell r="AZ30">
            <v>2741</v>
          </cell>
          <cell r="BA30">
            <v>1170</v>
          </cell>
          <cell r="BB30">
            <v>4272</v>
          </cell>
          <cell r="BC30">
            <v>133</v>
          </cell>
          <cell r="BD30">
            <v>810</v>
          </cell>
          <cell r="BE30">
            <v>1011</v>
          </cell>
          <cell r="BF30">
            <v>1096</v>
          </cell>
          <cell r="BG30">
            <v>40685</v>
          </cell>
          <cell r="BH30">
            <v>444</v>
          </cell>
          <cell r="BI30">
            <v>0</v>
          </cell>
          <cell r="BJ30">
            <v>0</v>
          </cell>
          <cell r="BK30">
            <v>1876</v>
          </cell>
          <cell r="BL30">
            <v>2320</v>
          </cell>
          <cell r="BM30">
            <v>38365</v>
          </cell>
          <cell r="BN30">
            <v>2337</v>
          </cell>
          <cell r="BO30">
            <v>-2961</v>
          </cell>
          <cell r="BP30">
            <v>19749</v>
          </cell>
          <cell r="BQ30">
            <v>3503</v>
          </cell>
          <cell r="BR30">
            <v>0</v>
          </cell>
          <cell r="BS30">
            <v>753</v>
          </cell>
          <cell r="BT30">
            <v>273</v>
          </cell>
          <cell r="BU30">
            <v>29978</v>
          </cell>
          <cell r="BV30">
            <v>2804</v>
          </cell>
          <cell r="BW30">
            <v>1413</v>
          </cell>
          <cell r="BX30">
            <v>4179</v>
          </cell>
          <cell r="BY30">
            <v>150</v>
          </cell>
          <cell r="BZ30">
            <v>835</v>
          </cell>
          <cell r="CA30">
            <v>2690</v>
          </cell>
          <cell r="CB30">
            <v>941</v>
          </cell>
          <cell r="CC30">
            <v>42990</v>
          </cell>
          <cell r="CD30">
            <v>134</v>
          </cell>
          <cell r="CE30">
            <v>0</v>
          </cell>
          <cell r="CF30">
            <v>0</v>
          </cell>
          <cell r="CG30">
            <v>1268</v>
          </cell>
          <cell r="CH30">
            <v>1402</v>
          </cell>
          <cell r="CI30">
            <v>41588</v>
          </cell>
          <cell r="CJ30">
            <v>2900</v>
          </cell>
          <cell r="CK30">
            <v>0</v>
          </cell>
          <cell r="CL30">
            <v>0</v>
          </cell>
          <cell r="CM30">
            <v>1349</v>
          </cell>
          <cell r="CN30">
            <v>18.3</v>
          </cell>
          <cell r="CO30">
            <v>574</v>
          </cell>
          <cell r="CP30">
            <v>4513</v>
          </cell>
          <cell r="CQ30">
            <v>9608</v>
          </cell>
          <cell r="CR30">
            <v>27735</v>
          </cell>
          <cell r="CS30">
            <v>-30</v>
          </cell>
          <cell r="CT30">
            <v>41826</v>
          </cell>
          <cell r="CU30">
            <v>11813</v>
          </cell>
          <cell r="CV30">
            <v>27864</v>
          </cell>
          <cell r="CW30">
            <v>0</v>
          </cell>
          <cell r="CX30">
            <v>1025</v>
          </cell>
          <cell r="CY30">
            <v>0</v>
          </cell>
          <cell r="CZ30">
            <v>40702</v>
          </cell>
          <cell r="DA30">
            <v>658</v>
          </cell>
          <cell r="DB30">
            <v>4302</v>
          </cell>
          <cell r="DC30">
            <v>0</v>
          </cell>
          <cell r="DD30">
            <v>53</v>
          </cell>
          <cell r="DE30">
            <v>0</v>
          </cell>
          <cell r="DF30">
            <v>5013</v>
          </cell>
          <cell r="DG30">
            <v>0</v>
          </cell>
          <cell r="DH30">
            <v>0</v>
          </cell>
          <cell r="DI30">
            <v>-2023</v>
          </cell>
          <cell r="DJ30">
            <v>-592</v>
          </cell>
          <cell r="DK30">
            <v>12405</v>
          </cell>
          <cell r="DL30">
            <v>3102</v>
          </cell>
          <cell r="DM30">
            <v>0</v>
          </cell>
          <cell r="DN30">
            <v>10458</v>
          </cell>
          <cell r="DO30">
            <v>291</v>
          </cell>
          <cell r="DP30">
            <v>-2452</v>
          </cell>
          <cell r="DQ30">
            <v>-80</v>
          </cell>
          <cell r="DR30">
            <v>0</v>
          </cell>
          <cell r="DS30">
            <v>-2087</v>
          </cell>
          <cell r="DT30">
            <v>0</v>
          </cell>
          <cell r="DU30">
            <v>13010</v>
          </cell>
          <cell r="DV30">
            <v>2538</v>
          </cell>
          <cell r="DW30">
            <v>0</v>
          </cell>
          <cell r="DX30">
            <v>10929</v>
          </cell>
          <cell r="DY30">
            <v>328</v>
          </cell>
          <cell r="DZ30">
            <v>826</v>
          </cell>
          <cell r="EA30">
            <v>846</v>
          </cell>
          <cell r="EB30">
            <v>29</v>
          </cell>
          <cell r="EC30">
            <v>0</v>
          </cell>
          <cell r="ED30">
            <v>76</v>
          </cell>
          <cell r="EE30">
            <v>16</v>
          </cell>
          <cell r="EF30">
            <v>503</v>
          </cell>
          <cell r="EG30">
            <v>13</v>
          </cell>
          <cell r="EH30">
            <v>71</v>
          </cell>
          <cell r="EI30">
            <v>170</v>
          </cell>
          <cell r="EJ30">
            <v>53</v>
          </cell>
          <cell r="EK30">
            <v>13</v>
          </cell>
          <cell r="EL30">
            <v>19741</v>
          </cell>
          <cell r="EM30">
            <v>7987</v>
          </cell>
          <cell r="EN30">
            <v>585</v>
          </cell>
          <cell r="EO30">
            <v>19607</v>
          </cell>
          <cell r="EP30">
            <v>8211</v>
          </cell>
          <cell r="EQ30">
            <v>708</v>
          </cell>
        </row>
        <row r="31">
          <cell r="B31" t="str">
            <v>E6107</v>
          </cell>
          <cell r="C31" t="str">
            <v>Cleveland</v>
          </cell>
          <cell r="D31">
            <v>1</v>
          </cell>
          <cell r="E31">
            <v>6</v>
          </cell>
          <cell r="F31">
            <v>6</v>
          </cell>
          <cell r="G31">
            <v>2</v>
          </cell>
          <cell r="H31">
            <v>0</v>
          </cell>
          <cell r="I31">
            <v>14</v>
          </cell>
          <cell r="J31">
            <v>3</v>
          </cell>
          <cell r="K31">
            <v>6</v>
          </cell>
          <cell r="L31">
            <v>6</v>
          </cell>
          <cell r="M31">
            <v>2</v>
          </cell>
          <cell r="N31">
            <v>0</v>
          </cell>
          <cell r="O31">
            <v>14</v>
          </cell>
          <cell r="P31">
            <v>4</v>
          </cell>
          <cell r="Q31">
            <v>19</v>
          </cell>
          <cell r="R31">
            <v>4</v>
          </cell>
          <cell r="S31">
            <v>9</v>
          </cell>
          <cell r="T31">
            <v>20</v>
          </cell>
          <cell r="U31">
            <v>5</v>
          </cell>
          <cell r="V31">
            <v>57</v>
          </cell>
          <cell r="W31">
            <v>37</v>
          </cell>
          <cell r="X31">
            <v>6</v>
          </cell>
          <cell r="Y31">
            <v>2</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v>14876</v>
          </cell>
          <cell r="AT31">
            <v>1014</v>
          </cell>
          <cell r="AU31">
            <v>895</v>
          </cell>
          <cell r="AV31">
            <v>3353</v>
          </cell>
          <cell r="AW31">
            <v>1096</v>
          </cell>
          <cell r="AX31">
            <v>578</v>
          </cell>
          <cell r="AY31">
            <v>21812</v>
          </cell>
          <cell r="AZ31">
            <v>1654</v>
          </cell>
          <cell r="BA31">
            <v>894</v>
          </cell>
          <cell r="BB31">
            <v>2278</v>
          </cell>
          <cell r="BC31">
            <v>428</v>
          </cell>
          <cell r="BD31">
            <v>0</v>
          </cell>
          <cell r="BE31">
            <v>0</v>
          </cell>
          <cell r="BF31">
            <v>0</v>
          </cell>
          <cell r="BG31">
            <v>27066</v>
          </cell>
          <cell r="BH31">
            <v>488</v>
          </cell>
          <cell r="BI31">
            <v>0</v>
          </cell>
          <cell r="BJ31">
            <v>0</v>
          </cell>
          <cell r="BK31">
            <v>1029</v>
          </cell>
          <cell r="BL31">
            <v>1517</v>
          </cell>
          <cell r="BM31">
            <v>25549</v>
          </cell>
          <cell r="BN31">
            <v>726</v>
          </cell>
          <cell r="BO31">
            <v>3352</v>
          </cell>
          <cell r="BP31">
            <v>15633</v>
          </cell>
          <cell r="BQ31">
            <v>1100</v>
          </cell>
          <cell r="BR31">
            <v>838</v>
          </cell>
          <cell r="BS31">
            <v>323</v>
          </cell>
          <cell r="BT31">
            <v>518</v>
          </cell>
          <cell r="BU31">
            <v>22254</v>
          </cell>
          <cell r="BV31">
            <v>1763</v>
          </cell>
          <cell r="BW31">
            <v>736</v>
          </cell>
          <cell r="BX31">
            <v>2082</v>
          </cell>
          <cell r="BY31">
            <v>397</v>
          </cell>
          <cell r="BZ31">
            <v>0</v>
          </cell>
          <cell r="CA31">
            <v>0</v>
          </cell>
          <cell r="CB31">
            <v>0</v>
          </cell>
          <cell r="CC31">
            <v>27232</v>
          </cell>
          <cell r="CD31">
            <v>215</v>
          </cell>
          <cell r="CE31">
            <v>0</v>
          </cell>
          <cell r="CF31">
            <v>0</v>
          </cell>
          <cell r="CG31">
            <v>1011</v>
          </cell>
          <cell r="CH31">
            <v>1226</v>
          </cell>
          <cell r="CI31">
            <v>26006</v>
          </cell>
          <cell r="CJ31">
            <v>838</v>
          </cell>
          <cell r="CK31">
            <v>3352</v>
          </cell>
          <cell r="CL31">
            <v>0</v>
          </cell>
          <cell r="CM31">
            <v>0</v>
          </cell>
          <cell r="CN31">
            <v>16.100000000000001</v>
          </cell>
          <cell r="CO31">
            <v>54</v>
          </cell>
          <cell r="CP31">
            <v>13012</v>
          </cell>
          <cell r="CQ31">
            <v>1821</v>
          </cell>
          <cell r="CR31">
            <v>11368</v>
          </cell>
          <cell r="CS31">
            <v>185</v>
          </cell>
          <cell r="CT31">
            <v>26386</v>
          </cell>
          <cell r="CU31">
            <v>3901</v>
          </cell>
          <cell r="CV31">
            <v>22172</v>
          </cell>
          <cell r="CW31">
            <v>0</v>
          </cell>
          <cell r="CX31">
            <v>202</v>
          </cell>
          <cell r="CY31">
            <v>0</v>
          </cell>
          <cell r="CZ31">
            <v>26275</v>
          </cell>
          <cell r="DA31">
            <v>608</v>
          </cell>
          <cell r="DB31">
            <v>5672</v>
          </cell>
          <cell r="DC31">
            <v>0</v>
          </cell>
          <cell r="DD31">
            <v>0</v>
          </cell>
          <cell r="DE31">
            <v>0</v>
          </cell>
          <cell r="DF31">
            <v>6280</v>
          </cell>
          <cell r="DG31">
            <v>0</v>
          </cell>
          <cell r="DH31">
            <v>0</v>
          </cell>
          <cell r="DI31">
            <v>-1401</v>
          </cell>
          <cell r="DJ31">
            <v>-64</v>
          </cell>
          <cell r="DK31">
            <v>12059</v>
          </cell>
          <cell r="DL31">
            <v>2968</v>
          </cell>
          <cell r="DM31">
            <v>136</v>
          </cell>
          <cell r="DN31">
            <v>11932</v>
          </cell>
          <cell r="DO31">
            <v>221</v>
          </cell>
          <cell r="DP31">
            <v>-1661</v>
          </cell>
          <cell r="DQ31">
            <v>-20</v>
          </cell>
          <cell r="DR31">
            <v>0</v>
          </cell>
          <cell r="DS31">
            <v>-1295</v>
          </cell>
          <cell r="DT31">
            <v>-50</v>
          </cell>
          <cell r="DU31">
            <v>12898</v>
          </cell>
          <cell r="DV31">
            <v>3297</v>
          </cell>
          <cell r="DW31">
            <v>50</v>
          </cell>
          <cell r="DX31">
            <v>13219</v>
          </cell>
          <cell r="DY31">
            <v>222</v>
          </cell>
          <cell r="DZ31">
            <v>669</v>
          </cell>
          <cell r="EA31">
            <v>679</v>
          </cell>
          <cell r="EB31">
            <v>21</v>
          </cell>
          <cell r="EC31">
            <v>0</v>
          </cell>
          <cell r="ED31">
            <v>91</v>
          </cell>
          <cell r="EE31">
            <v>0</v>
          </cell>
          <cell r="EF31">
            <v>259</v>
          </cell>
          <cell r="EG31">
            <v>10</v>
          </cell>
          <cell r="EH31">
            <v>0</v>
          </cell>
          <cell r="EI31">
            <v>0</v>
          </cell>
          <cell r="EJ31">
            <v>0</v>
          </cell>
          <cell r="EK31">
            <v>0</v>
          </cell>
          <cell r="EL31">
            <v>11212</v>
          </cell>
          <cell r="EM31">
            <v>1552</v>
          </cell>
          <cell r="EN31">
            <v>0</v>
          </cell>
          <cell r="EO31">
            <v>8331</v>
          </cell>
          <cell r="EP31">
            <v>1552</v>
          </cell>
          <cell r="EQ31">
            <v>0</v>
          </cell>
        </row>
        <row r="32">
          <cell r="B32" t="str">
            <v>E6110</v>
          </cell>
          <cell r="C32" t="str">
            <v>Derbyshire</v>
          </cell>
          <cell r="D32">
            <v>1</v>
          </cell>
          <cell r="E32">
            <v>4</v>
          </cell>
          <cell r="F32">
            <v>19</v>
          </cell>
          <cell r="G32">
            <v>8</v>
          </cell>
          <cell r="H32">
            <v>0</v>
          </cell>
          <cell r="I32">
            <v>31</v>
          </cell>
          <cell r="J32">
            <v>7</v>
          </cell>
          <cell r="K32">
            <v>4</v>
          </cell>
          <cell r="L32">
            <v>19</v>
          </cell>
          <cell r="M32">
            <v>8</v>
          </cell>
          <cell r="N32">
            <v>0</v>
          </cell>
          <cell r="O32">
            <v>31</v>
          </cell>
          <cell r="P32">
            <v>10</v>
          </cell>
          <cell r="Q32">
            <v>41</v>
          </cell>
          <cell r="R32">
            <v>3</v>
          </cell>
          <cell r="S32">
            <v>5</v>
          </cell>
          <cell r="T32">
            <v>40</v>
          </cell>
          <cell r="U32">
            <v>15</v>
          </cell>
          <cell r="V32">
            <v>104</v>
          </cell>
          <cell r="W32">
            <v>132</v>
          </cell>
          <cell r="X32">
            <v>4</v>
          </cell>
          <cell r="Y32">
            <v>8</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v>16533</v>
          </cell>
          <cell r="AT32">
            <v>2999</v>
          </cell>
          <cell r="AU32">
            <v>1014</v>
          </cell>
          <cell r="AV32">
            <v>6333</v>
          </cell>
          <cell r="AW32">
            <v>372</v>
          </cell>
          <cell r="AX32">
            <v>303</v>
          </cell>
          <cell r="AY32">
            <v>27554</v>
          </cell>
          <cell r="AZ32">
            <v>2884</v>
          </cell>
          <cell r="BA32">
            <v>1240</v>
          </cell>
          <cell r="BB32">
            <v>3218</v>
          </cell>
          <cell r="BC32">
            <v>525</v>
          </cell>
          <cell r="BD32">
            <v>0</v>
          </cell>
          <cell r="BE32">
            <v>0</v>
          </cell>
          <cell r="BF32">
            <v>0</v>
          </cell>
          <cell r="BG32">
            <v>35421</v>
          </cell>
          <cell r="BH32">
            <v>254</v>
          </cell>
          <cell r="BI32">
            <v>0</v>
          </cell>
          <cell r="BJ32">
            <v>0</v>
          </cell>
          <cell r="BK32">
            <v>517</v>
          </cell>
          <cell r="BL32">
            <v>771</v>
          </cell>
          <cell r="BM32">
            <v>34650</v>
          </cell>
          <cell r="BN32">
            <v>1153</v>
          </cell>
          <cell r="BO32">
            <v>12431</v>
          </cell>
          <cell r="BP32">
            <v>17525</v>
          </cell>
          <cell r="BQ32">
            <v>3403</v>
          </cell>
          <cell r="BR32">
            <v>1021</v>
          </cell>
          <cell r="BS32">
            <v>440</v>
          </cell>
          <cell r="BT32">
            <v>300</v>
          </cell>
          <cell r="BU32">
            <v>28966</v>
          </cell>
          <cell r="BV32">
            <v>2962</v>
          </cell>
          <cell r="BW32">
            <v>1297</v>
          </cell>
          <cell r="BX32">
            <v>3378</v>
          </cell>
          <cell r="BY32">
            <v>508</v>
          </cell>
          <cell r="BZ32">
            <v>0</v>
          </cell>
          <cell r="CA32">
            <v>0</v>
          </cell>
          <cell r="CB32">
            <v>0</v>
          </cell>
          <cell r="CC32">
            <v>37111</v>
          </cell>
          <cell r="CD32">
            <v>179</v>
          </cell>
          <cell r="CE32">
            <v>0</v>
          </cell>
          <cell r="CF32">
            <v>0</v>
          </cell>
          <cell r="CG32">
            <v>452</v>
          </cell>
          <cell r="CH32">
            <v>631</v>
          </cell>
          <cell r="CI32">
            <v>36480</v>
          </cell>
          <cell r="CJ32">
            <v>1198</v>
          </cell>
          <cell r="CK32">
            <v>12431</v>
          </cell>
          <cell r="CL32">
            <v>0</v>
          </cell>
          <cell r="CM32">
            <v>28</v>
          </cell>
          <cell r="CN32">
            <v>12.8</v>
          </cell>
          <cell r="CO32">
            <v>167</v>
          </cell>
          <cell r="CP32">
            <v>0</v>
          </cell>
          <cell r="CQ32">
            <v>14391</v>
          </cell>
          <cell r="CR32">
            <v>23092</v>
          </cell>
          <cell r="CS32">
            <v>195</v>
          </cell>
          <cell r="CT32">
            <v>37678</v>
          </cell>
          <cell r="CU32">
            <v>5627</v>
          </cell>
          <cell r="CV32">
            <v>28330</v>
          </cell>
          <cell r="CW32">
            <v>135</v>
          </cell>
          <cell r="CX32">
            <v>559</v>
          </cell>
          <cell r="CY32">
            <v>1152</v>
          </cell>
          <cell r="CZ32">
            <v>35803</v>
          </cell>
          <cell r="DA32">
            <v>401</v>
          </cell>
          <cell r="DB32">
            <v>2072</v>
          </cell>
          <cell r="DC32">
            <v>12</v>
          </cell>
          <cell r="DD32">
            <v>76</v>
          </cell>
          <cell r="DE32">
            <v>-19</v>
          </cell>
          <cell r="DF32">
            <v>2542</v>
          </cell>
          <cell r="DG32">
            <v>-311</v>
          </cell>
          <cell r="DH32">
            <v>0</v>
          </cell>
          <cell r="DI32">
            <v>-1479</v>
          </cell>
          <cell r="DJ32">
            <v>-95</v>
          </cell>
          <cell r="DK32">
            <v>10776</v>
          </cell>
          <cell r="DL32">
            <v>1268</v>
          </cell>
          <cell r="DM32">
            <v>5</v>
          </cell>
          <cell r="DN32">
            <v>7964</v>
          </cell>
          <cell r="DO32">
            <v>461</v>
          </cell>
          <cell r="DP32">
            <v>-2145</v>
          </cell>
          <cell r="DQ32">
            <v>-300</v>
          </cell>
          <cell r="DR32">
            <v>0</v>
          </cell>
          <cell r="DS32">
            <v>-1770</v>
          </cell>
          <cell r="DT32">
            <v>0</v>
          </cell>
          <cell r="DU32">
            <v>11120</v>
          </cell>
          <cell r="DV32">
            <v>1800</v>
          </cell>
          <cell r="DW32">
            <v>0</v>
          </cell>
          <cell r="DX32">
            <v>8705</v>
          </cell>
          <cell r="DY32">
            <v>480</v>
          </cell>
          <cell r="DZ32">
            <v>718</v>
          </cell>
          <cell r="EA32">
            <v>730</v>
          </cell>
          <cell r="EB32">
            <v>6</v>
          </cell>
          <cell r="EC32">
            <v>2</v>
          </cell>
          <cell r="ED32">
            <v>65</v>
          </cell>
          <cell r="EE32">
            <v>6</v>
          </cell>
          <cell r="EF32">
            <v>465</v>
          </cell>
          <cell r="EG32">
            <v>0</v>
          </cell>
          <cell r="EH32">
            <v>39</v>
          </cell>
          <cell r="EI32">
            <v>207</v>
          </cell>
          <cell r="EJ32">
            <v>30</v>
          </cell>
          <cell r="EK32">
            <v>0</v>
          </cell>
          <cell r="EL32">
            <v>22068</v>
          </cell>
          <cell r="EM32">
            <v>2500</v>
          </cell>
          <cell r="EN32">
            <v>246</v>
          </cell>
          <cell r="EO32">
            <v>20962</v>
          </cell>
          <cell r="EP32">
            <v>2500</v>
          </cell>
          <cell r="EQ32">
            <v>389</v>
          </cell>
        </row>
        <row r="33">
          <cell r="B33" t="str">
            <v>E6161</v>
          </cell>
          <cell r="C33" t="str">
            <v>Devon and Somerset</v>
          </cell>
          <cell r="D33">
            <v>1</v>
          </cell>
          <cell r="E33">
            <v>3</v>
          </cell>
          <cell r="F33">
            <v>71</v>
          </cell>
          <cell r="G33">
            <v>9</v>
          </cell>
          <cell r="H33">
            <v>2</v>
          </cell>
          <cell r="I33">
            <v>85</v>
          </cell>
          <cell r="J33">
            <v>11</v>
          </cell>
          <cell r="K33">
            <v>3</v>
          </cell>
          <cell r="L33">
            <v>71</v>
          </cell>
          <cell r="M33">
            <v>9</v>
          </cell>
          <cell r="N33">
            <v>2</v>
          </cell>
          <cell r="O33">
            <v>85</v>
          </cell>
          <cell r="P33">
            <v>11</v>
          </cell>
          <cell r="Q33">
            <v>128</v>
          </cell>
          <cell r="R33">
            <v>7</v>
          </cell>
          <cell r="S33">
            <v>65</v>
          </cell>
          <cell r="T33">
            <v>101</v>
          </cell>
          <cell r="U33">
            <v>13</v>
          </cell>
          <cell r="V33">
            <v>314</v>
          </cell>
          <cell r="W33">
            <v>195</v>
          </cell>
          <cell r="X33">
            <v>21</v>
          </cell>
          <cell r="Y33">
            <v>10</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v>28481</v>
          </cell>
          <cell r="AT33">
            <v>13108</v>
          </cell>
          <cell r="AU33">
            <v>1513</v>
          </cell>
          <cell r="AV33">
            <v>9082</v>
          </cell>
          <cell r="AW33">
            <v>3179</v>
          </cell>
          <cell r="AX33">
            <v>581</v>
          </cell>
          <cell r="AY33">
            <v>55944</v>
          </cell>
          <cell r="AZ33">
            <v>4015</v>
          </cell>
          <cell r="BA33">
            <v>4423</v>
          </cell>
          <cell r="BB33">
            <v>6644</v>
          </cell>
          <cell r="BC33">
            <v>793</v>
          </cell>
          <cell r="BD33">
            <v>0</v>
          </cell>
          <cell r="BE33">
            <v>163</v>
          </cell>
          <cell r="BF33">
            <v>50</v>
          </cell>
          <cell r="BG33">
            <v>72032</v>
          </cell>
          <cell r="BH33">
            <v>4529</v>
          </cell>
          <cell r="BI33">
            <v>0</v>
          </cell>
          <cell r="BJ33">
            <v>196</v>
          </cell>
          <cell r="BK33">
            <v>1048</v>
          </cell>
          <cell r="BL33">
            <v>5773</v>
          </cell>
          <cell r="BM33">
            <v>66259</v>
          </cell>
          <cell r="BN33">
            <v>7714</v>
          </cell>
          <cell r="BO33">
            <v>8855</v>
          </cell>
          <cell r="BP33">
            <v>28268</v>
          </cell>
          <cell r="BQ33">
            <v>13610</v>
          </cell>
          <cell r="BR33">
            <v>1597</v>
          </cell>
          <cell r="BS33">
            <v>3512</v>
          </cell>
          <cell r="BT33">
            <v>302</v>
          </cell>
          <cell r="BU33">
            <v>56551</v>
          </cell>
          <cell r="BV33">
            <v>3833</v>
          </cell>
          <cell r="BW33">
            <v>4408</v>
          </cell>
          <cell r="BX33">
            <v>7117</v>
          </cell>
          <cell r="BY33">
            <v>625</v>
          </cell>
          <cell r="BZ33">
            <v>0</v>
          </cell>
          <cell r="CA33">
            <v>55</v>
          </cell>
          <cell r="CB33">
            <v>0</v>
          </cell>
          <cell r="CC33">
            <v>72589</v>
          </cell>
          <cell r="CD33">
            <v>2648</v>
          </cell>
          <cell r="CE33">
            <v>0</v>
          </cell>
          <cell r="CF33">
            <v>184</v>
          </cell>
          <cell r="CG33">
            <v>512</v>
          </cell>
          <cell r="CH33">
            <v>3344</v>
          </cell>
          <cell r="CI33">
            <v>69245</v>
          </cell>
          <cell r="CJ33">
            <v>6456</v>
          </cell>
          <cell r="CK33">
            <v>8992</v>
          </cell>
          <cell r="CL33" t="str">
            <v>..</v>
          </cell>
          <cell r="CM33">
            <v>196</v>
          </cell>
          <cell r="CN33">
            <v>19.600000000000001</v>
          </cell>
          <cell r="CO33" t="str">
            <v>..</v>
          </cell>
          <cell r="CP33">
            <v>17448</v>
          </cell>
          <cell r="CQ33">
            <v>5407</v>
          </cell>
          <cell r="CR33">
            <v>50329</v>
          </cell>
          <cell r="CS33">
            <v>687</v>
          </cell>
          <cell r="CT33">
            <v>73871</v>
          </cell>
          <cell r="CU33">
            <v>3527</v>
          </cell>
          <cell r="CV33">
            <v>69235</v>
          </cell>
          <cell r="CW33">
            <v>0</v>
          </cell>
          <cell r="CX33">
            <v>1211</v>
          </cell>
          <cell r="CY33">
            <v>0</v>
          </cell>
          <cell r="CZ33">
            <v>73973</v>
          </cell>
          <cell r="DA33">
            <v>965</v>
          </cell>
          <cell r="DB33">
            <v>19668</v>
          </cell>
          <cell r="DC33">
            <v>0</v>
          </cell>
          <cell r="DD33">
            <v>344</v>
          </cell>
          <cell r="DE33">
            <v>0</v>
          </cell>
          <cell r="DF33">
            <v>20977</v>
          </cell>
          <cell r="DG33">
            <v>-363</v>
          </cell>
          <cell r="DH33">
            <v>0</v>
          </cell>
          <cell r="DI33">
            <v>-3860</v>
          </cell>
          <cell r="DJ33">
            <v>-21</v>
          </cell>
          <cell r="DK33">
            <v>16328</v>
          </cell>
          <cell r="DL33">
            <v>3167</v>
          </cell>
          <cell r="DM33">
            <v>8</v>
          </cell>
          <cell r="DN33">
            <v>10591</v>
          </cell>
          <cell r="DO33">
            <v>2221</v>
          </cell>
          <cell r="DP33">
            <v>-4797</v>
          </cell>
          <cell r="DQ33">
            <v>-259</v>
          </cell>
          <cell r="DR33">
            <v>0</v>
          </cell>
          <cell r="DS33">
            <v>-3935</v>
          </cell>
          <cell r="DT33">
            <v>0</v>
          </cell>
          <cell r="DU33">
            <v>16981</v>
          </cell>
          <cell r="DV33">
            <v>3521</v>
          </cell>
          <cell r="DW33">
            <v>0</v>
          </cell>
          <cell r="DX33">
            <v>11511</v>
          </cell>
          <cell r="DY33">
            <v>2292</v>
          </cell>
          <cell r="DZ33">
            <v>1275</v>
          </cell>
          <cell r="EA33">
            <v>1296</v>
          </cell>
          <cell r="EB33">
            <v>21</v>
          </cell>
          <cell r="EC33">
            <v>7</v>
          </cell>
          <cell r="ED33">
            <v>188</v>
          </cell>
          <cell r="EE33">
            <v>73</v>
          </cell>
          <cell r="EF33">
            <v>1293</v>
          </cell>
          <cell r="EG33">
            <v>97</v>
          </cell>
          <cell r="EH33">
            <v>70</v>
          </cell>
          <cell r="EI33">
            <v>575</v>
          </cell>
          <cell r="EJ33">
            <v>188</v>
          </cell>
          <cell r="EK33">
            <v>107</v>
          </cell>
          <cell r="EL33">
            <v>24529</v>
          </cell>
          <cell r="EM33">
            <v>5282</v>
          </cell>
          <cell r="EN33">
            <v>1349</v>
          </cell>
          <cell r="EO33">
            <v>29985</v>
          </cell>
          <cell r="EP33">
            <v>5319</v>
          </cell>
          <cell r="EQ33">
            <v>1167</v>
          </cell>
        </row>
        <row r="34">
          <cell r="B34" t="str">
            <v>E6162</v>
          </cell>
          <cell r="C34" t="str">
            <v>Dorset and Wiltshire</v>
          </cell>
          <cell r="D34">
            <v>1</v>
          </cell>
          <cell r="E34">
            <v>3</v>
          </cell>
          <cell r="F34">
            <v>37</v>
          </cell>
          <cell r="G34">
            <v>10</v>
          </cell>
          <cell r="H34">
            <v>0</v>
          </cell>
          <cell r="I34">
            <v>50</v>
          </cell>
          <cell r="J34">
            <v>6</v>
          </cell>
          <cell r="K34">
            <v>3</v>
          </cell>
          <cell r="L34">
            <v>37</v>
          </cell>
          <cell r="M34">
            <v>10</v>
          </cell>
          <cell r="N34">
            <v>0</v>
          </cell>
          <cell r="O34">
            <v>50</v>
          </cell>
          <cell r="P34">
            <v>6</v>
          </cell>
          <cell r="Q34">
            <v>74</v>
          </cell>
          <cell r="R34">
            <v>4</v>
          </cell>
          <cell r="S34">
            <v>51</v>
          </cell>
          <cell r="T34">
            <v>48</v>
          </cell>
          <cell r="U34">
            <v>12</v>
          </cell>
          <cell r="V34">
            <v>189</v>
          </cell>
          <cell r="W34">
            <v>190</v>
          </cell>
          <cell r="X34">
            <v>8</v>
          </cell>
          <cell r="Y34">
            <v>7</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v>21488</v>
          </cell>
          <cell r="AT34">
            <v>6495</v>
          </cell>
          <cell r="AU34">
            <v>1440</v>
          </cell>
          <cell r="AV34">
            <v>8795</v>
          </cell>
          <cell r="AW34">
            <v>366</v>
          </cell>
          <cell r="AX34">
            <v>2764</v>
          </cell>
          <cell r="AY34">
            <v>41348</v>
          </cell>
          <cell r="AZ34">
            <v>3163</v>
          </cell>
          <cell r="BA34">
            <v>1571</v>
          </cell>
          <cell r="BB34">
            <v>5408</v>
          </cell>
          <cell r="BC34">
            <v>1955</v>
          </cell>
          <cell r="BD34">
            <v>0</v>
          </cell>
          <cell r="BE34">
            <v>0</v>
          </cell>
          <cell r="BF34">
            <v>282</v>
          </cell>
          <cell r="BG34">
            <v>53727</v>
          </cell>
          <cell r="BH34">
            <v>2698</v>
          </cell>
          <cell r="BI34">
            <v>0</v>
          </cell>
          <cell r="BJ34">
            <v>0</v>
          </cell>
          <cell r="BK34">
            <v>992</v>
          </cell>
          <cell r="BL34">
            <v>3690</v>
          </cell>
          <cell r="BM34">
            <v>50037</v>
          </cell>
          <cell r="BN34">
            <v>3788</v>
          </cell>
          <cell r="BO34">
            <v>7023</v>
          </cell>
          <cell r="BP34">
            <v>21289</v>
          </cell>
          <cell r="BQ34">
            <v>7416</v>
          </cell>
          <cell r="BR34">
            <v>1503</v>
          </cell>
          <cell r="BS34">
            <v>693</v>
          </cell>
          <cell r="BT34">
            <v>2228</v>
          </cell>
          <cell r="BU34">
            <v>43448</v>
          </cell>
          <cell r="BV34">
            <v>3337</v>
          </cell>
          <cell r="BW34">
            <v>1542</v>
          </cell>
          <cell r="BX34">
            <v>4730</v>
          </cell>
          <cell r="BY34">
            <v>2205</v>
          </cell>
          <cell r="BZ34">
            <v>0</v>
          </cell>
          <cell r="CA34">
            <v>0</v>
          </cell>
          <cell r="CB34">
            <v>122</v>
          </cell>
          <cell r="CC34">
            <v>55384</v>
          </cell>
          <cell r="CD34">
            <v>2603</v>
          </cell>
          <cell r="CE34">
            <v>0</v>
          </cell>
          <cell r="CF34">
            <v>0</v>
          </cell>
          <cell r="CG34">
            <v>931</v>
          </cell>
          <cell r="CH34">
            <v>3534</v>
          </cell>
          <cell r="CI34">
            <v>51850</v>
          </cell>
          <cell r="CJ34">
            <v>0</v>
          </cell>
          <cell r="CK34">
            <v>0</v>
          </cell>
          <cell r="CL34">
            <v>0</v>
          </cell>
          <cell r="CM34">
            <v>38</v>
          </cell>
          <cell r="CN34">
            <v>17.600000000000001</v>
          </cell>
          <cell r="CO34">
            <v>313</v>
          </cell>
          <cell r="CP34">
            <v>9671</v>
          </cell>
          <cell r="CQ34">
            <v>4878</v>
          </cell>
          <cell r="CR34">
            <v>39348</v>
          </cell>
          <cell r="CS34">
            <v>629</v>
          </cell>
          <cell r="CT34">
            <v>54526</v>
          </cell>
          <cell r="CU34">
            <v>6111</v>
          </cell>
          <cell r="CV34">
            <v>40830</v>
          </cell>
          <cell r="CW34">
            <v>3</v>
          </cell>
          <cell r="CX34">
            <v>5046</v>
          </cell>
          <cell r="CY34">
            <v>1835</v>
          </cell>
          <cell r="CZ34">
            <v>53825</v>
          </cell>
          <cell r="DA34">
            <v>0</v>
          </cell>
          <cell r="DB34">
            <v>0</v>
          </cell>
          <cell r="DC34">
            <v>0</v>
          </cell>
          <cell r="DD34">
            <v>0</v>
          </cell>
          <cell r="DE34">
            <v>0</v>
          </cell>
          <cell r="DF34">
            <v>0</v>
          </cell>
          <cell r="DG34">
            <v>-271</v>
          </cell>
          <cell r="DH34">
            <v>0</v>
          </cell>
          <cell r="DI34">
            <v>-2662</v>
          </cell>
          <cell r="DJ34">
            <v>-92</v>
          </cell>
          <cell r="DK34">
            <v>11917</v>
          </cell>
          <cell r="DL34">
            <v>1763</v>
          </cell>
          <cell r="DM34">
            <v>65</v>
          </cell>
          <cell r="DN34">
            <v>7579</v>
          </cell>
          <cell r="DO34">
            <v>1228</v>
          </cell>
          <cell r="DP34">
            <v>-3138</v>
          </cell>
          <cell r="DQ34">
            <v>-50</v>
          </cell>
          <cell r="DR34">
            <v>0</v>
          </cell>
          <cell r="DS34">
            <v>-2666</v>
          </cell>
          <cell r="DT34">
            <v>0</v>
          </cell>
          <cell r="DU34">
            <v>12290</v>
          </cell>
          <cell r="DV34">
            <v>2121</v>
          </cell>
          <cell r="DW34">
            <v>0</v>
          </cell>
          <cell r="DX34">
            <v>8557</v>
          </cell>
          <cell r="DY34">
            <v>1258</v>
          </cell>
          <cell r="DZ34">
            <v>870</v>
          </cell>
          <cell r="EA34">
            <v>895</v>
          </cell>
          <cell r="EB34">
            <v>20</v>
          </cell>
          <cell r="EC34">
            <v>3</v>
          </cell>
          <cell r="ED34">
            <v>117</v>
          </cell>
          <cell r="EE34">
            <v>47</v>
          </cell>
          <cell r="EF34">
            <v>759</v>
          </cell>
          <cell r="EG34">
            <v>125</v>
          </cell>
          <cell r="EH34">
            <v>70</v>
          </cell>
          <cell r="EI34">
            <v>324</v>
          </cell>
          <cell r="EJ34">
            <v>45</v>
          </cell>
          <cell r="EK34">
            <v>38</v>
          </cell>
          <cell r="EL34">
            <v>17477</v>
          </cell>
          <cell r="EM34">
            <v>10124</v>
          </cell>
          <cell r="EN34">
            <v>1056</v>
          </cell>
          <cell r="EO34">
            <v>15611</v>
          </cell>
          <cell r="EP34">
            <v>6686</v>
          </cell>
          <cell r="EQ34">
            <v>638</v>
          </cell>
        </row>
        <row r="35">
          <cell r="B35" t="str">
            <v>E6113</v>
          </cell>
          <cell r="C35" t="str">
            <v>Durham</v>
          </cell>
          <cell r="D35">
            <v>1</v>
          </cell>
          <cell r="E35">
            <v>2</v>
          </cell>
          <cell r="F35">
            <v>6</v>
          </cell>
          <cell r="G35">
            <v>7</v>
          </cell>
          <cell r="H35">
            <v>0</v>
          </cell>
          <cell r="I35">
            <v>15</v>
          </cell>
          <cell r="J35">
            <v>5</v>
          </cell>
          <cell r="K35">
            <v>2</v>
          </cell>
          <cell r="L35">
            <v>6</v>
          </cell>
          <cell r="M35">
            <v>7</v>
          </cell>
          <cell r="N35">
            <v>0</v>
          </cell>
          <cell r="O35">
            <v>15</v>
          </cell>
          <cell r="P35">
            <v>5</v>
          </cell>
          <cell r="Q35">
            <v>27</v>
          </cell>
          <cell r="R35">
            <v>2</v>
          </cell>
          <cell r="S35">
            <v>11</v>
          </cell>
          <cell r="T35">
            <v>37</v>
          </cell>
          <cell r="U35">
            <v>4</v>
          </cell>
          <cell r="V35">
            <v>81</v>
          </cell>
          <cell r="W35">
            <v>40</v>
          </cell>
          <cell r="X35">
            <v>5</v>
          </cell>
          <cell r="Y35">
            <v>4</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v>15222</v>
          </cell>
          <cell r="AT35">
            <v>1897</v>
          </cell>
          <cell r="AU35">
            <v>843</v>
          </cell>
          <cell r="AV35">
            <v>2745</v>
          </cell>
          <cell r="AW35">
            <v>354</v>
          </cell>
          <cell r="AX35">
            <v>272</v>
          </cell>
          <cell r="AY35">
            <v>21333</v>
          </cell>
          <cell r="AZ35">
            <v>2604</v>
          </cell>
          <cell r="BA35">
            <v>648</v>
          </cell>
          <cell r="BB35">
            <v>3720</v>
          </cell>
          <cell r="BC35">
            <v>339</v>
          </cell>
          <cell r="BD35">
            <v>0</v>
          </cell>
          <cell r="BE35">
            <v>0</v>
          </cell>
          <cell r="BF35">
            <v>0</v>
          </cell>
          <cell r="BG35">
            <v>28644</v>
          </cell>
          <cell r="BH35">
            <v>2334</v>
          </cell>
          <cell r="BI35">
            <v>0</v>
          </cell>
          <cell r="BJ35">
            <v>0</v>
          </cell>
          <cell r="BK35">
            <v>1129</v>
          </cell>
          <cell r="BL35">
            <v>3463</v>
          </cell>
          <cell r="BM35">
            <v>25181</v>
          </cell>
          <cell r="BN35">
            <v>1162</v>
          </cell>
          <cell r="BO35">
            <v>3714</v>
          </cell>
          <cell r="BP35">
            <v>15135</v>
          </cell>
          <cell r="BQ35">
            <v>2046</v>
          </cell>
          <cell r="BR35">
            <v>878</v>
          </cell>
          <cell r="BS35">
            <v>366</v>
          </cell>
          <cell r="BT35">
            <v>254</v>
          </cell>
          <cell r="BU35">
            <v>21544</v>
          </cell>
          <cell r="BV35">
            <v>2625</v>
          </cell>
          <cell r="BW35">
            <v>599</v>
          </cell>
          <cell r="BX35">
            <v>3710</v>
          </cell>
          <cell r="BY35">
            <v>387</v>
          </cell>
          <cell r="BZ35">
            <v>0</v>
          </cell>
          <cell r="CA35">
            <v>0</v>
          </cell>
          <cell r="CB35">
            <v>335</v>
          </cell>
          <cell r="CC35">
            <v>29200</v>
          </cell>
          <cell r="CD35">
            <v>1584</v>
          </cell>
          <cell r="CE35">
            <v>0</v>
          </cell>
          <cell r="CF35">
            <v>0</v>
          </cell>
          <cell r="CG35">
            <v>387</v>
          </cell>
          <cell r="CH35">
            <v>1971</v>
          </cell>
          <cell r="CI35">
            <v>27229</v>
          </cell>
          <cell r="CJ35">
            <v>2570</v>
          </cell>
          <cell r="CK35">
            <v>3700</v>
          </cell>
          <cell r="CL35">
            <v>0</v>
          </cell>
          <cell r="CM35">
            <v>129</v>
          </cell>
          <cell r="CN35">
            <v>16.600000000000001</v>
          </cell>
          <cell r="CO35">
            <v>82</v>
          </cell>
          <cell r="CP35">
            <v>9590</v>
          </cell>
          <cell r="CQ35">
            <v>1375</v>
          </cell>
          <cell r="CR35">
            <v>17170</v>
          </cell>
          <cell r="CS35">
            <v>372</v>
          </cell>
          <cell r="CT35">
            <v>28507</v>
          </cell>
          <cell r="CU35">
            <v>5389</v>
          </cell>
          <cell r="CV35">
            <v>20383</v>
          </cell>
          <cell r="CW35">
            <v>0</v>
          </cell>
          <cell r="CX35">
            <v>164</v>
          </cell>
          <cell r="CY35">
            <v>407</v>
          </cell>
          <cell r="CZ35">
            <v>26343</v>
          </cell>
          <cell r="DA35">
            <v>869</v>
          </cell>
          <cell r="DB35">
            <v>13406</v>
          </cell>
          <cell r="DC35">
            <v>0</v>
          </cell>
          <cell r="DD35">
            <v>0</v>
          </cell>
          <cell r="DE35">
            <v>0</v>
          </cell>
          <cell r="DF35">
            <v>14275</v>
          </cell>
          <cell r="DG35">
            <v>-204</v>
          </cell>
          <cell r="DH35">
            <v>0</v>
          </cell>
          <cell r="DI35">
            <v>-1573</v>
          </cell>
          <cell r="DJ35">
            <v>-29</v>
          </cell>
          <cell r="DK35">
            <v>8703</v>
          </cell>
          <cell r="DL35">
            <v>2260</v>
          </cell>
          <cell r="DM35">
            <v>0</v>
          </cell>
          <cell r="DN35">
            <v>7224</v>
          </cell>
          <cell r="DO35">
            <v>478</v>
          </cell>
          <cell r="DP35">
            <v>-1853</v>
          </cell>
          <cell r="DQ35">
            <v>-205</v>
          </cell>
          <cell r="DR35">
            <v>-9</v>
          </cell>
          <cell r="DS35">
            <v>-1580</v>
          </cell>
          <cell r="DT35">
            <v>-12</v>
          </cell>
          <cell r="DU35">
            <v>9185</v>
          </cell>
          <cell r="DV35">
            <v>1783</v>
          </cell>
          <cell r="DW35">
            <v>0</v>
          </cell>
          <cell r="DX35">
            <v>7309</v>
          </cell>
          <cell r="DY35">
            <v>433</v>
          </cell>
          <cell r="DZ35">
            <v>587</v>
          </cell>
          <cell r="EA35">
            <v>594</v>
          </cell>
          <cell r="EB35">
            <v>18</v>
          </cell>
          <cell r="EC35">
            <v>1</v>
          </cell>
          <cell r="ED35">
            <v>68</v>
          </cell>
          <cell r="EE35">
            <v>3</v>
          </cell>
          <cell r="EF35">
            <v>366</v>
          </cell>
          <cell r="EG35">
            <v>11</v>
          </cell>
          <cell r="EH35">
            <v>29</v>
          </cell>
          <cell r="EI35">
            <v>113</v>
          </cell>
          <cell r="EJ35">
            <v>47</v>
          </cell>
          <cell r="EK35">
            <v>12</v>
          </cell>
          <cell r="EL35">
            <v>3865</v>
          </cell>
          <cell r="EM35">
            <v>2824</v>
          </cell>
          <cell r="EN35">
            <v>215</v>
          </cell>
          <cell r="EO35">
            <v>5929</v>
          </cell>
          <cell r="EP35">
            <v>1388</v>
          </cell>
          <cell r="EQ35">
            <v>384</v>
          </cell>
        </row>
        <row r="36">
          <cell r="B36" t="str">
            <v>E6114</v>
          </cell>
          <cell r="C36" t="str">
            <v>East Sussex</v>
          </cell>
          <cell r="D36">
            <v>1</v>
          </cell>
          <cell r="E36">
            <v>6</v>
          </cell>
          <cell r="F36">
            <v>12</v>
          </cell>
          <cell r="G36">
            <v>6</v>
          </cell>
          <cell r="H36">
            <v>0</v>
          </cell>
          <cell r="I36">
            <v>24</v>
          </cell>
          <cell r="J36">
            <v>3</v>
          </cell>
          <cell r="K36">
            <v>6</v>
          </cell>
          <cell r="L36">
            <v>12</v>
          </cell>
          <cell r="M36">
            <v>6</v>
          </cell>
          <cell r="N36">
            <v>0</v>
          </cell>
          <cell r="O36">
            <v>24</v>
          </cell>
          <cell r="P36">
            <v>3</v>
          </cell>
          <cell r="Q36">
            <v>41</v>
          </cell>
          <cell r="R36">
            <v>3</v>
          </cell>
          <cell r="S36">
            <v>2</v>
          </cell>
          <cell r="T36">
            <v>33</v>
          </cell>
          <cell r="U36">
            <v>10</v>
          </cell>
          <cell r="V36">
            <v>89</v>
          </cell>
          <cell r="W36">
            <v>78</v>
          </cell>
          <cell r="X36">
            <v>8</v>
          </cell>
          <cell r="Y36">
            <v>3</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v>16406.526389999999</v>
          </cell>
          <cell r="AT36">
            <v>2228.1587500000001</v>
          </cell>
          <cell r="AU36">
            <v>40.390879999999925</v>
          </cell>
          <cell r="AV36">
            <v>5372.9410899999993</v>
          </cell>
          <cell r="AW36">
            <v>877.49306999999999</v>
          </cell>
          <cell r="AX36">
            <v>1410.4418299999998</v>
          </cell>
          <cell r="AY36">
            <v>26335.952009999997</v>
          </cell>
          <cell r="AZ36">
            <v>2251.1457999999993</v>
          </cell>
          <cell r="BA36">
            <v>1114.4350599999998</v>
          </cell>
          <cell r="BB36">
            <v>6962.1851599999991</v>
          </cell>
          <cell r="BC36">
            <v>665.91365999999994</v>
          </cell>
          <cell r="BD36">
            <v>2393.3607499999998</v>
          </cell>
          <cell r="BE36">
            <v>0</v>
          </cell>
          <cell r="BF36">
            <v>995.92789000000016</v>
          </cell>
          <cell r="BG36">
            <v>40718.920329999994</v>
          </cell>
          <cell r="BH36">
            <v>1277.05159</v>
          </cell>
          <cell r="BI36">
            <v>1196.6803799999998</v>
          </cell>
          <cell r="BJ36">
            <v>0</v>
          </cell>
          <cell r="BK36">
            <v>1576.0211200000003</v>
          </cell>
          <cell r="BL36">
            <v>4049.7530900000002</v>
          </cell>
          <cell r="BM36">
            <v>36669.167239999995</v>
          </cell>
          <cell r="BN36">
            <v>503.71876000000003</v>
          </cell>
          <cell r="BO36">
            <v>0</v>
          </cell>
          <cell r="BP36">
            <v>15849.8</v>
          </cell>
          <cell r="BQ36">
            <v>2291.1</v>
          </cell>
          <cell r="BR36">
            <v>0</v>
          </cell>
          <cell r="BS36">
            <v>763.7</v>
          </cell>
          <cell r="BT36">
            <v>683</v>
          </cell>
          <cell r="BU36">
            <v>25576.7</v>
          </cell>
          <cell r="BV36">
            <v>2310.1000000000004</v>
          </cell>
          <cell r="BW36">
            <v>1107.5999999999999</v>
          </cell>
          <cell r="BX36">
            <v>4981.8999999999996</v>
          </cell>
          <cell r="BY36">
            <v>546.70000000000005</v>
          </cell>
          <cell r="BZ36">
            <v>2139.1</v>
          </cell>
          <cell r="CA36">
            <v>0</v>
          </cell>
          <cell r="CB36">
            <v>2782.8</v>
          </cell>
          <cell r="CC36">
            <v>39444.9</v>
          </cell>
          <cell r="CD36">
            <v>260.39999999999998</v>
          </cell>
          <cell r="CE36">
            <v>1069.5</v>
          </cell>
          <cell r="CF36">
            <v>0</v>
          </cell>
          <cell r="CG36">
            <v>476.29999999999995</v>
          </cell>
          <cell r="CH36">
            <v>1806.2</v>
          </cell>
          <cell r="CI36">
            <v>37638.700000000004</v>
          </cell>
          <cell r="CJ36">
            <v>496</v>
          </cell>
          <cell r="CK36">
            <v>0</v>
          </cell>
          <cell r="CL36" t="str">
            <v>..</v>
          </cell>
          <cell r="CM36">
            <v>0</v>
          </cell>
          <cell r="CN36" t="str">
            <v>..</v>
          </cell>
          <cell r="CO36" t="str">
            <v>..</v>
          </cell>
          <cell r="CP36">
            <v>4072</v>
          </cell>
          <cell r="CQ36">
            <v>7590</v>
          </cell>
          <cell r="CR36">
            <v>26546</v>
          </cell>
          <cell r="CS36">
            <v>-73</v>
          </cell>
          <cell r="CT36">
            <v>38135</v>
          </cell>
          <cell r="CU36">
            <v>2006.5919857599997</v>
          </cell>
          <cell r="CV36">
            <v>34415.288884239999</v>
          </cell>
          <cell r="CW36">
            <v>84.193970000000007</v>
          </cell>
          <cell r="CX36">
            <v>666.81116000000009</v>
          </cell>
          <cell r="CY36">
            <v>0</v>
          </cell>
          <cell r="CZ36">
            <v>37172.885999999999</v>
          </cell>
          <cell r="DA36">
            <v>0</v>
          </cell>
          <cell r="DB36">
            <v>0</v>
          </cell>
          <cell r="DC36">
            <v>0</v>
          </cell>
          <cell r="DD36">
            <v>0</v>
          </cell>
          <cell r="DE36">
            <v>0</v>
          </cell>
          <cell r="DF36">
            <v>0</v>
          </cell>
          <cell r="DG36">
            <v>-91.971999999999994</v>
          </cell>
          <cell r="DH36">
            <v>0</v>
          </cell>
          <cell r="DI36">
            <v>-1838.9644000000003</v>
          </cell>
          <cell r="DJ36">
            <v>0</v>
          </cell>
          <cell r="DK36">
            <v>9064.9976199999983</v>
          </cell>
          <cell r="DL36">
            <v>2041.3143700000001</v>
          </cell>
          <cell r="DM36">
            <v>0</v>
          </cell>
          <cell r="DN36">
            <v>6989.019559999997</v>
          </cell>
          <cell r="DO36">
            <v>276.97095000000002</v>
          </cell>
          <cell r="DP36">
            <v>-2153.7049999999999</v>
          </cell>
          <cell r="DQ36">
            <v>-50.555999999999997</v>
          </cell>
          <cell r="DR36">
            <v>0</v>
          </cell>
          <cell r="DS36">
            <v>-1752.944</v>
          </cell>
          <cell r="DT36">
            <v>0</v>
          </cell>
          <cell r="DU36">
            <v>9061.7289999999994</v>
          </cell>
          <cell r="DV36">
            <v>1362.06</v>
          </cell>
          <cell r="DW36">
            <v>0</v>
          </cell>
          <cell r="DX36">
            <v>6466.5839999999989</v>
          </cell>
          <cell r="DY36">
            <v>276</v>
          </cell>
          <cell r="DZ36">
            <v>623</v>
          </cell>
          <cell r="EA36">
            <v>640</v>
          </cell>
          <cell r="EB36">
            <v>17</v>
          </cell>
          <cell r="EC36">
            <v>1</v>
          </cell>
          <cell r="ED36">
            <v>94</v>
          </cell>
          <cell r="EE36">
            <v>15</v>
          </cell>
          <cell r="EF36">
            <v>414</v>
          </cell>
          <cell r="EG36">
            <v>3</v>
          </cell>
          <cell r="EH36">
            <v>74</v>
          </cell>
          <cell r="EI36">
            <v>187</v>
          </cell>
          <cell r="EJ36">
            <v>81</v>
          </cell>
          <cell r="EK36">
            <v>6</v>
          </cell>
          <cell r="EL36">
            <v>17934</v>
          </cell>
          <cell r="EM36">
            <v>3142</v>
          </cell>
          <cell r="EN36">
            <v>536</v>
          </cell>
          <cell r="EO36">
            <v>20245</v>
          </cell>
          <cell r="EP36">
            <v>3142</v>
          </cell>
          <cell r="EQ36" t="str">
            <v>..</v>
          </cell>
        </row>
        <row r="37">
          <cell r="B37" t="str">
            <v>E6115</v>
          </cell>
          <cell r="C37" t="str">
            <v>Essex</v>
          </cell>
          <cell r="D37">
            <v>1</v>
          </cell>
          <cell r="E37">
            <v>13</v>
          </cell>
          <cell r="F37">
            <v>34</v>
          </cell>
          <cell r="G37">
            <v>3</v>
          </cell>
          <cell r="H37">
            <v>0</v>
          </cell>
          <cell r="I37">
            <v>50</v>
          </cell>
          <cell r="J37">
            <v>8</v>
          </cell>
          <cell r="K37">
            <v>13</v>
          </cell>
          <cell r="L37">
            <v>34</v>
          </cell>
          <cell r="M37">
            <v>3</v>
          </cell>
          <cell r="N37">
            <v>0</v>
          </cell>
          <cell r="O37">
            <v>50</v>
          </cell>
          <cell r="P37">
            <v>16</v>
          </cell>
          <cell r="Q37">
            <v>75</v>
          </cell>
          <cell r="R37">
            <v>5</v>
          </cell>
          <cell r="S37">
            <v>22</v>
          </cell>
          <cell r="T37">
            <v>32</v>
          </cell>
          <cell r="U37">
            <v>13</v>
          </cell>
          <cell r="V37">
            <v>147</v>
          </cell>
          <cell r="W37">
            <v>145</v>
          </cell>
          <cell r="X37">
            <v>15</v>
          </cell>
          <cell r="Y37">
            <v>7</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v>30348</v>
          </cell>
          <cell r="AT37">
            <v>5394</v>
          </cell>
          <cell r="AU37">
            <v>1365</v>
          </cell>
          <cell r="AV37">
            <v>13639</v>
          </cell>
          <cell r="AW37">
            <v>2002</v>
          </cell>
          <cell r="AX37">
            <v>1140</v>
          </cell>
          <cell r="AY37">
            <v>53888</v>
          </cell>
          <cell r="AZ37">
            <v>3963</v>
          </cell>
          <cell r="BA37">
            <v>1782</v>
          </cell>
          <cell r="BB37">
            <v>7848</v>
          </cell>
          <cell r="BC37">
            <v>665</v>
          </cell>
          <cell r="BD37">
            <v>0</v>
          </cell>
          <cell r="BE37">
            <v>100</v>
          </cell>
          <cell r="BF37">
            <v>2226</v>
          </cell>
          <cell r="BG37">
            <v>70472</v>
          </cell>
          <cell r="BH37">
            <v>2441</v>
          </cell>
          <cell r="BI37">
            <v>0</v>
          </cell>
          <cell r="BJ37">
            <v>500</v>
          </cell>
          <cell r="BK37">
            <v>1858</v>
          </cell>
          <cell r="BL37">
            <v>4799</v>
          </cell>
          <cell r="BM37">
            <v>65673</v>
          </cell>
          <cell r="BN37">
            <v>4666</v>
          </cell>
          <cell r="BO37">
            <v>-722</v>
          </cell>
          <cell r="BP37">
            <v>30341</v>
          </cell>
          <cell r="BQ37">
            <v>6352</v>
          </cell>
          <cell r="BR37">
            <v>1436</v>
          </cell>
          <cell r="BS37">
            <v>2082</v>
          </cell>
          <cell r="BT37">
            <v>727</v>
          </cell>
          <cell r="BU37">
            <v>53167</v>
          </cell>
          <cell r="BV37">
            <v>4204</v>
          </cell>
          <cell r="BW37">
            <v>1901</v>
          </cell>
          <cell r="BX37">
            <v>8317</v>
          </cell>
          <cell r="BY37">
            <v>562</v>
          </cell>
          <cell r="BZ37">
            <v>0</v>
          </cell>
          <cell r="CA37">
            <v>145</v>
          </cell>
          <cell r="CB37">
            <v>4998</v>
          </cell>
          <cell r="CC37">
            <v>73294</v>
          </cell>
          <cell r="CD37">
            <v>2099</v>
          </cell>
          <cell r="CE37">
            <v>0</v>
          </cell>
          <cell r="CF37">
            <v>52</v>
          </cell>
          <cell r="CG37">
            <v>1147</v>
          </cell>
          <cell r="CH37">
            <v>3298</v>
          </cell>
          <cell r="CI37">
            <v>69996</v>
          </cell>
          <cell r="CJ37">
            <v>0</v>
          </cell>
          <cell r="CK37">
            <v>0</v>
          </cell>
          <cell r="CL37">
            <v>0</v>
          </cell>
          <cell r="CM37">
            <v>0</v>
          </cell>
          <cell r="CN37">
            <v>16.2</v>
          </cell>
          <cell r="CO37">
            <v>972</v>
          </cell>
          <cell r="CP37">
            <v>9347</v>
          </cell>
          <cell r="CQ37">
            <v>15720</v>
          </cell>
          <cell r="CR37">
            <v>44241</v>
          </cell>
          <cell r="CS37">
            <v>688</v>
          </cell>
          <cell r="CT37">
            <v>69996</v>
          </cell>
          <cell r="CU37">
            <v>14044</v>
          </cell>
          <cell r="CV37">
            <v>53987</v>
          </cell>
          <cell r="CW37">
            <v>655</v>
          </cell>
          <cell r="CX37">
            <v>1091</v>
          </cell>
          <cell r="CY37">
            <v>562</v>
          </cell>
          <cell r="CZ37">
            <v>70339</v>
          </cell>
          <cell r="DA37">
            <v>3</v>
          </cell>
          <cell r="DB37">
            <v>7</v>
          </cell>
          <cell r="DC37">
            <v>1</v>
          </cell>
          <cell r="DD37">
            <v>1</v>
          </cell>
          <cell r="DE37">
            <v>0</v>
          </cell>
          <cell r="DF37">
            <v>12</v>
          </cell>
          <cell r="DG37">
            <v>-138</v>
          </cell>
          <cell r="DH37">
            <v>0</v>
          </cell>
          <cell r="DI37">
            <v>-3094</v>
          </cell>
          <cell r="DJ37">
            <v>0</v>
          </cell>
          <cell r="DK37">
            <v>17707</v>
          </cell>
          <cell r="DL37">
            <v>3108</v>
          </cell>
          <cell r="DM37">
            <v>7</v>
          </cell>
          <cell r="DN37">
            <v>13661</v>
          </cell>
          <cell r="DO37">
            <v>2047</v>
          </cell>
          <cell r="DP37">
            <v>-4000</v>
          </cell>
          <cell r="DQ37">
            <v>-150</v>
          </cell>
          <cell r="DR37">
            <v>0</v>
          </cell>
          <cell r="DS37">
            <v>-3000</v>
          </cell>
          <cell r="DT37">
            <v>0</v>
          </cell>
          <cell r="DU37">
            <v>17500</v>
          </cell>
          <cell r="DV37">
            <v>3500</v>
          </cell>
          <cell r="DW37">
            <v>0</v>
          </cell>
          <cell r="DX37">
            <v>13850</v>
          </cell>
          <cell r="DY37">
            <v>2050</v>
          </cell>
          <cell r="DZ37">
            <v>1280</v>
          </cell>
          <cell r="EA37">
            <v>1300</v>
          </cell>
          <cell r="EB37">
            <v>53</v>
          </cell>
          <cell r="EC37">
            <v>0</v>
          </cell>
          <cell r="ED37">
            <v>228</v>
          </cell>
          <cell r="EE37">
            <v>32</v>
          </cell>
          <cell r="EF37">
            <v>775</v>
          </cell>
          <cell r="EG37">
            <v>44</v>
          </cell>
          <cell r="EH37">
            <v>67</v>
          </cell>
          <cell r="EI37">
            <v>141</v>
          </cell>
          <cell r="EJ37">
            <v>71</v>
          </cell>
          <cell r="EK37">
            <v>30</v>
          </cell>
          <cell r="EL37">
            <v>5459</v>
          </cell>
          <cell r="EM37">
            <v>6754</v>
          </cell>
          <cell r="EN37">
            <v>848</v>
          </cell>
          <cell r="EO37">
            <v>4560</v>
          </cell>
          <cell r="EP37">
            <v>6823</v>
          </cell>
          <cell r="EQ37">
            <v>1046</v>
          </cell>
        </row>
        <row r="38">
          <cell r="B38" t="str">
            <v>E6117</v>
          </cell>
          <cell r="C38" t="str">
            <v>Hampshire</v>
          </cell>
          <cell r="D38">
            <v>1</v>
          </cell>
          <cell r="E38">
            <v>8</v>
          </cell>
          <cell r="F38">
            <v>38</v>
          </cell>
          <cell r="G38">
            <v>5</v>
          </cell>
          <cell r="H38">
            <v>0</v>
          </cell>
          <cell r="I38">
            <v>51</v>
          </cell>
          <cell r="J38">
            <v>20</v>
          </cell>
          <cell r="K38">
            <v>8</v>
          </cell>
          <cell r="L38">
            <v>38</v>
          </cell>
          <cell r="M38">
            <v>5</v>
          </cell>
          <cell r="N38">
            <v>0</v>
          </cell>
          <cell r="O38">
            <v>51</v>
          </cell>
          <cell r="P38">
            <v>21</v>
          </cell>
          <cell r="Q38">
            <v>74</v>
          </cell>
          <cell r="R38">
            <v>3</v>
          </cell>
          <cell r="S38">
            <v>48</v>
          </cell>
          <cell r="T38">
            <v>66</v>
          </cell>
          <cell r="U38">
            <v>22</v>
          </cell>
          <cell r="V38">
            <v>213</v>
          </cell>
          <cell r="W38">
            <v>227</v>
          </cell>
          <cell r="X38">
            <v>11</v>
          </cell>
          <cell r="Y38">
            <v>9</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v>31790</v>
          </cell>
          <cell r="AT38">
            <v>6375</v>
          </cell>
          <cell r="AU38">
            <v>1295</v>
          </cell>
          <cell r="AV38">
            <v>8463</v>
          </cell>
          <cell r="AW38">
            <v>867</v>
          </cell>
          <cell r="AX38">
            <v>1879</v>
          </cell>
          <cell r="AY38">
            <v>50669</v>
          </cell>
          <cell r="AZ38">
            <v>4764</v>
          </cell>
          <cell r="BA38">
            <v>2540</v>
          </cell>
          <cell r="BB38">
            <v>7128</v>
          </cell>
          <cell r="BC38">
            <v>0</v>
          </cell>
          <cell r="BD38">
            <v>0</v>
          </cell>
          <cell r="BE38">
            <v>1742</v>
          </cell>
          <cell r="BF38">
            <v>659</v>
          </cell>
          <cell r="BG38">
            <v>67502</v>
          </cell>
          <cell r="BH38">
            <v>2151</v>
          </cell>
          <cell r="BI38">
            <v>0</v>
          </cell>
          <cell r="BJ38">
            <v>1889</v>
          </cell>
          <cell r="BK38">
            <v>2203</v>
          </cell>
          <cell r="BL38">
            <v>6243</v>
          </cell>
          <cell r="BM38">
            <v>61259</v>
          </cell>
          <cell r="BN38">
            <v>5833</v>
          </cell>
          <cell r="BO38">
            <v>7708</v>
          </cell>
          <cell r="BP38">
            <v>31606</v>
          </cell>
          <cell r="BQ38">
            <v>6362</v>
          </cell>
          <cell r="BR38">
            <v>1318</v>
          </cell>
          <cell r="BS38">
            <v>870</v>
          </cell>
          <cell r="BT38">
            <v>1611</v>
          </cell>
          <cell r="BU38">
            <v>49115</v>
          </cell>
          <cell r="BV38">
            <v>4298</v>
          </cell>
          <cell r="BW38">
            <v>2360</v>
          </cell>
          <cell r="BX38">
            <v>5937</v>
          </cell>
          <cell r="BY38">
            <v>0</v>
          </cell>
          <cell r="BZ38">
            <v>0</v>
          </cell>
          <cell r="CA38">
            <v>1557</v>
          </cell>
          <cell r="CB38">
            <v>754</v>
          </cell>
          <cell r="CC38">
            <v>64021</v>
          </cell>
          <cell r="CD38">
            <v>1149</v>
          </cell>
          <cell r="CE38">
            <v>0</v>
          </cell>
          <cell r="CF38">
            <v>1713</v>
          </cell>
          <cell r="CG38">
            <v>730</v>
          </cell>
          <cell r="CH38">
            <v>3592</v>
          </cell>
          <cell r="CI38">
            <v>60429</v>
          </cell>
          <cell r="CJ38">
            <v>4400</v>
          </cell>
          <cell r="CK38">
            <v>5564</v>
          </cell>
          <cell r="CL38">
            <v>0</v>
          </cell>
          <cell r="CM38">
            <v>339</v>
          </cell>
          <cell r="CN38">
            <v>14.1</v>
          </cell>
          <cell r="CO38">
            <v>645</v>
          </cell>
          <cell r="CP38">
            <v>16097</v>
          </cell>
          <cell r="CQ38">
            <v>7046</v>
          </cell>
          <cell r="CR38">
            <v>41207</v>
          </cell>
          <cell r="CS38">
            <v>425</v>
          </cell>
          <cell r="CT38">
            <v>64775</v>
          </cell>
          <cell r="CU38">
            <v>5209</v>
          </cell>
          <cell r="CV38">
            <v>59954</v>
          </cell>
          <cell r="CW38">
            <v>173</v>
          </cell>
          <cell r="CX38">
            <v>1097</v>
          </cell>
          <cell r="CY38">
            <v>659</v>
          </cell>
          <cell r="CZ38">
            <v>67092</v>
          </cell>
          <cell r="DA38">
            <v>1116</v>
          </cell>
          <cell r="DB38">
            <v>12843</v>
          </cell>
          <cell r="DC38">
            <v>37</v>
          </cell>
          <cell r="DD38">
            <v>0</v>
          </cell>
          <cell r="DE38">
            <v>0</v>
          </cell>
          <cell r="DF38">
            <v>13996</v>
          </cell>
          <cell r="DG38">
            <v>-121</v>
          </cell>
          <cell r="DH38">
            <v>0</v>
          </cell>
          <cell r="DI38">
            <v>-3373</v>
          </cell>
          <cell r="DJ38">
            <v>-275</v>
          </cell>
          <cell r="DK38">
            <v>14883</v>
          </cell>
          <cell r="DL38">
            <v>2576</v>
          </cell>
          <cell r="DM38">
            <v>0</v>
          </cell>
          <cell r="DN38">
            <v>9582</v>
          </cell>
          <cell r="DO38">
            <v>1359</v>
          </cell>
          <cell r="DP38">
            <v>-4117</v>
          </cell>
          <cell r="DQ38">
            <v>0</v>
          </cell>
          <cell r="DR38">
            <v>0</v>
          </cell>
          <cell r="DS38">
            <v>-3325</v>
          </cell>
          <cell r="DT38">
            <v>-105</v>
          </cell>
          <cell r="DU38">
            <v>15584</v>
          </cell>
          <cell r="DV38">
            <v>1049</v>
          </cell>
          <cell r="DW38">
            <v>263</v>
          </cell>
          <cell r="DX38">
            <v>9349</v>
          </cell>
          <cell r="DY38">
            <v>1094</v>
          </cell>
          <cell r="DZ38">
            <v>1057</v>
          </cell>
          <cell r="EA38">
            <v>1057</v>
          </cell>
          <cell r="EB38">
            <v>33</v>
          </cell>
          <cell r="EC38">
            <v>2</v>
          </cell>
          <cell r="ED38">
            <v>151</v>
          </cell>
          <cell r="EE38">
            <v>52</v>
          </cell>
          <cell r="EF38">
            <v>931</v>
          </cell>
          <cell r="EG38">
            <v>33</v>
          </cell>
          <cell r="EH38">
            <v>85</v>
          </cell>
          <cell r="EI38">
            <v>416</v>
          </cell>
          <cell r="EJ38">
            <v>270</v>
          </cell>
          <cell r="EK38">
            <v>44</v>
          </cell>
          <cell r="EL38">
            <v>15289.745154539884</v>
          </cell>
          <cell r="EM38">
            <v>5075.0458047175543</v>
          </cell>
          <cell r="EN38">
            <v>921.16982244968131</v>
          </cell>
          <cell r="EO38">
            <v>13973.286785755745</v>
          </cell>
          <cell r="EP38">
            <v>4325.1090318940023</v>
          </cell>
          <cell r="EQ38">
            <v>531.14675258460431</v>
          </cell>
        </row>
        <row r="39">
          <cell r="B39" t="str">
            <v>E6118</v>
          </cell>
          <cell r="C39" t="str">
            <v>Hereford and Worcester</v>
          </cell>
          <cell r="D39">
            <v>1</v>
          </cell>
          <cell r="E39">
            <v>0</v>
          </cell>
          <cell r="F39">
            <v>19</v>
          </cell>
          <cell r="G39">
            <v>8</v>
          </cell>
          <cell r="H39">
            <v>0</v>
          </cell>
          <cell r="I39">
            <v>27</v>
          </cell>
          <cell r="J39">
            <v>3</v>
          </cell>
          <cell r="K39">
            <v>0</v>
          </cell>
          <cell r="L39">
            <v>19</v>
          </cell>
          <cell r="M39">
            <v>8</v>
          </cell>
          <cell r="N39">
            <v>0</v>
          </cell>
          <cell r="O39">
            <v>27</v>
          </cell>
          <cell r="P39">
            <v>4</v>
          </cell>
          <cell r="Q39">
            <v>41</v>
          </cell>
          <cell r="R39">
            <v>2</v>
          </cell>
          <cell r="S39">
            <v>38</v>
          </cell>
          <cell r="T39">
            <v>41</v>
          </cell>
          <cell r="U39">
            <v>4</v>
          </cell>
          <cell r="V39">
            <v>126</v>
          </cell>
          <cell r="W39">
            <v>0</v>
          </cell>
          <cell r="X39">
            <v>6</v>
          </cell>
          <cell r="Y39">
            <v>2</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v>12402</v>
          </cell>
          <cell r="AT39">
            <v>3205</v>
          </cell>
          <cell r="AU39">
            <v>746</v>
          </cell>
          <cell r="AV39">
            <v>3560</v>
          </cell>
          <cell r="AW39">
            <v>437</v>
          </cell>
          <cell r="AX39">
            <v>531</v>
          </cell>
          <cell r="AY39">
            <v>20881</v>
          </cell>
          <cell r="AZ39">
            <v>0</v>
          </cell>
          <cell r="BA39">
            <v>784</v>
          </cell>
          <cell r="BB39">
            <v>3934</v>
          </cell>
          <cell r="BC39">
            <v>0</v>
          </cell>
          <cell r="BD39">
            <v>2377</v>
          </cell>
          <cell r="BE39">
            <v>0</v>
          </cell>
          <cell r="BF39">
            <v>1040</v>
          </cell>
          <cell r="BG39">
            <v>29016</v>
          </cell>
          <cell r="BH39">
            <v>1581</v>
          </cell>
          <cell r="BI39">
            <v>37</v>
          </cell>
          <cell r="BJ39">
            <v>0</v>
          </cell>
          <cell r="BK39">
            <v>366</v>
          </cell>
          <cell r="BL39">
            <v>1984</v>
          </cell>
          <cell r="BM39">
            <v>27032</v>
          </cell>
          <cell r="BN39">
            <v>448</v>
          </cell>
          <cell r="BO39">
            <v>3290</v>
          </cell>
          <cell r="BP39">
            <v>12093</v>
          </cell>
          <cell r="BQ39">
            <v>3439</v>
          </cell>
          <cell r="BR39">
            <v>732</v>
          </cell>
          <cell r="BS39">
            <v>561</v>
          </cell>
          <cell r="BT39">
            <v>924</v>
          </cell>
          <cell r="BU39">
            <v>21098</v>
          </cell>
          <cell r="BV39">
            <v>0</v>
          </cell>
          <cell r="BW39">
            <v>724</v>
          </cell>
          <cell r="BX39">
            <v>4664</v>
          </cell>
          <cell r="BY39">
            <v>0</v>
          </cell>
          <cell r="BZ39">
            <v>2355</v>
          </cell>
          <cell r="CA39">
            <v>0</v>
          </cell>
          <cell r="CB39">
            <v>1055</v>
          </cell>
          <cell r="CC39">
            <v>29896</v>
          </cell>
          <cell r="CD39">
            <v>985</v>
          </cell>
          <cell r="CE39">
            <v>14</v>
          </cell>
          <cell r="CF39">
            <v>0</v>
          </cell>
          <cell r="CG39">
            <v>369</v>
          </cell>
          <cell r="CH39">
            <v>1368</v>
          </cell>
          <cell r="CI39">
            <v>28528</v>
          </cell>
          <cell r="CJ39">
            <v>472.79313406333227</v>
          </cell>
          <cell r="CK39">
            <v>3472.0745782775971</v>
          </cell>
          <cell r="CL39">
            <v>0</v>
          </cell>
          <cell r="CM39" t="str">
            <v>..</v>
          </cell>
          <cell r="CN39">
            <v>14.8</v>
          </cell>
          <cell r="CO39">
            <v>290</v>
          </cell>
          <cell r="CP39">
            <v>6740</v>
          </cell>
          <cell r="CQ39">
            <v>2455</v>
          </cell>
          <cell r="CR39">
            <v>22576</v>
          </cell>
          <cell r="CS39">
            <v>167</v>
          </cell>
          <cell r="CT39">
            <v>31938</v>
          </cell>
          <cell r="CU39">
            <v>2820</v>
          </cell>
          <cell r="CV39">
            <v>23961</v>
          </cell>
          <cell r="CW39">
            <v>64</v>
          </cell>
          <cell r="CX39">
            <v>635</v>
          </cell>
          <cell r="CY39">
            <v>0</v>
          </cell>
          <cell r="CZ39">
            <v>27480</v>
          </cell>
          <cell r="DA39">
            <v>0</v>
          </cell>
          <cell r="DB39">
            <v>0</v>
          </cell>
          <cell r="DC39">
            <v>0</v>
          </cell>
          <cell r="DD39">
            <v>0</v>
          </cell>
          <cell r="DE39">
            <v>0</v>
          </cell>
          <cell r="DF39">
            <v>0</v>
          </cell>
          <cell r="DG39">
            <v>-26</v>
          </cell>
          <cell r="DH39">
            <v>-4</v>
          </cell>
          <cell r="DI39">
            <v>-1481</v>
          </cell>
          <cell r="DJ39">
            <v>-81</v>
          </cell>
          <cell r="DK39">
            <v>7176</v>
          </cell>
          <cell r="DL39">
            <v>1366</v>
          </cell>
          <cell r="DM39">
            <v>124</v>
          </cell>
          <cell r="DN39">
            <v>5241</v>
          </cell>
          <cell r="DO39">
            <v>720</v>
          </cell>
          <cell r="DP39">
            <v>-1878</v>
          </cell>
          <cell r="DQ39">
            <v>-30</v>
          </cell>
          <cell r="DR39">
            <v>-4</v>
          </cell>
          <cell r="DS39">
            <v>-1510</v>
          </cell>
          <cell r="DT39">
            <v>0</v>
          </cell>
          <cell r="DU39">
            <v>7397</v>
          </cell>
          <cell r="DV39">
            <v>1751</v>
          </cell>
          <cell r="DW39">
            <v>0</v>
          </cell>
          <cell r="DX39">
            <v>5726</v>
          </cell>
          <cell r="DY39">
            <v>715</v>
          </cell>
          <cell r="DZ39">
            <v>497</v>
          </cell>
          <cell r="EA39">
            <v>508</v>
          </cell>
          <cell r="EB39">
            <v>12</v>
          </cell>
          <cell r="EC39">
            <v>0</v>
          </cell>
          <cell r="ED39">
            <v>61</v>
          </cell>
          <cell r="EE39">
            <v>23</v>
          </cell>
          <cell r="EF39">
            <v>480</v>
          </cell>
          <cell r="EG39">
            <v>23</v>
          </cell>
          <cell r="EH39">
            <v>47</v>
          </cell>
          <cell r="EI39">
            <v>192</v>
          </cell>
          <cell r="EJ39">
            <v>65</v>
          </cell>
          <cell r="EK39">
            <v>14</v>
          </cell>
          <cell r="EL39">
            <v>11509</v>
          </cell>
          <cell r="EM39">
            <v>1838</v>
          </cell>
          <cell r="EN39">
            <v>243</v>
          </cell>
          <cell r="EO39">
            <v>12349</v>
          </cell>
          <cell r="EP39">
            <v>1838</v>
          </cell>
          <cell r="EQ39">
            <v>307</v>
          </cell>
        </row>
        <row r="40">
          <cell r="B40" t="str">
            <v>E6120</v>
          </cell>
          <cell r="C40" t="str">
            <v>Humberside</v>
          </cell>
          <cell r="D40">
            <v>1</v>
          </cell>
          <cell r="E40">
            <v>7</v>
          </cell>
          <cell r="F40">
            <v>19</v>
          </cell>
          <cell r="G40">
            <v>3</v>
          </cell>
          <cell r="H40">
            <v>0</v>
          </cell>
          <cell r="I40">
            <v>29</v>
          </cell>
          <cell r="J40">
            <v>0</v>
          </cell>
          <cell r="K40">
            <v>7</v>
          </cell>
          <cell r="L40">
            <v>19</v>
          </cell>
          <cell r="M40">
            <v>3</v>
          </cell>
          <cell r="N40">
            <v>0</v>
          </cell>
          <cell r="O40">
            <v>29</v>
          </cell>
          <cell r="P40">
            <v>0</v>
          </cell>
          <cell r="Q40">
            <v>43</v>
          </cell>
          <cell r="R40">
            <v>4</v>
          </cell>
          <cell r="S40">
            <v>3</v>
          </cell>
          <cell r="T40">
            <v>36</v>
          </cell>
          <cell r="U40">
            <v>6</v>
          </cell>
          <cell r="V40">
            <v>92</v>
          </cell>
          <cell r="W40">
            <v>117</v>
          </cell>
          <cell r="X40">
            <v>7</v>
          </cell>
          <cell r="Y40">
            <v>4</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v>21902</v>
          </cell>
          <cell r="AT40">
            <v>3924</v>
          </cell>
          <cell r="AU40">
            <v>1081</v>
          </cell>
          <cell r="AV40">
            <v>5832</v>
          </cell>
          <cell r="AW40">
            <v>372</v>
          </cell>
          <cell r="AX40">
            <v>2060</v>
          </cell>
          <cell r="AY40">
            <v>35171</v>
          </cell>
          <cell r="AZ40">
            <v>2331</v>
          </cell>
          <cell r="BA40">
            <v>805</v>
          </cell>
          <cell r="BB40">
            <v>3491</v>
          </cell>
          <cell r="BC40">
            <v>170</v>
          </cell>
          <cell r="BD40">
            <v>0</v>
          </cell>
          <cell r="BE40">
            <v>0</v>
          </cell>
          <cell r="BF40">
            <v>0</v>
          </cell>
          <cell r="BG40">
            <v>41968</v>
          </cell>
          <cell r="BH40">
            <v>197</v>
          </cell>
          <cell r="BI40">
            <v>0</v>
          </cell>
          <cell r="BJ40">
            <v>0</v>
          </cell>
          <cell r="BK40">
            <v>2250</v>
          </cell>
          <cell r="BL40">
            <v>2447</v>
          </cell>
          <cell r="BM40">
            <v>39521</v>
          </cell>
          <cell r="BN40">
            <v>14535</v>
          </cell>
          <cell r="BO40">
            <v>7093</v>
          </cell>
          <cell r="BP40">
            <v>20470</v>
          </cell>
          <cell r="BQ40">
            <v>4117</v>
          </cell>
          <cell r="BR40">
            <v>1107</v>
          </cell>
          <cell r="BS40">
            <v>302</v>
          </cell>
          <cell r="BT40">
            <v>1078</v>
          </cell>
          <cell r="BU40">
            <v>32214</v>
          </cell>
          <cell r="BV40">
            <v>2551</v>
          </cell>
          <cell r="BW40">
            <v>1976</v>
          </cell>
          <cell r="BX40">
            <v>2633</v>
          </cell>
          <cell r="BY40">
            <v>229</v>
          </cell>
          <cell r="BZ40">
            <v>0</v>
          </cell>
          <cell r="CA40">
            <v>0</v>
          </cell>
          <cell r="CB40">
            <v>0</v>
          </cell>
          <cell r="CC40">
            <v>39603</v>
          </cell>
          <cell r="CD40">
            <v>370</v>
          </cell>
          <cell r="CE40">
            <v>0</v>
          </cell>
          <cell r="CF40">
            <v>0</v>
          </cell>
          <cell r="CG40">
            <v>926</v>
          </cell>
          <cell r="CH40">
            <v>1296</v>
          </cell>
          <cell r="CI40">
            <v>38307</v>
          </cell>
          <cell r="CJ40">
            <v>1959</v>
          </cell>
          <cell r="CK40">
            <v>7093</v>
          </cell>
          <cell r="CL40">
            <v>0</v>
          </cell>
          <cell r="CM40">
            <v>1</v>
          </cell>
          <cell r="CN40">
            <v>16.8</v>
          </cell>
          <cell r="CO40">
            <v>194000</v>
          </cell>
          <cell r="CP40">
            <v>17307</v>
          </cell>
          <cell r="CQ40">
            <v>3203</v>
          </cell>
          <cell r="CR40">
            <v>21973</v>
          </cell>
          <cell r="CS40">
            <v>403</v>
          </cell>
          <cell r="CT40">
            <v>42886</v>
          </cell>
          <cell r="CU40">
            <v>3504</v>
          </cell>
          <cell r="CV40">
            <v>49892</v>
          </cell>
          <cell r="CW40">
            <v>0</v>
          </cell>
          <cell r="CX40">
            <v>224</v>
          </cell>
          <cell r="CY40">
            <v>436</v>
          </cell>
          <cell r="CZ40">
            <v>54056</v>
          </cell>
          <cell r="DA40">
            <v>0</v>
          </cell>
          <cell r="DB40">
            <v>0</v>
          </cell>
          <cell r="DC40">
            <v>0</v>
          </cell>
          <cell r="DD40">
            <v>0</v>
          </cell>
          <cell r="DE40">
            <v>0</v>
          </cell>
          <cell r="DF40">
            <v>0</v>
          </cell>
          <cell r="DG40">
            <v>-252</v>
          </cell>
          <cell r="DH40">
            <v>-8</v>
          </cell>
          <cell r="DI40">
            <v>-2616</v>
          </cell>
          <cell r="DJ40">
            <v>-145</v>
          </cell>
          <cell r="DK40">
            <v>14578</v>
          </cell>
          <cell r="DL40">
            <v>3856</v>
          </cell>
          <cell r="DM40">
            <v>0</v>
          </cell>
          <cell r="DN40">
            <v>12380</v>
          </cell>
          <cell r="DO40">
            <v>473</v>
          </cell>
          <cell r="DP40">
            <v>-2828</v>
          </cell>
          <cell r="DQ40">
            <v>-120</v>
          </cell>
          <cell r="DR40">
            <v>0</v>
          </cell>
          <cell r="DS40">
            <v>-2355</v>
          </cell>
          <cell r="DT40">
            <v>-100</v>
          </cell>
          <cell r="DU40">
            <v>15454</v>
          </cell>
          <cell r="DV40">
            <v>3524</v>
          </cell>
          <cell r="DW40">
            <v>100</v>
          </cell>
          <cell r="DX40">
            <v>13675</v>
          </cell>
          <cell r="DY40">
            <v>472</v>
          </cell>
          <cell r="DZ40">
            <v>997</v>
          </cell>
          <cell r="EA40">
            <v>1053</v>
          </cell>
          <cell r="EB40">
            <v>27</v>
          </cell>
          <cell r="EC40">
            <v>4</v>
          </cell>
          <cell r="ED40">
            <v>134</v>
          </cell>
          <cell r="EE40">
            <v>8</v>
          </cell>
          <cell r="EF40">
            <v>531</v>
          </cell>
          <cell r="EG40">
            <v>49</v>
          </cell>
          <cell r="EH40">
            <v>48</v>
          </cell>
          <cell r="EI40">
            <v>119</v>
          </cell>
          <cell r="EJ40">
            <v>53</v>
          </cell>
          <cell r="EK40">
            <v>14</v>
          </cell>
          <cell r="EL40">
            <v>5175</v>
          </cell>
          <cell r="EM40">
            <v>5373</v>
          </cell>
          <cell r="EN40">
            <v>260</v>
          </cell>
          <cell r="EO40">
            <v>4600</v>
          </cell>
          <cell r="EP40">
            <v>5270</v>
          </cell>
          <cell r="EQ40">
            <v>197</v>
          </cell>
        </row>
        <row r="41">
          <cell r="B41" t="str">
            <v>E6122</v>
          </cell>
          <cell r="C41" t="str">
            <v>Kent</v>
          </cell>
          <cell r="D41">
            <v>1</v>
          </cell>
          <cell r="E41">
            <v>14</v>
          </cell>
          <cell r="F41">
            <v>34</v>
          </cell>
          <cell r="G41">
            <v>9</v>
          </cell>
          <cell r="H41">
            <v>0</v>
          </cell>
          <cell r="I41">
            <v>57</v>
          </cell>
          <cell r="J41">
            <v>0</v>
          </cell>
          <cell r="K41">
            <v>14</v>
          </cell>
          <cell r="L41">
            <v>34</v>
          </cell>
          <cell r="M41">
            <v>9</v>
          </cell>
          <cell r="N41">
            <v>0</v>
          </cell>
          <cell r="O41">
            <v>57</v>
          </cell>
          <cell r="P41">
            <v>0</v>
          </cell>
          <cell r="Q41">
            <v>75</v>
          </cell>
          <cell r="R41">
            <v>3</v>
          </cell>
          <cell r="S41">
            <v>32</v>
          </cell>
          <cell r="T41">
            <v>82</v>
          </cell>
          <cell r="U41">
            <v>14</v>
          </cell>
          <cell r="V41">
            <v>206</v>
          </cell>
          <cell r="W41">
            <v>184</v>
          </cell>
          <cell r="X41">
            <v>13</v>
          </cell>
          <cell r="Y41">
            <v>11</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32537</v>
          </cell>
          <cell r="AT41">
            <v>5148</v>
          </cell>
          <cell r="AU41">
            <v>1222</v>
          </cell>
          <cell r="AV41">
            <v>3107</v>
          </cell>
          <cell r="AW41">
            <v>3799</v>
          </cell>
          <cell r="AX41">
            <v>1313</v>
          </cell>
          <cell r="AY41">
            <v>47126</v>
          </cell>
          <cell r="AZ41">
            <v>4370</v>
          </cell>
          <cell r="BA41">
            <v>2846</v>
          </cell>
          <cell r="BB41">
            <v>7100</v>
          </cell>
          <cell r="BC41">
            <v>6496</v>
          </cell>
          <cell r="BD41">
            <v>220</v>
          </cell>
          <cell r="BE41">
            <v>42</v>
          </cell>
          <cell r="BF41">
            <v>124</v>
          </cell>
          <cell r="BG41">
            <v>68324</v>
          </cell>
          <cell r="BH41">
            <v>2024</v>
          </cell>
          <cell r="BI41">
            <v>0</v>
          </cell>
          <cell r="BJ41">
            <v>0</v>
          </cell>
          <cell r="BK41">
            <v>3234</v>
          </cell>
          <cell r="BL41">
            <v>5258</v>
          </cell>
          <cell r="BM41">
            <v>63066</v>
          </cell>
          <cell r="BN41">
            <v>4005</v>
          </cell>
          <cell r="BO41">
            <v>10316</v>
          </cell>
          <cell r="BP41">
            <v>32678</v>
          </cell>
          <cell r="BQ41">
            <v>6145</v>
          </cell>
          <cell r="BR41">
            <v>1507</v>
          </cell>
          <cell r="BS41">
            <v>3791</v>
          </cell>
          <cell r="BT41">
            <v>1064</v>
          </cell>
          <cell r="BU41">
            <v>48956</v>
          </cell>
          <cell r="BV41">
            <v>4569</v>
          </cell>
          <cell r="BW41">
            <v>2731</v>
          </cell>
          <cell r="BX41">
            <v>8812</v>
          </cell>
          <cell r="BY41">
            <v>7031</v>
          </cell>
          <cell r="BZ41">
            <v>220</v>
          </cell>
          <cell r="CA41">
            <v>456</v>
          </cell>
          <cell r="CB41">
            <v>10</v>
          </cell>
          <cell r="CC41">
            <v>72785</v>
          </cell>
          <cell r="CD41">
            <v>2364</v>
          </cell>
          <cell r="CE41">
            <v>0</v>
          </cell>
          <cell r="CF41">
            <v>0</v>
          </cell>
          <cell r="CG41">
            <v>2494</v>
          </cell>
          <cell r="CH41">
            <v>4858</v>
          </cell>
          <cell r="CI41">
            <v>67927</v>
          </cell>
          <cell r="CJ41">
            <v>5204</v>
          </cell>
          <cell r="CK41">
            <v>8408</v>
          </cell>
          <cell r="CL41">
            <v>0</v>
          </cell>
          <cell r="CM41">
            <v>0</v>
          </cell>
          <cell r="CN41">
            <v>12.5</v>
          </cell>
          <cell r="CO41">
            <v>0</v>
          </cell>
          <cell r="CP41">
            <v>15493</v>
          </cell>
          <cell r="CQ41">
            <v>6792</v>
          </cell>
          <cell r="CR41">
            <v>46909</v>
          </cell>
          <cell r="CS41">
            <v>659</v>
          </cell>
          <cell r="CT41">
            <v>69853</v>
          </cell>
          <cell r="CU41">
            <v>11361</v>
          </cell>
          <cell r="CV41">
            <v>53343</v>
          </cell>
          <cell r="CW41">
            <v>522</v>
          </cell>
          <cell r="CX41">
            <v>1805</v>
          </cell>
          <cell r="CY41">
            <v>40</v>
          </cell>
          <cell r="CZ41">
            <v>67071</v>
          </cell>
          <cell r="DA41">
            <v>1895</v>
          </cell>
          <cell r="DB41">
            <v>7693</v>
          </cell>
          <cell r="DC41">
            <v>363</v>
          </cell>
          <cell r="DD41">
            <v>1603</v>
          </cell>
          <cell r="DE41">
            <v>0</v>
          </cell>
          <cell r="DF41">
            <v>11554</v>
          </cell>
          <cell r="DG41">
            <v>-193</v>
          </cell>
          <cell r="DH41">
            <v>0</v>
          </cell>
          <cell r="DI41">
            <v>-3587</v>
          </cell>
          <cell r="DJ41">
            <v>-31</v>
          </cell>
          <cell r="DK41">
            <v>17354</v>
          </cell>
          <cell r="DL41">
            <v>6023</v>
          </cell>
          <cell r="DM41">
            <v>0</v>
          </cell>
          <cell r="DN41">
            <v>15157</v>
          </cell>
          <cell r="DO41">
            <v>1368</v>
          </cell>
          <cell r="DP41">
            <v>-4387</v>
          </cell>
          <cell r="DQ41">
            <v>-170</v>
          </cell>
          <cell r="DR41">
            <v>0</v>
          </cell>
          <cell r="DS41">
            <v>-3591</v>
          </cell>
          <cell r="DT41">
            <v>-34</v>
          </cell>
          <cell r="DU41">
            <v>18242</v>
          </cell>
          <cell r="DV41">
            <v>6329</v>
          </cell>
          <cell r="DW41">
            <v>0</v>
          </cell>
          <cell r="DX41">
            <v>16389</v>
          </cell>
          <cell r="DY41">
            <v>1418</v>
          </cell>
          <cell r="DZ41">
            <v>1192</v>
          </cell>
          <cell r="EA41">
            <v>1227</v>
          </cell>
          <cell r="EB41">
            <v>49</v>
          </cell>
          <cell r="EC41">
            <v>1</v>
          </cell>
          <cell r="ED41">
            <v>194</v>
          </cell>
          <cell r="EE41">
            <v>28</v>
          </cell>
          <cell r="EF41">
            <v>749</v>
          </cell>
          <cell r="EG41">
            <v>14</v>
          </cell>
          <cell r="EH41">
            <v>99</v>
          </cell>
          <cell r="EI41">
            <v>353</v>
          </cell>
          <cell r="EJ41">
            <v>61</v>
          </cell>
          <cell r="EK41">
            <v>0</v>
          </cell>
          <cell r="EL41">
            <v>28935</v>
          </cell>
          <cell r="EM41">
            <v>4150</v>
          </cell>
          <cell r="EN41">
            <v>946</v>
          </cell>
          <cell r="EO41">
            <v>28615</v>
          </cell>
          <cell r="EP41">
            <v>4060</v>
          </cell>
          <cell r="EQ41">
            <v>1102</v>
          </cell>
        </row>
        <row r="42">
          <cell r="B42" t="str">
            <v>E6123</v>
          </cell>
          <cell r="C42" t="str">
            <v>Lancashire</v>
          </cell>
          <cell r="D42">
            <v>1</v>
          </cell>
          <cell r="E42">
            <v>9</v>
          </cell>
          <cell r="F42">
            <v>18</v>
          </cell>
          <cell r="G42">
            <v>12</v>
          </cell>
          <cell r="H42">
            <v>0</v>
          </cell>
          <cell r="I42">
            <v>39</v>
          </cell>
          <cell r="J42">
            <v>4</v>
          </cell>
          <cell r="K42">
            <v>9</v>
          </cell>
          <cell r="L42">
            <v>18</v>
          </cell>
          <cell r="M42">
            <v>12</v>
          </cell>
          <cell r="N42">
            <v>0</v>
          </cell>
          <cell r="O42">
            <v>39</v>
          </cell>
          <cell r="P42">
            <v>6</v>
          </cell>
          <cell r="Q42">
            <v>59</v>
          </cell>
          <cell r="R42">
            <v>5</v>
          </cell>
          <cell r="S42">
            <v>18</v>
          </cell>
          <cell r="T42">
            <v>28</v>
          </cell>
          <cell r="U42">
            <v>14</v>
          </cell>
          <cell r="V42">
            <v>124</v>
          </cell>
          <cell r="W42">
            <v>80</v>
          </cell>
          <cell r="X42">
            <v>7</v>
          </cell>
          <cell r="Y42">
            <v>6</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v>28886</v>
          </cell>
          <cell r="AT42">
            <v>4017</v>
          </cell>
          <cell r="AU42">
            <v>90</v>
          </cell>
          <cell r="AV42">
            <v>6360</v>
          </cell>
          <cell r="AW42">
            <v>794</v>
          </cell>
          <cell r="AX42">
            <v>963</v>
          </cell>
          <cell r="AY42">
            <v>41110</v>
          </cell>
          <cell r="AZ42">
            <v>3779</v>
          </cell>
          <cell r="BA42">
            <v>1999</v>
          </cell>
          <cell r="BB42">
            <v>4542</v>
          </cell>
          <cell r="BC42">
            <v>313</v>
          </cell>
          <cell r="BD42">
            <v>1148</v>
          </cell>
          <cell r="BE42">
            <v>0</v>
          </cell>
          <cell r="BF42">
            <v>636</v>
          </cell>
          <cell r="BG42">
            <v>53527</v>
          </cell>
          <cell r="BH42">
            <v>2802</v>
          </cell>
          <cell r="BI42">
            <v>0</v>
          </cell>
          <cell r="BJ42">
            <v>0</v>
          </cell>
          <cell r="BK42">
            <v>1545</v>
          </cell>
          <cell r="BL42">
            <v>4347</v>
          </cell>
          <cell r="BM42">
            <v>49180</v>
          </cell>
          <cell r="BN42">
            <v>4386</v>
          </cell>
          <cell r="BO42">
            <v>-7845</v>
          </cell>
          <cell r="BP42">
            <v>30016</v>
          </cell>
          <cell r="BQ42">
            <v>3965</v>
          </cell>
          <cell r="BR42">
            <v>89</v>
          </cell>
          <cell r="BS42">
            <v>574</v>
          </cell>
          <cell r="BT42">
            <v>1277</v>
          </cell>
          <cell r="BU42">
            <v>42669</v>
          </cell>
          <cell r="BV42">
            <v>5486</v>
          </cell>
          <cell r="BW42">
            <v>2087</v>
          </cell>
          <cell r="BX42">
            <v>5493</v>
          </cell>
          <cell r="BY42">
            <v>363</v>
          </cell>
          <cell r="BZ42">
            <v>1183</v>
          </cell>
          <cell r="CA42">
            <v>0</v>
          </cell>
          <cell r="CB42">
            <v>0</v>
          </cell>
          <cell r="CC42">
            <v>57281</v>
          </cell>
          <cell r="CD42">
            <v>2779</v>
          </cell>
          <cell r="CE42">
            <v>0</v>
          </cell>
          <cell r="CF42">
            <v>0</v>
          </cell>
          <cell r="CG42">
            <v>1361</v>
          </cell>
          <cell r="CH42">
            <v>4140</v>
          </cell>
          <cell r="CI42">
            <v>53141</v>
          </cell>
          <cell r="CJ42">
            <v>4876</v>
          </cell>
          <cell r="CK42">
            <v>-9101</v>
          </cell>
          <cell r="CL42">
            <v>0</v>
          </cell>
          <cell r="CM42">
            <v>0</v>
          </cell>
          <cell r="CN42">
            <v>14.2</v>
          </cell>
          <cell r="CO42">
            <v>-313</v>
          </cell>
          <cell r="CP42">
            <v>20891</v>
          </cell>
          <cell r="CQ42">
            <v>4200</v>
          </cell>
          <cell r="CR42">
            <v>29169</v>
          </cell>
          <cell r="CS42">
            <v>510</v>
          </cell>
          <cell r="CT42">
            <v>54770</v>
          </cell>
          <cell r="CU42">
            <v>8096.516448075683</v>
          </cell>
          <cell r="CV42">
            <v>44678.643159177242</v>
          </cell>
          <cell r="CW42">
            <v>74.221266633221063</v>
          </cell>
          <cell r="CX42">
            <v>708.94106404835281</v>
          </cell>
          <cell r="CY42">
            <v>7.6780620655056255</v>
          </cell>
          <cell r="CZ42">
            <v>53566</v>
          </cell>
          <cell r="DA42" t="str">
            <v>..</v>
          </cell>
          <cell r="DB42" t="str">
            <v>..</v>
          </cell>
          <cell r="DC42" t="str">
            <v>..</v>
          </cell>
          <cell r="DD42" t="str">
            <v>..</v>
          </cell>
          <cell r="DE42" t="str">
            <v>..</v>
          </cell>
          <cell r="DF42" t="str">
            <v>..</v>
          </cell>
          <cell r="DG42">
            <v>-179</v>
          </cell>
          <cell r="DH42">
            <v>0</v>
          </cell>
          <cell r="DI42">
            <v>-2923</v>
          </cell>
          <cell r="DJ42">
            <v>-52</v>
          </cell>
          <cell r="DK42">
            <v>18452</v>
          </cell>
          <cell r="DL42">
            <v>3593</v>
          </cell>
          <cell r="DM42">
            <v>0</v>
          </cell>
          <cell r="DN42">
            <v>15199</v>
          </cell>
          <cell r="DO42">
            <v>1138</v>
          </cell>
          <cell r="DP42">
            <v>-3647</v>
          </cell>
          <cell r="DQ42">
            <v>-196</v>
          </cell>
          <cell r="DR42">
            <v>0</v>
          </cell>
          <cell r="DS42">
            <v>-2893</v>
          </cell>
          <cell r="DT42">
            <v>0</v>
          </cell>
          <cell r="DU42">
            <v>17566</v>
          </cell>
          <cell r="DV42">
            <v>3903</v>
          </cell>
          <cell r="DW42">
            <v>0</v>
          </cell>
          <cell r="DX42">
            <v>14733</v>
          </cell>
          <cell r="DY42">
            <v>1178</v>
          </cell>
          <cell r="DZ42">
            <v>1287</v>
          </cell>
          <cell r="EA42">
            <v>1339</v>
          </cell>
          <cell r="EB42">
            <v>36</v>
          </cell>
          <cell r="EC42">
            <v>2</v>
          </cell>
          <cell r="ED42">
            <v>202</v>
          </cell>
          <cell r="EE42">
            <v>9</v>
          </cell>
          <cell r="EF42">
            <v>671</v>
          </cell>
          <cell r="EG42">
            <v>25</v>
          </cell>
          <cell r="EH42">
            <v>68</v>
          </cell>
          <cell r="EI42">
            <v>354</v>
          </cell>
          <cell r="EJ42">
            <v>176</v>
          </cell>
          <cell r="EK42">
            <v>31</v>
          </cell>
          <cell r="EL42">
            <v>7456</v>
          </cell>
          <cell r="EM42">
            <v>10446</v>
          </cell>
          <cell r="EN42">
            <v>1763</v>
          </cell>
          <cell r="EO42">
            <v>7884</v>
          </cell>
          <cell r="EP42">
            <v>7828</v>
          </cell>
          <cell r="EQ42">
            <v>1084</v>
          </cell>
        </row>
        <row r="43">
          <cell r="B43" t="str">
            <v>E6124</v>
          </cell>
          <cell r="C43" t="str">
            <v>Leicestershire</v>
          </cell>
          <cell r="D43">
            <v>1</v>
          </cell>
          <cell r="E43">
            <v>7</v>
          </cell>
          <cell r="F43">
            <v>6</v>
          </cell>
          <cell r="G43">
            <v>7</v>
          </cell>
          <cell r="H43">
            <v>0</v>
          </cell>
          <cell r="I43">
            <v>20</v>
          </cell>
          <cell r="J43">
            <v>1</v>
          </cell>
          <cell r="K43">
            <v>7</v>
          </cell>
          <cell r="L43">
            <v>6</v>
          </cell>
          <cell r="M43">
            <v>7</v>
          </cell>
          <cell r="N43">
            <v>0</v>
          </cell>
          <cell r="O43">
            <v>20</v>
          </cell>
          <cell r="P43">
            <v>2</v>
          </cell>
          <cell r="Q43">
            <v>30</v>
          </cell>
          <cell r="R43">
            <v>2</v>
          </cell>
          <cell r="S43">
            <v>18</v>
          </cell>
          <cell r="T43">
            <v>37</v>
          </cell>
          <cell r="U43">
            <v>10</v>
          </cell>
          <cell r="V43">
            <v>97</v>
          </cell>
          <cell r="W43">
            <v>66</v>
          </cell>
          <cell r="X43">
            <v>3</v>
          </cell>
          <cell r="Y43">
            <v>5</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v>17119</v>
          </cell>
          <cell r="AT43">
            <v>1746</v>
          </cell>
          <cell r="AU43">
            <v>1054</v>
          </cell>
          <cell r="AV43">
            <v>4386</v>
          </cell>
          <cell r="AW43">
            <v>448</v>
          </cell>
          <cell r="AX43">
            <v>535</v>
          </cell>
          <cell r="AY43">
            <v>25288</v>
          </cell>
          <cell r="AZ43">
            <v>2108</v>
          </cell>
          <cell r="BA43">
            <v>1034</v>
          </cell>
          <cell r="BB43">
            <v>3402</v>
          </cell>
          <cell r="BC43">
            <v>191</v>
          </cell>
          <cell r="BD43">
            <v>0</v>
          </cell>
          <cell r="BE43">
            <v>0</v>
          </cell>
          <cell r="BF43">
            <v>0</v>
          </cell>
          <cell r="BG43">
            <v>32023</v>
          </cell>
          <cell r="BH43">
            <v>1636</v>
          </cell>
          <cell r="BI43">
            <v>0</v>
          </cell>
          <cell r="BJ43">
            <v>207</v>
          </cell>
          <cell r="BK43">
            <v>445</v>
          </cell>
          <cell r="BL43">
            <v>2288</v>
          </cell>
          <cell r="BM43">
            <v>29735</v>
          </cell>
          <cell r="BN43">
            <v>2060</v>
          </cell>
          <cell r="BO43">
            <v>9452</v>
          </cell>
          <cell r="BP43">
            <v>17496</v>
          </cell>
          <cell r="BQ43">
            <v>2044</v>
          </cell>
          <cell r="BR43">
            <v>1046</v>
          </cell>
          <cell r="BS43">
            <v>280</v>
          </cell>
          <cell r="BT43">
            <v>539</v>
          </cell>
          <cell r="BU43">
            <v>25758</v>
          </cell>
          <cell r="BV43">
            <v>2307</v>
          </cell>
          <cell r="BW43">
            <v>1015</v>
          </cell>
          <cell r="BX43">
            <v>3078</v>
          </cell>
          <cell r="BY43">
            <v>129</v>
          </cell>
          <cell r="BZ43">
            <v>0</v>
          </cell>
          <cell r="CA43">
            <v>50</v>
          </cell>
          <cell r="CB43">
            <v>0</v>
          </cell>
          <cell r="CC43">
            <v>32337</v>
          </cell>
          <cell r="CD43">
            <v>1250</v>
          </cell>
          <cell r="CE43">
            <v>0</v>
          </cell>
          <cell r="CF43">
            <v>0</v>
          </cell>
          <cell r="CG43">
            <v>371</v>
          </cell>
          <cell r="CH43">
            <v>1621</v>
          </cell>
          <cell r="CI43">
            <v>30716</v>
          </cell>
          <cell r="CJ43">
            <v>2060</v>
          </cell>
          <cell r="CK43">
            <v>9452</v>
          </cell>
          <cell r="CL43" t="str">
            <v>..</v>
          </cell>
          <cell r="CM43">
            <v>0</v>
          </cell>
          <cell r="CN43" t="str">
            <v>..</v>
          </cell>
          <cell r="CO43" t="str">
            <v>..</v>
          </cell>
          <cell r="CP43">
            <v>4768</v>
          </cell>
          <cell r="CQ43">
            <v>8942</v>
          </cell>
          <cell r="CR43">
            <v>20493</v>
          </cell>
          <cell r="CS43">
            <v>237</v>
          </cell>
          <cell r="CT43">
            <v>34440</v>
          </cell>
          <cell r="CU43">
            <v>3753</v>
          </cell>
          <cell r="CV43">
            <v>26834</v>
          </cell>
          <cell r="CW43">
            <v>509</v>
          </cell>
          <cell r="CX43">
            <v>693</v>
          </cell>
          <cell r="CY43">
            <v>6</v>
          </cell>
          <cell r="CZ43">
            <v>31795</v>
          </cell>
          <cell r="DA43" t="str">
            <v>..</v>
          </cell>
          <cell r="DB43" t="str">
            <v>..</v>
          </cell>
          <cell r="DC43" t="str">
            <v>..</v>
          </cell>
          <cell r="DD43" t="str">
            <v>..</v>
          </cell>
          <cell r="DE43" t="str">
            <v>..</v>
          </cell>
          <cell r="DF43" t="str">
            <v>..</v>
          </cell>
          <cell r="DG43">
            <v>-40</v>
          </cell>
          <cell r="DH43">
            <v>0</v>
          </cell>
          <cell r="DI43">
            <v>-1820</v>
          </cell>
          <cell r="DJ43">
            <v>-6</v>
          </cell>
          <cell r="DK43">
            <v>10118</v>
          </cell>
          <cell r="DL43">
            <v>2500</v>
          </cell>
          <cell r="DM43">
            <v>0</v>
          </cell>
          <cell r="DN43">
            <v>8459</v>
          </cell>
          <cell r="DO43">
            <v>120</v>
          </cell>
          <cell r="DP43">
            <v>-2171</v>
          </cell>
          <cell r="DQ43">
            <v>-30</v>
          </cell>
          <cell r="DR43">
            <v>0</v>
          </cell>
          <cell r="DS43">
            <v>-1685</v>
          </cell>
          <cell r="DT43">
            <v>0</v>
          </cell>
          <cell r="DU43">
            <v>10512</v>
          </cell>
          <cell r="DV43">
            <v>1485</v>
          </cell>
          <cell r="DW43">
            <v>0</v>
          </cell>
          <cell r="DX43">
            <v>8111</v>
          </cell>
          <cell r="DY43">
            <v>120</v>
          </cell>
          <cell r="DZ43">
            <v>638</v>
          </cell>
          <cell r="EA43">
            <v>648</v>
          </cell>
          <cell r="EB43">
            <v>16</v>
          </cell>
          <cell r="EC43">
            <v>0</v>
          </cell>
          <cell r="ED43">
            <v>104</v>
          </cell>
          <cell r="EE43">
            <v>19</v>
          </cell>
          <cell r="EF43">
            <v>383</v>
          </cell>
          <cell r="EG43">
            <v>9</v>
          </cell>
          <cell r="EH43">
            <v>46</v>
          </cell>
          <cell r="EI43">
            <v>199</v>
          </cell>
          <cell r="EJ43">
            <v>54</v>
          </cell>
          <cell r="EK43">
            <v>5</v>
          </cell>
          <cell r="EL43">
            <v>12117</v>
          </cell>
          <cell r="EM43">
            <v>2000</v>
          </cell>
          <cell r="EN43">
            <v>579</v>
          </cell>
          <cell r="EO43">
            <v>9018</v>
          </cell>
          <cell r="EP43">
            <v>2000</v>
          </cell>
          <cell r="EQ43">
            <v>375</v>
          </cell>
        </row>
        <row r="44">
          <cell r="B44" t="str">
            <v>E6127</v>
          </cell>
          <cell r="C44" t="str">
            <v>North Yorkshire</v>
          </cell>
          <cell r="D44">
            <v>1</v>
          </cell>
          <cell r="E44">
            <v>5</v>
          </cell>
          <cell r="F44">
            <v>24</v>
          </cell>
          <cell r="G44">
            <v>7</v>
          </cell>
          <cell r="H44">
            <v>2</v>
          </cell>
          <cell r="I44">
            <v>38</v>
          </cell>
          <cell r="J44">
            <v>2</v>
          </cell>
          <cell r="K44">
            <v>5</v>
          </cell>
          <cell r="L44">
            <v>24</v>
          </cell>
          <cell r="M44">
            <v>7</v>
          </cell>
          <cell r="N44">
            <v>2</v>
          </cell>
          <cell r="O44">
            <v>38</v>
          </cell>
          <cell r="P44">
            <v>2</v>
          </cell>
          <cell r="Q44">
            <v>40</v>
          </cell>
          <cell r="R44">
            <v>3</v>
          </cell>
          <cell r="S44">
            <v>32</v>
          </cell>
          <cell r="T44">
            <v>41</v>
          </cell>
          <cell r="U44">
            <v>7</v>
          </cell>
          <cell r="V44">
            <v>123</v>
          </cell>
          <cell r="W44">
            <v>58</v>
          </cell>
          <cell r="X44">
            <v>5</v>
          </cell>
          <cell r="Y44">
            <v>4</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v>14628</v>
          </cell>
          <cell r="AT44">
            <v>2816</v>
          </cell>
          <cell r="AU44">
            <v>697</v>
          </cell>
          <cell r="AV44">
            <v>2947</v>
          </cell>
          <cell r="AW44">
            <v>966</v>
          </cell>
          <cell r="AX44">
            <v>184</v>
          </cell>
          <cell r="AY44">
            <v>22238</v>
          </cell>
          <cell r="AZ44">
            <v>2921</v>
          </cell>
          <cell r="BA44">
            <v>1297</v>
          </cell>
          <cell r="BB44">
            <v>2775</v>
          </cell>
          <cell r="BC44">
            <v>241</v>
          </cell>
          <cell r="BD44">
            <v>0</v>
          </cell>
          <cell r="BE44">
            <v>0</v>
          </cell>
          <cell r="BF44">
            <v>0</v>
          </cell>
          <cell r="BG44">
            <v>29472</v>
          </cell>
          <cell r="BH44">
            <v>1171</v>
          </cell>
          <cell r="BI44">
            <v>0</v>
          </cell>
          <cell r="BJ44">
            <v>0</v>
          </cell>
          <cell r="BK44">
            <v>439</v>
          </cell>
          <cell r="BL44">
            <v>1610</v>
          </cell>
          <cell r="BM44">
            <v>27862</v>
          </cell>
          <cell r="BN44">
            <v>3444</v>
          </cell>
          <cell r="BO44">
            <v>3593</v>
          </cell>
          <cell r="BP44">
            <v>15024</v>
          </cell>
          <cell r="BQ44">
            <v>2998</v>
          </cell>
          <cell r="BR44">
            <v>763</v>
          </cell>
          <cell r="BS44">
            <v>794</v>
          </cell>
          <cell r="BT44">
            <v>484</v>
          </cell>
          <cell r="BU44">
            <v>23438</v>
          </cell>
          <cell r="BV44">
            <v>2826</v>
          </cell>
          <cell r="BW44">
            <v>1345</v>
          </cell>
          <cell r="BX44">
            <v>2880</v>
          </cell>
          <cell r="BY44">
            <v>218</v>
          </cell>
          <cell r="BZ44">
            <v>0</v>
          </cell>
          <cell r="CA44">
            <v>0</v>
          </cell>
          <cell r="CB44">
            <v>0</v>
          </cell>
          <cell r="CC44">
            <v>30707</v>
          </cell>
          <cell r="CD44">
            <v>1601</v>
          </cell>
          <cell r="CE44">
            <v>0</v>
          </cell>
          <cell r="CF44">
            <v>0</v>
          </cell>
          <cell r="CG44">
            <v>480</v>
          </cell>
          <cell r="CH44">
            <v>2081</v>
          </cell>
          <cell r="CI44">
            <v>28626</v>
          </cell>
          <cell r="CJ44">
            <v>2554</v>
          </cell>
          <cell r="CK44">
            <v>0</v>
          </cell>
          <cell r="CL44">
            <v>0</v>
          </cell>
          <cell r="CM44">
            <v>0</v>
          </cell>
          <cell r="CN44" t="str">
            <v>..</v>
          </cell>
          <cell r="CO44" t="str">
            <v>..</v>
          </cell>
          <cell r="CP44">
            <v>6212</v>
          </cell>
          <cell r="CQ44">
            <v>3048</v>
          </cell>
          <cell r="CR44">
            <v>20559</v>
          </cell>
          <cell r="CS44">
            <v>149</v>
          </cell>
          <cell r="CT44">
            <v>29968</v>
          </cell>
          <cell r="CU44">
            <v>2495</v>
          </cell>
          <cell r="CV44">
            <v>27738</v>
          </cell>
          <cell r="CW44">
            <v>0</v>
          </cell>
          <cell r="CX44">
            <v>1073</v>
          </cell>
          <cell r="CY44">
            <v>0</v>
          </cell>
          <cell r="CZ44">
            <v>31306</v>
          </cell>
          <cell r="DA44">
            <v>584</v>
          </cell>
          <cell r="DB44">
            <v>6539</v>
          </cell>
          <cell r="DC44">
            <v>0</v>
          </cell>
          <cell r="DD44">
            <v>199</v>
          </cell>
          <cell r="DE44">
            <v>0</v>
          </cell>
          <cell r="DF44">
            <v>7322</v>
          </cell>
          <cell r="DG44">
            <v>-80</v>
          </cell>
          <cell r="DH44">
            <v>0</v>
          </cell>
          <cell r="DI44">
            <v>-1704</v>
          </cell>
          <cell r="DJ44">
            <v>-56</v>
          </cell>
          <cell r="DK44">
            <v>7979</v>
          </cell>
          <cell r="DL44">
            <v>1136</v>
          </cell>
          <cell r="DM44">
            <v>0</v>
          </cell>
          <cell r="DN44">
            <v>5199</v>
          </cell>
          <cell r="DO44">
            <v>735</v>
          </cell>
          <cell r="DP44">
            <v>-2113</v>
          </cell>
          <cell r="DQ44">
            <v>-140</v>
          </cell>
          <cell r="DR44">
            <v>0</v>
          </cell>
          <cell r="DS44">
            <v>-1779</v>
          </cell>
          <cell r="DT44">
            <v>0</v>
          </cell>
          <cell r="DU44">
            <v>8503</v>
          </cell>
          <cell r="DV44">
            <v>2188</v>
          </cell>
          <cell r="DW44">
            <v>0</v>
          </cell>
          <cell r="DX44">
            <v>6659</v>
          </cell>
          <cell r="DY44">
            <v>767</v>
          </cell>
          <cell r="DZ44">
            <v>556</v>
          </cell>
          <cell r="EA44">
            <v>578</v>
          </cell>
          <cell r="EB44">
            <v>10</v>
          </cell>
          <cell r="EC44">
            <v>3</v>
          </cell>
          <cell r="ED44">
            <v>76</v>
          </cell>
          <cell r="EE44">
            <v>14</v>
          </cell>
          <cell r="EF44">
            <v>472</v>
          </cell>
          <cell r="EG44">
            <v>32</v>
          </cell>
          <cell r="EH44">
            <v>31</v>
          </cell>
          <cell r="EI44">
            <v>217</v>
          </cell>
          <cell r="EJ44">
            <v>79</v>
          </cell>
          <cell r="EK44">
            <v>36</v>
          </cell>
          <cell r="EL44">
            <v>4002</v>
          </cell>
          <cell r="EM44">
            <v>4160</v>
          </cell>
          <cell r="EN44">
            <v>227</v>
          </cell>
          <cell r="EO44">
            <v>3972</v>
          </cell>
          <cell r="EP44">
            <v>3838</v>
          </cell>
          <cell r="EQ44">
            <v>297</v>
          </cell>
        </row>
        <row r="45">
          <cell r="B45" t="str">
            <v>E6130</v>
          </cell>
          <cell r="C45" t="str">
            <v>Nottinghamshire</v>
          </cell>
          <cell r="D45">
            <v>1</v>
          </cell>
          <cell r="E45">
            <v>8</v>
          </cell>
          <cell r="F45">
            <v>12</v>
          </cell>
          <cell r="G45">
            <v>4</v>
          </cell>
          <cell r="H45">
            <v>0</v>
          </cell>
          <cell r="I45">
            <v>24</v>
          </cell>
          <cell r="J45">
            <v>6</v>
          </cell>
          <cell r="K45">
            <v>8</v>
          </cell>
          <cell r="L45">
            <v>12</v>
          </cell>
          <cell r="M45">
            <v>4</v>
          </cell>
          <cell r="N45">
            <v>0</v>
          </cell>
          <cell r="O45">
            <v>24</v>
          </cell>
          <cell r="P45">
            <v>6</v>
          </cell>
          <cell r="Q45">
            <v>30</v>
          </cell>
          <cell r="R45">
            <v>2</v>
          </cell>
          <cell r="S45">
            <v>4</v>
          </cell>
          <cell r="T45">
            <v>3</v>
          </cell>
          <cell r="U45">
            <v>4</v>
          </cell>
          <cell r="V45">
            <v>43</v>
          </cell>
          <cell r="W45">
            <v>63</v>
          </cell>
          <cell r="X45">
            <v>6</v>
          </cell>
          <cell r="Y45">
            <v>4</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v>21505</v>
          </cell>
          <cell r="AT45">
            <v>2805</v>
          </cell>
          <cell r="AU45">
            <v>1090</v>
          </cell>
          <cell r="AV45">
            <v>6147</v>
          </cell>
          <cell r="AW45">
            <v>426</v>
          </cell>
          <cell r="AX45">
            <v>1533</v>
          </cell>
          <cell r="AY45">
            <v>33506</v>
          </cell>
          <cell r="AZ45">
            <v>2402</v>
          </cell>
          <cell r="BA45">
            <v>1548</v>
          </cell>
          <cell r="BB45">
            <v>4113</v>
          </cell>
          <cell r="BC45">
            <v>159</v>
          </cell>
          <cell r="BD45">
            <v>39</v>
          </cell>
          <cell r="BE45">
            <v>0</v>
          </cell>
          <cell r="BF45">
            <v>0</v>
          </cell>
          <cell r="BG45">
            <v>41767</v>
          </cell>
          <cell r="BH45">
            <v>2072</v>
          </cell>
          <cell r="BI45">
            <v>0</v>
          </cell>
          <cell r="BJ45">
            <v>0</v>
          </cell>
          <cell r="BK45">
            <v>176</v>
          </cell>
          <cell r="BL45">
            <v>2248</v>
          </cell>
          <cell r="BM45">
            <v>39519</v>
          </cell>
          <cell r="BN45">
            <v>2974</v>
          </cell>
          <cell r="BO45">
            <v>8017</v>
          </cell>
          <cell r="BP45">
            <v>21394</v>
          </cell>
          <cell r="BQ45">
            <v>3404</v>
          </cell>
          <cell r="BR45">
            <v>1017</v>
          </cell>
          <cell r="BS45">
            <v>345</v>
          </cell>
          <cell r="BT45">
            <v>1200</v>
          </cell>
          <cell r="BU45">
            <v>33530</v>
          </cell>
          <cell r="BV45">
            <v>2367</v>
          </cell>
          <cell r="BW45">
            <v>748</v>
          </cell>
          <cell r="BX45">
            <v>3356</v>
          </cell>
          <cell r="BY45">
            <v>178</v>
          </cell>
          <cell r="BZ45">
            <v>58</v>
          </cell>
          <cell r="CA45">
            <v>0</v>
          </cell>
          <cell r="CB45">
            <v>0</v>
          </cell>
          <cell r="CC45">
            <v>40237</v>
          </cell>
          <cell r="CD45">
            <v>795</v>
          </cell>
          <cell r="CE45">
            <v>0</v>
          </cell>
          <cell r="CF45">
            <v>0</v>
          </cell>
          <cell r="CG45">
            <v>199</v>
          </cell>
          <cell r="CH45">
            <v>994</v>
          </cell>
          <cell r="CI45">
            <v>39243</v>
          </cell>
          <cell r="CJ45">
            <v>4309</v>
          </cell>
          <cell r="CK45">
            <v>8000</v>
          </cell>
          <cell r="CL45">
            <v>0</v>
          </cell>
          <cell r="CM45">
            <v>0</v>
          </cell>
          <cell r="CN45">
            <v>14.8</v>
          </cell>
          <cell r="CO45">
            <v>201</v>
          </cell>
          <cell r="CP45">
            <v>5962</v>
          </cell>
          <cell r="CQ45">
            <v>10585</v>
          </cell>
          <cell r="CR45">
            <v>24236</v>
          </cell>
          <cell r="CS45">
            <v>192</v>
          </cell>
          <cell r="CT45">
            <v>40975</v>
          </cell>
          <cell r="CU45">
            <v>4147.6530608317453</v>
          </cell>
          <cell r="CV45">
            <v>33855.872312991938</v>
          </cell>
          <cell r="CW45">
            <v>321.37769181917901</v>
          </cell>
          <cell r="CX45">
            <v>144.74262455978294</v>
          </cell>
          <cell r="CY45">
            <v>4023.3543097973566</v>
          </cell>
          <cell r="CZ45">
            <v>42493</v>
          </cell>
          <cell r="DA45" t="str">
            <v>..</v>
          </cell>
          <cell r="DB45" t="str">
            <v>..</v>
          </cell>
          <cell r="DC45" t="str">
            <v>..</v>
          </cell>
          <cell r="DD45" t="str">
            <v>..</v>
          </cell>
          <cell r="DE45" t="str">
            <v>..</v>
          </cell>
          <cell r="DF45" t="str">
            <v>..</v>
          </cell>
          <cell r="DG45">
            <v>-132.1137258172983</v>
          </cell>
          <cell r="DH45">
            <v>-5.1508688185185694</v>
          </cell>
          <cell r="DI45">
            <v>-1704.9371480111008</v>
          </cell>
          <cell r="DJ45">
            <v>-11.50221040996926</v>
          </cell>
          <cell r="DK45">
            <v>8494.4260431257298</v>
          </cell>
          <cell r="DL45">
            <v>1884.973822500333</v>
          </cell>
          <cell r="DM45">
            <v>10.237729659222584</v>
          </cell>
          <cell r="DN45">
            <v>6367.0323964192348</v>
          </cell>
          <cell r="DO45">
            <v>539.64521589117123</v>
          </cell>
          <cell r="DP45">
            <v>-2272.5702943934252</v>
          </cell>
          <cell r="DQ45">
            <v>-138.42849200910413</v>
          </cell>
          <cell r="DR45">
            <v>-5.3970698250558407</v>
          </cell>
          <cell r="DS45">
            <v>-1786.4296605779116</v>
          </cell>
          <cell r="DT45">
            <v>-12.051992569079337</v>
          </cell>
          <cell r="DU45">
            <v>8900.4422542657085</v>
          </cell>
          <cell r="DV45">
            <v>1975.0717203010895</v>
          </cell>
          <cell r="DW45">
            <v>10.727072221722944</v>
          </cell>
          <cell r="DX45">
            <v>6671.3635374139449</v>
          </cell>
          <cell r="DY45">
            <v>565.43915474043149</v>
          </cell>
          <cell r="DZ45">
            <v>804</v>
          </cell>
          <cell r="EA45">
            <v>809</v>
          </cell>
          <cell r="EB45">
            <v>12</v>
          </cell>
          <cell r="EC45">
            <v>2</v>
          </cell>
          <cell r="ED45">
            <v>182</v>
          </cell>
          <cell r="EE45">
            <v>508</v>
          </cell>
          <cell r="EF45" t="str">
            <v>..</v>
          </cell>
          <cell r="EG45" t="str">
            <v>..</v>
          </cell>
          <cell r="EH45">
            <v>53</v>
          </cell>
          <cell r="EI45">
            <v>232</v>
          </cell>
          <cell r="EJ45" t="str">
            <v>..</v>
          </cell>
          <cell r="EK45" t="str">
            <v>..</v>
          </cell>
          <cell r="EL45">
            <v>4894</v>
          </cell>
          <cell r="EM45">
            <v>7837</v>
          </cell>
          <cell r="EN45">
            <v>578</v>
          </cell>
          <cell r="EO45">
            <v>5156</v>
          </cell>
          <cell r="EP45">
            <v>6953</v>
          </cell>
          <cell r="EQ45">
            <v>599</v>
          </cell>
        </row>
        <row r="46">
          <cell r="B46" t="str">
            <v>E6132</v>
          </cell>
          <cell r="C46" t="str">
            <v>Shropshire</v>
          </cell>
          <cell r="D46">
            <v>1</v>
          </cell>
          <cell r="E46">
            <v>1</v>
          </cell>
          <cell r="F46">
            <v>19</v>
          </cell>
          <cell r="G46">
            <v>3</v>
          </cell>
          <cell r="H46">
            <v>0</v>
          </cell>
          <cell r="I46">
            <v>23</v>
          </cell>
          <cell r="J46">
            <v>0</v>
          </cell>
          <cell r="K46">
            <v>1</v>
          </cell>
          <cell r="L46">
            <v>19</v>
          </cell>
          <cell r="M46">
            <v>3</v>
          </cell>
          <cell r="N46">
            <v>0</v>
          </cell>
          <cell r="O46">
            <v>23</v>
          </cell>
          <cell r="P46">
            <v>0</v>
          </cell>
          <cell r="Q46">
            <v>28</v>
          </cell>
          <cell r="R46">
            <v>2</v>
          </cell>
          <cell r="S46">
            <v>20</v>
          </cell>
          <cell r="T46">
            <v>25</v>
          </cell>
          <cell r="U46">
            <v>2</v>
          </cell>
          <cell r="V46">
            <v>77</v>
          </cell>
          <cell r="W46">
            <v>29</v>
          </cell>
          <cell r="X46">
            <v>2</v>
          </cell>
          <cell r="Y46">
            <v>5</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v>8665</v>
          </cell>
          <cell r="AT46">
            <v>3020</v>
          </cell>
          <cell r="AU46">
            <v>722</v>
          </cell>
          <cell r="AV46">
            <v>2714</v>
          </cell>
          <cell r="AW46">
            <v>299</v>
          </cell>
          <cell r="AX46">
            <v>29</v>
          </cell>
          <cell r="AY46">
            <v>15449</v>
          </cell>
          <cell r="AZ46">
            <v>997</v>
          </cell>
          <cell r="BA46">
            <v>744</v>
          </cell>
          <cell r="BB46">
            <v>2219</v>
          </cell>
          <cell r="BC46">
            <v>272</v>
          </cell>
          <cell r="BD46">
            <v>0</v>
          </cell>
          <cell r="BE46">
            <v>0</v>
          </cell>
          <cell r="BF46">
            <v>993</v>
          </cell>
          <cell r="BG46">
            <v>20674</v>
          </cell>
          <cell r="BH46">
            <v>189</v>
          </cell>
          <cell r="BI46">
            <v>0</v>
          </cell>
          <cell r="BJ46">
            <v>0</v>
          </cell>
          <cell r="BK46">
            <v>182</v>
          </cell>
          <cell r="BL46">
            <v>371</v>
          </cell>
          <cell r="BM46">
            <v>20303</v>
          </cell>
          <cell r="BN46">
            <v>2228</v>
          </cell>
          <cell r="BO46">
            <v>714</v>
          </cell>
          <cell r="BP46">
            <v>8916</v>
          </cell>
          <cell r="BQ46">
            <v>2959</v>
          </cell>
          <cell r="BR46">
            <v>751</v>
          </cell>
          <cell r="BS46">
            <v>293</v>
          </cell>
          <cell r="BT46">
            <v>26</v>
          </cell>
          <cell r="BU46">
            <v>15589</v>
          </cell>
          <cell r="BV46">
            <v>1050</v>
          </cell>
          <cell r="BW46">
            <v>604</v>
          </cell>
          <cell r="BX46">
            <v>2035</v>
          </cell>
          <cell r="BY46">
            <v>265</v>
          </cell>
          <cell r="BZ46">
            <v>0</v>
          </cell>
          <cell r="CA46">
            <v>0</v>
          </cell>
          <cell r="CB46">
            <v>1659</v>
          </cell>
          <cell r="CC46">
            <v>21202</v>
          </cell>
          <cell r="CD46">
            <v>49</v>
          </cell>
          <cell r="CE46">
            <v>0</v>
          </cell>
          <cell r="CF46">
            <v>0</v>
          </cell>
          <cell r="CG46">
            <v>85</v>
          </cell>
          <cell r="CH46">
            <v>134</v>
          </cell>
          <cell r="CI46">
            <v>21068</v>
          </cell>
          <cell r="CJ46">
            <v>2204</v>
          </cell>
          <cell r="CK46">
            <v>714</v>
          </cell>
          <cell r="CL46">
            <v>0</v>
          </cell>
          <cell r="CM46">
            <v>0</v>
          </cell>
          <cell r="CN46">
            <v>13.9</v>
          </cell>
          <cell r="CO46">
            <v>104</v>
          </cell>
          <cell r="CP46">
            <v>4116</v>
          </cell>
          <cell r="CQ46">
            <v>1776</v>
          </cell>
          <cell r="CR46">
            <v>15445</v>
          </cell>
          <cell r="CS46">
            <v>304</v>
          </cell>
          <cell r="CT46">
            <v>21641</v>
          </cell>
          <cell r="CU46">
            <v>1529</v>
          </cell>
          <cell r="CV46">
            <v>20452</v>
          </cell>
          <cell r="CW46">
            <v>73</v>
          </cell>
          <cell r="CX46">
            <v>456</v>
          </cell>
          <cell r="CY46">
            <v>21</v>
          </cell>
          <cell r="CZ46">
            <v>22531</v>
          </cell>
          <cell r="DA46">
            <v>0</v>
          </cell>
          <cell r="DB46">
            <v>0</v>
          </cell>
          <cell r="DC46">
            <v>0</v>
          </cell>
          <cell r="DD46">
            <v>0</v>
          </cell>
          <cell r="DE46">
            <v>0</v>
          </cell>
          <cell r="DF46">
            <v>0</v>
          </cell>
          <cell r="DG46">
            <v>0</v>
          </cell>
          <cell r="DH46">
            <v>0</v>
          </cell>
          <cell r="DI46">
            <v>-1114</v>
          </cell>
          <cell r="DJ46">
            <v>-32</v>
          </cell>
          <cell r="DK46">
            <v>4495</v>
          </cell>
          <cell r="DL46">
            <v>1193</v>
          </cell>
          <cell r="DM46">
            <v>0</v>
          </cell>
          <cell r="DN46">
            <v>3235</v>
          </cell>
          <cell r="DO46">
            <v>309</v>
          </cell>
          <cell r="DP46">
            <v>-1300</v>
          </cell>
          <cell r="DQ46">
            <v>-120</v>
          </cell>
          <cell r="DR46">
            <v>0</v>
          </cell>
          <cell r="DS46">
            <v>-1100</v>
          </cell>
          <cell r="DT46">
            <v>0</v>
          </cell>
          <cell r="DU46">
            <v>4541</v>
          </cell>
          <cell r="DV46">
            <v>482</v>
          </cell>
          <cell r="DW46">
            <v>0</v>
          </cell>
          <cell r="DX46">
            <v>2503</v>
          </cell>
          <cell r="DY46">
            <v>253</v>
          </cell>
          <cell r="DZ46">
            <v>325</v>
          </cell>
          <cell r="EA46">
            <v>335</v>
          </cell>
          <cell r="EB46">
            <v>13</v>
          </cell>
          <cell r="EC46">
            <v>3</v>
          </cell>
          <cell r="ED46">
            <v>43</v>
          </cell>
          <cell r="EE46">
            <v>26</v>
          </cell>
          <cell r="EF46">
            <v>439</v>
          </cell>
          <cell r="EG46">
            <v>9</v>
          </cell>
          <cell r="EH46">
            <v>20</v>
          </cell>
          <cell r="EI46">
            <v>154</v>
          </cell>
          <cell r="EJ46">
            <v>12</v>
          </cell>
          <cell r="EK46">
            <v>22</v>
          </cell>
          <cell r="EL46">
            <v>15917</v>
          </cell>
          <cell r="EM46">
            <v>888</v>
          </cell>
          <cell r="EN46">
            <v>0</v>
          </cell>
          <cell r="EO46">
            <v>16592</v>
          </cell>
          <cell r="EP46">
            <v>1183</v>
          </cell>
          <cell r="EQ46">
            <v>0</v>
          </cell>
        </row>
        <row r="47">
          <cell r="B47" t="str">
            <v>E6134</v>
          </cell>
          <cell r="C47" t="str">
            <v>Staffordshire</v>
          </cell>
          <cell r="D47">
            <v>1</v>
          </cell>
          <cell r="E47">
            <v>23</v>
          </cell>
          <cell r="F47">
            <v>8</v>
          </cell>
          <cell r="G47">
            <v>2</v>
          </cell>
          <cell r="H47">
            <v>0</v>
          </cell>
          <cell r="I47">
            <v>33</v>
          </cell>
          <cell r="J47">
            <v>0</v>
          </cell>
          <cell r="K47">
            <v>23</v>
          </cell>
          <cell r="L47">
            <v>8</v>
          </cell>
          <cell r="M47">
            <v>2</v>
          </cell>
          <cell r="N47">
            <v>0</v>
          </cell>
          <cell r="O47">
            <v>33</v>
          </cell>
          <cell r="P47">
            <v>0</v>
          </cell>
          <cell r="Q47">
            <v>40</v>
          </cell>
          <cell r="R47">
            <v>2</v>
          </cell>
          <cell r="S47">
            <v>11</v>
          </cell>
          <cell r="T47">
            <v>42</v>
          </cell>
          <cell r="U47">
            <v>7</v>
          </cell>
          <cell r="V47">
            <v>102</v>
          </cell>
          <cell r="W47">
            <v>73</v>
          </cell>
          <cell r="X47">
            <v>9</v>
          </cell>
          <cell r="Y47">
            <v>4</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v>16219</v>
          </cell>
          <cell r="AT47">
            <v>4268</v>
          </cell>
          <cell r="AU47">
            <v>0</v>
          </cell>
          <cell r="AV47">
            <v>7113</v>
          </cell>
          <cell r="AW47">
            <v>425</v>
          </cell>
          <cell r="AX47">
            <v>488</v>
          </cell>
          <cell r="AY47">
            <v>28513</v>
          </cell>
          <cell r="AZ47">
            <v>2990</v>
          </cell>
          <cell r="BA47">
            <v>935</v>
          </cell>
          <cell r="BB47">
            <v>6993</v>
          </cell>
          <cell r="BC47">
            <v>319</v>
          </cell>
          <cell r="BD47">
            <v>1053</v>
          </cell>
          <cell r="BE47">
            <v>489</v>
          </cell>
          <cell r="BF47">
            <v>0</v>
          </cell>
          <cell r="BG47">
            <v>41292</v>
          </cell>
          <cell r="BH47">
            <v>3566</v>
          </cell>
          <cell r="BI47">
            <v>0</v>
          </cell>
          <cell r="BJ47">
            <v>363</v>
          </cell>
          <cell r="BK47">
            <v>1677</v>
          </cell>
          <cell r="BL47">
            <v>5606</v>
          </cell>
          <cell r="BM47">
            <v>35686</v>
          </cell>
          <cell r="BN47">
            <v>2936</v>
          </cell>
          <cell r="BO47">
            <v>4173</v>
          </cell>
          <cell r="BP47">
            <v>15897</v>
          </cell>
          <cell r="BQ47">
            <v>4823</v>
          </cell>
          <cell r="BR47">
            <v>0</v>
          </cell>
          <cell r="BS47">
            <v>490</v>
          </cell>
          <cell r="BT47">
            <v>608</v>
          </cell>
          <cell r="BU47">
            <v>28836</v>
          </cell>
          <cell r="BV47">
            <v>3043</v>
          </cell>
          <cell r="BW47">
            <v>801</v>
          </cell>
          <cell r="BX47">
            <v>6614</v>
          </cell>
          <cell r="BY47">
            <v>323</v>
          </cell>
          <cell r="BZ47">
            <v>984</v>
          </cell>
          <cell r="CA47">
            <v>417</v>
          </cell>
          <cell r="CB47">
            <v>0</v>
          </cell>
          <cell r="CC47">
            <v>41018</v>
          </cell>
          <cell r="CD47">
            <v>15446</v>
          </cell>
          <cell r="CE47">
            <v>0</v>
          </cell>
          <cell r="CF47">
            <v>218</v>
          </cell>
          <cell r="CG47">
            <v>1033</v>
          </cell>
          <cell r="CH47">
            <v>16697</v>
          </cell>
          <cell r="CI47">
            <v>24321</v>
          </cell>
          <cell r="CJ47">
            <v>2373</v>
          </cell>
          <cell r="CK47">
            <v>0</v>
          </cell>
          <cell r="CL47">
            <v>0</v>
          </cell>
          <cell r="CM47">
            <v>0</v>
          </cell>
          <cell r="CN47">
            <v>16.7</v>
          </cell>
          <cell r="CO47">
            <v>271</v>
          </cell>
          <cell r="CP47">
            <v>11101</v>
          </cell>
          <cell r="CQ47">
            <v>3691</v>
          </cell>
          <cell r="CR47">
            <v>25109</v>
          </cell>
          <cell r="CS47">
            <v>314</v>
          </cell>
          <cell r="CT47">
            <v>40215</v>
          </cell>
          <cell r="CU47">
            <v>16314</v>
          </cell>
          <cell r="CV47">
            <v>22025</v>
          </cell>
          <cell r="CW47">
            <v>-37</v>
          </cell>
          <cell r="CX47">
            <v>320</v>
          </cell>
          <cell r="CY47">
            <v>0</v>
          </cell>
          <cell r="CZ47">
            <v>38622</v>
          </cell>
          <cell r="DA47">
            <v>1398</v>
          </cell>
          <cell r="DB47">
            <v>1887</v>
          </cell>
          <cell r="DC47">
            <v>-3</v>
          </cell>
          <cell r="DD47">
            <v>27</v>
          </cell>
          <cell r="DE47">
            <v>0</v>
          </cell>
          <cell r="DF47">
            <v>3309</v>
          </cell>
          <cell r="DG47">
            <v>-100</v>
          </cell>
          <cell r="DH47">
            <v>0</v>
          </cell>
          <cell r="DI47">
            <v>-1818</v>
          </cell>
          <cell r="DJ47">
            <v>-21</v>
          </cell>
          <cell r="DK47">
            <v>10529</v>
          </cell>
          <cell r="DL47">
            <v>2486</v>
          </cell>
          <cell r="DM47">
            <v>13</v>
          </cell>
          <cell r="DN47">
            <v>8929</v>
          </cell>
          <cell r="DO47">
            <v>981</v>
          </cell>
          <cell r="DP47">
            <v>-1956</v>
          </cell>
          <cell r="DQ47">
            <v>-208</v>
          </cell>
          <cell r="DR47">
            <v>0</v>
          </cell>
          <cell r="DS47">
            <v>-1661</v>
          </cell>
          <cell r="DT47">
            <v>-50</v>
          </cell>
          <cell r="DU47">
            <v>10954</v>
          </cell>
          <cell r="DV47">
            <v>1657</v>
          </cell>
          <cell r="DW47">
            <v>50</v>
          </cell>
          <cell r="DX47">
            <v>8786</v>
          </cell>
          <cell r="DY47">
            <v>1070</v>
          </cell>
          <cell r="DZ47">
            <v>715</v>
          </cell>
          <cell r="EA47">
            <v>737</v>
          </cell>
          <cell r="EB47">
            <v>20</v>
          </cell>
          <cell r="EC47">
            <v>2</v>
          </cell>
          <cell r="ED47">
            <v>68</v>
          </cell>
          <cell r="EE47">
            <v>23</v>
          </cell>
          <cell r="EF47">
            <v>505</v>
          </cell>
          <cell r="EG47">
            <v>36</v>
          </cell>
          <cell r="EH47">
            <v>29</v>
          </cell>
          <cell r="EI47">
            <v>414</v>
          </cell>
          <cell r="EJ47">
            <v>151</v>
          </cell>
          <cell r="EK47">
            <v>67</v>
          </cell>
          <cell r="EL47">
            <v>16014</v>
          </cell>
          <cell r="EM47">
            <v>1906</v>
          </cell>
          <cell r="EN47">
            <v>0</v>
          </cell>
          <cell r="EO47">
            <v>15311</v>
          </cell>
          <cell r="EP47">
            <v>1906</v>
          </cell>
          <cell r="EQ47">
            <v>0</v>
          </cell>
        </row>
        <row r="48">
          <cell r="B48" t="str">
            <v>E6142</v>
          </cell>
          <cell r="C48" t="str">
            <v>Greater Manchester</v>
          </cell>
          <cell r="D48">
            <v>1</v>
          </cell>
          <cell r="E48">
            <v>41</v>
          </cell>
          <cell r="F48">
            <v>0</v>
          </cell>
          <cell r="G48">
            <v>0</v>
          </cell>
          <cell r="H48">
            <v>0</v>
          </cell>
          <cell r="I48">
            <v>41</v>
          </cell>
          <cell r="J48">
            <v>7</v>
          </cell>
          <cell r="K48">
            <v>41</v>
          </cell>
          <cell r="L48">
            <v>0</v>
          </cell>
          <cell r="M48">
            <v>0</v>
          </cell>
          <cell r="N48">
            <v>0</v>
          </cell>
          <cell r="O48">
            <v>41</v>
          </cell>
          <cell r="P48">
            <v>7</v>
          </cell>
          <cell r="Q48">
            <v>54</v>
          </cell>
          <cell r="R48">
            <v>6</v>
          </cell>
          <cell r="S48">
            <v>11</v>
          </cell>
          <cell r="T48">
            <v>0</v>
          </cell>
          <cell r="U48">
            <v>12</v>
          </cell>
          <cell r="V48">
            <v>83</v>
          </cell>
          <cell r="W48">
            <v>121</v>
          </cell>
          <cell r="X48">
            <v>12</v>
          </cell>
          <cell r="Y48">
            <v>7</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v>52521</v>
          </cell>
          <cell r="AT48">
            <v>0</v>
          </cell>
          <cell r="AU48">
            <v>0</v>
          </cell>
          <cell r="AV48">
            <v>5863</v>
          </cell>
          <cell r="AW48">
            <v>585</v>
          </cell>
          <cell r="AX48">
            <v>259</v>
          </cell>
          <cell r="AY48">
            <v>59228</v>
          </cell>
          <cell r="AZ48">
            <v>3156</v>
          </cell>
          <cell r="BA48">
            <v>1349</v>
          </cell>
          <cell r="BB48">
            <v>3338</v>
          </cell>
          <cell r="BC48">
            <v>15819</v>
          </cell>
          <cell r="BD48">
            <v>1975</v>
          </cell>
          <cell r="BE48">
            <v>0</v>
          </cell>
          <cell r="BF48">
            <v>0</v>
          </cell>
          <cell r="BG48">
            <v>84865</v>
          </cell>
          <cell r="BH48">
            <v>1029</v>
          </cell>
          <cell r="BI48">
            <v>0</v>
          </cell>
          <cell r="BJ48">
            <v>0</v>
          </cell>
          <cell r="BK48">
            <v>1141</v>
          </cell>
          <cell r="BL48">
            <v>2170</v>
          </cell>
          <cell r="BM48">
            <v>82695</v>
          </cell>
          <cell r="BN48">
            <v>4162</v>
          </cell>
          <cell r="BO48">
            <v>-17110</v>
          </cell>
          <cell r="BP48">
            <v>63845</v>
          </cell>
          <cell r="BQ48">
            <v>0</v>
          </cell>
          <cell r="BR48">
            <v>0</v>
          </cell>
          <cell r="BS48">
            <v>735</v>
          </cell>
          <cell r="BT48">
            <v>0</v>
          </cell>
          <cell r="BU48">
            <v>70783</v>
          </cell>
          <cell r="BV48">
            <v>3838</v>
          </cell>
          <cell r="BW48">
            <v>1368</v>
          </cell>
          <cell r="BX48">
            <v>3508</v>
          </cell>
          <cell r="BY48">
            <v>19428</v>
          </cell>
          <cell r="BZ48">
            <v>2282.3020000000001</v>
          </cell>
          <cell r="CA48">
            <v>0</v>
          </cell>
          <cell r="CB48">
            <v>0</v>
          </cell>
          <cell r="CC48">
            <v>101207.302</v>
          </cell>
          <cell r="CD48">
            <v>0</v>
          </cell>
          <cell r="CE48">
            <v>0</v>
          </cell>
          <cell r="CF48">
            <v>0</v>
          </cell>
          <cell r="CG48">
            <v>1435</v>
          </cell>
          <cell r="CH48">
            <v>1435</v>
          </cell>
          <cell r="CI48">
            <v>99772.301999999996</v>
          </cell>
          <cell r="CJ48">
            <v>0</v>
          </cell>
          <cell r="CK48">
            <v>0</v>
          </cell>
          <cell r="CL48">
            <v>0</v>
          </cell>
          <cell r="CM48">
            <v>0</v>
          </cell>
          <cell r="CN48">
            <v>21.2</v>
          </cell>
          <cell r="CO48">
            <v>0</v>
          </cell>
          <cell r="CP48">
            <v>41763</v>
          </cell>
          <cell r="CQ48">
            <v>10165</v>
          </cell>
          <cell r="CR48">
            <v>44039</v>
          </cell>
          <cell r="CS48">
            <v>975</v>
          </cell>
          <cell r="CT48">
            <v>96942</v>
          </cell>
          <cell r="CU48">
            <v>15271</v>
          </cell>
          <cell r="CV48">
            <v>70757</v>
          </cell>
          <cell r="CW48">
            <v>829</v>
          </cell>
          <cell r="CX48">
            <v>0</v>
          </cell>
          <cell r="CY48">
            <v>0</v>
          </cell>
          <cell r="CZ48">
            <v>86857</v>
          </cell>
          <cell r="DA48">
            <v>1917</v>
          </cell>
          <cell r="DB48">
            <v>13799</v>
          </cell>
          <cell r="DC48">
            <v>103</v>
          </cell>
          <cell r="DD48">
            <v>0</v>
          </cell>
          <cell r="DE48">
            <v>0</v>
          </cell>
          <cell r="DF48">
            <v>15819</v>
          </cell>
          <cell r="DG48">
            <v>-443</v>
          </cell>
          <cell r="DH48">
            <v>429</v>
          </cell>
          <cell r="DI48">
            <v>-4700</v>
          </cell>
          <cell r="DJ48">
            <v>-39</v>
          </cell>
          <cell r="DK48">
            <v>37440</v>
          </cell>
          <cell r="DL48">
            <v>8051</v>
          </cell>
          <cell r="DM48">
            <v>127</v>
          </cell>
          <cell r="DN48">
            <v>35031</v>
          </cell>
          <cell r="DO48">
            <v>0</v>
          </cell>
          <cell r="DP48">
            <v>-6312</v>
          </cell>
          <cell r="DQ48">
            <v>-340</v>
          </cell>
          <cell r="DR48">
            <v>0</v>
          </cell>
          <cell r="DS48">
            <v>-5253</v>
          </cell>
          <cell r="DT48">
            <v>-100</v>
          </cell>
          <cell r="DU48">
            <v>43433</v>
          </cell>
          <cell r="DV48">
            <v>7958</v>
          </cell>
          <cell r="DW48">
            <v>0</v>
          </cell>
          <cell r="DX48">
            <v>39386</v>
          </cell>
          <cell r="DY48">
            <v>0</v>
          </cell>
          <cell r="DZ48">
            <v>2735</v>
          </cell>
          <cell r="EA48">
            <v>2825</v>
          </cell>
          <cell r="EB48">
            <v>72</v>
          </cell>
          <cell r="EC48">
            <v>7</v>
          </cell>
          <cell r="ED48">
            <v>292</v>
          </cell>
          <cell r="EE48">
            <v>2</v>
          </cell>
          <cell r="EF48">
            <v>946</v>
          </cell>
          <cell r="EG48">
            <v>0</v>
          </cell>
          <cell r="EH48">
            <v>155</v>
          </cell>
          <cell r="EI48">
            <v>136</v>
          </cell>
          <cell r="EJ48">
            <v>63</v>
          </cell>
          <cell r="EK48">
            <v>4</v>
          </cell>
          <cell r="EL48">
            <v>26529</v>
          </cell>
          <cell r="EM48">
            <v>14461</v>
          </cell>
          <cell r="EN48">
            <v>1334</v>
          </cell>
          <cell r="EO48">
            <v>25110</v>
          </cell>
          <cell r="EP48">
            <v>15173</v>
          </cell>
          <cell r="EQ48">
            <v>976</v>
          </cell>
        </row>
        <row r="49">
          <cell r="B49" t="str">
            <v>E6143</v>
          </cell>
          <cell r="C49" t="str">
            <v>Merseyside</v>
          </cell>
          <cell r="D49">
            <v>1</v>
          </cell>
          <cell r="E49">
            <v>14</v>
          </cell>
          <cell r="F49">
            <v>0</v>
          </cell>
          <cell r="G49">
            <v>9</v>
          </cell>
          <cell r="H49">
            <v>0</v>
          </cell>
          <cell r="I49">
            <v>23</v>
          </cell>
          <cell r="J49">
            <v>7</v>
          </cell>
          <cell r="K49">
            <v>12</v>
          </cell>
          <cell r="L49">
            <v>0</v>
          </cell>
          <cell r="M49">
            <v>11</v>
          </cell>
          <cell r="N49">
            <v>0</v>
          </cell>
          <cell r="O49">
            <v>23</v>
          </cell>
          <cell r="P49">
            <v>7</v>
          </cell>
          <cell r="Q49">
            <v>29</v>
          </cell>
          <cell r="R49">
            <v>4</v>
          </cell>
          <cell r="S49">
            <v>34</v>
          </cell>
          <cell r="T49">
            <v>50</v>
          </cell>
          <cell r="U49">
            <v>18</v>
          </cell>
          <cell r="V49">
            <v>135</v>
          </cell>
          <cell r="W49">
            <v>115</v>
          </cell>
          <cell r="X49">
            <v>10</v>
          </cell>
          <cell r="Y49">
            <v>6</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v>35821</v>
          </cell>
          <cell r="AT49">
            <v>657</v>
          </cell>
          <cell r="AU49">
            <v>1307</v>
          </cell>
          <cell r="AV49">
            <v>9126</v>
          </cell>
          <cell r="AW49">
            <v>567</v>
          </cell>
          <cell r="AX49">
            <v>260</v>
          </cell>
          <cell r="AY49">
            <v>47738</v>
          </cell>
          <cell r="AZ49">
            <v>2839</v>
          </cell>
          <cell r="BA49">
            <v>3069</v>
          </cell>
          <cell r="BB49">
            <v>4210</v>
          </cell>
          <cell r="BC49">
            <v>640</v>
          </cell>
          <cell r="BD49">
            <v>836</v>
          </cell>
          <cell r="BE49">
            <v>0</v>
          </cell>
          <cell r="BF49">
            <v>3098</v>
          </cell>
          <cell r="BG49">
            <v>62430</v>
          </cell>
          <cell r="BH49">
            <v>8482</v>
          </cell>
          <cell r="BI49">
            <v>379</v>
          </cell>
          <cell r="BJ49">
            <v>476</v>
          </cell>
          <cell r="BK49">
            <v>2448</v>
          </cell>
          <cell r="BL49">
            <v>11785</v>
          </cell>
          <cell r="BM49">
            <v>50645</v>
          </cell>
          <cell r="BN49">
            <v>6036</v>
          </cell>
          <cell r="BO49">
            <v>6239</v>
          </cell>
          <cell r="BP49">
            <v>33752</v>
          </cell>
          <cell r="BQ49">
            <v>1138</v>
          </cell>
          <cell r="BR49">
            <v>1311</v>
          </cell>
          <cell r="BS49">
            <v>537</v>
          </cell>
          <cell r="BT49">
            <v>471</v>
          </cell>
          <cell r="BU49">
            <v>46277</v>
          </cell>
          <cell r="BV49">
            <v>3019</v>
          </cell>
          <cell r="BW49">
            <v>2953</v>
          </cell>
          <cell r="BX49">
            <v>4915</v>
          </cell>
          <cell r="BY49">
            <v>607</v>
          </cell>
          <cell r="BZ49">
            <v>850</v>
          </cell>
          <cell r="CA49">
            <v>0</v>
          </cell>
          <cell r="CB49">
            <v>3162</v>
          </cell>
          <cell r="CC49">
            <v>61783</v>
          </cell>
          <cell r="CD49">
            <v>7940</v>
          </cell>
          <cell r="CE49">
            <v>400</v>
          </cell>
          <cell r="CF49">
            <v>425</v>
          </cell>
          <cell r="CG49">
            <v>1665</v>
          </cell>
          <cell r="CH49">
            <v>10430</v>
          </cell>
          <cell r="CI49">
            <v>51353</v>
          </cell>
          <cell r="CJ49">
            <v>6000</v>
          </cell>
          <cell r="CK49">
            <v>5000</v>
          </cell>
          <cell r="CL49">
            <v>0</v>
          </cell>
          <cell r="CM49">
            <v>0</v>
          </cell>
          <cell r="CN49">
            <v>15.2</v>
          </cell>
          <cell r="CO49">
            <v>2869</v>
          </cell>
          <cell r="CP49">
            <v>27323</v>
          </cell>
          <cell r="CQ49">
            <v>4179</v>
          </cell>
          <cell r="CR49">
            <v>27946</v>
          </cell>
          <cell r="CS49">
            <v>253</v>
          </cell>
          <cell r="CT49">
            <v>59701</v>
          </cell>
          <cell r="CU49">
            <v>6769</v>
          </cell>
          <cell r="CV49">
            <v>48051</v>
          </cell>
          <cell r="CW49">
            <v>0</v>
          </cell>
          <cell r="CX49">
            <v>1129</v>
          </cell>
          <cell r="CY49">
            <v>732</v>
          </cell>
          <cell r="CZ49">
            <v>56681</v>
          </cell>
          <cell r="DA49">
            <v>2000</v>
          </cell>
          <cell r="DB49">
            <v>14000</v>
          </cell>
          <cell r="DC49">
            <v>0</v>
          </cell>
          <cell r="DD49">
            <v>500</v>
          </cell>
          <cell r="DE49">
            <v>0</v>
          </cell>
          <cell r="DF49">
            <v>16500</v>
          </cell>
          <cell r="DG49">
            <v>-352</v>
          </cell>
          <cell r="DH49">
            <v>0</v>
          </cell>
          <cell r="DI49">
            <v>-2868</v>
          </cell>
          <cell r="DJ49">
            <v>-141</v>
          </cell>
          <cell r="DK49">
            <v>28694</v>
          </cell>
          <cell r="DL49">
            <v>4903</v>
          </cell>
          <cell r="DM49">
            <v>0</v>
          </cell>
          <cell r="DN49">
            <v>26420</v>
          </cell>
          <cell r="DO49">
            <v>1738</v>
          </cell>
          <cell r="DP49">
            <v>-3793</v>
          </cell>
          <cell r="DQ49">
            <v>-408</v>
          </cell>
          <cell r="DR49">
            <v>0</v>
          </cell>
          <cell r="DS49">
            <v>-2643</v>
          </cell>
          <cell r="DT49">
            <v>-96</v>
          </cell>
          <cell r="DU49">
            <v>29971</v>
          </cell>
          <cell r="DV49">
            <v>5500</v>
          </cell>
          <cell r="DW49">
            <v>0</v>
          </cell>
          <cell r="DX49">
            <v>28531</v>
          </cell>
          <cell r="DY49">
            <v>1780</v>
          </cell>
          <cell r="DZ49">
            <v>1940</v>
          </cell>
          <cell r="EA49">
            <v>1950</v>
          </cell>
          <cell r="EB49">
            <v>42</v>
          </cell>
          <cell r="EC49">
            <v>3</v>
          </cell>
          <cell r="ED49">
            <v>288</v>
          </cell>
          <cell r="EE49">
            <v>2</v>
          </cell>
          <cell r="EF49">
            <v>560</v>
          </cell>
          <cell r="EG49">
            <v>0</v>
          </cell>
          <cell r="EH49">
            <v>89</v>
          </cell>
          <cell r="EI49">
            <v>58</v>
          </cell>
          <cell r="EJ49">
            <v>19</v>
          </cell>
          <cell r="EK49">
            <v>1</v>
          </cell>
          <cell r="EL49">
            <v>29858</v>
          </cell>
          <cell r="EM49">
            <v>2000</v>
          </cell>
          <cell r="EN49">
            <v>1170</v>
          </cell>
          <cell r="EO49">
            <v>25715</v>
          </cell>
          <cell r="EP49">
            <v>2000</v>
          </cell>
          <cell r="EQ49">
            <v>948</v>
          </cell>
        </row>
        <row r="50">
          <cell r="B50" t="str">
            <v>E6144</v>
          </cell>
          <cell r="C50" t="str">
            <v>South Yorkshire</v>
          </cell>
          <cell r="D50">
            <v>1</v>
          </cell>
          <cell r="E50">
            <v>14</v>
          </cell>
          <cell r="F50">
            <v>4</v>
          </cell>
          <cell r="G50">
            <v>3</v>
          </cell>
          <cell r="H50">
            <v>0</v>
          </cell>
          <cell r="I50">
            <v>21</v>
          </cell>
          <cell r="J50">
            <v>1</v>
          </cell>
          <cell r="K50">
            <v>14</v>
          </cell>
          <cell r="L50">
            <v>4</v>
          </cell>
          <cell r="M50">
            <v>3</v>
          </cell>
          <cell r="N50">
            <v>0</v>
          </cell>
          <cell r="O50">
            <v>21</v>
          </cell>
          <cell r="P50">
            <v>1</v>
          </cell>
          <cell r="Q50">
            <v>27</v>
          </cell>
          <cell r="R50">
            <v>2</v>
          </cell>
          <cell r="S50">
            <v>11</v>
          </cell>
          <cell r="T50">
            <v>30</v>
          </cell>
          <cell r="U50">
            <v>5</v>
          </cell>
          <cell r="V50">
            <v>75</v>
          </cell>
          <cell r="W50">
            <v>117</v>
          </cell>
          <cell r="X50">
            <v>4</v>
          </cell>
          <cell r="Y50">
            <v>3</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v>27272</v>
          </cell>
          <cell r="AT50">
            <v>1247</v>
          </cell>
          <cell r="AU50">
            <v>1142</v>
          </cell>
          <cell r="AV50">
            <v>6748</v>
          </cell>
          <cell r="AW50">
            <v>474</v>
          </cell>
          <cell r="AX50">
            <v>1306</v>
          </cell>
          <cell r="AY50">
            <v>38189</v>
          </cell>
          <cell r="AZ50">
            <v>3004</v>
          </cell>
          <cell r="BA50">
            <v>990</v>
          </cell>
          <cell r="BB50">
            <v>4346</v>
          </cell>
          <cell r="BC50">
            <v>129</v>
          </cell>
          <cell r="BD50">
            <v>0</v>
          </cell>
          <cell r="BE50">
            <v>614</v>
          </cell>
          <cell r="BF50">
            <v>0</v>
          </cell>
          <cell r="BG50">
            <v>47272</v>
          </cell>
          <cell r="BH50">
            <v>441</v>
          </cell>
          <cell r="BI50">
            <v>0</v>
          </cell>
          <cell r="BJ50">
            <v>0</v>
          </cell>
          <cell r="BK50">
            <v>896</v>
          </cell>
          <cell r="BL50">
            <v>1337</v>
          </cell>
          <cell r="BM50">
            <v>45935</v>
          </cell>
          <cell r="BN50">
            <v>4255</v>
          </cell>
          <cell r="BO50">
            <v>6736</v>
          </cell>
          <cell r="BP50">
            <v>28010</v>
          </cell>
          <cell r="BQ50">
            <v>1452</v>
          </cell>
          <cell r="BR50">
            <v>1162</v>
          </cell>
          <cell r="BS50">
            <v>475</v>
          </cell>
          <cell r="BT50">
            <v>1364</v>
          </cell>
          <cell r="BU50">
            <v>39701</v>
          </cell>
          <cell r="BV50">
            <v>2853</v>
          </cell>
          <cell r="BW50">
            <v>954</v>
          </cell>
          <cell r="BX50">
            <v>4322</v>
          </cell>
          <cell r="BY50">
            <v>135</v>
          </cell>
          <cell r="BZ50">
            <v>0</v>
          </cell>
          <cell r="CA50">
            <v>608</v>
          </cell>
          <cell r="CB50">
            <v>0</v>
          </cell>
          <cell r="CC50">
            <v>48573</v>
          </cell>
          <cell r="CD50">
            <v>246</v>
          </cell>
          <cell r="CE50">
            <v>0</v>
          </cell>
          <cell r="CF50">
            <v>0</v>
          </cell>
          <cell r="CG50">
            <v>956</v>
          </cell>
          <cell r="CH50">
            <v>1202</v>
          </cell>
          <cell r="CI50">
            <v>47371</v>
          </cell>
          <cell r="CJ50">
            <v>2745</v>
          </cell>
          <cell r="CK50">
            <v>6736</v>
          </cell>
          <cell r="CL50">
            <v>0</v>
          </cell>
          <cell r="CM50">
            <v>17</v>
          </cell>
          <cell r="CN50">
            <v>13.4</v>
          </cell>
          <cell r="CO50">
            <v>555</v>
          </cell>
          <cell r="CP50">
            <v>9524</v>
          </cell>
          <cell r="CQ50">
            <v>15078</v>
          </cell>
          <cell r="CR50">
            <v>24309</v>
          </cell>
          <cell r="CS50">
            <v>435</v>
          </cell>
          <cell r="CT50">
            <v>49346</v>
          </cell>
          <cell r="CU50">
            <v>3326</v>
          </cell>
          <cell r="CV50">
            <v>29579</v>
          </cell>
          <cell r="CW50">
            <v>707</v>
          </cell>
          <cell r="CX50">
            <v>199</v>
          </cell>
          <cell r="CY50">
            <v>16379</v>
          </cell>
          <cell r="CZ50">
            <v>50190</v>
          </cell>
          <cell r="DA50">
            <v>3326</v>
          </cell>
          <cell r="DB50">
            <v>29579</v>
          </cell>
          <cell r="DC50">
            <v>707</v>
          </cell>
          <cell r="DD50">
            <v>199</v>
          </cell>
          <cell r="DE50">
            <v>16379</v>
          </cell>
          <cell r="DF50">
            <v>50190</v>
          </cell>
          <cell r="DG50">
            <v>-20</v>
          </cell>
          <cell r="DH50">
            <v>0</v>
          </cell>
          <cell r="DI50">
            <v>-2570</v>
          </cell>
          <cell r="DJ50">
            <v>-22</v>
          </cell>
          <cell r="DK50">
            <v>20021</v>
          </cell>
          <cell r="DL50">
            <v>2753</v>
          </cell>
          <cell r="DM50">
            <v>516</v>
          </cell>
          <cell r="DN50">
            <v>17426</v>
          </cell>
          <cell r="DO50">
            <v>670</v>
          </cell>
          <cell r="DP50">
            <v>-3339</v>
          </cell>
          <cell r="DQ50">
            <v>-20</v>
          </cell>
          <cell r="DR50">
            <v>0</v>
          </cell>
          <cell r="DS50">
            <v>-2740</v>
          </cell>
          <cell r="DT50">
            <v>-128</v>
          </cell>
          <cell r="DU50">
            <v>20726</v>
          </cell>
          <cell r="DV50">
            <v>4508</v>
          </cell>
          <cell r="DW50">
            <v>0</v>
          </cell>
          <cell r="DX50">
            <v>19007</v>
          </cell>
          <cell r="DY50">
            <v>670</v>
          </cell>
          <cell r="DZ50">
            <v>1276</v>
          </cell>
          <cell r="EA50">
            <v>1301</v>
          </cell>
          <cell r="EB50">
            <v>21</v>
          </cell>
          <cell r="EC50">
            <v>0</v>
          </cell>
          <cell r="ED50">
            <v>144</v>
          </cell>
          <cell r="EE50">
            <v>2</v>
          </cell>
          <cell r="EF50">
            <v>437</v>
          </cell>
          <cell r="EG50">
            <v>9</v>
          </cell>
          <cell r="EH50">
            <v>53</v>
          </cell>
          <cell r="EI50">
            <v>38</v>
          </cell>
          <cell r="EJ50">
            <v>6</v>
          </cell>
          <cell r="EK50">
            <v>0</v>
          </cell>
          <cell r="EL50">
            <v>21058</v>
          </cell>
          <cell r="EM50">
            <v>3781</v>
          </cell>
          <cell r="EN50">
            <v>177</v>
          </cell>
          <cell r="EO50">
            <v>18400</v>
          </cell>
          <cell r="EP50">
            <v>6117</v>
          </cell>
          <cell r="EQ50">
            <v>196</v>
          </cell>
        </row>
        <row r="51">
          <cell r="B51" t="str">
            <v>E6145</v>
          </cell>
          <cell r="C51" t="str">
            <v>Tyne and Wear</v>
          </cell>
          <cell r="D51">
            <v>1</v>
          </cell>
          <cell r="E51">
            <v>16</v>
          </cell>
          <cell r="F51">
            <v>1</v>
          </cell>
          <cell r="G51">
            <v>0</v>
          </cell>
          <cell r="H51">
            <v>0</v>
          </cell>
          <cell r="I51">
            <v>17</v>
          </cell>
          <cell r="J51">
            <v>10</v>
          </cell>
          <cell r="K51">
            <v>16</v>
          </cell>
          <cell r="L51">
            <v>1</v>
          </cell>
          <cell r="M51">
            <v>0</v>
          </cell>
          <cell r="N51">
            <v>0</v>
          </cell>
          <cell r="O51">
            <v>17</v>
          </cell>
          <cell r="P51">
            <v>10</v>
          </cell>
          <cell r="Q51">
            <v>24</v>
          </cell>
          <cell r="R51">
            <v>3</v>
          </cell>
          <cell r="S51">
            <v>10</v>
          </cell>
          <cell r="T51">
            <v>3</v>
          </cell>
          <cell r="U51">
            <v>10</v>
          </cell>
          <cell r="V51">
            <v>50</v>
          </cell>
          <cell r="W51">
            <v>85</v>
          </cell>
          <cell r="X51">
            <v>6</v>
          </cell>
          <cell r="Y51">
            <v>11</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v>31130</v>
          </cell>
          <cell r="AT51">
            <v>42</v>
          </cell>
          <cell r="AU51">
            <v>1131</v>
          </cell>
          <cell r="AV51">
            <v>6167</v>
          </cell>
          <cell r="AW51">
            <v>258</v>
          </cell>
          <cell r="AX51">
            <v>896</v>
          </cell>
          <cell r="AY51">
            <v>39624</v>
          </cell>
          <cell r="AZ51">
            <v>2377</v>
          </cell>
          <cell r="BA51">
            <v>1114</v>
          </cell>
          <cell r="BB51">
            <v>6080</v>
          </cell>
          <cell r="BC51">
            <v>283</v>
          </cell>
          <cell r="BD51">
            <v>0</v>
          </cell>
          <cell r="BE51">
            <v>0</v>
          </cell>
          <cell r="BF51">
            <v>1468</v>
          </cell>
          <cell r="BG51">
            <v>50946</v>
          </cell>
          <cell r="BH51">
            <v>5486</v>
          </cell>
          <cell r="BI51">
            <v>0</v>
          </cell>
          <cell r="BJ51">
            <v>0</v>
          </cell>
          <cell r="BK51">
            <v>2239</v>
          </cell>
          <cell r="BL51">
            <v>7725</v>
          </cell>
          <cell r="BM51">
            <v>43221</v>
          </cell>
          <cell r="BN51">
            <v>3574</v>
          </cell>
          <cell r="BO51">
            <v>-14360</v>
          </cell>
          <cell r="BP51">
            <v>30421</v>
          </cell>
          <cell r="BQ51">
            <v>50</v>
          </cell>
          <cell r="BR51">
            <v>1256</v>
          </cell>
          <cell r="BS51">
            <v>344</v>
          </cell>
          <cell r="BT51">
            <v>143</v>
          </cell>
          <cell r="BU51">
            <v>38513</v>
          </cell>
          <cell r="BV51">
            <v>2394</v>
          </cell>
          <cell r="BW51">
            <v>1105</v>
          </cell>
          <cell r="BX51">
            <v>11172</v>
          </cell>
          <cell r="BY51">
            <v>326</v>
          </cell>
          <cell r="BZ51">
            <v>0</v>
          </cell>
          <cell r="CA51">
            <v>0</v>
          </cell>
          <cell r="CB51">
            <v>500</v>
          </cell>
          <cell r="CC51">
            <v>54010</v>
          </cell>
          <cell r="CD51">
            <v>4769</v>
          </cell>
          <cell r="CE51">
            <v>0</v>
          </cell>
          <cell r="CF51">
            <v>0</v>
          </cell>
          <cell r="CG51">
            <v>1649</v>
          </cell>
          <cell r="CH51">
            <v>6418</v>
          </cell>
          <cell r="CI51">
            <v>47592</v>
          </cell>
          <cell r="CJ51">
            <v>1007</v>
          </cell>
          <cell r="CK51">
            <v>0</v>
          </cell>
          <cell r="CL51">
            <v>0</v>
          </cell>
          <cell r="CM51">
            <v>0</v>
          </cell>
          <cell r="CN51">
            <v>17.5</v>
          </cell>
          <cell r="CO51">
            <v>0</v>
          </cell>
          <cell r="CP51">
            <v>20651</v>
          </cell>
          <cell r="CQ51">
            <v>4312</v>
          </cell>
          <cell r="CR51">
            <v>22747</v>
          </cell>
          <cell r="CS51">
            <v>386</v>
          </cell>
          <cell r="CT51">
            <v>48096</v>
          </cell>
          <cell r="CU51">
            <v>7707</v>
          </cell>
          <cell r="CV51">
            <v>38170</v>
          </cell>
          <cell r="CW51">
            <v>0</v>
          </cell>
          <cell r="CX51">
            <v>141</v>
          </cell>
          <cell r="CY51">
            <v>777</v>
          </cell>
          <cell r="CZ51">
            <v>46795</v>
          </cell>
          <cell r="DA51">
            <v>1783</v>
          </cell>
          <cell r="DB51">
            <v>9655</v>
          </cell>
          <cell r="DC51">
            <v>0</v>
          </cell>
          <cell r="DD51">
            <v>0</v>
          </cell>
          <cell r="DE51">
            <v>0</v>
          </cell>
          <cell r="DF51">
            <v>11438</v>
          </cell>
          <cell r="DG51">
            <v>-45</v>
          </cell>
          <cell r="DH51">
            <v>0</v>
          </cell>
          <cell r="DI51">
            <v>-2537</v>
          </cell>
          <cell r="DJ51">
            <v>-180</v>
          </cell>
          <cell r="DK51">
            <v>20838</v>
          </cell>
          <cell r="DL51">
            <v>5017</v>
          </cell>
          <cell r="DM51">
            <v>0</v>
          </cell>
          <cell r="DN51">
            <v>19863</v>
          </cell>
          <cell r="DO51">
            <v>1954</v>
          </cell>
          <cell r="DP51">
            <v>-3025</v>
          </cell>
          <cell r="DQ51">
            <v>-45</v>
          </cell>
          <cell r="DR51">
            <v>0</v>
          </cell>
          <cell r="DS51">
            <v>-2338</v>
          </cell>
          <cell r="DT51">
            <v>0</v>
          </cell>
          <cell r="DU51">
            <v>21610</v>
          </cell>
          <cell r="DV51">
            <v>6422</v>
          </cell>
          <cell r="DW51">
            <v>0</v>
          </cell>
          <cell r="DX51">
            <v>22624</v>
          </cell>
          <cell r="DY51">
            <v>1949</v>
          </cell>
          <cell r="DZ51">
            <v>1358</v>
          </cell>
          <cell r="EA51">
            <v>1394</v>
          </cell>
          <cell r="EB51">
            <v>36</v>
          </cell>
          <cell r="EC51">
            <v>1</v>
          </cell>
          <cell r="ED51">
            <v>172</v>
          </cell>
          <cell r="EE51">
            <v>3</v>
          </cell>
          <cell r="EF51">
            <v>346</v>
          </cell>
          <cell r="EG51">
            <v>1</v>
          </cell>
          <cell r="EH51">
            <v>62</v>
          </cell>
          <cell r="EI51">
            <v>15</v>
          </cell>
          <cell r="EJ51">
            <v>8</v>
          </cell>
          <cell r="EK51">
            <v>1</v>
          </cell>
          <cell r="EL51">
            <v>22609</v>
          </cell>
          <cell r="EM51">
            <v>3943</v>
          </cell>
          <cell r="EN51">
            <v>11141</v>
          </cell>
          <cell r="EO51">
            <v>33133</v>
          </cell>
          <cell r="EP51">
            <v>3943</v>
          </cell>
          <cell r="EQ51">
            <v>628</v>
          </cell>
        </row>
        <row r="52">
          <cell r="B52" t="str">
            <v>E6146</v>
          </cell>
          <cell r="C52" t="str">
            <v>West Midlands</v>
          </cell>
          <cell r="D52">
            <v>1</v>
          </cell>
          <cell r="E52">
            <v>38</v>
          </cell>
          <cell r="F52">
            <v>0</v>
          </cell>
          <cell r="G52">
            <v>0</v>
          </cell>
          <cell r="H52">
            <v>0</v>
          </cell>
          <cell r="I52">
            <v>38</v>
          </cell>
          <cell r="J52">
            <v>1</v>
          </cell>
          <cell r="K52">
            <v>38</v>
          </cell>
          <cell r="L52">
            <v>0</v>
          </cell>
          <cell r="M52">
            <v>0</v>
          </cell>
          <cell r="N52">
            <v>0</v>
          </cell>
          <cell r="O52">
            <v>38</v>
          </cell>
          <cell r="P52">
            <v>5</v>
          </cell>
          <cell r="Q52">
            <v>41</v>
          </cell>
          <cell r="R52">
            <v>4</v>
          </cell>
          <cell r="S52">
            <v>24</v>
          </cell>
          <cell r="T52">
            <v>0</v>
          </cell>
          <cell r="U52">
            <v>11</v>
          </cell>
          <cell r="V52">
            <v>80</v>
          </cell>
          <cell r="W52">
            <v>104</v>
          </cell>
          <cell r="X52">
            <v>14</v>
          </cell>
          <cell r="Y52">
            <v>10</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64216</v>
          </cell>
          <cell r="AT52">
            <v>0</v>
          </cell>
          <cell r="AU52">
            <v>314</v>
          </cell>
          <cell r="AV52">
            <v>13188</v>
          </cell>
          <cell r="AW52">
            <v>3077</v>
          </cell>
          <cell r="AX52">
            <v>635</v>
          </cell>
          <cell r="AY52">
            <v>81430</v>
          </cell>
          <cell r="AZ52">
            <v>4832</v>
          </cell>
          <cell r="BA52">
            <v>1306</v>
          </cell>
          <cell r="BB52">
            <v>8583</v>
          </cell>
          <cell r="BC52">
            <v>508</v>
          </cell>
          <cell r="BD52">
            <v>3686</v>
          </cell>
          <cell r="BE52">
            <v>0</v>
          </cell>
          <cell r="BF52">
            <v>0</v>
          </cell>
          <cell r="BG52">
            <v>100345</v>
          </cell>
          <cell r="BH52">
            <v>1961</v>
          </cell>
          <cell r="BI52">
            <v>1106</v>
          </cell>
          <cell r="BJ52">
            <v>0</v>
          </cell>
          <cell r="BK52">
            <v>3112</v>
          </cell>
          <cell r="BL52">
            <v>6179</v>
          </cell>
          <cell r="BM52">
            <v>94166</v>
          </cell>
          <cell r="BN52">
            <v>8843</v>
          </cell>
          <cell r="BO52">
            <v>15429</v>
          </cell>
          <cell r="BP52">
            <v>63497</v>
          </cell>
          <cell r="BQ52">
            <v>0</v>
          </cell>
          <cell r="BR52">
            <v>224</v>
          </cell>
          <cell r="BS52">
            <v>3327</v>
          </cell>
          <cell r="BT52">
            <v>508</v>
          </cell>
          <cell r="BU52">
            <v>80541</v>
          </cell>
          <cell r="BV52">
            <v>5082</v>
          </cell>
          <cell r="BW52">
            <v>1320</v>
          </cell>
          <cell r="BX52">
            <v>6400</v>
          </cell>
          <cell r="BY52">
            <v>319</v>
          </cell>
          <cell r="BZ52">
            <v>3703</v>
          </cell>
          <cell r="CA52">
            <v>0</v>
          </cell>
          <cell r="CB52">
            <v>3017</v>
          </cell>
          <cell r="CC52">
            <v>100382</v>
          </cell>
          <cell r="CD52">
            <v>1214</v>
          </cell>
          <cell r="CE52">
            <v>1111</v>
          </cell>
          <cell r="CF52">
            <v>0</v>
          </cell>
          <cell r="CG52">
            <v>2619</v>
          </cell>
          <cell r="CH52">
            <v>4944</v>
          </cell>
          <cell r="CI52">
            <v>95438</v>
          </cell>
          <cell r="CJ52">
            <v>5087</v>
          </cell>
          <cell r="CK52">
            <v>0</v>
          </cell>
          <cell r="CL52">
            <v>0</v>
          </cell>
          <cell r="CM52">
            <v>0</v>
          </cell>
          <cell r="CN52">
            <v>18.600000000000001</v>
          </cell>
          <cell r="CO52">
            <v>595</v>
          </cell>
          <cell r="CP52">
            <v>43578</v>
          </cell>
          <cell r="CQ52">
            <v>9452</v>
          </cell>
          <cell r="CR52">
            <v>41305</v>
          </cell>
          <cell r="CS52">
            <v>466</v>
          </cell>
          <cell r="CT52">
            <v>94801</v>
          </cell>
          <cell r="CU52">
            <v>11987</v>
          </cell>
          <cell r="CV52">
            <v>88165</v>
          </cell>
          <cell r="CW52">
            <v>89</v>
          </cell>
          <cell r="CX52">
            <v>2106</v>
          </cell>
          <cell r="CY52">
            <v>662</v>
          </cell>
          <cell r="CZ52">
            <v>103009</v>
          </cell>
          <cell r="DA52">
            <v>0</v>
          </cell>
          <cell r="DB52">
            <v>0</v>
          </cell>
          <cell r="DC52">
            <v>0</v>
          </cell>
          <cell r="DD52">
            <v>0</v>
          </cell>
          <cell r="DE52">
            <v>0</v>
          </cell>
          <cell r="DF52">
            <v>0</v>
          </cell>
          <cell r="DG52">
            <v>-327</v>
          </cell>
          <cell r="DH52">
            <v>0</v>
          </cell>
          <cell r="DI52">
            <v>-5561</v>
          </cell>
          <cell r="DJ52">
            <v>0</v>
          </cell>
          <cell r="DK52">
            <v>37757</v>
          </cell>
          <cell r="DL52">
            <v>4407</v>
          </cell>
          <cell r="DM52">
            <v>50</v>
          </cell>
          <cell r="DN52">
            <v>29369</v>
          </cell>
          <cell r="DO52">
            <v>1569</v>
          </cell>
          <cell r="DP52">
            <v>-6751</v>
          </cell>
          <cell r="DQ52">
            <v>-300</v>
          </cell>
          <cell r="DR52">
            <v>0</v>
          </cell>
          <cell r="DS52">
            <v>-5636</v>
          </cell>
          <cell r="DT52">
            <v>-100</v>
          </cell>
          <cell r="DU52">
            <v>39548</v>
          </cell>
          <cell r="DV52">
            <v>6257</v>
          </cell>
          <cell r="DW52">
            <v>75</v>
          </cell>
          <cell r="DX52">
            <v>33093</v>
          </cell>
          <cell r="DY52">
            <v>1613</v>
          </cell>
          <cell r="DZ52">
            <v>2511</v>
          </cell>
          <cell r="EA52">
            <v>2513</v>
          </cell>
          <cell r="EB52">
            <v>41</v>
          </cell>
          <cell r="EC52">
            <v>2</v>
          </cell>
          <cell r="ED52">
            <v>292</v>
          </cell>
          <cell r="EE52">
            <v>8</v>
          </cell>
          <cell r="EF52">
            <v>979</v>
          </cell>
          <cell r="EG52">
            <v>3</v>
          </cell>
          <cell r="EH52">
            <v>241</v>
          </cell>
          <cell r="EI52">
            <v>134</v>
          </cell>
          <cell r="EJ52">
            <v>90</v>
          </cell>
          <cell r="EK52">
            <v>1</v>
          </cell>
          <cell r="EL52">
            <v>43734</v>
          </cell>
          <cell r="EM52">
            <v>9236</v>
          </cell>
          <cell r="EN52">
            <v>426</v>
          </cell>
          <cell r="EO52">
            <v>38984</v>
          </cell>
          <cell r="EP52">
            <v>8390</v>
          </cell>
          <cell r="EQ52">
            <v>722</v>
          </cell>
        </row>
        <row r="53">
          <cell r="B53" t="str">
            <v>E6147</v>
          </cell>
          <cell r="C53" t="str">
            <v>West Yorkshire</v>
          </cell>
          <cell r="D53">
            <v>1</v>
          </cell>
          <cell r="E53">
            <v>25</v>
          </cell>
          <cell r="F53">
            <v>8</v>
          </cell>
          <cell r="G53">
            <v>7</v>
          </cell>
          <cell r="H53">
            <v>0</v>
          </cell>
          <cell r="I53">
            <v>40</v>
          </cell>
          <cell r="J53">
            <v>11</v>
          </cell>
          <cell r="K53">
            <v>25</v>
          </cell>
          <cell r="L53">
            <v>8</v>
          </cell>
          <cell r="M53">
            <v>7</v>
          </cell>
          <cell r="N53">
            <v>0</v>
          </cell>
          <cell r="O53">
            <v>40</v>
          </cell>
          <cell r="P53">
            <v>11</v>
          </cell>
          <cell r="Q53">
            <v>56</v>
          </cell>
          <cell r="R53">
            <v>7</v>
          </cell>
          <cell r="S53">
            <v>14</v>
          </cell>
          <cell r="T53">
            <v>7</v>
          </cell>
          <cell r="U53">
            <v>17</v>
          </cell>
          <cell r="V53">
            <v>101</v>
          </cell>
          <cell r="W53">
            <v>261</v>
          </cell>
          <cell r="X53">
            <v>6</v>
          </cell>
          <cell r="Y53">
            <v>10</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v>45716</v>
          </cell>
          <cell r="AT53">
            <v>1495</v>
          </cell>
          <cell r="AU53">
            <v>1787</v>
          </cell>
          <cell r="AV53">
            <v>8835</v>
          </cell>
          <cell r="AW53">
            <v>761</v>
          </cell>
          <cell r="AX53">
            <v>2689</v>
          </cell>
          <cell r="AY53">
            <v>61283</v>
          </cell>
          <cell r="AZ53">
            <v>3872</v>
          </cell>
          <cell r="BA53">
            <v>2092</v>
          </cell>
          <cell r="BB53">
            <v>2570</v>
          </cell>
          <cell r="BC53">
            <v>2453</v>
          </cell>
          <cell r="BD53">
            <v>0</v>
          </cell>
          <cell r="BE53">
            <v>0</v>
          </cell>
          <cell r="BF53">
            <v>0</v>
          </cell>
          <cell r="BG53">
            <v>72270</v>
          </cell>
          <cell r="BH53">
            <v>2056</v>
          </cell>
          <cell r="BI53">
            <v>0</v>
          </cell>
          <cell r="BJ53">
            <v>0</v>
          </cell>
          <cell r="BK53">
            <v>1318</v>
          </cell>
          <cell r="BL53">
            <v>3374</v>
          </cell>
          <cell r="BM53">
            <v>68896</v>
          </cell>
          <cell r="BN53">
            <v>6016</v>
          </cell>
          <cell r="BO53">
            <v>-20724</v>
          </cell>
          <cell r="BP53">
            <v>46095</v>
          </cell>
          <cell r="BQ53">
            <v>1752</v>
          </cell>
          <cell r="BR53">
            <v>1865</v>
          </cell>
          <cell r="BS53">
            <v>787</v>
          </cell>
          <cell r="BT53">
            <v>2364</v>
          </cell>
          <cell r="BU53">
            <v>62113</v>
          </cell>
          <cell r="BV53">
            <v>4121</v>
          </cell>
          <cell r="BW53">
            <v>2270</v>
          </cell>
          <cell r="BX53">
            <v>5441</v>
          </cell>
          <cell r="BY53">
            <v>3172</v>
          </cell>
          <cell r="BZ53">
            <v>0</v>
          </cell>
          <cell r="CA53">
            <v>0</v>
          </cell>
          <cell r="CB53">
            <v>0</v>
          </cell>
          <cell r="CC53">
            <v>77117</v>
          </cell>
          <cell r="CD53">
            <v>1607</v>
          </cell>
          <cell r="CE53">
            <v>0</v>
          </cell>
          <cell r="CF53">
            <v>0</v>
          </cell>
          <cell r="CG53">
            <v>1170</v>
          </cell>
          <cell r="CH53">
            <v>2777</v>
          </cell>
          <cell r="CI53">
            <v>74340</v>
          </cell>
          <cell r="CJ53">
            <v>7572</v>
          </cell>
          <cell r="CK53">
            <v>-20724</v>
          </cell>
          <cell r="CL53">
            <v>0</v>
          </cell>
          <cell r="CM53">
            <v>12</v>
          </cell>
          <cell r="CN53">
            <v>17.2</v>
          </cell>
          <cell r="CO53">
            <v>0</v>
          </cell>
          <cell r="CP53">
            <v>31443</v>
          </cell>
          <cell r="CQ53">
            <v>7673</v>
          </cell>
          <cell r="CR53">
            <v>40341</v>
          </cell>
          <cell r="CS53">
            <v>480</v>
          </cell>
          <cell r="CT53">
            <v>79937</v>
          </cell>
          <cell r="CU53">
            <v>4325</v>
          </cell>
          <cell r="CV53">
            <v>67645</v>
          </cell>
          <cell r="CW53">
            <v>0</v>
          </cell>
          <cell r="CX53">
            <v>678</v>
          </cell>
          <cell r="CY53">
            <v>2264</v>
          </cell>
          <cell r="CZ53">
            <v>74912</v>
          </cell>
          <cell r="DA53">
            <v>1050</v>
          </cell>
          <cell r="DB53">
            <v>16431</v>
          </cell>
          <cell r="DC53">
            <v>0</v>
          </cell>
          <cell r="DD53">
            <v>165</v>
          </cell>
          <cell r="DE53">
            <v>0</v>
          </cell>
          <cell r="DF53">
            <v>17646</v>
          </cell>
          <cell r="DG53">
            <v>-403</v>
          </cell>
          <cell r="DH53">
            <v>0</v>
          </cell>
          <cell r="DI53">
            <v>-4395</v>
          </cell>
          <cell r="DJ53">
            <v>-19</v>
          </cell>
          <cell r="DK53">
            <v>35208</v>
          </cell>
          <cell r="DL53">
            <v>7883</v>
          </cell>
          <cell r="DM53">
            <v>0</v>
          </cell>
          <cell r="DN53">
            <v>32854</v>
          </cell>
          <cell r="DO53">
            <v>1209</v>
          </cell>
          <cell r="DP53">
            <v>-5420</v>
          </cell>
          <cell r="DQ53">
            <v>-403</v>
          </cell>
          <cell r="DR53">
            <v>0</v>
          </cell>
          <cell r="DS53">
            <v>-4395</v>
          </cell>
          <cell r="DT53">
            <v>-19</v>
          </cell>
          <cell r="DU53">
            <v>35208</v>
          </cell>
          <cell r="DV53">
            <v>7883</v>
          </cell>
          <cell r="DW53">
            <v>0</v>
          </cell>
          <cell r="DX53">
            <v>32854</v>
          </cell>
          <cell r="DY53">
            <v>1209</v>
          </cell>
          <cell r="DZ53">
            <v>2354</v>
          </cell>
          <cell r="EA53">
            <v>2403</v>
          </cell>
          <cell r="EB53">
            <v>65</v>
          </cell>
          <cell r="EC53">
            <v>5</v>
          </cell>
          <cell r="ED53">
            <v>248</v>
          </cell>
          <cell r="EE53">
            <v>29</v>
          </cell>
          <cell r="EF53">
            <v>778</v>
          </cell>
          <cell r="EG53">
            <v>0</v>
          </cell>
          <cell r="EH53">
            <v>108</v>
          </cell>
          <cell r="EI53">
            <v>117</v>
          </cell>
          <cell r="EJ53">
            <v>62</v>
          </cell>
          <cell r="EK53">
            <v>0</v>
          </cell>
          <cell r="EL53">
            <v>17955</v>
          </cell>
          <cell r="EM53">
            <v>15079</v>
          </cell>
          <cell r="EN53">
            <v>262</v>
          </cell>
          <cell r="EO53">
            <v>21355</v>
          </cell>
          <cell r="EP53">
            <v>14840</v>
          </cell>
          <cell r="EQ53">
            <v>493</v>
          </cell>
        </row>
        <row r="54">
          <cell r="B54" t="str">
            <v>E6160</v>
          </cell>
          <cell r="C54" t="str">
            <v>London (LFC)</v>
          </cell>
          <cell r="D54">
            <v>1</v>
          </cell>
          <cell r="E54">
            <v>103</v>
          </cell>
          <cell r="F54">
            <v>0</v>
          </cell>
          <cell r="G54">
            <v>0</v>
          </cell>
          <cell r="H54">
            <v>0</v>
          </cell>
          <cell r="I54">
            <v>103</v>
          </cell>
          <cell r="J54">
            <v>5</v>
          </cell>
          <cell r="K54">
            <v>103</v>
          </cell>
          <cell r="L54">
            <v>0</v>
          </cell>
          <cell r="M54">
            <v>0</v>
          </cell>
          <cell r="N54">
            <v>0</v>
          </cell>
          <cell r="O54">
            <v>103</v>
          </cell>
          <cell r="P54">
            <v>5</v>
          </cell>
          <cell r="Q54">
            <v>142</v>
          </cell>
          <cell r="R54">
            <v>11</v>
          </cell>
          <cell r="S54">
            <v>51</v>
          </cell>
          <cell r="T54">
            <v>71</v>
          </cell>
          <cell r="U54">
            <v>77</v>
          </cell>
          <cell r="V54">
            <v>352</v>
          </cell>
          <cell r="W54">
            <v>40</v>
          </cell>
          <cell r="X54">
            <v>44</v>
          </cell>
          <cell r="Y54">
            <v>34</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v>249979</v>
          </cell>
          <cell r="AT54">
            <v>0</v>
          </cell>
          <cell r="AU54">
            <v>5500</v>
          </cell>
          <cell r="AV54">
            <v>46003</v>
          </cell>
          <cell r="AW54">
            <v>22657</v>
          </cell>
          <cell r="AX54">
            <v>3982</v>
          </cell>
          <cell r="AY54">
            <v>328121</v>
          </cell>
          <cell r="AZ54">
            <v>36059</v>
          </cell>
          <cell r="BA54">
            <v>14852</v>
          </cell>
          <cell r="BB54">
            <v>29066</v>
          </cell>
          <cell r="BC54">
            <v>0</v>
          </cell>
          <cell r="BD54">
            <v>0</v>
          </cell>
          <cell r="BE54">
            <v>337</v>
          </cell>
          <cell r="BF54">
            <v>0</v>
          </cell>
          <cell r="BG54">
            <v>408435</v>
          </cell>
          <cell r="BH54">
            <v>13997</v>
          </cell>
          <cell r="BI54">
            <v>0</v>
          </cell>
          <cell r="BJ54">
            <v>219</v>
          </cell>
          <cell r="BK54">
            <v>38058</v>
          </cell>
          <cell r="BL54">
            <v>52274</v>
          </cell>
          <cell r="BM54">
            <v>356161</v>
          </cell>
          <cell r="BN54">
            <v>19166</v>
          </cell>
          <cell r="BO54">
            <v>-76701</v>
          </cell>
          <cell r="BP54">
            <v>259472</v>
          </cell>
          <cell r="BQ54">
            <v>0</v>
          </cell>
          <cell r="BR54">
            <v>5434</v>
          </cell>
          <cell r="BS54">
            <v>21714</v>
          </cell>
          <cell r="BT54">
            <v>3398</v>
          </cell>
          <cell r="BU54">
            <v>339898</v>
          </cell>
          <cell r="BV54">
            <v>37743</v>
          </cell>
          <cell r="BW54">
            <v>17752</v>
          </cell>
          <cell r="BX54">
            <v>30624</v>
          </cell>
          <cell r="BY54">
            <v>0</v>
          </cell>
          <cell r="BZ54">
            <v>0</v>
          </cell>
          <cell r="CA54">
            <v>280</v>
          </cell>
          <cell r="CB54">
            <v>0</v>
          </cell>
          <cell r="CC54">
            <v>426297</v>
          </cell>
          <cell r="CD54">
            <v>11441</v>
          </cell>
          <cell r="CE54">
            <v>0</v>
          </cell>
          <cell r="CF54">
            <v>210</v>
          </cell>
          <cell r="CG54">
            <v>37097</v>
          </cell>
          <cell r="CH54">
            <v>48748</v>
          </cell>
          <cell r="CI54">
            <v>377549</v>
          </cell>
          <cell r="CJ54">
            <v>20000</v>
          </cell>
          <cell r="CK54">
            <v>-81307.009608014356</v>
          </cell>
          <cell r="CL54">
            <v>0</v>
          </cell>
          <cell r="CM54">
            <v>0</v>
          </cell>
          <cell r="CN54">
            <v>14.9</v>
          </cell>
          <cell r="CO54">
            <v>4978</v>
          </cell>
          <cell r="CP54">
            <v>0</v>
          </cell>
          <cell r="CQ54">
            <v>244162</v>
          </cell>
          <cell r="CR54">
            <v>138238</v>
          </cell>
          <cell r="CS54">
            <v>0</v>
          </cell>
          <cell r="CT54">
            <v>382400</v>
          </cell>
          <cell r="CU54">
            <v>130613.79599999999</v>
          </cell>
          <cell r="CV54">
            <v>234954.70199999999</v>
          </cell>
          <cell r="CW54">
            <v>1876.635</v>
          </cell>
          <cell r="CX54">
            <v>7881.8670000000002</v>
          </cell>
          <cell r="CY54">
            <v>0</v>
          </cell>
          <cell r="CZ54">
            <v>375327</v>
          </cell>
          <cell r="DA54">
            <v>24945.683999999997</v>
          </cell>
          <cell r="DB54">
            <v>44873.557999999997</v>
          </cell>
          <cell r="DC54">
            <v>358.41500000000002</v>
          </cell>
          <cell r="DD54">
            <v>1505.3430000000001</v>
          </cell>
          <cell r="DE54">
            <v>0</v>
          </cell>
          <cell r="DF54">
            <v>71682.999999999985</v>
          </cell>
          <cell r="DG54">
            <v>-618</v>
          </cell>
          <cell r="DH54">
            <v>0</v>
          </cell>
          <cell r="DI54">
            <v>-20910</v>
          </cell>
          <cell r="DJ54">
            <v>-273</v>
          </cell>
          <cell r="DK54">
            <v>136681</v>
          </cell>
          <cell r="DL54">
            <v>27307</v>
          </cell>
          <cell r="DM54">
            <v>84</v>
          </cell>
          <cell r="DN54">
            <v>116301</v>
          </cell>
          <cell r="DO54">
            <v>19652</v>
          </cell>
          <cell r="DP54">
            <v>-25883</v>
          </cell>
          <cell r="DQ54">
            <v>-680</v>
          </cell>
          <cell r="DR54">
            <v>0</v>
          </cell>
          <cell r="DS54">
            <v>-21050</v>
          </cell>
          <cell r="DT54">
            <v>-123</v>
          </cell>
          <cell r="DU54">
            <v>140182</v>
          </cell>
          <cell r="DV54">
            <v>25172</v>
          </cell>
          <cell r="DW54">
            <v>69</v>
          </cell>
          <cell r="DX54">
            <v>117687</v>
          </cell>
          <cell r="DY54">
            <v>19999</v>
          </cell>
          <cell r="DZ54">
            <v>8723</v>
          </cell>
          <cell r="EA54">
            <v>8815</v>
          </cell>
          <cell r="EB54">
            <v>210</v>
          </cell>
          <cell r="EC54">
            <v>8</v>
          </cell>
          <cell r="ED54">
            <v>1024</v>
          </cell>
          <cell r="EE54">
            <v>12</v>
          </cell>
          <cell r="EF54">
            <v>3111</v>
          </cell>
          <cell r="EG54">
            <v>0</v>
          </cell>
          <cell r="EH54">
            <v>758</v>
          </cell>
          <cell r="EI54">
            <v>374</v>
          </cell>
          <cell r="EJ54">
            <v>197</v>
          </cell>
          <cell r="EK54">
            <v>0</v>
          </cell>
          <cell r="EL54">
            <v>15576</v>
          </cell>
          <cell r="EM54">
            <v>21489</v>
          </cell>
          <cell r="EN54">
            <v>4784</v>
          </cell>
          <cell r="EO54">
            <v>33534</v>
          </cell>
          <cell r="EP54">
            <v>20356</v>
          </cell>
          <cell r="EQ54">
            <v>5058</v>
          </cell>
        </row>
        <row r="55">
          <cell r="B55" t="str">
            <v>W6171</v>
          </cell>
          <cell r="C55" t="str">
            <v>Mid and West Wales</v>
          </cell>
          <cell r="D55">
            <v>1</v>
          </cell>
          <cell r="E55">
            <v>7</v>
          </cell>
          <cell r="F55">
            <v>43</v>
          </cell>
          <cell r="G55">
            <v>6</v>
          </cell>
          <cell r="H55">
            <v>2</v>
          </cell>
          <cell r="I55">
            <v>58</v>
          </cell>
          <cell r="J55">
            <v>13</v>
          </cell>
          <cell r="K55">
            <v>7</v>
          </cell>
          <cell r="L55">
            <v>43</v>
          </cell>
          <cell r="M55">
            <v>6</v>
          </cell>
          <cell r="N55">
            <v>2</v>
          </cell>
          <cell r="O55">
            <v>58</v>
          </cell>
          <cell r="P55">
            <v>16</v>
          </cell>
          <cell r="Q55">
            <v>69</v>
          </cell>
          <cell r="R55">
            <v>4</v>
          </cell>
          <cell r="S55">
            <v>53</v>
          </cell>
          <cell r="T55">
            <v>26</v>
          </cell>
          <cell r="U55">
            <v>16</v>
          </cell>
          <cell r="V55">
            <v>168</v>
          </cell>
          <cell r="W55">
            <v>174</v>
          </cell>
          <cell r="X55">
            <v>14</v>
          </cell>
          <cell r="Y55">
            <v>8</v>
          </cell>
          <cell r="Z55">
            <v>384</v>
          </cell>
          <cell r="AA55">
            <v>754</v>
          </cell>
          <cell r="AB55">
            <v>4</v>
          </cell>
          <cell r="AC55">
            <v>3</v>
          </cell>
          <cell r="AD55">
            <v>17</v>
          </cell>
          <cell r="AE55">
            <v>44</v>
          </cell>
          <cell r="AF55">
            <v>103</v>
          </cell>
          <cell r="AG55">
            <v>50</v>
          </cell>
          <cell r="AH55">
            <v>163</v>
          </cell>
          <cell r="AI55">
            <v>384</v>
          </cell>
          <cell r="AJ55">
            <v>0</v>
          </cell>
          <cell r="AK55">
            <v>0</v>
          </cell>
          <cell r="AL55">
            <v>48.75</v>
          </cell>
          <cell r="AM55">
            <v>135.75</v>
          </cell>
          <cell r="AN55">
            <v>470.25</v>
          </cell>
          <cell r="AO55">
            <v>654.75</v>
          </cell>
          <cell r="AP55">
            <v>25.28</v>
          </cell>
          <cell r="AQ55">
            <v>194.06</v>
          </cell>
          <cell r="AR55">
            <v>1258.0899999999999</v>
          </cell>
          <cell r="AS55">
            <v>20018</v>
          </cell>
          <cell r="AT55">
            <v>6830</v>
          </cell>
          <cell r="AU55">
            <v>1280</v>
          </cell>
          <cell r="AV55">
            <v>5438</v>
          </cell>
          <cell r="AW55">
            <v>490</v>
          </cell>
          <cell r="AX55">
            <v>475</v>
          </cell>
          <cell r="AY55">
            <v>34531</v>
          </cell>
          <cell r="AZ55">
            <v>1968</v>
          </cell>
          <cell r="BA55">
            <v>3237</v>
          </cell>
          <cell r="BB55">
            <v>7862</v>
          </cell>
          <cell r="BC55">
            <v>0</v>
          </cell>
          <cell r="BD55">
            <v>0</v>
          </cell>
          <cell r="BE55">
            <v>0</v>
          </cell>
          <cell r="BF55">
            <v>0</v>
          </cell>
          <cell r="BG55">
            <v>47598</v>
          </cell>
          <cell r="BH55">
            <v>3590</v>
          </cell>
          <cell r="BI55">
            <v>0</v>
          </cell>
          <cell r="BJ55">
            <v>0</v>
          </cell>
          <cell r="BK55">
            <v>1372</v>
          </cell>
          <cell r="BL55">
            <v>4962</v>
          </cell>
          <cell r="BM55">
            <v>42636</v>
          </cell>
          <cell r="BN55">
            <v>2644</v>
          </cell>
          <cell r="BO55">
            <v>101</v>
          </cell>
          <cell r="BP55">
            <v>19934</v>
          </cell>
          <cell r="BQ55">
            <v>6906</v>
          </cell>
          <cell r="BR55">
            <v>1253</v>
          </cell>
          <cell r="BS55">
            <v>500</v>
          </cell>
          <cell r="BT55">
            <v>603</v>
          </cell>
          <cell r="BU55">
            <v>34866</v>
          </cell>
          <cell r="BV55">
            <v>2121</v>
          </cell>
          <cell r="BW55">
            <v>3287</v>
          </cell>
          <cell r="BX55">
            <v>5738</v>
          </cell>
          <cell r="BY55">
            <v>0</v>
          </cell>
          <cell r="BZ55">
            <v>0</v>
          </cell>
          <cell r="CA55">
            <v>0</v>
          </cell>
          <cell r="CB55">
            <v>0</v>
          </cell>
          <cell r="CC55">
            <v>46012</v>
          </cell>
          <cell r="CD55">
            <v>1157</v>
          </cell>
          <cell r="CE55">
            <v>0</v>
          </cell>
          <cell r="CF55">
            <v>0</v>
          </cell>
          <cell r="CG55">
            <v>1028</v>
          </cell>
          <cell r="CH55">
            <v>2185</v>
          </cell>
          <cell r="CI55">
            <v>43827</v>
          </cell>
          <cell r="CJ55">
            <v>2877</v>
          </cell>
          <cell r="CK55">
            <v>105</v>
          </cell>
          <cell r="CL55" t="str">
            <v>..</v>
          </cell>
          <cell r="CM55">
            <v>232.5732736479049</v>
          </cell>
          <cell r="CN55">
            <v>17.521215234460996</v>
          </cell>
          <cell r="CO55" t="str">
            <v>..</v>
          </cell>
          <cell r="CP55">
            <v>0</v>
          </cell>
          <cell r="CQ55">
            <v>0</v>
          </cell>
          <cell r="CR55">
            <v>0</v>
          </cell>
          <cell r="CS55">
            <v>0</v>
          </cell>
          <cell r="CT55">
            <v>0</v>
          </cell>
          <cell r="CU55">
            <v>385</v>
          </cell>
          <cell r="CV55">
            <v>43726</v>
          </cell>
          <cell r="CW55">
            <v>338</v>
          </cell>
          <cell r="CX55">
            <v>355</v>
          </cell>
          <cell r="CY55">
            <v>476</v>
          </cell>
          <cell r="CZ55">
            <v>45280</v>
          </cell>
          <cell r="DA55">
            <v>385</v>
          </cell>
          <cell r="DB55">
            <v>43726</v>
          </cell>
          <cell r="DC55">
            <v>338</v>
          </cell>
          <cell r="DD55">
            <v>355</v>
          </cell>
          <cell r="DE55">
            <v>476</v>
          </cell>
          <cell r="DF55">
            <v>45280</v>
          </cell>
          <cell r="DG55">
            <v>-314</v>
          </cell>
          <cell r="DH55">
            <v>0</v>
          </cell>
          <cell r="DI55">
            <v>-2519</v>
          </cell>
          <cell r="DJ55">
            <v>-109</v>
          </cell>
          <cell r="DK55">
            <v>10752</v>
          </cell>
          <cell r="DL55">
            <v>3234</v>
          </cell>
          <cell r="DM55">
            <v>0</v>
          </cell>
          <cell r="DN55">
            <v>7803</v>
          </cell>
          <cell r="DO55">
            <v>300</v>
          </cell>
          <cell r="DP55">
            <v>-3236</v>
          </cell>
          <cell r="DQ55">
            <v>-350</v>
          </cell>
          <cell r="DR55">
            <v>0</v>
          </cell>
          <cell r="DS55">
            <v>-2503</v>
          </cell>
          <cell r="DT55">
            <v>0</v>
          </cell>
          <cell r="DU55">
            <v>10752</v>
          </cell>
          <cell r="DV55">
            <v>3000</v>
          </cell>
          <cell r="DW55">
            <v>0</v>
          </cell>
          <cell r="DX55">
            <v>7663</v>
          </cell>
          <cell r="DY55">
            <v>300</v>
          </cell>
          <cell r="DZ55">
            <v>735</v>
          </cell>
          <cell r="EA55">
            <v>770</v>
          </cell>
          <cell r="EB55">
            <v>15</v>
          </cell>
          <cell r="EC55">
            <v>4</v>
          </cell>
          <cell r="ED55">
            <v>133</v>
          </cell>
          <cell r="EE55">
            <v>24</v>
          </cell>
          <cell r="EF55">
            <v>881</v>
          </cell>
          <cell r="EG55">
            <v>44</v>
          </cell>
          <cell r="EH55">
            <v>34</v>
          </cell>
          <cell r="EI55">
            <v>437</v>
          </cell>
          <cell r="EJ55">
            <v>224</v>
          </cell>
          <cell r="EK55">
            <v>27</v>
          </cell>
          <cell r="EL55">
            <v>9729.4891025170618</v>
          </cell>
          <cell r="EM55">
            <v>295.14904234240845</v>
          </cell>
          <cell r="EN55">
            <v>332904.13238423719</v>
          </cell>
          <cell r="EO55">
            <v>5914.7179467334845</v>
          </cell>
          <cell r="EP55">
            <v>2276.0004256677662</v>
          </cell>
          <cell r="EQ55">
            <v>16.959764721816441</v>
          </cell>
        </row>
        <row r="56">
          <cell r="B56" t="str">
            <v>W6172</v>
          </cell>
          <cell r="C56" t="str">
            <v>North Wales</v>
          </cell>
          <cell r="D56">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27</v>
          </cell>
          <cell r="T56">
            <v>10</v>
          </cell>
          <cell r="U56">
            <v>3</v>
          </cell>
          <cell r="V56">
            <v>97</v>
          </cell>
          <cell r="W56">
            <v>113</v>
          </cell>
          <cell r="X56">
            <v>12</v>
          </cell>
          <cell r="Y56">
            <v>3</v>
          </cell>
          <cell r="Z56">
            <v>263</v>
          </cell>
          <cell r="AA56">
            <v>443</v>
          </cell>
          <cell r="AB56">
            <v>3</v>
          </cell>
          <cell r="AC56">
            <v>4</v>
          </cell>
          <cell r="AD56">
            <v>11</v>
          </cell>
          <cell r="AE56">
            <v>23</v>
          </cell>
          <cell r="AF56">
            <v>45</v>
          </cell>
          <cell r="AG56">
            <v>49.67</v>
          </cell>
          <cell r="AH56">
            <v>122</v>
          </cell>
          <cell r="AI56">
            <v>257.67</v>
          </cell>
          <cell r="AJ56">
            <v>0</v>
          </cell>
          <cell r="AK56">
            <v>0</v>
          </cell>
          <cell r="AL56">
            <v>36.25</v>
          </cell>
          <cell r="AM56">
            <v>64.25</v>
          </cell>
          <cell r="AN56">
            <v>269.25</v>
          </cell>
          <cell r="AO56">
            <v>369.75</v>
          </cell>
          <cell r="AP56">
            <v>32.75</v>
          </cell>
          <cell r="AQ56">
            <v>146</v>
          </cell>
          <cell r="AR56">
            <v>806.17000000000007</v>
          </cell>
          <cell r="AS56">
            <v>13141</v>
          </cell>
          <cell r="AT56">
            <v>3896</v>
          </cell>
          <cell r="AU56">
            <v>1370</v>
          </cell>
          <cell r="AV56">
            <v>5090</v>
          </cell>
          <cell r="AW56">
            <v>311</v>
          </cell>
          <cell r="AX56">
            <v>553</v>
          </cell>
          <cell r="AY56">
            <v>24361</v>
          </cell>
          <cell r="AZ56">
            <v>1630</v>
          </cell>
          <cell r="BA56">
            <v>1008</v>
          </cell>
          <cell r="BB56">
            <v>4430</v>
          </cell>
          <cell r="BC56">
            <v>828</v>
          </cell>
          <cell r="BD56">
            <v>135</v>
          </cell>
          <cell r="BE56">
            <v>94</v>
          </cell>
          <cell r="BF56">
            <v>0</v>
          </cell>
          <cell r="BG56">
            <v>32486</v>
          </cell>
          <cell r="BH56">
            <v>1430</v>
          </cell>
          <cell r="BI56">
            <v>0</v>
          </cell>
          <cell r="BJ56">
            <v>0</v>
          </cell>
          <cell r="BK56">
            <v>438</v>
          </cell>
          <cell r="BL56">
            <v>1868</v>
          </cell>
          <cell r="BM56">
            <v>30618</v>
          </cell>
          <cell r="BN56">
            <v>2636</v>
          </cell>
          <cell r="BO56">
            <v>-920</v>
          </cell>
          <cell r="BP56">
            <v>13720</v>
          </cell>
          <cell r="BQ56">
            <v>3686</v>
          </cell>
          <cell r="BR56">
            <v>1406</v>
          </cell>
          <cell r="BS56">
            <v>278</v>
          </cell>
          <cell r="BT56">
            <v>934</v>
          </cell>
          <cell r="BU56">
            <v>24767</v>
          </cell>
          <cell r="BV56">
            <v>1585</v>
          </cell>
          <cell r="BW56">
            <v>991</v>
          </cell>
          <cell r="BX56">
            <v>4362</v>
          </cell>
          <cell r="BY56">
            <v>859</v>
          </cell>
          <cell r="BZ56">
            <v>149</v>
          </cell>
          <cell r="CA56">
            <v>100</v>
          </cell>
          <cell r="CB56">
            <v>0</v>
          </cell>
          <cell r="CC56">
            <v>32813</v>
          </cell>
          <cell r="CD56">
            <v>1416</v>
          </cell>
          <cell r="CE56">
            <v>0</v>
          </cell>
          <cell r="CF56">
            <v>0</v>
          </cell>
          <cell r="CG56">
            <v>292</v>
          </cell>
          <cell r="CH56">
            <v>1708</v>
          </cell>
          <cell r="CI56">
            <v>31105</v>
          </cell>
          <cell r="CJ56">
            <v>3035</v>
          </cell>
          <cell r="CK56">
            <v>0</v>
          </cell>
          <cell r="CL56">
            <v>0</v>
          </cell>
          <cell r="CM56">
            <v>5</v>
          </cell>
          <cell r="CN56">
            <v>14.7</v>
          </cell>
          <cell r="CO56">
            <v>695</v>
          </cell>
          <cell r="CP56">
            <v>0</v>
          </cell>
          <cell r="CQ56">
            <v>0</v>
          </cell>
          <cell r="CR56">
            <v>0</v>
          </cell>
          <cell r="CS56">
            <v>0</v>
          </cell>
          <cell r="CT56">
            <v>0</v>
          </cell>
          <cell r="CU56">
            <v>0</v>
          </cell>
          <cell r="CV56">
            <v>33254</v>
          </cell>
          <cell r="CW56">
            <v>0</v>
          </cell>
          <cell r="CX56">
            <v>0</v>
          </cell>
          <cell r="CY56">
            <v>0</v>
          </cell>
          <cell r="CZ56">
            <v>33254</v>
          </cell>
          <cell r="DA56">
            <v>0</v>
          </cell>
          <cell r="DB56">
            <v>7901</v>
          </cell>
          <cell r="DC56">
            <v>0</v>
          </cell>
          <cell r="DD56">
            <v>0</v>
          </cell>
          <cell r="DE56">
            <v>0</v>
          </cell>
          <cell r="DF56">
            <v>7901</v>
          </cell>
          <cell r="DG56">
            <v>-56</v>
          </cell>
          <cell r="DH56">
            <v>0</v>
          </cell>
          <cell r="DI56">
            <v>-1535</v>
          </cell>
          <cell r="DJ56">
            <v>-131</v>
          </cell>
          <cell r="DK56">
            <v>6639</v>
          </cell>
          <cell r="DL56">
            <v>1066</v>
          </cell>
          <cell r="DM56">
            <v>0</v>
          </cell>
          <cell r="DN56">
            <v>4043</v>
          </cell>
          <cell r="DO56">
            <v>404</v>
          </cell>
          <cell r="DP56">
            <v>-1871</v>
          </cell>
          <cell r="DQ56">
            <v>-100</v>
          </cell>
          <cell r="DR56">
            <v>0</v>
          </cell>
          <cell r="DS56">
            <v>-1316</v>
          </cell>
          <cell r="DT56">
            <v>-100</v>
          </cell>
          <cell r="DU56">
            <v>6854</v>
          </cell>
          <cell r="DV56">
            <v>1000</v>
          </cell>
          <cell r="DW56">
            <v>0</v>
          </cell>
          <cell r="DX56">
            <v>4467</v>
          </cell>
          <cell r="DY56">
            <v>432</v>
          </cell>
          <cell r="DZ56">
            <v>404</v>
          </cell>
          <cell r="EA56">
            <v>420</v>
          </cell>
          <cell r="EB56">
            <v>15</v>
          </cell>
          <cell r="EC56">
            <v>1</v>
          </cell>
          <cell r="ED56">
            <v>74</v>
          </cell>
          <cell r="EE56">
            <v>7</v>
          </cell>
          <cell r="EF56">
            <v>465</v>
          </cell>
          <cell r="EG56">
            <v>33</v>
          </cell>
          <cell r="EH56">
            <v>17</v>
          </cell>
          <cell r="EI56">
            <v>0</v>
          </cell>
          <cell r="EJ56">
            <v>237</v>
          </cell>
          <cell r="EK56">
            <v>0</v>
          </cell>
          <cell r="EL56">
            <v>748</v>
          </cell>
          <cell r="EM56">
            <v>2150</v>
          </cell>
          <cell r="EN56">
            <v>0</v>
          </cell>
          <cell r="EO56">
            <v>639</v>
          </cell>
          <cell r="EP56">
            <v>2057</v>
          </cell>
          <cell r="EQ56">
            <v>180</v>
          </cell>
        </row>
        <row r="57">
          <cell r="B57" t="str">
            <v>W6173</v>
          </cell>
          <cell r="C57" t="str">
            <v>South Wales</v>
          </cell>
          <cell r="D57">
            <v>1</v>
          </cell>
          <cell r="E57">
            <v>11</v>
          </cell>
          <cell r="F57">
            <v>27</v>
          </cell>
          <cell r="G57">
            <v>9</v>
          </cell>
          <cell r="H57">
            <v>0</v>
          </cell>
          <cell r="I57">
            <v>47</v>
          </cell>
          <cell r="J57">
            <v>9</v>
          </cell>
          <cell r="K57">
            <v>11</v>
          </cell>
          <cell r="L57">
            <v>27</v>
          </cell>
          <cell r="M57">
            <v>9</v>
          </cell>
          <cell r="N57">
            <v>0</v>
          </cell>
          <cell r="O57">
            <v>47</v>
          </cell>
          <cell r="P57">
            <v>9</v>
          </cell>
          <cell r="Q57">
            <v>61</v>
          </cell>
          <cell r="R57">
            <v>4</v>
          </cell>
          <cell r="S57">
            <v>58</v>
          </cell>
          <cell r="T57">
            <v>103</v>
          </cell>
          <cell r="U57">
            <v>63</v>
          </cell>
          <cell r="V57">
            <v>289</v>
          </cell>
          <cell r="W57">
            <v>127</v>
          </cell>
          <cell r="X57">
            <v>11</v>
          </cell>
          <cell r="Y57">
            <v>11</v>
          </cell>
          <cell r="Z57">
            <v>823</v>
          </cell>
          <cell r="AA57">
            <v>620</v>
          </cell>
          <cell r="AB57">
            <v>3</v>
          </cell>
          <cell r="AC57">
            <v>5</v>
          </cell>
          <cell r="AD57">
            <v>21</v>
          </cell>
          <cell r="AE57">
            <v>57</v>
          </cell>
          <cell r="AF57">
            <v>138</v>
          </cell>
          <cell r="AG57">
            <v>91</v>
          </cell>
          <cell r="AH57">
            <v>507</v>
          </cell>
          <cell r="AI57">
            <v>822</v>
          </cell>
          <cell r="AJ57">
            <v>0</v>
          </cell>
          <cell r="AK57">
            <v>0</v>
          </cell>
          <cell r="AL57">
            <v>30.6</v>
          </cell>
          <cell r="AM57">
            <v>107.5</v>
          </cell>
          <cell r="AN57">
            <v>312.89999999999998</v>
          </cell>
          <cell r="AO57">
            <v>451</v>
          </cell>
          <cell r="AP57">
            <v>38.4</v>
          </cell>
          <cell r="AQ57">
            <v>265.10000000000002</v>
          </cell>
          <cell r="AR57">
            <v>1576.5</v>
          </cell>
          <cell r="AS57">
            <v>37795.944960000001</v>
          </cell>
          <cell r="AT57">
            <v>5285.6189799999993</v>
          </cell>
          <cell r="AU57">
            <v>1347.6856700000001</v>
          </cell>
          <cell r="AV57">
            <v>9026.2183800000003</v>
          </cell>
          <cell r="AW57">
            <v>1374.78791</v>
          </cell>
          <cell r="AX57">
            <v>655.43142999999998</v>
          </cell>
          <cell r="AY57">
            <v>55485.687329999993</v>
          </cell>
          <cell r="AZ57">
            <v>5664.9212800000014</v>
          </cell>
          <cell r="BA57">
            <v>1120.6843200000003</v>
          </cell>
          <cell r="BB57">
            <v>3777.948910000001</v>
          </cell>
          <cell r="BC57">
            <v>53.974080000000001</v>
          </cell>
          <cell r="BD57">
            <v>206.76848999999982</v>
          </cell>
          <cell r="BE57">
            <v>0</v>
          </cell>
          <cell r="BF57">
            <v>973.65371097022637</v>
          </cell>
          <cell r="BG57">
            <v>67283.638120970238</v>
          </cell>
          <cell r="BH57">
            <v>0</v>
          </cell>
          <cell r="BI57">
            <v>64.033954999999935</v>
          </cell>
          <cell r="BJ57">
            <v>0</v>
          </cell>
          <cell r="BK57">
            <v>1819.9271350000004</v>
          </cell>
          <cell r="BL57">
            <v>1883.9610900000002</v>
          </cell>
          <cell r="BM57">
            <v>65399.677030970241</v>
          </cell>
          <cell r="BN57">
            <v>3624.5000000000009</v>
          </cell>
          <cell r="BO57">
            <v>-1460</v>
          </cell>
          <cell r="BP57">
            <v>38012</v>
          </cell>
          <cell r="BQ57">
            <v>6102</v>
          </cell>
          <cell r="BR57">
            <v>1501</v>
          </cell>
          <cell r="BS57">
            <v>1526</v>
          </cell>
          <cell r="BT57">
            <v>746</v>
          </cell>
          <cell r="BU57">
            <v>56874</v>
          </cell>
          <cell r="BV57">
            <v>4669</v>
          </cell>
          <cell r="BW57">
            <v>1253</v>
          </cell>
          <cell r="BX57">
            <v>3679</v>
          </cell>
          <cell r="BY57">
            <v>64</v>
          </cell>
          <cell r="BZ57">
            <v>0</v>
          </cell>
          <cell r="CA57">
            <v>0</v>
          </cell>
          <cell r="CB57">
            <v>5599</v>
          </cell>
          <cell r="CC57">
            <v>72138</v>
          </cell>
          <cell r="CD57">
            <v>0</v>
          </cell>
          <cell r="CE57">
            <v>0</v>
          </cell>
          <cell r="CF57">
            <v>0</v>
          </cell>
          <cell r="CG57">
            <v>976</v>
          </cell>
          <cell r="CH57">
            <v>976</v>
          </cell>
          <cell r="CI57">
            <v>71162</v>
          </cell>
          <cell r="CJ57">
            <v>0</v>
          </cell>
          <cell r="CK57">
            <v>0</v>
          </cell>
          <cell r="CL57">
            <v>0</v>
          </cell>
          <cell r="CM57">
            <v>0</v>
          </cell>
          <cell r="CN57">
            <v>15.2</v>
          </cell>
          <cell r="CO57">
            <v>272.59999999999991</v>
          </cell>
          <cell r="CP57">
            <v>0</v>
          </cell>
          <cell r="CQ57">
            <v>0</v>
          </cell>
          <cell r="CR57">
            <v>0</v>
          </cell>
          <cell r="CS57">
            <v>0</v>
          </cell>
          <cell r="CT57">
            <v>0</v>
          </cell>
          <cell r="CU57">
            <v>0</v>
          </cell>
          <cell r="CV57">
            <v>69024.177030970241</v>
          </cell>
          <cell r="CW57">
            <v>0</v>
          </cell>
          <cell r="CX57">
            <v>0</v>
          </cell>
          <cell r="CY57">
            <v>0</v>
          </cell>
          <cell r="CZ57">
            <v>69024.177030970241</v>
          </cell>
          <cell r="DA57">
            <v>0</v>
          </cell>
          <cell r="DB57">
            <v>0</v>
          </cell>
          <cell r="DC57">
            <v>0</v>
          </cell>
          <cell r="DD57">
            <v>0</v>
          </cell>
          <cell r="DE57">
            <v>0</v>
          </cell>
          <cell r="DF57">
            <v>0</v>
          </cell>
          <cell r="DG57">
            <v>-379.34976</v>
          </cell>
          <cell r="DH57">
            <v>-138.23419000000015</v>
          </cell>
          <cell r="DI57">
            <v>-3965.920889999712</v>
          </cell>
          <cell r="DJ57">
            <v>-681.13938999999993</v>
          </cell>
          <cell r="DK57">
            <v>18980.803759999995</v>
          </cell>
          <cell r="DL57">
            <v>2982.7013400000005</v>
          </cell>
          <cell r="DM57">
            <v>86.588940000000008</v>
          </cell>
          <cell r="DN57">
            <v>11538.437970000285</v>
          </cell>
          <cell r="DO57">
            <v>608.91804999999988</v>
          </cell>
          <cell r="DP57">
            <v>-5261.551192102831</v>
          </cell>
          <cell r="DQ57">
            <v>-138.86799999999999</v>
          </cell>
          <cell r="DR57">
            <v>0</v>
          </cell>
          <cell r="DS57">
            <v>-4026.9017513783747</v>
          </cell>
          <cell r="DT57">
            <v>0</v>
          </cell>
          <cell r="DU57">
            <v>19443.080113128555</v>
          </cell>
          <cell r="DV57">
            <v>4188.9108524760004</v>
          </cell>
          <cell r="DW57">
            <v>0</v>
          </cell>
          <cell r="DX57">
            <v>14204.670022123351</v>
          </cell>
          <cell r="DY57">
            <v>615.00723049999999</v>
          </cell>
          <cell r="DZ57">
            <v>1281</v>
          </cell>
          <cell r="EA57">
            <v>1317</v>
          </cell>
          <cell r="EB57">
            <v>24</v>
          </cell>
          <cell r="EC57">
            <v>6</v>
          </cell>
          <cell r="ED57">
            <v>217</v>
          </cell>
          <cell r="EE57">
            <v>27</v>
          </cell>
          <cell r="EF57">
            <v>972</v>
          </cell>
          <cell r="EG57">
            <v>33</v>
          </cell>
          <cell r="EH57">
            <v>63</v>
          </cell>
          <cell r="EI57">
            <v>328</v>
          </cell>
          <cell r="EJ57">
            <v>103</v>
          </cell>
          <cell r="EK57">
            <v>34</v>
          </cell>
          <cell r="EL57">
            <v>15591</v>
          </cell>
          <cell r="EM57">
            <v>3000</v>
          </cell>
          <cell r="EN57">
            <v>38</v>
          </cell>
          <cell r="EO57">
            <v>15327</v>
          </cell>
          <cell r="EP57">
            <v>3004</v>
          </cell>
          <cell r="EQ57">
            <v>38</v>
          </cell>
        </row>
        <row r="58">
          <cell r="B58" t="str">
            <v>S6189</v>
          </cell>
          <cell r="C58" t="str">
            <v>Scotland (SFRS)</v>
          </cell>
          <cell r="D58">
            <v>1</v>
          </cell>
          <cell r="E58">
            <v>74</v>
          </cell>
          <cell r="F58">
            <v>240</v>
          </cell>
          <cell r="G58">
            <v>0</v>
          </cell>
          <cell r="H58">
            <v>42</v>
          </cell>
          <cell r="I58">
            <v>356</v>
          </cell>
          <cell r="J58">
            <v>0</v>
          </cell>
          <cell r="K58">
            <v>74</v>
          </cell>
          <cell r="L58">
            <v>240</v>
          </cell>
          <cell r="M58">
            <v>0</v>
          </cell>
          <cell r="N58">
            <v>42</v>
          </cell>
          <cell r="O58">
            <v>356</v>
          </cell>
          <cell r="P58">
            <v>0</v>
          </cell>
          <cell r="Q58">
            <v>438</v>
          </cell>
          <cell r="R58" t="str">
            <v>..</v>
          </cell>
          <cell r="S58" t="str">
            <v>..</v>
          </cell>
          <cell r="T58" t="str">
            <v>..</v>
          </cell>
          <cell r="U58">
            <v>14</v>
          </cell>
          <cell r="V58">
            <v>592</v>
          </cell>
          <cell r="W58">
            <v>811</v>
          </cell>
          <cell r="X58">
            <v>65</v>
          </cell>
          <cell r="Y58">
            <v>42</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v>220997.41768595754</v>
          </cell>
          <cell r="AT58">
            <v>23067.399634624493</v>
          </cell>
          <cell r="AU58">
            <v>6791.7302610254856</v>
          </cell>
          <cell r="AV58">
            <v>27779.002365655866</v>
          </cell>
          <cell r="AW58">
            <v>1234.601239289389</v>
          </cell>
          <cell r="AX58">
            <v>2185.4624550987414</v>
          </cell>
          <cell r="AY58">
            <v>282055.61364165152</v>
          </cell>
          <cell r="AZ58">
            <v>19632.152527608669</v>
          </cell>
          <cell r="BA58">
            <v>8177.2166633025863</v>
          </cell>
          <cell r="BB58">
            <v>20755.725062058042</v>
          </cell>
          <cell r="BC58">
            <v>1320.0079353201691</v>
          </cell>
          <cell r="BD58">
            <v>0</v>
          </cell>
          <cell r="BE58">
            <v>0</v>
          </cell>
          <cell r="BF58">
            <v>3121.1402582803998</v>
          </cell>
          <cell r="BG58">
            <v>335061.85608822136</v>
          </cell>
          <cell r="BH58">
            <v>0</v>
          </cell>
          <cell r="BI58">
            <v>0</v>
          </cell>
          <cell r="BJ58">
            <v>0</v>
          </cell>
          <cell r="BK58">
            <v>3997.0333742405119</v>
          </cell>
          <cell r="BL58">
            <v>3997.0333742405119</v>
          </cell>
          <cell r="BM58">
            <v>331064.82271398086</v>
          </cell>
          <cell r="BN58">
            <v>26961.557216629244</v>
          </cell>
          <cell r="BO58">
            <v>-33639.530107498387</v>
          </cell>
          <cell r="BP58">
            <v>229289.17931681572</v>
          </cell>
          <cell r="BQ58">
            <v>23932.882051644632</v>
          </cell>
          <cell r="BR58">
            <v>7046.5540909832407</v>
          </cell>
          <cell r="BS58">
            <v>1280.9231343257225</v>
          </cell>
          <cell r="BT58">
            <v>2267.4603984259334</v>
          </cell>
          <cell r="BU58">
            <v>292638.26179858792</v>
          </cell>
          <cell r="BV58">
            <v>20368.745428847462</v>
          </cell>
          <cell r="BW58">
            <v>8484.0235576362429</v>
          </cell>
          <cell r="BX58">
            <v>21534.474092215372</v>
          </cell>
          <cell r="BY58">
            <v>1369.5342658317293</v>
          </cell>
          <cell r="BZ58">
            <v>0</v>
          </cell>
          <cell r="CA58">
            <v>0</v>
          </cell>
          <cell r="CB58">
            <v>3238.2445724806312</v>
          </cell>
          <cell r="CC58">
            <v>347633.28371559933</v>
          </cell>
          <cell r="CD58">
            <v>0</v>
          </cell>
          <cell r="CE58">
            <v>0</v>
          </cell>
          <cell r="CF58">
            <v>0</v>
          </cell>
          <cell r="CG58">
            <v>4147.0009544811246</v>
          </cell>
          <cell r="CH58">
            <v>4147.0009544811246</v>
          </cell>
          <cell r="CI58">
            <v>343486.28276111826</v>
          </cell>
          <cell r="CJ58">
            <v>27973.147342785003</v>
          </cell>
          <cell r="CK58">
            <v>-34901.675918730543</v>
          </cell>
          <cell r="CL58" t="str">
            <v>..</v>
          </cell>
          <cell r="CM58" t="str">
            <v>..</v>
          </cell>
          <cell r="CN58" t="str">
            <v>..</v>
          </cell>
          <cell r="CO58" t="str">
            <v>..</v>
          </cell>
          <cell r="CP58">
            <v>343486.28276111826</v>
          </cell>
          <cell r="CQ58">
            <v>0</v>
          </cell>
          <cell r="CR58">
            <v>0</v>
          </cell>
          <cell r="CS58">
            <v>0</v>
          </cell>
          <cell r="CT58">
            <v>343486.28276111826</v>
          </cell>
          <cell r="CU58">
            <v>6351.9625538045721</v>
          </cell>
          <cell r="CV58">
            <v>280582.13994763378</v>
          </cell>
          <cell r="CW58">
            <v>23435.17504140345</v>
          </cell>
          <cell r="CX58">
            <v>536.94879078380427</v>
          </cell>
          <cell r="CY58">
            <v>47120.153596984499</v>
          </cell>
          <cell r="CZ58">
            <v>358026.37993061013</v>
          </cell>
          <cell r="DA58" t="str">
            <v>..</v>
          </cell>
          <cell r="DB58" t="str">
            <v>..</v>
          </cell>
          <cell r="DC58" t="str">
            <v>..</v>
          </cell>
          <cell r="DD58" t="str">
            <v>..</v>
          </cell>
          <cell r="DE58" t="str">
            <v>..</v>
          </cell>
          <cell r="DF58" t="str">
            <v>..</v>
          </cell>
          <cell r="DG58">
            <v>-1259.0049925342614</v>
          </cell>
          <cell r="DH58">
            <v>0</v>
          </cell>
          <cell r="DI58">
            <v>-18274.679522478444</v>
          </cell>
          <cell r="DJ58">
            <v>0</v>
          </cell>
          <cell r="DK58">
            <v>87368.129883886984</v>
          </cell>
          <cell r="DL58">
            <v>24755.611703079339</v>
          </cell>
          <cell r="DM58">
            <v>0</v>
          </cell>
          <cell r="DN58">
            <v>62444.16886679364</v>
          </cell>
          <cell r="DO58">
            <v>2457.8896145460926</v>
          </cell>
          <cell r="DP58">
            <v>-31586.800074704559</v>
          </cell>
          <cell r="DQ58">
            <v>-1319.1828590881478</v>
          </cell>
          <cell r="DR58">
            <v>0</v>
          </cell>
          <cell r="DS58">
            <v>-19148.171869323782</v>
          </cell>
          <cell r="DT58">
            <v>0</v>
          </cell>
          <cell r="DU58">
            <v>91544.14800326874</v>
          </cell>
          <cell r="DV58">
            <v>25938.879367911253</v>
          </cell>
          <cell r="DW58">
            <v>0</v>
          </cell>
          <cell r="DX58">
            <v>65428.872568063511</v>
          </cell>
          <cell r="DY58">
            <v>2575.3717167660429</v>
          </cell>
          <cell r="DZ58">
            <v>5485</v>
          </cell>
          <cell r="EA58">
            <v>5584</v>
          </cell>
          <cell r="EB58">
            <v>154</v>
          </cell>
          <cell r="EC58">
            <v>30</v>
          </cell>
          <cell r="ED58">
            <v>1785</v>
          </cell>
          <cell r="EE58">
            <v>225</v>
          </cell>
          <cell r="EF58" t="str">
            <v>..</v>
          </cell>
          <cell r="EG58" t="str">
            <v>..</v>
          </cell>
          <cell r="EH58">
            <v>293</v>
          </cell>
          <cell r="EI58">
            <v>347</v>
          </cell>
          <cell r="EJ58" t="str">
            <v>..</v>
          </cell>
          <cell r="EK58" t="str">
            <v>..</v>
          </cell>
          <cell r="EL58">
            <v>0</v>
          </cell>
          <cell r="EM58">
            <v>3887.3945525134113</v>
          </cell>
          <cell r="EN58">
            <v>3660.9851382857019</v>
          </cell>
          <cell r="EO58">
            <v>-3552465.5522096995</v>
          </cell>
          <cell r="EP58">
            <v>263020.48337676906</v>
          </cell>
          <cell r="EQ58">
            <v>2692.7938296547668</v>
          </cell>
        </row>
        <row r="59">
          <cell r="B59" t="str">
            <v>N6190</v>
          </cell>
          <cell r="C59" t="str">
            <v>Northern Ireland</v>
          </cell>
          <cell r="D59">
            <v>1</v>
          </cell>
          <cell r="E59">
            <v>8</v>
          </cell>
          <cell r="F59">
            <v>44</v>
          </cell>
          <cell r="G59">
            <v>15</v>
          </cell>
          <cell r="H59">
            <v>1</v>
          </cell>
          <cell r="I59">
            <v>68</v>
          </cell>
          <cell r="J59">
            <v>12</v>
          </cell>
          <cell r="K59">
            <v>8</v>
          </cell>
          <cell r="L59">
            <v>41</v>
          </cell>
          <cell r="M59">
            <v>18</v>
          </cell>
          <cell r="N59">
            <v>1</v>
          </cell>
          <cell r="O59">
            <v>68</v>
          </cell>
          <cell r="P59">
            <v>12</v>
          </cell>
          <cell r="Q59">
            <v>112</v>
          </cell>
          <cell r="R59">
            <v>4</v>
          </cell>
          <cell r="S59">
            <v>35</v>
          </cell>
          <cell r="T59">
            <v>96</v>
          </cell>
          <cell r="U59">
            <v>9</v>
          </cell>
          <cell r="V59">
            <v>256</v>
          </cell>
          <cell r="W59">
            <v>93</v>
          </cell>
          <cell r="X59">
            <v>15</v>
          </cell>
          <cell r="Y59">
            <v>9</v>
          </cell>
          <cell r="Z59">
            <v>844</v>
          </cell>
          <cell r="AA59">
            <v>956</v>
          </cell>
          <cell r="AB59">
            <v>4</v>
          </cell>
          <cell r="AC59">
            <v>7</v>
          </cell>
          <cell r="AD59">
            <v>44</v>
          </cell>
          <cell r="AE59">
            <v>68</v>
          </cell>
          <cell r="AF59">
            <v>117</v>
          </cell>
          <cell r="AG59">
            <v>154</v>
          </cell>
          <cell r="AH59">
            <v>450</v>
          </cell>
          <cell r="AI59">
            <v>844</v>
          </cell>
          <cell r="AJ59">
            <v>0</v>
          </cell>
          <cell r="AK59">
            <v>0</v>
          </cell>
          <cell r="AL59">
            <v>54</v>
          </cell>
          <cell r="AM59">
            <v>189</v>
          </cell>
          <cell r="AN59">
            <v>713</v>
          </cell>
          <cell r="AO59">
            <v>956</v>
          </cell>
          <cell r="AP59">
            <v>53.5</v>
          </cell>
          <cell r="AQ59">
            <v>227.7</v>
          </cell>
          <cell r="AR59">
            <v>2081.1999999999998</v>
          </cell>
          <cell r="AS59">
            <v>39372</v>
          </cell>
          <cell r="AT59">
            <v>11851</v>
          </cell>
          <cell r="AU59">
            <v>2278</v>
          </cell>
          <cell r="AV59">
            <v>7139</v>
          </cell>
          <cell r="AW59">
            <v>2537</v>
          </cell>
          <cell r="AX59">
            <v>491</v>
          </cell>
          <cell r="AY59">
            <v>63668</v>
          </cell>
          <cell r="AZ59">
            <v>4402</v>
          </cell>
          <cell r="BA59">
            <v>1381</v>
          </cell>
          <cell r="BB59">
            <v>5510</v>
          </cell>
          <cell r="BC59">
            <v>0</v>
          </cell>
          <cell r="BD59">
            <v>0</v>
          </cell>
          <cell r="BE59">
            <v>0</v>
          </cell>
          <cell r="BF59">
            <v>-77</v>
          </cell>
          <cell r="BG59">
            <v>74884</v>
          </cell>
          <cell r="BH59">
            <v>0</v>
          </cell>
          <cell r="BI59">
            <v>0</v>
          </cell>
          <cell r="BJ59">
            <v>0</v>
          </cell>
          <cell r="BK59">
            <v>435</v>
          </cell>
          <cell r="BL59">
            <v>435</v>
          </cell>
          <cell r="BM59">
            <v>74449</v>
          </cell>
          <cell r="BN59">
            <v>2822</v>
          </cell>
          <cell r="BO59">
            <v>43450</v>
          </cell>
          <cell r="BP59">
            <v>36923</v>
          </cell>
          <cell r="BQ59">
            <v>11704</v>
          </cell>
          <cell r="BR59">
            <v>2340</v>
          </cell>
          <cell r="BS59">
            <v>2576</v>
          </cell>
          <cell r="BT59">
            <v>552</v>
          </cell>
          <cell r="BU59">
            <v>61871</v>
          </cell>
          <cell r="BV59">
            <v>4433</v>
          </cell>
          <cell r="BW59">
            <v>1496</v>
          </cell>
          <cell r="BX59">
            <v>5655</v>
          </cell>
          <cell r="BY59">
            <v>0</v>
          </cell>
          <cell r="BZ59">
            <v>0</v>
          </cell>
          <cell r="CA59">
            <v>0</v>
          </cell>
          <cell r="CB59">
            <v>43</v>
          </cell>
          <cell r="CC59">
            <v>73498</v>
          </cell>
          <cell r="CD59">
            <v>0</v>
          </cell>
          <cell r="CE59">
            <v>0</v>
          </cell>
          <cell r="CF59">
            <v>0</v>
          </cell>
          <cell r="CG59">
            <v>432</v>
          </cell>
          <cell r="CH59">
            <v>432</v>
          </cell>
          <cell r="CI59">
            <v>73066</v>
          </cell>
          <cell r="CJ59">
            <v>2769.5771870676572</v>
          </cell>
          <cell r="CK59">
            <v>42642.852153823427</v>
          </cell>
          <cell r="CL59">
            <v>0</v>
          </cell>
          <cell r="CM59">
            <v>0</v>
          </cell>
          <cell r="CN59">
            <v>18</v>
          </cell>
          <cell r="CO59">
            <v>120</v>
          </cell>
          <cell r="CP59">
            <v>73066</v>
          </cell>
          <cell r="CQ59">
            <v>0</v>
          </cell>
          <cell r="CR59">
            <v>0</v>
          </cell>
          <cell r="CS59">
            <v>0</v>
          </cell>
          <cell r="CT59">
            <v>73066</v>
          </cell>
          <cell r="CU59">
            <v>4320</v>
          </cell>
          <cell r="CV59">
            <v>71585</v>
          </cell>
          <cell r="CW59">
            <v>831</v>
          </cell>
          <cell r="CX59">
            <v>535</v>
          </cell>
          <cell r="CY59">
            <v>0</v>
          </cell>
          <cell r="CZ59">
            <v>77271</v>
          </cell>
          <cell r="DA59">
            <v>441</v>
          </cell>
          <cell r="DB59">
            <v>9340</v>
          </cell>
          <cell r="DC59">
            <v>110</v>
          </cell>
          <cell r="DD59">
            <v>0</v>
          </cell>
          <cell r="DE59">
            <v>0</v>
          </cell>
          <cell r="DF59">
            <v>9891</v>
          </cell>
          <cell r="DG59">
            <v>-881</v>
          </cell>
          <cell r="DH59">
            <v>0</v>
          </cell>
          <cell r="DI59">
            <v>-5669</v>
          </cell>
          <cell r="DJ59">
            <v>-94</v>
          </cell>
          <cell r="DK59">
            <v>15013</v>
          </cell>
          <cell r="DL59">
            <v>4198</v>
          </cell>
          <cell r="DM59">
            <v>0</v>
          </cell>
          <cell r="DN59">
            <v>3973</v>
          </cell>
          <cell r="DO59">
            <v>2976</v>
          </cell>
          <cell r="DP59">
            <v>-7978</v>
          </cell>
          <cell r="DQ59">
            <v>-1522</v>
          </cell>
          <cell r="DR59">
            <v>0</v>
          </cell>
          <cell r="DS59">
            <v>-5204</v>
          </cell>
          <cell r="DT59">
            <v>-1</v>
          </cell>
          <cell r="DU59">
            <v>15576</v>
          </cell>
          <cell r="DV59">
            <v>5086</v>
          </cell>
          <cell r="DW59">
            <v>0</v>
          </cell>
          <cell r="DX59">
            <v>5957</v>
          </cell>
          <cell r="DY59">
            <v>1225</v>
          </cell>
          <cell r="DZ59">
            <v>1216</v>
          </cell>
          <cell r="EA59">
            <v>1354</v>
          </cell>
          <cell r="EB59">
            <v>48</v>
          </cell>
          <cell r="EC59">
            <v>22</v>
          </cell>
          <cell r="ED59">
            <v>267</v>
          </cell>
          <cell r="EE59">
            <v>37</v>
          </cell>
          <cell r="EF59">
            <v>1200</v>
          </cell>
          <cell r="EG59">
            <v>233</v>
          </cell>
          <cell r="EH59">
            <v>42</v>
          </cell>
          <cell r="EI59">
            <v>123</v>
          </cell>
          <cell r="EJ59">
            <v>49</v>
          </cell>
          <cell r="EK59">
            <v>59</v>
          </cell>
          <cell r="EL59">
            <v>0</v>
          </cell>
          <cell r="EM59">
            <v>0</v>
          </cell>
          <cell r="EN59">
            <v>85713</v>
          </cell>
          <cell r="EO59">
            <v>0</v>
          </cell>
          <cell r="EP59">
            <v>0</v>
          </cell>
          <cell r="EQ59">
            <v>93643</v>
          </cell>
        </row>
        <row r="61">
          <cell r="B61" t="str">
            <v>TOT1</v>
          </cell>
          <cell r="C61" t="str">
            <v>TOTAL SHIRE AREAS</v>
          </cell>
          <cell r="E61">
            <v>208</v>
          </cell>
          <cell r="F61">
            <v>686</v>
          </cell>
          <cell r="G61">
            <v>217</v>
          </cell>
          <cell r="H61">
            <v>5</v>
          </cell>
          <cell r="I61">
            <v>1116</v>
          </cell>
          <cell r="J61">
            <v>192</v>
          </cell>
          <cell r="K61">
            <v>207</v>
          </cell>
          <cell r="L61">
            <v>686</v>
          </cell>
          <cell r="M61">
            <v>218</v>
          </cell>
          <cell r="N61">
            <v>5</v>
          </cell>
          <cell r="O61">
            <v>1116</v>
          </cell>
          <cell r="P61">
            <v>221</v>
          </cell>
          <cell r="Q61">
            <v>1550</v>
          </cell>
          <cell r="R61">
            <v>96</v>
          </cell>
          <cell r="S61">
            <v>706</v>
          </cell>
          <cell r="T61">
            <v>1371</v>
          </cell>
          <cell r="U61">
            <v>286</v>
          </cell>
          <cell r="V61">
            <v>4009</v>
          </cell>
          <cell r="W61">
            <v>2715</v>
          </cell>
          <cell r="X61">
            <v>238</v>
          </cell>
          <cell r="Y61">
            <v>165</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v>617418.52639000001</v>
          </cell>
          <cell r="AT61">
            <v>117417.09654735385</v>
          </cell>
          <cell r="AU61">
            <v>25146.390879999999</v>
          </cell>
          <cell r="AV61">
            <v>156496.94108999998</v>
          </cell>
          <cell r="AW61">
            <v>24995.339959867692</v>
          </cell>
          <cell r="AX61">
            <v>24343.44183</v>
          </cell>
          <cell r="AY61">
            <v>965817.73669722152</v>
          </cell>
          <cell r="AZ61">
            <v>73021.145799999998</v>
          </cell>
          <cell r="BA61">
            <v>46118.435060000003</v>
          </cell>
          <cell r="BB61">
            <v>135710.18515999999</v>
          </cell>
          <cell r="BC61">
            <v>48532.913659999998</v>
          </cell>
          <cell r="BD61">
            <v>16472.36075</v>
          </cell>
          <cell r="BE61">
            <v>4850</v>
          </cell>
          <cell r="BF61">
            <v>16391.927889999999</v>
          </cell>
          <cell r="BG61">
            <v>1306914.7050172216</v>
          </cell>
          <cell r="BH61">
            <v>52569.051590000003</v>
          </cell>
          <cell r="BI61">
            <v>3400.6803799999998</v>
          </cell>
          <cell r="BJ61">
            <v>3661</v>
          </cell>
          <cell r="BK61">
            <v>38295.021120000005</v>
          </cell>
          <cell r="BL61">
            <v>97925.753089999998</v>
          </cell>
          <cell r="BM61">
            <v>1208988.9519272214</v>
          </cell>
          <cell r="BN61">
            <v>100748.71876</v>
          </cell>
          <cell r="BO61">
            <v>115567</v>
          </cell>
          <cell r="BP61">
            <v>618843.20399999991</v>
          </cell>
          <cell r="BQ61">
            <v>127082.66608767067</v>
          </cell>
          <cell r="BR61">
            <v>25129.27</v>
          </cell>
          <cell r="BS61">
            <v>24740.883704383534</v>
          </cell>
          <cell r="BT61">
            <v>20494.877</v>
          </cell>
          <cell r="BU61">
            <v>973835.18179205409</v>
          </cell>
          <cell r="BV61">
            <v>74245.834000000003</v>
          </cell>
          <cell r="BW61">
            <v>46060.479999999996</v>
          </cell>
          <cell r="BX61">
            <v>132205.22200000001</v>
          </cell>
          <cell r="BY61">
            <v>50098.7</v>
          </cell>
          <cell r="BZ61">
            <v>16468.099999999999</v>
          </cell>
          <cell r="CA61">
            <v>6664</v>
          </cell>
          <cell r="CB61">
            <v>20113.8</v>
          </cell>
          <cell r="CC61">
            <v>1319691.3177920543</v>
          </cell>
          <cell r="CD61">
            <v>55759.618000000002</v>
          </cell>
          <cell r="CE61">
            <v>3288.5</v>
          </cell>
          <cell r="CF61">
            <v>2568</v>
          </cell>
          <cell r="CG61">
            <v>25654.3</v>
          </cell>
          <cell r="CH61">
            <v>87270.418000000005</v>
          </cell>
          <cell r="CI61">
            <v>1232420.8997920542</v>
          </cell>
          <cell r="CJ61" t="str">
            <v>..</v>
          </cell>
          <cell r="CK61" t="str">
            <v>..</v>
          </cell>
          <cell r="CL61" t="str">
            <v>..</v>
          </cell>
          <cell r="CM61" t="str">
            <v>..</v>
          </cell>
          <cell r="CN61" t="str">
            <v>..</v>
          </cell>
          <cell r="CO61" t="str">
            <v>..</v>
          </cell>
          <cell r="CP61">
            <v>213103</v>
          </cell>
          <cell r="CQ61">
            <v>129405.274</v>
          </cell>
          <cell r="CR61">
            <v>613390.59199999995</v>
          </cell>
          <cell r="CS61">
            <v>7266</v>
          </cell>
          <cell r="CT61">
            <v>963164.86600000004</v>
          </cell>
          <cell r="CU61">
            <v>160848.56297783833</v>
          </cell>
          <cell r="CV61">
            <v>1088926.2421505046</v>
          </cell>
          <cell r="CW61">
            <v>5291.6114057049735</v>
          </cell>
          <cell r="CX61">
            <v>27996.465429864402</v>
          </cell>
          <cell r="CY61">
            <v>26674.788723309175</v>
          </cell>
          <cell r="CZ61">
            <v>1309737.6706872215</v>
          </cell>
          <cell r="DA61" t="str">
            <v>..</v>
          </cell>
          <cell r="DB61" t="str">
            <v>..</v>
          </cell>
          <cell r="DC61" t="str">
            <v>..</v>
          </cell>
          <cell r="DD61" t="str">
            <v>..</v>
          </cell>
          <cell r="DE61" t="str">
            <v>..</v>
          </cell>
          <cell r="DF61" t="str">
            <v>..</v>
          </cell>
          <cell r="DG61">
            <v>-3476.7828458172985</v>
          </cell>
          <cell r="DH61">
            <v>-81.892588818518576</v>
          </cell>
          <cell r="DI61">
            <v>-66364.828348409908</v>
          </cell>
          <cell r="DJ61">
            <v>-2826.5863104099694</v>
          </cell>
          <cell r="DK61">
            <v>342167.28174162476</v>
          </cell>
          <cell r="DL61">
            <v>75008.250922500345</v>
          </cell>
          <cell r="DM61">
            <v>784.01574965922259</v>
          </cell>
          <cell r="DN61">
            <v>263370.40269541636</v>
          </cell>
          <cell r="DO61">
            <v>23269.860135891169</v>
          </cell>
          <cell r="DP61">
            <v>-81081.205324795534</v>
          </cell>
          <cell r="DQ61">
            <v>-3474.9895177992826</v>
          </cell>
          <cell r="DR61">
            <v>-18.397069825055841</v>
          </cell>
          <cell r="DS61">
            <v>-65287.542137034921</v>
          </cell>
          <cell r="DT61">
            <v>-491.99163142428011</v>
          </cell>
          <cell r="DU61">
            <v>352354.78740821715</v>
          </cell>
          <cell r="DV61">
            <v>70457.323242854123</v>
          </cell>
          <cell r="DW61">
            <v>587.0369601673442</v>
          </cell>
          <cell r="DX61">
            <v>273045.02193035954</v>
          </cell>
          <cell r="DY61">
            <v>23246.319154740431</v>
          </cell>
          <cell r="DZ61">
            <v>23604</v>
          </cell>
          <cell r="EA61">
            <v>24144</v>
          </cell>
          <cell r="EB61">
            <v>700</v>
          </cell>
          <cell r="EC61">
            <v>49</v>
          </cell>
          <cell r="ED61">
            <v>3587</v>
          </cell>
          <cell r="EE61">
            <v>1436</v>
          </cell>
          <cell r="EF61" t="str">
            <v>..</v>
          </cell>
          <cell r="EG61" t="str">
            <v>..</v>
          </cell>
          <cell r="EH61">
            <v>1709</v>
          </cell>
          <cell r="EI61">
            <v>7104</v>
          </cell>
          <cell r="EJ61" t="str">
            <v>..</v>
          </cell>
          <cell r="EK61" t="str">
            <v>..</v>
          </cell>
          <cell r="EL61">
            <v>304298.74515453988</v>
          </cell>
          <cell r="EM61">
            <v>98383.045804717549</v>
          </cell>
          <cell r="EN61">
            <v>16257.169822449681</v>
          </cell>
          <cell r="EO61">
            <v>302038.28678575577</v>
          </cell>
          <cell r="EP61">
            <v>89110.109031894011</v>
          </cell>
          <cell r="EQ61">
            <v>14561.146752584604</v>
          </cell>
        </row>
        <row r="62">
          <cell r="B62" t="str">
            <v>TOT2</v>
          </cell>
          <cell r="C62" t="str">
            <v>TOTAL METROPOLITAN FRSs</v>
          </cell>
          <cell r="E62">
            <v>148</v>
          </cell>
          <cell r="F62">
            <v>13</v>
          </cell>
          <cell r="G62">
            <v>19</v>
          </cell>
          <cell r="H62">
            <v>0</v>
          </cell>
          <cell r="I62">
            <v>180</v>
          </cell>
          <cell r="J62">
            <v>37</v>
          </cell>
          <cell r="K62">
            <v>146</v>
          </cell>
          <cell r="L62">
            <v>13</v>
          </cell>
          <cell r="M62">
            <v>21</v>
          </cell>
          <cell r="N62">
            <v>0</v>
          </cell>
          <cell r="O62">
            <v>180</v>
          </cell>
          <cell r="P62">
            <v>41</v>
          </cell>
          <cell r="Q62">
            <v>231</v>
          </cell>
          <cell r="R62">
            <v>26</v>
          </cell>
          <cell r="S62">
            <v>104</v>
          </cell>
          <cell r="T62">
            <v>90</v>
          </cell>
          <cell r="U62">
            <v>73</v>
          </cell>
          <cell r="V62">
            <v>524</v>
          </cell>
          <cell r="W62">
            <v>803</v>
          </cell>
          <cell r="X62">
            <v>52</v>
          </cell>
          <cell r="Y62">
            <v>47</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v>256676</v>
          </cell>
          <cell r="AT62">
            <v>3441</v>
          </cell>
          <cell r="AU62">
            <v>5681</v>
          </cell>
          <cell r="AV62">
            <v>49927</v>
          </cell>
          <cell r="AW62">
            <v>5722</v>
          </cell>
          <cell r="AX62">
            <v>6045</v>
          </cell>
          <cell r="AY62">
            <v>327492</v>
          </cell>
          <cell r="AZ62">
            <v>20080</v>
          </cell>
          <cell r="BA62">
            <v>9920</v>
          </cell>
          <cell r="BB62">
            <v>29127</v>
          </cell>
          <cell r="BC62">
            <v>19832</v>
          </cell>
          <cell r="BD62">
            <v>6497</v>
          </cell>
          <cell r="BE62">
            <v>614</v>
          </cell>
          <cell r="BF62">
            <v>4566</v>
          </cell>
          <cell r="BG62">
            <v>418128</v>
          </cell>
          <cell r="BH62">
            <v>19455</v>
          </cell>
          <cell r="BI62">
            <v>1485</v>
          </cell>
          <cell r="BJ62">
            <v>476</v>
          </cell>
          <cell r="BK62">
            <v>11154</v>
          </cell>
          <cell r="BL62">
            <v>32570</v>
          </cell>
          <cell r="BM62">
            <v>385558</v>
          </cell>
          <cell r="BN62">
            <v>32886</v>
          </cell>
          <cell r="BO62">
            <v>-23790</v>
          </cell>
          <cell r="BP62">
            <v>265620</v>
          </cell>
          <cell r="BQ62">
            <v>4392</v>
          </cell>
          <cell r="BR62">
            <v>5818</v>
          </cell>
          <cell r="BS62">
            <v>6205</v>
          </cell>
          <cell r="BT62">
            <v>4850</v>
          </cell>
          <cell r="BU62">
            <v>337928</v>
          </cell>
          <cell r="BV62">
            <v>21307</v>
          </cell>
          <cell r="BW62">
            <v>9970</v>
          </cell>
          <cell r="BX62">
            <v>35758</v>
          </cell>
          <cell r="BY62">
            <v>23987</v>
          </cell>
          <cell r="BZ62">
            <v>6835.3019999999997</v>
          </cell>
          <cell r="CA62">
            <v>608</v>
          </cell>
          <cell r="CB62">
            <v>6679</v>
          </cell>
          <cell r="CC62">
            <v>443072.30200000003</v>
          </cell>
          <cell r="CD62">
            <v>15776</v>
          </cell>
          <cell r="CE62">
            <v>1511</v>
          </cell>
          <cell r="CF62">
            <v>425</v>
          </cell>
          <cell r="CG62">
            <v>9494</v>
          </cell>
          <cell r="CH62">
            <v>27206</v>
          </cell>
          <cell r="CI62">
            <v>415866.30200000003</v>
          </cell>
          <cell r="CJ62" t="str">
            <v>..</v>
          </cell>
          <cell r="CK62" t="str">
            <v>..</v>
          </cell>
          <cell r="CL62" t="str">
            <v>..</v>
          </cell>
          <cell r="CM62" t="str">
            <v>..</v>
          </cell>
          <cell r="CN62" t="str">
            <v>..</v>
          </cell>
          <cell r="CO62" t="str">
            <v>..</v>
          </cell>
          <cell r="CP62">
            <v>174282</v>
          </cell>
          <cell r="CQ62">
            <v>50859</v>
          </cell>
          <cell r="CR62">
            <v>200687</v>
          </cell>
          <cell r="CS62">
            <v>2995</v>
          </cell>
          <cell r="CT62">
            <v>428823</v>
          </cell>
          <cell r="CU62">
            <v>49385</v>
          </cell>
          <cell r="CV62">
            <v>342367</v>
          </cell>
          <cell r="CW62">
            <v>1625</v>
          </cell>
          <cell r="CX62">
            <v>4253</v>
          </cell>
          <cell r="CY62">
            <v>20814</v>
          </cell>
          <cell r="CZ62">
            <v>418444</v>
          </cell>
          <cell r="DA62" t="str">
            <v>..</v>
          </cell>
          <cell r="DB62" t="str">
            <v>..</v>
          </cell>
          <cell r="DC62" t="str">
            <v>..</v>
          </cell>
          <cell r="DD62" t="str">
            <v>..</v>
          </cell>
          <cell r="DE62" t="str">
            <v>..</v>
          </cell>
          <cell r="DF62" t="str">
            <v>..</v>
          </cell>
          <cell r="DG62">
            <v>-1590</v>
          </cell>
          <cell r="DH62">
            <v>429</v>
          </cell>
          <cell r="DI62">
            <v>-22631</v>
          </cell>
          <cell r="DJ62">
            <v>-401</v>
          </cell>
          <cell r="DK62">
            <v>179958</v>
          </cell>
          <cell r="DL62">
            <v>33014</v>
          </cell>
          <cell r="DM62">
            <v>693</v>
          </cell>
          <cell r="DN62">
            <v>160963</v>
          </cell>
          <cell r="DO62">
            <v>7140</v>
          </cell>
          <cell r="DP62">
            <v>-28640</v>
          </cell>
          <cell r="DQ62">
            <v>-1516</v>
          </cell>
          <cell r="DR62">
            <v>0</v>
          </cell>
          <cell r="DS62">
            <v>-23005</v>
          </cell>
          <cell r="DT62">
            <v>-443</v>
          </cell>
          <cell r="DU62">
            <v>190496</v>
          </cell>
          <cell r="DV62">
            <v>38528</v>
          </cell>
          <cell r="DW62">
            <v>75</v>
          </cell>
          <cell r="DX62">
            <v>175495</v>
          </cell>
          <cell r="DY62">
            <v>7221</v>
          </cell>
          <cell r="DZ62">
            <v>12174</v>
          </cell>
          <cell r="EA62">
            <v>12386</v>
          </cell>
          <cell r="EB62">
            <v>277</v>
          </cell>
          <cell r="EC62">
            <v>18</v>
          </cell>
          <cell r="ED62">
            <v>1436</v>
          </cell>
          <cell r="EE62">
            <v>46</v>
          </cell>
          <cell r="EF62" t="str">
            <v>..</v>
          </cell>
          <cell r="EG62" t="str">
            <v>..</v>
          </cell>
          <cell r="EH62">
            <v>708</v>
          </cell>
          <cell r="EI62">
            <v>498</v>
          </cell>
          <cell r="EJ62" t="str">
            <v>..</v>
          </cell>
          <cell r="EK62" t="str">
            <v>..</v>
          </cell>
          <cell r="EL62">
            <v>161743</v>
          </cell>
          <cell r="EM62">
            <v>48500</v>
          </cell>
          <cell r="EN62">
            <v>14510</v>
          </cell>
          <cell r="EO62">
            <v>162697</v>
          </cell>
          <cell r="EP62">
            <v>50463</v>
          </cell>
          <cell r="EQ62">
            <v>3963</v>
          </cell>
        </row>
        <row r="63">
          <cell r="B63" t="str">
            <v>TOT3</v>
          </cell>
          <cell r="C63" t="str">
            <v>TOTAL ENGLAND</v>
          </cell>
          <cell r="E63">
            <v>459</v>
          </cell>
          <cell r="F63">
            <v>699</v>
          </cell>
          <cell r="G63">
            <v>236</v>
          </cell>
          <cell r="H63">
            <v>5</v>
          </cell>
          <cell r="I63">
            <v>1399</v>
          </cell>
          <cell r="J63">
            <v>234</v>
          </cell>
          <cell r="K63">
            <v>456</v>
          </cell>
          <cell r="L63">
            <v>699</v>
          </cell>
          <cell r="M63">
            <v>239</v>
          </cell>
          <cell r="N63">
            <v>5</v>
          </cell>
          <cell r="O63">
            <v>1399</v>
          </cell>
          <cell r="P63">
            <v>267</v>
          </cell>
          <cell r="Q63">
            <v>1923</v>
          </cell>
          <cell r="R63">
            <v>133</v>
          </cell>
          <cell r="S63">
            <v>861</v>
          </cell>
          <cell r="T63">
            <v>1532</v>
          </cell>
          <cell r="U63">
            <v>436</v>
          </cell>
          <cell r="V63">
            <v>4885</v>
          </cell>
          <cell r="W63">
            <v>3558</v>
          </cell>
          <cell r="X63">
            <v>334</v>
          </cell>
          <cell r="Y63">
            <v>246</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v>1124073.52639</v>
          </cell>
          <cell r="AT63">
            <v>120858.09654735385</v>
          </cell>
          <cell r="AU63">
            <v>36327.390879999999</v>
          </cell>
          <cell r="AV63">
            <v>252426.94108999998</v>
          </cell>
          <cell r="AW63">
            <v>53374.339959867692</v>
          </cell>
          <cell r="AX63">
            <v>34370.441829999996</v>
          </cell>
          <cell r="AY63">
            <v>1621430.7366972216</v>
          </cell>
          <cell r="AZ63">
            <v>129160.1458</v>
          </cell>
          <cell r="BA63">
            <v>70890.435060000003</v>
          </cell>
          <cell r="BB63">
            <v>193903.18515999999</v>
          </cell>
          <cell r="BC63">
            <v>68364.913659999991</v>
          </cell>
          <cell r="BD63">
            <v>22969.36075</v>
          </cell>
          <cell r="BE63">
            <v>5801</v>
          </cell>
          <cell r="BF63">
            <v>20957.927889999999</v>
          </cell>
          <cell r="BG63">
            <v>2133477.7050172216</v>
          </cell>
          <cell r="BH63">
            <v>86021.051590000003</v>
          </cell>
          <cell r="BI63">
            <v>4885.6803799999998</v>
          </cell>
          <cell r="BJ63">
            <v>4356</v>
          </cell>
          <cell r="BK63">
            <v>87507.021120000005</v>
          </cell>
          <cell r="BL63">
            <v>182769.75309000001</v>
          </cell>
          <cell r="BM63">
            <v>1950707.9519272214</v>
          </cell>
          <cell r="BN63">
            <v>152800.71876000002</v>
          </cell>
          <cell r="BO63">
            <v>15076</v>
          </cell>
          <cell r="BP63">
            <v>1143935.2039999999</v>
          </cell>
          <cell r="BQ63">
            <v>131474.66608767066</v>
          </cell>
          <cell r="BR63">
            <v>36381.270000000004</v>
          </cell>
          <cell r="BS63">
            <v>52659.883704383537</v>
          </cell>
          <cell r="BT63">
            <v>28742.877</v>
          </cell>
          <cell r="BU63">
            <v>1651661.1817920541</v>
          </cell>
          <cell r="BV63">
            <v>133295.834</v>
          </cell>
          <cell r="BW63">
            <v>73782.48</v>
          </cell>
          <cell r="BX63">
            <v>198587.22200000001</v>
          </cell>
          <cell r="BY63">
            <v>74085.7</v>
          </cell>
          <cell r="BZ63">
            <v>23303.401999999998</v>
          </cell>
          <cell r="CA63">
            <v>7552</v>
          </cell>
          <cell r="CB63">
            <v>26792.799999999999</v>
          </cell>
          <cell r="CC63">
            <v>2189060.6197920544</v>
          </cell>
          <cell r="CD63">
            <v>82976.618000000002</v>
          </cell>
          <cell r="CE63">
            <v>4799.5</v>
          </cell>
          <cell r="CF63">
            <v>3203</v>
          </cell>
          <cell r="CG63">
            <v>72245.3</v>
          </cell>
          <cell r="CH63">
            <v>163224.41800000001</v>
          </cell>
          <cell r="CI63">
            <v>2025836.2017920541</v>
          </cell>
          <cell r="CJ63" t="str">
            <v>..</v>
          </cell>
          <cell r="CK63" t="str">
            <v>..</v>
          </cell>
          <cell r="CL63" t="str">
            <v>..</v>
          </cell>
          <cell r="CM63" t="str">
            <v>..</v>
          </cell>
          <cell r="CN63" t="str">
            <v>..</v>
          </cell>
          <cell r="CO63" t="str">
            <v>..</v>
          </cell>
          <cell r="CP63">
            <v>387385</v>
          </cell>
          <cell r="CQ63">
            <v>424426.27399999998</v>
          </cell>
          <cell r="CR63">
            <v>952315.59199999995</v>
          </cell>
          <cell r="CS63">
            <v>10261</v>
          </cell>
          <cell r="CT63">
            <v>1774387.8659999999</v>
          </cell>
          <cell r="CU63">
            <v>340847.3589778383</v>
          </cell>
          <cell r="CV63">
            <v>1666247.9441505047</v>
          </cell>
          <cell r="CW63">
            <v>8793.2464057049729</v>
          </cell>
          <cell r="CX63">
            <v>40131.3324298644</v>
          </cell>
          <cell r="CY63">
            <v>47488.788723309175</v>
          </cell>
          <cell r="CZ63">
            <v>2103508.6706872215</v>
          </cell>
          <cell r="DA63" t="str">
            <v>..</v>
          </cell>
          <cell r="DB63" t="str">
            <v>..</v>
          </cell>
          <cell r="DC63" t="str">
            <v>..</v>
          </cell>
          <cell r="DD63" t="str">
            <v>..</v>
          </cell>
          <cell r="DE63" t="str">
            <v>..</v>
          </cell>
          <cell r="DF63" t="str">
            <v>..</v>
          </cell>
          <cell r="DG63">
            <v>-5684.7828458172989</v>
          </cell>
          <cell r="DH63">
            <v>347.10741118148144</v>
          </cell>
          <cell r="DI63">
            <v>-109905.82834840991</v>
          </cell>
          <cell r="DJ63">
            <v>-3500.5863104099694</v>
          </cell>
          <cell r="DK63">
            <v>658806.2817416247</v>
          </cell>
          <cell r="DL63">
            <v>135329.25092250033</v>
          </cell>
          <cell r="DM63">
            <v>1561.0157496592226</v>
          </cell>
          <cell r="DN63">
            <v>540634.40269541636</v>
          </cell>
          <cell r="DO63">
            <v>50061.860135891169</v>
          </cell>
          <cell r="DP63">
            <v>-135604.20532479553</v>
          </cell>
          <cell r="DQ63">
            <v>-5670.9895177992821</v>
          </cell>
          <cell r="DR63">
            <v>-18.397069825055841</v>
          </cell>
          <cell r="DS63">
            <v>-109342.54213703492</v>
          </cell>
          <cell r="DT63">
            <v>-1057.9916314242801</v>
          </cell>
          <cell r="DU63">
            <v>683032.78740821709</v>
          </cell>
          <cell r="DV63">
            <v>134157.32324285412</v>
          </cell>
          <cell r="DW63">
            <v>731.0369601673442</v>
          </cell>
          <cell r="DX63">
            <v>566227.02193035954</v>
          </cell>
          <cell r="DY63">
            <v>50466.319154740428</v>
          </cell>
          <cell r="DZ63">
            <v>44501</v>
          </cell>
          <cell r="EA63">
            <v>45345</v>
          </cell>
          <cell r="EB63">
            <v>1187</v>
          </cell>
          <cell r="EC63">
            <v>75</v>
          </cell>
          <cell r="ED63">
            <v>6047</v>
          </cell>
          <cell r="EE63">
            <v>1494</v>
          </cell>
          <cell r="EF63" t="str">
            <v>..</v>
          </cell>
          <cell r="EG63" t="str">
            <v>..</v>
          </cell>
          <cell r="EH63">
            <v>3175</v>
          </cell>
          <cell r="EI63">
            <v>7976</v>
          </cell>
          <cell r="EJ63" t="str">
            <v>..</v>
          </cell>
          <cell r="EK63" t="str">
            <v>..</v>
          </cell>
          <cell r="EL63">
            <v>481617.74515453988</v>
          </cell>
          <cell r="EM63">
            <v>168372.04580471755</v>
          </cell>
          <cell r="EN63">
            <v>35551.169822449679</v>
          </cell>
          <cell r="EO63">
            <v>498269.28678575577</v>
          </cell>
          <cell r="EP63">
            <v>159929.10903189401</v>
          </cell>
          <cell r="EQ63">
            <v>23582.146752584602</v>
          </cell>
        </row>
        <row r="64">
          <cell r="B64" t="str">
            <v>TOT4</v>
          </cell>
          <cell r="C64" t="str">
            <v>TOTAL WALES</v>
          </cell>
          <cell r="E64">
            <v>18</v>
          </cell>
          <cell r="F64">
            <v>106</v>
          </cell>
          <cell r="G64">
            <v>23</v>
          </cell>
          <cell r="H64">
            <v>2</v>
          </cell>
          <cell r="I64">
            <v>149</v>
          </cell>
          <cell r="J64">
            <v>32</v>
          </cell>
          <cell r="K64">
            <v>18</v>
          </cell>
          <cell r="L64">
            <v>106</v>
          </cell>
          <cell r="M64">
            <v>23</v>
          </cell>
          <cell r="N64">
            <v>2</v>
          </cell>
          <cell r="O64">
            <v>149</v>
          </cell>
          <cell r="P64">
            <v>35</v>
          </cell>
          <cell r="Q64">
            <v>184</v>
          </cell>
          <cell r="R64">
            <v>11</v>
          </cell>
          <cell r="S64">
            <v>138</v>
          </cell>
          <cell r="T64">
            <v>139</v>
          </cell>
          <cell r="U64">
            <v>82</v>
          </cell>
          <cell r="V64">
            <v>554</v>
          </cell>
          <cell r="W64">
            <v>414</v>
          </cell>
          <cell r="X64">
            <v>37</v>
          </cell>
          <cell r="Y64">
            <v>22</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70954.944959999993</v>
          </cell>
          <cell r="AT64">
            <v>16011.618979999999</v>
          </cell>
          <cell r="AU64">
            <v>3997.6856699999998</v>
          </cell>
          <cell r="AV64">
            <v>19554.218379999998</v>
          </cell>
          <cell r="AW64">
            <v>2175.78791</v>
          </cell>
          <cell r="AX64">
            <v>1683.4314300000001</v>
          </cell>
          <cell r="AY64">
            <v>114377.68732999999</v>
          </cell>
          <cell r="AZ64">
            <v>9262.9212800000023</v>
          </cell>
          <cell r="BA64">
            <v>5365.6843200000003</v>
          </cell>
          <cell r="BB64">
            <v>16069.948910000001</v>
          </cell>
          <cell r="BC64">
            <v>881.97407999999996</v>
          </cell>
          <cell r="BD64">
            <v>341.76848999999982</v>
          </cell>
          <cell r="BE64">
            <v>94</v>
          </cell>
          <cell r="BF64">
            <v>973.65371097022637</v>
          </cell>
          <cell r="BG64">
            <v>147367.63812097022</v>
          </cell>
          <cell r="BH64">
            <v>5020</v>
          </cell>
          <cell r="BI64">
            <v>64.033954999999935</v>
          </cell>
          <cell r="BJ64">
            <v>0</v>
          </cell>
          <cell r="BK64">
            <v>3629.9271350000004</v>
          </cell>
          <cell r="BL64">
            <v>8713.9610900000007</v>
          </cell>
          <cell r="BM64">
            <v>138653.67703097023</v>
          </cell>
          <cell r="BN64">
            <v>8904.5</v>
          </cell>
          <cell r="BO64">
            <v>-2279</v>
          </cell>
          <cell r="BP64">
            <v>71666</v>
          </cell>
          <cell r="BQ64">
            <v>16694</v>
          </cell>
          <cell r="BR64">
            <v>4160</v>
          </cell>
          <cell r="BS64">
            <v>2304</v>
          </cell>
          <cell r="BT64">
            <v>2283</v>
          </cell>
          <cell r="BU64">
            <v>116507</v>
          </cell>
          <cell r="BV64">
            <v>8375</v>
          </cell>
          <cell r="BW64">
            <v>5531</v>
          </cell>
          <cell r="BX64">
            <v>13779</v>
          </cell>
          <cell r="BY64">
            <v>923</v>
          </cell>
          <cell r="BZ64">
            <v>149</v>
          </cell>
          <cell r="CA64">
            <v>100</v>
          </cell>
          <cell r="CB64">
            <v>5599</v>
          </cell>
          <cell r="CC64">
            <v>150963</v>
          </cell>
          <cell r="CD64">
            <v>2573</v>
          </cell>
          <cell r="CE64">
            <v>0</v>
          </cell>
          <cell r="CF64">
            <v>0</v>
          </cell>
          <cell r="CG64">
            <v>2296</v>
          </cell>
          <cell r="CH64">
            <v>4869</v>
          </cell>
          <cell r="CI64">
            <v>146094</v>
          </cell>
          <cell r="CJ64" t="str">
            <v>..</v>
          </cell>
          <cell r="CK64" t="str">
            <v>..</v>
          </cell>
          <cell r="CL64" t="str">
            <v>..</v>
          </cell>
          <cell r="CM64" t="str">
            <v>..</v>
          </cell>
          <cell r="CN64" t="str">
            <v>..</v>
          </cell>
          <cell r="CO64" t="str">
            <v>..</v>
          </cell>
          <cell r="CP64">
            <v>0</v>
          </cell>
          <cell r="CQ64">
            <v>0</v>
          </cell>
          <cell r="CR64">
            <v>0</v>
          </cell>
          <cell r="CS64">
            <v>0</v>
          </cell>
          <cell r="CT64">
            <v>0</v>
          </cell>
          <cell r="CU64">
            <v>385</v>
          </cell>
          <cell r="CV64">
            <v>146004.17703097023</v>
          </cell>
          <cell r="CW64">
            <v>338</v>
          </cell>
          <cell r="CX64">
            <v>355</v>
          </cell>
          <cell r="CY64">
            <v>476</v>
          </cell>
          <cell r="CZ64">
            <v>147558.17703097023</v>
          </cell>
          <cell r="DA64" t="str">
            <v>..</v>
          </cell>
          <cell r="DB64" t="str">
            <v>..</v>
          </cell>
          <cell r="DC64" t="str">
            <v>..</v>
          </cell>
          <cell r="DD64" t="str">
            <v>..</v>
          </cell>
          <cell r="DE64" t="str">
            <v>..</v>
          </cell>
          <cell r="DF64" t="str">
            <v>..</v>
          </cell>
          <cell r="DG64">
            <v>-749.34976000000006</v>
          </cell>
          <cell r="DH64">
            <v>-138.23419000000015</v>
          </cell>
          <cell r="DI64">
            <v>-8019.920889999712</v>
          </cell>
          <cell r="DJ64">
            <v>-921.13938999999993</v>
          </cell>
          <cell r="DK64">
            <v>36371.803759999995</v>
          </cell>
          <cell r="DL64">
            <v>7282.7013400000005</v>
          </cell>
          <cell r="DM64">
            <v>86.588940000000008</v>
          </cell>
          <cell r="DN64">
            <v>23384.437970000283</v>
          </cell>
          <cell r="DO64">
            <v>1312.9180499999998</v>
          </cell>
          <cell r="DP64">
            <v>-10368.55119210283</v>
          </cell>
          <cell r="DQ64">
            <v>-588.86799999999994</v>
          </cell>
          <cell r="DR64">
            <v>0</v>
          </cell>
          <cell r="DS64">
            <v>-7845.9017513783747</v>
          </cell>
          <cell r="DT64">
            <v>-100</v>
          </cell>
          <cell r="DU64">
            <v>37049.080113128555</v>
          </cell>
          <cell r="DV64">
            <v>8188.9108524760004</v>
          </cell>
          <cell r="DW64">
            <v>0</v>
          </cell>
          <cell r="DX64">
            <v>26334.670022123351</v>
          </cell>
          <cell r="DY64">
            <v>1347.0072304999999</v>
          </cell>
          <cell r="DZ64">
            <v>2420</v>
          </cell>
          <cell r="EA64">
            <v>2507</v>
          </cell>
          <cell r="EB64">
            <v>54</v>
          </cell>
          <cell r="EC64">
            <v>11</v>
          </cell>
          <cell r="ED64">
            <v>424</v>
          </cell>
          <cell r="EE64">
            <v>58</v>
          </cell>
          <cell r="EF64" t="str">
            <v>..</v>
          </cell>
          <cell r="EG64" t="str">
            <v>..</v>
          </cell>
          <cell r="EH64">
            <v>114</v>
          </cell>
          <cell r="EI64">
            <v>765</v>
          </cell>
          <cell r="EJ64" t="str">
            <v>..</v>
          </cell>
          <cell r="EK64" t="str">
            <v>..</v>
          </cell>
          <cell r="EL64">
            <v>26068.489102517062</v>
          </cell>
          <cell r="EM64">
            <v>5445.1490423424084</v>
          </cell>
          <cell r="EN64">
            <v>332942.13238423719</v>
          </cell>
          <cell r="EO64">
            <v>21880.717946733486</v>
          </cell>
          <cell r="EP64">
            <v>7337.0004256677657</v>
          </cell>
          <cell r="EQ64">
            <v>234.95976472181644</v>
          </cell>
        </row>
        <row r="65">
          <cell r="B65" t="str">
            <v>TOT5</v>
          </cell>
          <cell r="C65" t="str">
            <v>TOTAL ENGLAND &amp; WALES</v>
          </cell>
          <cell r="E65">
            <v>477</v>
          </cell>
          <cell r="F65">
            <v>805</v>
          </cell>
          <cell r="G65">
            <v>259</v>
          </cell>
          <cell r="H65">
            <v>7</v>
          </cell>
          <cell r="I65">
            <v>1548</v>
          </cell>
          <cell r="J65">
            <v>266</v>
          </cell>
          <cell r="K65">
            <v>474</v>
          </cell>
          <cell r="L65">
            <v>805</v>
          </cell>
          <cell r="M65">
            <v>262</v>
          </cell>
          <cell r="N65">
            <v>7</v>
          </cell>
          <cell r="O65">
            <v>1548</v>
          </cell>
          <cell r="P65">
            <v>302</v>
          </cell>
          <cell r="Q65">
            <v>2107</v>
          </cell>
          <cell r="R65">
            <v>144</v>
          </cell>
          <cell r="S65">
            <v>999</v>
          </cell>
          <cell r="T65">
            <v>1671</v>
          </cell>
          <cell r="U65">
            <v>518</v>
          </cell>
          <cell r="V65">
            <v>5439</v>
          </cell>
          <cell r="W65">
            <v>3972</v>
          </cell>
          <cell r="X65">
            <v>371</v>
          </cell>
          <cell r="Y65">
            <v>268</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v>1195028.47135</v>
          </cell>
          <cell r="AT65">
            <v>136869.71552735384</v>
          </cell>
          <cell r="AU65">
            <v>40325.076549999998</v>
          </cell>
          <cell r="AV65">
            <v>271981.15946999996</v>
          </cell>
          <cell r="AW65">
            <v>55550.127869867691</v>
          </cell>
          <cell r="AX65">
            <v>36053.873259999993</v>
          </cell>
          <cell r="AY65">
            <v>1735808.4240272217</v>
          </cell>
          <cell r="AZ65">
            <v>138423.06708000001</v>
          </cell>
          <cell r="BA65">
            <v>76256.119380000004</v>
          </cell>
          <cell r="BB65">
            <v>209973.13407</v>
          </cell>
          <cell r="BC65">
            <v>69246.887739999991</v>
          </cell>
          <cell r="BD65">
            <v>23311.129239999998</v>
          </cell>
          <cell r="BE65">
            <v>5895</v>
          </cell>
          <cell r="BF65">
            <v>21931.581600970225</v>
          </cell>
          <cell r="BG65">
            <v>2280845.3431381918</v>
          </cell>
          <cell r="BH65">
            <v>91041.051590000003</v>
          </cell>
          <cell r="BI65">
            <v>4949.7143349999997</v>
          </cell>
          <cell r="BJ65">
            <v>4356</v>
          </cell>
          <cell r="BK65">
            <v>91136.94825500001</v>
          </cell>
          <cell r="BL65">
            <v>191483.71418000001</v>
          </cell>
          <cell r="BM65">
            <v>2089361.6289581917</v>
          </cell>
          <cell r="BN65">
            <v>161705.21876000002</v>
          </cell>
          <cell r="BO65">
            <v>12797</v>
          </cell>
          <cell r="BP65">
            <v>1215601.2039999999</v>
          </cell>
          <cell r="BQ65">
            <v>148168.66608767066</v>
          </cell>
          <cell r="BR65">
            <v>40541.270000000004</v>
          </cell>
          <cell r="BS65">
            <v>54963.883704383537</v>
          </cell>
          <cell r="BT65">
            <v>31025.877</v>
          </cell>
          <cell r="BU65">
            <v>1768168.1817920541</v>
          </cell>
          <cell r="BV65">
            <v>141670.834</v>
          </cell>
          <cell r="BW65">
            <v>79313.48</v>
          </cell>
          <cell r="BX65">
            <v>212366.22200000001</v>
          </cell>
          <cell r="BY65">
            <v>75008.7</v>
          </cell>
          <cell r="BZ65">
            <v>23452.401999999998</v>
          </cell>
          <cell r="CA65">
            <v>7652</v>
          </cell>
          <cell r="CB65">
            <v>32391.8</v>
          </cell>
          <cell r="CC65">
            <v>2340023.6197920544</v>
          </cell>
          <cell r="CD65">
            <v>85549.618000000002</v>
          </cell>
          <cell r="CE65">
            <v>4799.5</v>
          </cell>
          <cell r="CF65">
            <v>3203</v>
          </cell>
          <cell r="CG65">
            <v>74541.3</v>
          </cell>
          <cell r="CH65">
            <v>168093.41800000001</v>
          </cell>
          <cell r="CI65">
            <v>2171930.2017920539</v>
          </cell>
          <cell r="CJ65" t="str">
            <v>..</v>
          </cell>
          <cell r="CK65" t="str">
            <v>..</v>
          </cell>
          <cell r="CL65" t="str">
            <v>..</v>
          </cell>
          <cell r="CM65" t="str">
            <v>..</v>
          </cell>
          <cell r="CN65" t="str">
            <v>..</v>
          </cell>
          <cell r="CO65" t="str">
            <v>..</v>
          </cell>
          <cell r="CP65">
            <v>387385</v>
          </cell>
          <cell r="CQ65">
            <v>424426.27399999998</v>
          </cell>
          <cell r="CR65">
            <v>952315.59199999995</v>
          </cell>
          <cell r="CS65">
            <v>10261</v>
          </cell>
          <cell r="CT65">
            <v>1774387.8659999999</v>
          </cell>
          <cell r="CU65">
            <v>341232.3589778383</v>
          </cell>
          <cell r="CV65">
            <v>1812252.121181475</v>
          </cell>
          <cell r="CW65">
            <v>9131.2464057049729</v>
          </cell>
          <cell r="CX65">
            <v>40486.3324298644</v>
          </cell>
          <cell r="CY65">
            <v>47964.788723309175</v>
          </cell>
          <cell r="CZ65">
            <v>2251066.8477181918</v>
          </cell>
          <cell r="DA65" t="str">
            <v>..</v>
          </cell>
          <cell r="DB65" t="str">
            <v>..</v>
          </cell>
          <cell r="DC65" t="str">
            <v>..</v>
          </cell>
          <cell r="DD65" t="str">
            <v>..</v>
          </cell>
          <cell r="DE65" t="str">
            <v>..</v>
          </cell>
          <cell r="DF65" t="str">
            <v>..</v>
          </cell>
          <cell r="DG65">
            <v>-6434.132605817299</v>
          </cell>
          <cell r="DH65">
            <v>208.87322118148128</v>
          </cell>
          <cell r="DI65">
            <v>-117925.74923840963</v>
          </cell>
          <cell r="DJ65">
            <v>-4421.7257004099692</v>
          </cell>
          <cell r="DK65">
            <v>695178.08550162474</v>
          </cell>
          <cell r="DL65">
            <v>142611.95226250033</v>
          </cell>
          <cell r="DM65">
            <v>1647.6046896592227</v>
          </cell>
          <cell r="DN65">
            <v>564018.84066541668</v>
          </cell>
          <cell r="DO65">
            <v>51374.778185891169</v>
          </cell>
          <cell r="DP65">
            <v>-145972.75651689837</v>
          </cell>
          <cell r="DQ65">
            <v>-6259.8575177992825</v>
          </cell>
          <cell r="DR65">
            <v>-18.397069825055841</v>
          </cell>
          <cell r="DS65">
            <v>-117188.4438884133</v>
          </cell>
          <cell r="DT65">
            <v>-1157.9916314242801</v>
          </cell>
          <cell r="DU65">
            <v>720081.86752134562</v>
          </cell>
          <cell r="DV65">
            <v>142346.23409533012</v>
          </cell>
          <cell r="DW65">
            <v>731.0369601673442</v>
          </cell>
          <cell r="DX65">
            <v>592561.69195248291</v>
          </cell>
          <cell r="DY65">
            <v>51813.326385240427</v>
          </cell>
          <cell r="DZ65">
            <v>46921</v>
          </cell>
          <cell r="EA65">
            <v>47852</v>
          </cell>
          <cell r="EB65">
            <v>1241</v>
          </cell>
          <cell r="EC65">
            <v>86</v>
          </cell>
          <cell r="ED65">
            <v>6471</v>
          </cell>
          <cell r="EE65">
            <v>1552</v>
          </cell>
          <cell r="EF65" t="str">
            <v>..</v>
          </cell>
          <cell r="EG65" t="str">
            <v>..</v>
          </cell>
          <cell r="EH65">
            <v>3289</v>
          </cell>
          <cell r="EI65">
            <v>8741</v>
          </cell>
          <cell r="EJ65" t="str">
            <v>..</v>
          </cell>
          <cell r="EK65" t="str">
            <v>..</v>
          </cell>
          <cell r="EL65">
            <v>507686.23425705696</v>
          </cell>
          <cell r="EM65">
            <v>173817.19484705996</v>
          </cell>
          <cell r="EN65">
            <v>368493.30220668687</v>
          </cell>
          <cell r="EO65">
            <v>520150.00473248924</v>
          </cell>
          <cell r="EP65">
            <v>167266.10945756178</v>
          </cell>
          <cell r="EQ65">
            <v>23817.10651730642</v>
          </cell>
        </row>
        <row r="66">
          <cell r="B66" t="str">
            <v>TOT6</v>
          </cell>
          <cell r="C66" t="str">
            <v>TOTAL ALL AUTHORITIES</v>
          </cell>
          <cell r="E66">
            <v>559</v>
          </cell>
          <cell r="F66">
            <v>1089</v>
          </cell>
          <cell r="G66">
            <v>274</v>
          </cell>
          <cell r="H66">
            <v>50</v>
          </cell>
          <cell r="I66">
            <v>1972</v>
          </cell>
          <cell r="J66">
            <v>278</v>
          </cell>
          <cell r="K66">
            <v>556</v>
          </cell>
          <cell r="L66">
            <v>1086</v>
          </cell>
          <cell r="M66">
            <v>280</v>
          </cell>
          <cell r="N66">
            <v>50</v>
          </cell>
          <cell r="O66">
            <v>1972</v>
          </cell>
          <cell r="P66">
            <v>314</v>
          </cell>
          <cell r="Q66">
            <v>2657</v>
          </cell>
          <cell r="R66" t="str">
            <v>..</v>
          </cell>
          <cell r="S66" t="str">
            <v>..</v>
          </cell>
          <cell r="T66" t="str">
            <v>..</v>
          </cell>
          <cell r="U66">
            <v>541</v>
          </cell>
          <cell r="V66">
            <v>6287</v>
          </cell>
          <cell r="W66">
            <v>4876</v>
          </cell>
          <cell r="X66">
            <v>451</v>
          </cell>
          <cell r="Y66">
            <v>319</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v>1455397.8890359576</v>
          </cell>
          <cell r="AT66">
            <v>171788.11516197832</v>
          </cell>
          <cell r="AU66">
            <v>49394.806811025483</v>
          </cell>
          <cell r="AV66">
            <v>306899.1618356558</v>
          </cell>
          <cell r="AW66">
            <v>59321.729109157081</v>
          </cell>
          <cell r="AX66">
            <v>38730.335715098736</v>
          </cell>
          <cell r="AY66">
            <v>2081532.0376688733</v>
          </cell>
          <cell r="AZ66">
            <v>162457.21960760868</v>
          </cell>
          <cell r="BA66">
            <v>85814.336043302595</v>
          </cell>
          <cell r="BB66">
            <v>236238.85913205805</v>
          </cell>
          <cell r="BC66">
            <v>70566.895675320164</v>
          </cell>
          <cell r="BD66">
            <v>23311.129239999998</v>
          </cell>
          <cell r="BE66">
            <v>5895</v>
          </cell>
          <cell r="BF66">
            <v>24975.721859250625</v>
          </cell>
          <cell r="BG66">
            <v>2690791.1992264134</v>
          </cell>
          <cell r="BH66">
            <v>91041.051590000003</v>
          </cell>
          <cell r="BI66">
            <v>4949.7143349999997</v>
          </cell>
          <cell r="BJ66">
            <v>4356</v>
          </cell>
          <cell r="BK66">
            <v>95568.981629240516</v>
          </cell>
          <cell r="BL66">
            <v>195915.74755424052</v>
          </cell>
          <cell r="BM66">
            <v>2494875.4516721726</v>
          </cell>
          <cell r="BN66">
            <v>191488.77597662926</v>
          </cell>
          <cell r="BO66">
            <v>22607.469892501613</v>
          </cell>
          <cell r="BP66">
            <v>1481813.3833168156</v>
          </cell>
          <cell r="BQ66">
            <v>183805.5481393153</v>
          </cell>
          <cell r="BR66">
            <v>49927.824090983246</v>
          </cell>
          <cell r="BS66">
            <v>58820.806838709257</v>
          </cell>
          <cell r="BT66">
            <v>33845.337398425931</v>
          </cell>
          <cell r="BU66">
            <v>2122677.443590642</v>
          </cell>
          <cell r="BV66">
            <v>166472.57942884747</v>
          </cell>
          <cell r="BW66">
            <v>89293.503557636242</v>
          </cell>
          <cell r="BX66">
            <v>239555.69609221537</v>
          </cell>
          <cell r="BY66">
            <v>76378.234265831721</v>
          </cell>
          <cell r="BZ66">
            <v>23452.401999999998</v>
          </cell>
          <cell r="CA66">
            <v>7652</v>
          </cell>
          <cell r="CB66">
            <v>35673.044572480634</v>
          </cell>
          <cell r="CC66">
            <v>2761154.9035076536</v>
          </cell>
          <cell r="CD66">
            <v>85549.618000000002</v>
          </cell>
          <cell r="CE66">
            <v>4799.5</v>
          </cell>
          <cell r="CF66">
            <v>3203</v>
          </cell>
          <cell r="CG66">
            <v>79120.300954481121</v>
          </cell>
          <cell r="CH66">
            <v>172672.41895448114</v>
          </cell>
          <cell r="CI66">
            <v>2588482.4845531723</v>
          </cell>
          <cell r="CJ66" t="str">
            <v>..</v>
          </cell>
          <cell r="CK66" t="str">
            <v>..</v>
          </cell>
          <cell r="CL66" t="str">
            <v>..</v>
          </cell>
          <cell r="CM66" t="str">
            <v>..</v>
          </cell>
          <cell r="CN66" t="str">
            <v>..</v>
          </cell>
          <cell r="CO66" t="str">
            <v>..</v>
          </cell>
          <cell r="CP66">
            <v>803937.28276111826</v>
          </cell>
          <cell r="CQ66">
            <v>424426.27399999998</v>
          </cell>
          <cell r="CR66">
            <v>952315.59199999995</v>
          </cell>
          <cell r="CS66">
            <v>10261</v>
          </cell>
          <cell r="CT66">
            <v>2190940.1487611183</v>
          </cell>
          <cell r="CU66">
            <v>351904.32153164287</v>
          </cell>
          <cell r="CV66">
            <v>2164419.2611291087</v>
          </cell>
          <cell r="CW66">
            <v>33397.421447108427</v>
          </cell>
          <cell r="CX66">
            <v>41558.281220648205</v>
          </cell>
          <cell r="CY66">
            <v>95084.942320293674</v>
          </cell>
          <cell r="CZ66">
            <v>2686364.2276488021</v>
          </cell>
          <cell r="DA66" t="str">
            <v>..</v>
          </cell>
          <cell r="DB66" t="str">
            <v>..</v>
          </cell>
          <cell r="DC66" t="str">
            <v>..</v>
          </cell>
          <cell r="DD66" t="str">
            <v>..</v>
          </cell>
          <cell r="DE66" t="str">
            <v>..</v>
          </cell>
          <cell r="DF66" t="str">
            <v>..</v>
          </cell>
          <cell r="DG66">
            <v>-8574.1375983515609</v>
          </cell>
          <cell r="DH66">
            <v>208.87322118148128</v>
          </cell>
          <cell r="DI66">
            <v>-141869.42876088805</v>
          </cell>
          <cell r="DJ66">
            <v>-4515.7257004099692</v>
          </cell>
          <cell r="DK66">
            <v>797559.21538551175</v>
          </cell>
          <cell r="DL66">
            <v>171565.56396557967</v>
          </cell>
          <cell r="DM66">
            <v>1647.6046896592227</v>
          </cell>
          <cell r="DN66">
            <v>630436.0095322103</v>
          </cell>
          <cell r="DO66">
            <v>56808.667800437259</v>
          </cell>
          <cell r="DP66">
            <v>-185537.55659160292</v>
          </cell>
          <cell r="DQ66">
            <v>-9101.0403768874312</v>
          </cell>
          <cell r="DR66">
            <v>-18.397069825055841</v>
          </cell>
          <cell r="DS66">
            <v>-141540.61575773708</v>
          </cell>
          <cell r="DT66">
            <v>-1158.9916314242801</v>
          </cell>
          <cell r="DU66">
            <v>827202.01552461437</v>
          </cell>
          <cell r="DV66">
            <v>173371.11346324137</v>
          </cell>
          <cell r="DW66">
            <v>731.0369601673442</v>
          </cell>
          <cell r="DX66">
            <v>663947.56452054647</v>
          </cell>
          <cell r="DY66">
            <v>55613.69810200647</v>
          </cell>
          <cell r="DZ66">
            <v>53622</v>
          </cell>
          <cell r="EA66">
            <v>54790</v>
          </cell>
          <cell r="EB66">
            <v>1443</v>
          </cell>
          <cell r="EC66">
            <v>138</v>
          </cell>
          <cell r="ED66">
            <v>8523</v>
          </cell>
          <cell r="EE66">
            <v>1814</v>
          </cell>
          <cell r="EF66" t="str">
            <v>..</v>
          </cell>
          <cell r="EG66" t="str">
            <v>..</v>
          </cell>
          <cell r="EH66">
            <v>3624</v>
          </cell>
          <cell r="EI66">
            <v>9211</v>
          </cell>
          <cell r="EJ66" t="str">
            <v>..</v>
          </cell>
          <cell r="EK66" t="str">
            <v>..</v>
          </cell>
          <cell r="EL66" t="str">
            <v>..</v>
          </cell>
          <cell r="EM66" t="str">
            <v>..</v>
          </cell>
          <cell r="EN66" t="str">
            <v>..</v>
          </cell>
          <cell r="EO66" t="str">
            <v>..</v>
          </cell>
          <cell r="EP66" t="str">
            <v>..</v>
          </cell>
          <cell r="EQ66" t="str">
            <v>..</v>
          </cell>
        </row>
      </sheetData>
      <sheetData sheetId="11">
        <row r="1">
          <cell r="AV1" t="str">
            <v>X=VLOOKUP($B1,'N:\Information Services\Surveys\Public Protection\Fire and Rescue Service\2017\eBook\[fire17_eBook.xlsx]Actuals'!$B$13:$DC$62,3,FALSE)</v>
          </cell>
          <cell r="AX1" t="str">
            <v>X=VLOOKUP($B1,'N:\Information Services\Surveys\Public Protection\Fire and Rescue Service\2017\eBook\[fire17_eBook.xlsx]Actuals'!$B$13:$DC$62,6,FALSE)</v>
          </cell>
          <cell r="AZ1" t="str">
            <v>X=VLOOKUP($B1,'N:\Information Services\Surveys\Public Protection\Fire and Rescue Service\2017\eBook\[fire17_eBook.xlsx]Actuals'!$B$13:$DC$62,8,FALSE)</v>
          </cell>
          <cell r="BB1" t="str">
            <v>X=VLOOKUP($B1,'N:\Information Services\Surveys\Public Protection\Fire and Rescue Service\2017\eBook\[fire17_eBook.xlsx]Actuals'!$B$13:$DC$62,14,FALSE)</v>
          </cell>
          <cell r="BD1" t="str">
            <v>X=VLOOKUP($B1,'N:\Information Services\Surveys\Public Protection\Fire and Rescue Service\2017\eBook\[fire17_eBook.xlsx]Actuals'!$B$13:$DC$62,16,FALSE)</v>
          </cell>
          <cell r="BF1" t="str">
            <v>X=VLOOKUP($B1,'N:\Information Services\Surveys\Public Protection\Fire and Rescue Service\2017\eBook\[fire17_eBook.xlsx]Actuals'!$B$13:$DC$62,17,FALSE)</v>
          </cell>
          <cell r="BH1" t="str">
            <v>X=VLOOKUP($B1,'N:\Information Services\Surveys\Public Protection\Fire and Rescue Service\2017\eBook\[fire17_eBook.xlsx]Actuals'!$B$13:$DC$62,18,FALSE)</v>
          </cell>
          <cell r="BJ1" t="str">
            <v>X=VLOOKUP($B1,'N:\Information Services\Surveys\Public Protection\Fire and Rescue Service\2017\eBook\[fire17_eBook.xlsx]Actuals'!$B$13:$DC$62,20,FALSE)</v>
          </cell>
          <cell r="BL1" t="str">
            <v>X=VLOOKUP($B1,'N:\Information Services\Surveys\Public Protection\Fire and Rescue Service\2017\eBook\[fire17_eBook.xlsx]Actuals'!$B$13:$DC$62,21,FALSE)</v>
          </cell>
          <cell r="BN1" t="str">
            <v>X=VLOOKUP($B1,'N:\Information Services\Surveys\Public Protection\Fire and Rescue Service\2017\eBook\[fire17_eBook.xlsx]Actuals'!$B$13:$DC$62,43,FALSE)</v>
          </cell>
        </row>
        <row r="3">
          <cell r="AV3" t="str">
            <v>Fire Stations by Crewing at 31st March 2018</v>
          </cell>
          <cell r="AZ3" t="str">
            <v>Number of Appliances at 31 March 2018</v>
          </cell>
        </row>
        <row r="4">
          <cell r="AX4" t="str">
            <v>Total</v>
          </cell>
        </row>
        <row r="5">
          <cell r="AX5" t="str">
            <v>Number</v>
          </cell>
          <cell r="BB5" t="str">
            <v>Officer</v>
          </cell>
          <cell r="BN5" t="str">
            <v>Number of</v>
          </cell>
        </row>
        <row r="6">
          <cell r="AX6" t="str">
            <v>of</v>
          </cell>
          <cell r="BB6" t="str">
            <v>Response</v>
          </cell>
          <cell r="BF6" t="str">
            <v>Total</v>
          </cell>
          <cell r="BH6" t="str">
            <v>Other</v>
          </cell>
          <cell r="BJ6" t="str">
            <v>Total</v>
          </cell>
          <cell r="BL6" t="str">
            <v>Total</v>
          </cell>
          <cell r="BN6" t="str">
            <v xml:space="preserve">Pensioners </v>
          </cell>
        </row>
        <row r="7">
          <cell r="AX7" t="str">
            <v>Fire</v>
          </cell>
          <cell r="AZ7" t="str">
            <v>Pumping</v>
          </cell>
          <cell r="BB7" t="str">
            <v>Vehicles</v>
          </cell>
          <cell r="BD7" t="str">
            <v>Total</v>
          </cell>
          <cell r="BF7" t="str">
            <v>Operational</v>
          </cell>
          <cell r="BH7" t="str">
            <v>Fleet</v>
          </cell>
          <cell r="BJ7" t="str">
            <v>Reserve</v>
          </cell>
          <cell r="BL7" t="str">
            <v>Training</v>
          </cell>
          <cell r="BN7" t="str">
            <v>as at 31</v>
          </cell>
        </row>
        <row r="8">
          <cell r="AV8" t="str">
            <v>Wholetime</v>
          </cell>
          <cell r="AX8" t="str">
            <v>Stations</v>
          </cell>
          <cell r="AZ8" t="str">
            <v>Appliances</v>
          </cell>
          <cell r="BB8" t="str">
            <v>(Direct)</v>
          </cell>
          <cell r="BD8" t="str">
            <v>Resilience</v>
          </cell>
          <cell r="BF8" t="str">
            <v>Appliances</v>
          </cell>
          <cell r="BH8" t="str">
            <v>Vehicles</v>
          </cell>
          <cell r="BJ8" t="str">
            <v>Appliances</v>
          </cell>
          <cell r="BL8" t="str">
            <v>Appliances</v>
          </cell>
          <cell r="BN8" t="str">
            <v>March 2018</v>
          </cell>
        </row>
        <row r="9">
          <cell r="AV9" t="str">
            <v>FIRE0205</v>
          </cell>
          <cell r="AX9" t="str">
            <v>FIRE0007</v>
          </cell>
          <cell r="AZ9" t="str">
            <v>FIRE0015</v>
          </cell>
          <cell r="BB9" t="str">
            <v>FIRE0252</v>
          </cell>
          <cell r="BD9" t="str">
            <v>FIRE0029</v>
          </cell>
          <cell r="BF9" t="str">
            <v>FIRE0030</v>
          </cell>
          <cell r="BH9" t="str">
            <v>FIRE0045</v>
          </cell>
          <cell r="BJ9" t="str">
            <v>FIRE0046</v>
          </cell>
          <cell r="BL9" t="str">
            <v>FIRE0047</v>
          </cell>
          <cell r="BN9" t="str">
            <v>FIRE0188</v>
          </cell>
        </row>
        <row r="10">
          <cell r="AV10">
            <v>2</v>
          </cell>
          <cell r="AX10">
            <v>31</v>
          </cell>
          <cell r="AZ10">
            <v>45</v>
          </cell>
          <cell r="BB10">
            <v>36</v>
          </cell>
          <cell r="BD10">
            <v>6</v>
          </cell>
          <cell r="BF10">
            <v>130</v>
          </cell>
          <cell r="BH10">
            <v>64</v>
          </cell>
          <cell r="BJ10">
            <v>7</v>
          </cell>
          <cell r="BL10">
            <v>18</v>
          </cell>
          <cell r="BN10">
            <v>336</v>
          </cell>
        </row>
        <row r="11">
          <cell r="AV11">
            <v>3</v>
          </cell>
          <cell r="AX11">
            <v>38</v>
          </cell>
          <cell r="AZ11">
            <v>45</v>
          </cell>
          <cell r="BB11">
            <v>47</v>
          </cell>
          <cell r="BD11">
            <v>1</v>
          </cell>
          <cell r="BF11">
            <v>100</v>
          </cell>
          <cell r="BH11">
            <v>55</v>
          </cell>
          <cell r="BJ11">
            <v>4</v>
          </cell>
          <cell r="BL11">
            <v>16</v>
          </cell>
          <cell r="BN11">
            <v>465</v>
          </cell>
        </row>
        <row r="12">
          <cell r="AV12">
            <v>2</v>
          </cell>
          <cell r="AX12">
            <v>21</v>
          </cell>
          <cell r="AZ12">
            <v>32</v>
          </cell>
          <cell r="BB12">
            <v>23</v>
          </cell>
          <cell r="BD12">
            <v>4</v>
          </cell>
          <cell r="BF12">
            <v>68</v>
          </cell>
          <cell r="BH12">
            <v>48</v>
          </cell>
          <cell r="BJ12">
            <v>5</v>
          </cell>
          <cell r="BL12">
            <v>14</v>
          </cell>
          <cell r="BN12">
            <v>367</v>
          </cell>
        </row>
        <row r="13">
          <cell r="AV13">
            <v>13</v>
          </cell>
          <cell r="AX13">
            <v>29</v>
          </cell>
          <cell r="AZ13">
            <v>40</v>
          </cell>
          <cell r="BB13">
            <v>44</v>
          </cell>
          <cell r="BD13">
            <v>4</v>
          </cell>
          <cell r="BF13">
            <v>94</v>
          </cell>
          <cell r="BH13">
            <v>73</v>
          </cell>
          <cell r="BJ13">
            <v>6</v>
          </cell>
          <cell r="BL13">
            <v>13</v>
          </cell>
          <cell r="BN13">
            <v>643</v>
          </cell>
        </row>
        <row r="14">
          <cell r="AV14">
            <v>1</v>
          </cell>
          <cell r="AX14">
            <v>10</v>
          </cell>
          <cell r="AZ14">
            <v>13</v>
          </cell>
          <cell r="BB14">
            <v>17</v>
          </cell>
          <cell r="BD14">
            <v>18</v>
          </cell>
          <cell r="BF14">
            <v>50</v>
          </cell>
          <cell r="BH14">
            <v>16</v>
          </cell>
          <cell r="BJ14">
            <v>2</v>
          </cell>
          <cell r="BL14">
            <v>15</v>
          </cell>
          <cell r="BN14">
            <v>116</v>
          </cell>
        </row>
        <row r="15">
          <cell r="AV15">
            <v>0</v>
          </cell>
          <cell r="AX15">
            <v>38</v>
          </cell>
          <cell r="AZ15">
            <v>50</v>
          </cell>
          <cell r="BB15">
            <v>48</v>
          </cell>
          <cell r="BD15">
            <v>7</v>
          </cell>
          <cell r="BF15">
            <v>140</v>
          </cell>
          <cell r="BH15">
            <v>44</v>
          </cell>
          <cell r="BJ15">
            <v>5</v>
          </cell>
          <cell r="BL15">
            <v>8</v>
          </cell>
          <cell r="BN15">
            <v>338</v>
          </cell>
        </row>
        <row r="16">
          <cell r="AV16">
            <v>3</v>
          </cell>
          <cell r="AX16">
            <v>42</v>
          </cell>
          <cell r="AZ16">
            <v>53</v>
          </cell>
          <cell r="BB16">
            <v>44</v>
          </cell>
          <cell r="BD16">
            <v>7</v>
          </cell>
          <cell r="BF16">
            <v>109</v>
          </cell>
          <cell r="BH16">
            <v>62</v>
          </cell>
          <cell r="BJ16">
            <v>4</v>
          </cell>
          <cell r="BL16">
            <v>12</v>
          </cell>
          <cell r="BN16">
            <v>504</v>
          </cell>
        </row>
        <row r="17">
          <cell r="AV17">
            <v>1</v>
          </cell>
          <cell r="AX17">
            <v>15</v>
          </cell>
          <cell r="AZ17">
            <v>22</v>
          </cell>
          <cell r="BB17">
            <v>18</v>
          </cell>
          <cell r="BD17">
            <v>3</v>
          </cell>
          <cell r="BF17">
            <v>54</v>
          </cell>
          <cell r="BH17">
            <v>22</v>
          </cell>
          <cell r="BJ17">
            <v>3</v>
          </cell>
          <cell r="BL17">
            <v>13</v>
          </cell>
          <cell r="BN17">
            <v>336</v>
          </cell>
        </row>
        <row r="18">
          <cell r="AV18">
            <v>0</v>
          </cell>
          <cell r="AX18">
            <v>24</v>
          </cell>
          <cell r="AZ18">
            <v>34</v>
          </cell>
          <cell r="BB18">
            <v>32</v>
          </cell>
          <cell r="BD18">
            <v>2</v>
          </cell>
          <cell r="BF18">
            <v>73</v>
          </cell>
          <cell r="BH18">
            <v>72</v>
          </cell>
          <cell r="BJ18">
            <v>6</v>
          </cell>
          <cell r="BL18">
            <v>12</v>
          </cell>
          <cell r="BN18">
            <v>341</v>
          </cell>
        </row>
        <row r="19">
          <cell r="AV19">
            <v>29</v>
          </cell>
          <cell r="AX19">
            <v>35</v>
          </cell>
          <cell r="AZ19">
            <v>42</v>
          </cell>
          <cell r="BB19">
            <v>28</v>
          </cell>
          <cell r="BD19">
            <v>3</v>
          </cell>
          <cell r="BF19">
            <v>86</v>
          </cell>
          <cell r="BH19">
            <v>47</v>
          </cell>
          <cell r="BJ19">
            <v>4</v>
          </cell>
          <cell r="BL19">
            <v>10.7</v>
          </cell>
          <cell r="BN19">
            <v>375</v>
          </cell>
        </row>
        <row r="20">
          <cell r="AV20">
            <v>18</v>
          </cell>
          <cell r="AX20">
            <v>26</v>
          </cell>
          <cell r="AZ20">
            <v>30</v>
          </cell>
          <cell r="BB20">
            <v>39</v>
          </cell>
          <cell r="BD20">
            <v>6</v>
          </cell>
          <cell r="BF20">
            <v>116</v>
          </cell>
          <cell r="BH20">
            <v>73</v>
          </cell>
          <cell r="BJ20">
            <v>7</v>
          </cell>
          <cell r="BL20">
            <v>14</v>
          </cell>
          <cell r="BN20">
            <v>888</v>
          </cell>
        </row>
        <row r="21">
          <cell r="AV21">
            <v>5</v>
          </cell>
          <cell r="AX21">
            <v>17</v>
          </cell>
          <cell r="AZ21">
            <v>23</v>
          </cell>
          <cell r="BB21">
            <v>14</v>
          </cell>
          <cell r="BD21">
            <v>8</v>
          </cell>
          <cell r="BF21">
            <v>49</v>
          </cell>
          <cell r="BH21">
            <v>37</v>
          </cell>
          <cell r="BJ21">
            <v>4</v>
          </cell>
          <cell r="BL21">
            <v>6</v>
          </cell>
          <cell r="BN21">
            <v>355</v>
          </cell>
        </row>
        <row r="22">
          <cell r="AV22">
            <v>2</v>
          </cell>
          <cell r="AX22">
            <v>25</v>
          </cell>
          <cell r="AZ22">
            <v>37</v>
          </cell>
          <cell r="BB22">
            <v>35</v>
          </cell>
          <cell r="BD22">
            <v>9</v>
          </cell>
          <cell r="BF22">
            <v>94</v>
          </cell>
          <cell r="BH22">
            <v>101</v>
          </cell>
          <cell r="BJ22">
            <v>6</v>
          </cell>
          <cell r="BL22">
            <v>13</v>
          </cell>
          <cell r="BN22">
            <v>489</v>
          </cell>
        </row>
        <row r="23">
          <cell r="AV23">
            <v>0</v>
          </cell>
          <cell r="AX23">
            <v>5</v>
          </cell>
          <cell r="AZ23" t="str">
            <v>..</v>
          </cell>
          <cell r="BB23" t="str">
            <v>..</v>
          </cell>
          <cell r="BD23" t="str">
            <v>..</v>
          </cell>
          <cell r="BF23" t="str">
            <v>..</v>
          </cell>
          <cell r="BH23" t="str">
            <v>..</v>
          </cell>
          <cell r="BJ23" t="str">
            <v>..</v>
          </cell>
          <cell r="BL23" t="str">
            <v>..</v>
          </cell>
          <cell r="BN23">
            <v>5</v>
          </cell>
        </row>
        <row r="24">
          <cell r="AV24">
            <v>7</v>
          </cell>
          <cell r="AX24">
            <v>21</v>
          </cell>
          <cell r="AZ24">
            <v>34</v>
          </cell>
          <cell r="BB24">
            <v>0</v>
          </cell>
          <cell r="BD24">
            <v>11</v>
          </cell>
          <cell r="BF24">
            <v>72</v>
          </cell>
          <cell r="BH24">
            <v>72</v>
          </cell>
          <cell r="BJ24">
            <v>8</v>
          </cell>
          <cell r="BL24">
            <v>11</v>
          </cell>
          <cell r="BN24" t="str">
            <v>..</v>
          </cell>
        </row>
        <row r="25">
          <cell r="AV25">
            <v>3</v>
          </cell>
          <cell r="AX25">
            <v>14</v>
          </cell>
          <cell r="AZ25">
            <v>26</v>
          </cell>
          <cell r="BB25">
            <v>2</v>
          </cell>
          <cell r="BD25">
            <v>5</v>
          </cell>
          <cell r="BF25">
            <v>49</v>
          </cell>
          <cell r="BH25">
            <v>42</v>
          </cell>
          <cell r="BJ25">
            <v>4</v>
          </cell>
          <cell r="BL25">
            <v>13</v>
          </cell>
          <cell r="BN25">
            <v>356</v>
          </cell>
        </row>
        <row r="26">
          <cell r="AV26">
            <v>11</v>
          </cell>
          <cell r="AX26">
            <v>18</v>
          </cell>
          <cell r="AZ26">
            <v>20</v>
          </cell>
          <cell r="BB26">
            <v>7</v>
          </cell>
          <cell r="BD26">
            <v>3</v>
          </cell>
          <cell r="BF26">
            <v>42</v>
          </cell>
          <cell r="BH26">
            <v>62</v>
          </cell>
          <cell r="BJ26">
            <v>8</v>
          </cell>
          <cell r="BL26">
            <v>13.5</v>
          </cell>
          <cell r="BN26">
            <v>466</v>
          </cell>
        </row>
        <row r="27">
          <cell r="AV27">
            <v>6</v>
          </cell>
          <cell r="AX27">
            <v>20</v>
          </cell>
          <cell r="AZ27">
            <v>30</v>
          </cell>
          <cell r="BB27">
            <v>36</v>
          </cell>
          <cell r="BD27">
            <v>6</v>
          </cell>
          <cell r="BF27">
            <v>79</v>
          </cell>
          <cell r="BH27">
            <v>35</v>
          </cell>
          <cell r="BJ27">
            <v>3</v>
          </cell>
          <cell r="BL27">
            <v>13</v>
          </cell>
          <cell r="BN27">
            <v>432</v>
          </cell>
        </row>
        <row r="28">
          <cell r="AV28">
            <v>3</v>
          </cell>
          <cell r="AX28">
            <v>27</v>
          </cell>
          <cell r="AZ28">
            <v>36</v>
          </cell>
          <cell r="BB28">
            <v>42</v>
          </cell>
          <cell r="BD28">
            <v>3</v>
          </cell>
          <cell r="BF28">
            <v>86</v>
          </cell>
          <cell r="BH28">
            <v>0</v>
          </cell>
          <cell r="BJ28">
            <v>4</v>
          </cell>
          <cell r="BL28">
            <v>10</v>
          </cell>
          <cell r="BN28">
            <v>404</v>
          </cell>
        </row>
        <row r="29">
          <cell r="AV29">
            <v>6</v>
          </cell>
          <cell r="AX29">
            <v>27</v>
          </cell>
          <cell r="AZ29">
            <v>37</v>
          </cell>
          <cell r="BB29">
            <v>38</v>
          </cell>
          <cell r="BD29">
            <v>15</v>
          </cell>
          <cell r="BF29">
            <v>107</v>
          </cell>
          <cell r="BH29">
            <v>133</v>
          </cell>
          <cell r="BJ29">
            <v>5</v>
          </cell>
          <cell r="BL29">
            <v>20</v>
          </cell>
          <cell r="BN29">
            <v>805</v>
          </cell>
        </row>
        <row r="30">
          <cell r="AV30">
            <v>7</v>
          </cell>
          <cell r="AX30">
            <v>14</v>
          </cell>
          <cell r="AZ30">
            <v>23</v>
          </cell>
          <cell r="BB30">
            <v>27</v>
          </cell>
          <cell r="BD30">
            <v>5</v>
          </cell>
          <cell r="BF30">
            <v>63</v>
          </cell>
          <cell r="BH30">
            <v>36</v>
          </cell>
          <cell r="BJ30">
            <v>6</v>
          </cell>
          <cell r="BL30">
            <v>19</v>
          </cell>
          <cell r="BN30" t="str">
            <v>..</v>
          </cell>
        </row>
        <row r="31">
          <cell r="AV31">
            <v>4</v>
          </cell>
          <cell r="AX31">
            <v>31</v>
          </cell>
          <cell r="AZ31">
            <v>45</v>
          </cell>
          <cell r="BB31">
            <v>37</v>
          </cell>
          <cell r="BD31">
            <v>13</v>
          </cell>
          <cell r="BF31">
            <v>100</v>
          </cell>
          <cell r="BH31">
            <v>135</v>
          </cell>
          <cell r="BJ31">
            <v>4</v>
          </cell>
          <cell r="BL31">
            <v>7</v>
          </cell>
          <cell r="BN31">
            <v>712</v>
          </cell>
        </row>
        <row r="32">
          <cell r="AV32">
            <v>3</v>
          </cell>
          <cell r="AX32">
            <v>85</v>
          </cell>
          <cell r="AZ32">
            <v>128</v>
          </cell>
          <cell r="BB32">
            <v>84</v>
          </cell>
          <cell r="BD32">
            <v>14</v>
          </cell>
          <cell r="BF32">
            <v>281</v>
          </cell>
          <cell r="BH32">
            <v>243</v>
          </cell>
          <cell r="BJ32">
            <v>19</v>
          </cell>
          <cell r="BL32">
            <v>13</v>
          </cell>
          <cell r="BN32">
            <v>1134</v>
          </cell>
        </row>
        <row r="33">
          <cell r="AV33">
            <v>6</v>
          </cell>
          <cell r="AX33">
            <v>50</v>
          </cell>
          <cell r="AZ33">
            <v>88</v>
          </cell>
          <cell r="BB33">
            <v>54</v>
          </cell>
          <cell r="BD33">
            <v>7</v>
          </cell>
          <cell r="BF33">
            <v>202</v>
          </cell>
          <cell r="BH33">
            <v>168</v>
          </cell>
          <cell r="BJ33">
            <v>7</v>
          </cell>
          <cell r="BL33">
            <v>16</v>
          </cell>
          <cell r="BN33">
            <v>833</v>
          </cell>
        </row>
        <row r="34">
          <cell r="AV34">
            <v>2</v>
          </cell>
          <cell r="AX34">
            <v>15</v>
          </cell>
          <cell r="AZ34">
            <v>29</v>
          </cell>
          <cell r="BB34">
            <v>38</v>
          </cell>
          <cell r="BD34">
            <v>4</v>
          </cell>
          <cell r="BF34">
            <v>82</v>
          </cell>
          <cell r="BH34">
            <v>38</v>
          </cell>
          <cell r="BJ34">
            <v>5</v>
          </cell>
          <cell r="BL34">
            <v>12</v>
          </cell>
          <cell r="BN34">
            <v>577</v>
          </cell>
        </row>
        <row r="35">
          <cell r="AV35">
            <v>6</v>
          </cell>
          <cell r="AX35">
            <v>24</v>
          </cell>
          <cell r="AZ35">
            <v>46</v>
          </cell>
          <cell r="BB35">
            <v>45</v>
          </cell>
          <cell r="BD35">
            <v>6</v>
          </cell>
          <cell r="BF35">
            <v>102</v>
          </cell>
          <cell r="BH35">
            <v>73</v>
          </cell>
          <cell r="BJ35" t="str">
            <v>..</v>
          </cell>
          <cell r="BL35" t="str">
            <v>..</v>
          </cell>
          <cell r="BN35">
            <v>595</v>
          </cell>
        </row>
        <row r="36">
          <cell r="AV36">
            <v>13</v>
          </cell>
          <cell r="AX36">
            <v>50</v>
          </cell>
          <cell r="AZ36">
            <v>70</v>
          </cell>
          <cell r="BB36">
            <v>21</v>
          </cell>
          <cell r="BD36">
            <v>15</v>
          </cell>
          <cell r="BF36">
            <v>127</v>
          </cell>
          <cell r="BH36">
            <v>143</v>
          </cell>
          <cell r="BJ36">
            <v>16</v>
          </cell>
          <cell r="BL36">
            <v>13</v>
          </cell>
          <cell r="BN36">
            <v>1257</v>
          </cell>
        </row>
        <row r="37">
          <cell r="AV37" t="str">
            <v>..</v>
          </cell>
          <cell r="AX37" t="str">
            <v>..</v>
          </cell>
          <cell r="AZ37" t="str">
            <v>..</v>
          </cell>
          <cell r="BB37" t="str">
            <v>..</v>
          </cell>
          <cell r="BD37" t="str">
            <v>..</v>
          </cell>
          <cell r="BF37" t="str">
            <v>..</v>
          </cell>
          <cell r="BH37" t="str">
            <v>..</v>
          </cell>
          <cell r="BJ37" t="str">
            <v>..</v>
          </cell>
          <cell r="BL37" t="str">
            <v>..</v>
          </cell>
          <cell r="BN37" t="str">
            <v>..</v>
          </cell>
        </row>
        <row r="38">
          <cell r="AV38" t="str">
            <v>..</v>
          </cell>
          <cell r="AX38" t="str">
            <v>..</v>
          </cell>
          <cell r="AZ38" t="str">
            <v>..</v>
          </cell>
          <cell r="BB38" t="str">
            <v>..</v>
          </cell>
          <cell r="BD38" t="str">
            <v>..</v>
          </cell>
          <cell r="BF38" t="str">
            <v>..</v>
          </cell>
          <cell r="BH38" t="str">
            <v>..</v>
          </cell>
          <cell r="BJ38" t="str">
            <v>..</v>
          </cell>
          <cell r="BL38" t="str">
            <v>..</v>
          </cell>
          <cell r="BN38" t="str">
            <v>..</v>
          </cell>
        </row>
        <row r="39">
          <cell r="AV39" t="str">
            <v>..</v>
          </cell>
          <cell r="AX39" t="str">
            <v>..</v>
          </cell>
          <cell r="AZ39" t="str">
            <v>..</v>
          </cell>
          <cell r="BB39" t="str">
            <v>..</v>
          </cell>
          <cell r="BD39" t="str">
            <v>..</v>
          </cell>
          <cell r="BF39" t="str">
            <v>..</v>
          </cell>
          <cell r="BH39" t="str">
            <v>..</v>
          </cell>
          <cell r="BJ39" t="str">
            <v>..</v>
          </cell>
          <cell r="BL39" t="str">
            <v>..</v>
          </cell>
          <cell r="BN39" t="str">
            <v>..</v>
          </cell>
        </row>
        <row r="40">
          <cell r="AV40">
            <v>34</v>
          </cell>
          <cell r="AX40">
            <v>57</v>
          </cell>
          <cell r="AZ40">
            <v>84</v>
          </cell>
          <cell r="BB40">
            <v>83</v>
          </cell>
          <cell r="BD40">
            <v>14</v>
          </cell>
          <cell r="BF40">
            <v>210</v>
          </cell>
          <cell r="BH40">
            <v>180</v>
          </cell>
          <cell r="BJ40">
            <v>15</v>
          </cell>
          <cell r="BL40">
            <v>13</v>
          </cell>
          <cell r="BN40">
            <v>1139</v>
          </cell>
        </row>
        <row r="41">
          <cell r="AV41">
            <v>9</v>
          </cell>
          <cell r="AX41">
            <v>39</v>
          </cell>
          <cell r="AZ41">
            <v>59</v>
          </cell>
          <cell r="BB41">
            <v>32</v>
          </cell>
          <cell r="BD41">
            <v>12</v>
          </cell>
          <cell r="BF41">
            <v>126</v>
          </cell>
          <cell r="BH41">
            <v>91</v>
          </cell>
          <cell r="BJ41">
            <v>7</v>
          </cell>
          <cell r="BL41">
            <v>11</v>
          </cell>
          <cell r="BN41">
            <v>1265</v>
          </cell>
        </row>
        <row r="42">
          <cell r="AV42">
            <v>6</v>
          </cell>
          <cell r="AX42">
            <v>20</v>
          </cell>
          <cell r="AZ42">
            <v>34</v>
          </cell>
          <cell r="BB42">
            <v>37</v>
          </cell>
          <cell r="BD42">
            <v>10</v>
          </cell>
          <cell r="BF42">
            <v>99</v>
          </cell>
          <cell r="BH42">
            <v>64</v>
          </cell>
          <cell r="BJ42">
            <v>3</v>
          </cell>
          <cell r="BL42" t="str">
            <v>..</v>
          </cell>
          <cell r="BN42">
            <v>620</v>
          </cell>
        </row>
        <row r="43">
          <cell r="AV43">
            <v>5</v>
          </cell>
          <cell r="AX43">
            <v>36</v>
          </cell>
          <cell r="AZ43">
            <v>48</v>
          </cell>
          <cell r="BB43">
            <v>50</v>
          </cell>
          <cell r="BD43">
            <v>13</v>
          </cell>
          <cell r="BF43">
            <v>120</v>
          </cell>
          <cell r="BH43">
            <v>69</v>
          </cell>
          <cell r="BJ43">
            <v>4</v>
          </cell>
          <cell r="BL43">
            <v>9</v>
          </cell>
          <cell r="BN43">
            <v>557</v>
          </cell>
        </row>
        <row r="44">
          <cell r="AV44">
            <v>3</v>
          </cell>
          <cell r="AX44">
            <v>22</v>
          </cell>
          <cell r="AZ44">
            <v>26</v>
          </cell>
          <cell r="BB44">
            <v>36</v>
          </cell>
          <cell r="BD44">
            <v>6</v>
          </cell>
          <cell r="BF44">
            <v>96</v>
          </cell>
          <cell r="BH44">
            <v>50</v>
          </cell>
          <cell r="BJ44">
            <v>4</v>
          </cell>
          <cell r="BL44">
            <v>15</v>
          </cell>
          <cell r="BN44">
            <v>391</v>
          </cell>
        </row>
        <row r="45">
          <cell r="AV45" t="str">
            <v>..</v>
          </cell>
          <cell r="AX45" t="str">
            <v>..</v>
          </cell>
          <cell r="AZ45">
            <v>32</v>
          </cell>
          <cell r="BB45">
            <v>3</v>
          </cell>
          <cell r="BD45">
            <v>4</v>
          </cell>
          <cell r="BF45">
            <v>46</v>
          </cell>
          <cell r="BH45">
            <v>84</v>
          </cell>
          <cell r="BJ45">
            <v>10</v>
          </cell>
          <cell r="BL45">
            <v>7</v>
          </cell>
          <cell r="BN45" t="str">
            <v>..</v>
          </cell>
        </row>
        <row r="46">
          <cell r="AV46">
            <v>1</v>
          </cell>
          <cell r="AX46">
            <v>23</v>
          </cell>
          <cell r="AZ46">
            <v>28</v>
          </cell>
          <cell r="BB46">
            <v>26</v>
          </cell>
          <cell r="BD46">
            <v>4</v>
          </cell>
          <cell r="BF46">
            <v>73</v>
          </cell>
          <cell r="BH46">
            <v>53</v>
          </cell>
          <cell r="BJ46">
            <v>7</v>
          </cell>
          <cell r="BL46">
            <v>13</v>
          </cell>
          <cell r="BN46">
            <v>312</v>
          </cell>
        </row>
        <row r="47">
          <cell r="AV47">
            <v>23</v>
          </cell>
          <cell r="AX47">
            <v>33</v>
          </cell>
          <cell r="AZ47">
            <v>42</v>
          </cell>
          <cell r="BB47">
            <v>52</v>
          </cell>
          <cell r="BD47">
            <v>7</v>
          </cell>
          <cell r="BF47">
            <v>113</v>
          </cell>
          <cell r="BH47">
            <v>61</v>
          </cell>
          <cell r="BJ47">
            <v>8</v>
          </cell>
          <cell r="BL47">
            <v>12</v>
          </cell>
          <cell r="BN47">
            <v>699</v>
          </cell>
        </row>
        <row r="48">
          <cell r="AV48">
            <v>35</v>
          </cell>
          <cell r="AX48">
            <v>41</v>
          </cell>
          <cell r="AZ48">
            <v>65</v>
          </cell>
          <cell r="BB48">
            <v>0</v>
          </cell>
          <cell r="BD48">
            <v>14</v>
          </cell>
          <cell r="BF48">
            <v>83</v>
          </cell>
          <cell r="BH48">
            <v>143</v>
          </cell>
          <cell r="BJ48">
            <v>13</v>
          </cell>
          <cell r="BL48">
            <v>15</v>
          </cell>
          <cell r="BN48">
            <v>2705</v>
          </cell>
        </row>
        <row r="49">
          <cell r="AV49">
            <v>8</v>
          </cell>
          <cell r="AX49">
            <v>23</v>
          </cell>
          <cell r="AZ49">
            <v>31</v>
          </cell>
          <cell r="BB49">
            <v>44</v>
          </cell>
          <cell r="BD49">
            <v>18</v>
          </cell>
          <cell r="BF49">
            <v>103</v>
          </cell>
          <cell r="BH49">
            <v>107</v>
          </cell>
          <cell r="BJ49">
            <v>10</v>
          </cell>
          <cell r="BL49">
            <v>12</v>
          </cell>
          <cell r="BN49">
            <v>1912</v>
          </cell>
        </row>
        <row r="50">
          <cell r="AV50">
            <v>14</v>
          </cell>
          <cell r="AX50">
            <v>21</v>
          </cell>
          <cell r="AZ50">
            <v>27</v>
          </cell>
          <cell r="BB50">
            <v>27</v>
          </cell>
          <cell r="BD50">
            <v>5</v>
          </cell>
          <cell r="BF50">
            <v>64</v>
          </cell>
          <cell r="BH50">
            <v>165</v>
          </cell>
          <cell r="BJ50">
            <v>4</v>
          </cell>
          <cell r="BL50">
            <v>10</v>
          </cell>
          <cell r="BN50">
            <v>1271</v>
          </cell>
        </row>
        <row r="51">
          <cell r="AV51">
            <v>16</v>
          </cell>
          <cell r="AX51">
            <v>17</v>
          </cell>
          <cell r="AZ51">
            <v>30</v>
          </cell>
          <cell r="BB51">
            <v>3</v>
          </cell>
          <cell r="BD51">
            <v>10</v>
          </cell>
          <cell r="BF51">
            <v>53</v>
          </cell>
          <cell r="BH51">
            <v>105</v>
          </cell>
          <cell r="BJ51">
            <v>6</v>
          </cell>
          <cell r="BL51">
            <v>13</v>
          </cell>
          <cell r="BN51">
            <v>1363</v>
          </cell>
        </row>
        <row r="52">
          <cell r="AV52">
            <v>38</v>
          </cell>
          <cell r="AX52">
            <v>38</v>
          </cell>
          <cell r="AZ52">
            <v>45</v>
          </cell>
          <cell r="BB52">
            <v>0</v>
          </cell>
          <cell r="BD52">
            <v>11</v>
          </cell>
          <cell r="BF52">
            <v>79</v>
          </cell>
          <cell r="BH52">
            <v>104</v>
          </cell>
          <cell r="BJ52">
            <v>16</v>
          </cell>
          <cell r="BL52">
            <v>12</v>
          </cell>
          <cell r="BN52">
            <v>2511</v>
          </cell>
        </row>
        <row r="53">
          <cell r="AV53">
            <v>27</v>
          </cell>
          <cell r="AX53">
            <v>42</v>
          </cell>
          <cell r="AZ53">
            <v>65</v>
          </cell>
          <cell r="BB53">
            <v>12</v>
          </cell>
          <cell r="BD53">
            <v>17</v>
          </cell>
          <cell r="BF53">
            <v>102</v>
          </cell>
          <cell r="BH53">
            <v>298</v>
          </cell>
          <cell r="BJ53">
            <v>9</v>
          </cell>
          <cell r="BL53">
            <v>10</v>
          </cell>
          <cell r="BN53">
            <v>2334</v>
          </cell>
        </row>
        <row r="54">
          <cell r="AV54">
            <v>103</v>
          </cell>
          <cell r="AX54">
            <v>103</v>
          </cell>
          <cell r="AZ54">
            <v>142</v>
          </cell>
          <cell r="BB54">
            <v>72</v>
          </cell>
          <cell r="BD54">
            <v>44</v>
          </cell>
          <cell r="BF54">
            <v>320</v>
          </cell>
          <cell r="BH54">
            <v>39</v>
          </cell>
          <cell r="BJ54">
            <v>45</v>
          </cell>
          <cell r="BL54">
            <v>14</v>
          </cell>
          <cell r="BN54">
            <v>7377</v>
          </cell>
        </row>
        <row r="55">
          <cell r="AV55">
            <v>7</v>
          </cell>
          <cell r="AX55">
            <v>58</v>
          </cell>
          <cell r="AZ55">
            <v>64</v>
          </cell>
          <cell r="BB55">
            <v>26</v>
          </cell>
          <cell r="BD55">
            <v>16</v>
          </cell>
          <cell r="BF55">
            <v>141</v>
          </cell>
          <cell r="BH55">
            <v>174</v>
          </cell>
          <cell r="BJ55">
            <v>14</v>
          </cell>
          <cell r="BL55">
            <v>17</v>
          </cell>
          <cell r="BN55">
            <v>706</v>
          </cell>
        </row>
        <row r="56">
          <cell r="AV56">
            <v>0</v>
          </cell>
          <cell r="AX56">
            <v>44</v>
          </cell>
          <cell r="AZ56">
            <v>54</v>
          </cell>
          <cell r="BB56">
            <v>8</v>
          </cell>
          <cell r="BD56">
            <v>4</v>
          </cell>
          <cell r="BF56">
            <v>104</v>
          </cell>
          <cell r="BH56">
            <v>123</v>
          </cell>
          <cell r="BJ56">
            <v>12</v>
          </cell>
          <cell r="BL56">
            <v>12</v>
          </cell>
          <cell r="BN56">
            <v>380</v>
          </cell>
        </row>
        <row r="57">
          <cell r="AV57">
            <v>11</v>
          </cell>
          <cell r="AX57">
            <v>47</v>
          </cell>
          <cell r="AZ57">
            <v>64</v>
          </cell>
          <cell r="BB57">
            <v>159</v>
          </cell>
          <cell r="BD57">
            <v>13</v>
          </cell>
          <cell r="BF57">
            <v>303</v>
          </cell>
          <cell r="BH57">
            <v>82</v>
          </cell>
          <cell r="BJ57">
            <v>11</v>
          </cell>
          <cell r="BL57">
            <v>15</v>
          </cell>
          <cell r="BN57">
            <v>1262</v>
          </cell>
        </row>
        <row r="58">
          <cell r="AV58" t="str">
            <v>..</v>
          </cell>
          <cell r="AX58" t="str">
            <v>..</v>
          </cell>
          <cell r="AZ58" t="str">
            <v>..</v>
          </cell>
          <cell r="BB58" t="str">
            <v>..</v>
          </cell>
          <cell r="BD58" t="str">
            <v>..</v>
          </cell>
          <cell r="BF58" t="str">
            <v>..</v>
          </cell>
          <cell r="BH58" t="str">
            <v>..</v>
          </cell>
          <cell r="BJ58" t="str">
            <v>..</v>
          </cell>
          <cell r="BL58" t="str">
            <v>..</v>
          </cell>
          <cell r="BN58" t="str">
            <v>..</v>
          </cell>
        </row>
        <row r="59">
          <cell r="AV59">
            <v>8</v>
          </cell>
          <cell r="AX59">
            <v>68</v>
          </cell>
          <cell r="AZ59">
            <v>112</v>
          </cell>
          <cell r="BB59">
            <v>96</v>
          </cell>
          <cell r="BD59">
            <v>9</v>
          </cell>
          <cell r="BF59">
            <v>256</v>
          </cell>
          <cell r="BH59">
            <v>93</v>
          </cell>
          <cell r="BJ59">
            <v>15</v>
          </cell>
          <cell r="BL59">
            <v>11</v>
          </cell>
          <cell r="BN59">
            <v>1174</v>
          </cell>
        </row>
      </sheetData>
      <sheetData sheetId="12">
        <row r="5">
          <cell r="DY5" t="str">
            <v>0 for all county fire</v>
          </cell>
        </row>
        <row r="7">
          <cell r="E7" t="str">
            <v>FIRE0205</v>
          </cell>
          <cell r="F7" t="str">
            <v>FIRE0005</v>
          </cell>
          <cell r="G7" t="str">
            <v>FIRE0206</v>
          </cell>
          <cell r="H7" t="str">
            <v>FIRE0006</v>
          </cell>
          <cell r="I7" t="str">
            <v>FIRE0007</v>
          </cell>
          <cell r="J7" t="str">
            <v>FIRE0239</v>
          </cell>
          <cell r="K7" t="str">
            <v>FIRE0207</v>
          </cell>
          <cell r="L7" t="str">
            <v>FIRE0012</v>
          </cell>
          <cell r="M7" t="str">
            <v>FIRE0208</v>
          </cell>
          <cell r="N7" t="str">
            <v>FIRE0013</v>
          </cell>
          <cell r="O7" t="str">
            <v>FIRE0014</v>
          </cell>
          <cell r="P7" t="str">
            <v>FIRE0235</v>
          </cell>
          <cell r="S7" t="str">
            <v>FIRE0209</v>
          </cell>
          <cell r="T7" t="str">
            <v>FIRE0252</v>
          </cell>
          <cell r="U7" t="str">
            <v>FIRE0029</v>
          </cell>
          <cell r="W7" t="str">
            <v>FIRE0045</v>
          </cell>
          <cell r="X7" t="str">
            <v>FIRE0046</v>
          </cell>
          <cell r="Y7" t="str">
            <v>FIRE0047</v>
          </cell>
          <cell r="Z7" t="str">
            <v>FIRE0058</v>
          </cell>
          <cell r="AA7" t="str">
            <v>FIRE0063</v>
          </cell>
          <cell r="AB7" t="str">
            <v>FIRE0066</v>
          </cell>
          <cell r="AC7" t="str">
            <v>FIRE0067</v>
          </cell>
          <cell r="AD7" t="str">
            <v>FIRE0068</v>
          </cell>
          <cell r="AE7" t="str">
            <v>FIRE0069</v>
          </cell>
          <cell r="AF7" t="str">
            <v>FIRE0070</v>
          </cell>
          <cell r="AG7" t="str">
            <v>FIRE0071</v>
          </cell>
          <cell r="AI7" t="str">
            <v>FIRE0072</v>
          </cell>
          <cell r="AJ7" t="str">
            <v>FIRE0064</v>
          </cell>
          <cell r="AK7" t="str">
            <v>FIRE0073</v>
          </cell>
          <cell r="AL7" t="str">
            <v>FIRE0074</v>
          </cell>
          <cell r="AM7" t="str">
            <v>FIRE0075</v>
          </cell>
          <cell r="AN7" t="str">
            <v>FIRE0076</v>
          </cell>
          <cell r="AO7" t="str">
            <v>FIRE0077</v>
          </cell>
          <cell r="AP7" t="str">
            <v>FIRE0078</v>
          </cell>
          <cell r="AQ7" t="str">
            <v>FIRE0065</v>
          </cell>
          <cell r="AR7" t="str">
            <v>FIRE0079</v>
          </cell>
          <cell r="AU7" t="str">
            <v>FIRE0097</v>
          </cell>
          <cell r="AV7" t="str">
            <v>FIRE0103</v>
          </cell>
          <cell r="AW7" t="str">
            <v>FIRE0104</v>
          </cell>
          <cell r="AX7" t="str">
            <v>FIRE0105</v>
          </cell>
          <cell r="AY7" t="str">
            <v>FIRE0106</v>
          </cell>
          <cell r="AZ7" t="str">
            <v>FIRE0107</v>
          </cell>
          <cell r="BA7" t="str">
            <v>FIRE0108</v>
          </cell>
          <cell r="BB7" t="str">
            <v>FIRE0109</v>
          </cell>
          <cell r="BC7" t="str">
            <v>FIRE0111</v>
          </cell>
          <cell r="BD7" t="str">
            <v>FIRE0240</v>
          </cell>
          <cell r="BE7" t="str">
            <v>FIRE0255</v>
          </cell>
          <cell r="BF7" t="str">
            <v>FIRE0112</v>
          </cell>
          <cell r="BG7" t="str">
            <v>FIRE0113</v>
          </cell>
          <cell r="BH7" t="str">
            <v>FIRE0114</v>
          </cell>
          <cell r="BI7" t="str">
            <v>FIRE0241</v>
          </cell>
          <cell r="BJ7" t="str">
            <v>FIRE0256</v>
          </cell>
          <cell r="BK7" t="str">
            <v>FIRE0115</v>
          </cell>
          <cell r="BL7" t="str">
            <v>FIRE0116</v>
          </cell>
          <cell r="BM7" t="str">
            <v>FIRE0117</v>
          </cell>
          <cell r="BN7" t="str">
            <v>FIRE0118</v>
          </cell>
          <cell r="BO7" t="str">
            <v>FIRE0119</v>
          </cell>
          <cell r="CH7" t="str">
            <v>FIRE0155</v>
          </cell>
          <cell r="CI7" t="str">
            <v>FIRE0156</v>
          </cell>
          <cell r="CJ7" t="str">
            <v>FIRE0157</v>
          </cell>
          <cell r="CK7" t="str">
            <v>FIRE0158</v>
          </cell>
          <cell r="CL7" t="str">
            <v>FIRE0159</v>
          </cell>
          <cell r="CM7" t="str">
            <v>FIRE0272</v>
          </cell>
          <cell r="CN7" t="str">
            <v>FIRE0257</v>
          </cell>
          <cell r="CO7" t="str">
            <v>FIRE0258</v>
          </cell>
          <cell r="CP7" t="str">
            <v>FIRE0259</v>
          </cell>
          <cell r="CQ7" t="str">
            <v>FIRE0211</v>
          </cell>
          <cell r="CR7" t="str">
            <v>FIRE0212</v>
          </cell>
          <cell r="CS7" t="str">
            <v>FIRE0213</v>
          </cell>
          <cell r="CT7" t="str">
            <v>FIRE0214</v>
          </cell>
          <cell r="CU7" t="str">
            <v>FIRE0215</v>
          </cell>
          <cell r="CV7" t="str">
            <v>FIRE0160</v>
          </cell>
          <cell r="CW7" t="str">
            <v>FIRE0161</v>
          </cell>
          <cell r="CX7" t="str">
            <v>FIRE0162</v>
          </cell>
          <cell r="CY7" t="str">
            <v>FIRE0163</v>
          </cell>
          <cell r="CZ7" t="str">
            <v>FIRE0164</v>
          </cell>
          <cell r="DA7" t="str">
            <v>FIRE0165</v>
          </cell>
          <cell r="DB7" t="str">
            <v>FIRE0260</v>
          </cell>
          <cell r="DY7" t="str">
            <v>FIRE0230</v>
          </cell>
          <cell r="DZ7" t="str">
            <v>FIRE0231</v>
          </cell>
          <cell r="EA7" t="str">
            <v>FIRE0233</v>
          </cell>
          <cell r="ED7" t="str">
            <v>FIRE0190</v>
          </cell>
          <cell r="EG7" t="str">
            <v>FIRE0193</v>
          </cell>
          <cell r="EK7" t="str">
            <v>FIRE0234</v>
          </cell>
          <cell r="EL7" t="str">
            <v>FIRE0268</v>
          </cell>
          <cell r="EM7" t="str">
            <v>FIRE0269</v>
          </cell>
          <cell r="EN7" t="str">
            <v>FIRE0195</v>
          </cell>
          <cell r="EO7" t="str">
            <v>FIRE0196</v>
          </cell>
          <cell r="ER7" t="str">
            <v>FIRE0199</v>
          </cell>
        </row>
        <row r="8">
          <cell r="E8" t="str">
            <v>[1]</v>
          </cell>
          <cell r="F8" t="str">
            <v>[2]</v>
          </cell>
          <cell r="G8" t="str">
            <v>[3]</v>
          </cell>
          <cell r="H8" t="str">
            <v>[4]</v>
          </cell>
          <cell r="I8" t="str">
            <v>[5]</v>
          </cell>
          <cell r="J8" t="str">
            <v>[6]</v>
          </cell>
          <cell r="K8" t="str">
            <v>[7]</v>
          </cell>
          <cell r="L8" t="str">
            <v>[8]</v>
          </cell>
          <cell r="M8" t="str">
            <v>[9]</v>
          </cell>
          <cell r="N8" t="str">
            <v>[10]</v>
          </cell>
          <cell r="O8" t="str">
            <v>[11]</v>
          </cell>
          <cell r="P8" t="str">
            <v>[12]</v>
          </cell>
          <cell r="S8" t="str">
            <v>[15]</v>
          </cell>
          <cell r="T8" t="str">
            <v>[16]</v>
          </cell>
          <cell r="U8" t="str">
            <v>[17]</v>
          </cell>
          <cell r="W8" t="str">
            <v>[19]</v>
          </cell>
          <cell r="X8" t="str">
            <v>[20]</v>
          </cell>
          <cell r="Y8" t="str">
            <v>[21]</v>
          </cell>
          <cell r="Z8" t="str">
            <v>[22]</v>
          </cell>
          <cell r="AA8" t="str">
            <v>[23]</v>
          </cell>
          <cell r="AB8" t="str">
            <v>[26]</v>
          </cell>
          <cell r="AC8" t="str">
            <v>[27]</v>
          </cell>
          <cell r="AD8" t="str">
            <v>[28]</v>
          </cell>
          <cell r="AE8" t="str">
            <v>[29]</v>
          </cell>
          <cell r="AF8" t="str">
            <v>[30]</v>
          </cell>
          <cell r="AG8" t="str">
            <v>[31]</v>
          </cell>
          <cell r="AI8" t="str">
            <v>[33]</v>
          </cell>
          <cell r="AJ8" t="str">
            <v>[24]</v>
          </cell>
          <cell r="AK8" t="str">
            <v>[34]</v>
          </cell>
          <cell r="AL8" t="str">
            <v>[35]</v>
          </cell>
          <cell r="AM8" t="str">
            <v>[36]</v>
          </cell>
          <cell r="AN8" t="str">
            <v>[37]</v>
          </cell>
          <cell r="AO8" t="str">
            <v>[38]</v>
          </cell>
          <cell r="AP8" t="str">
            <v>[39]</v>
          </cell>
          <cell r="AQ8" t="str">
            <v>[25]</v>
          </cell>
          <cell r="AR8" t="str">
            <v>[40]</v>
          </cell>
          <cell r="AU8" t="str">
            <v>[43]</v>
          </cell>
          <cell r="AV8" t="str">
            <v>[44]</v>
          </cell>
          <cell r="AW8" t="str">
            <v>[45]</v>
          </cell>
          <cell r="AX8" t="str">
            <v>[46]</v>
          </cell>
          <cell r="AY8" t="str">
            <v>[47]</v>
          </cell>
          <cell r="AZ8" t="str">
            <v>[48]</v>
          </cell>
          <cell r="BA8" t="str">
            <v>[49]</v>
          </cell>
          <cell r="BB8" t="str">
            <v>[50]</v>
          </cell>
          <cell r="BC8" t="str">
            <v>[51]</v>
          </cell>
          <cell r="BD8" t="str">
            <v>[52]</v>
          </cell>
          <cell r="BE8" t="str">
            <v>[53]</v>
          </cell>
          <cell r="BF8" t="str">
            <v>[54]</v>
          </cell>
          <cell r="BG8" t="str">
            <v>[55]</v>
          </cell>
          <cell r="BH8" t="str">
            <v>[56]</v>
          </cell>
          <cell r="BI8" t="str">
            <v>[57]</v>
          </cell>
          <cell r="BJ8" t="str">
            <v>[58]</v>
          </cell>
          <cell r="BK8" t="str">
            <v>[59]</v>
          </cell>
          <cell r="BL8" t="str">
            <v>[60]</v>
          </cell>
          <cell r="BM8" t="str">
            <v>[61]</v>
          </cell>
          <cell r="BN8" t="str">
            <v>[62]</v>
          </cell>
          <cell r="BO8" t="str">
            <v>[63]</v>
          </cell>
          <cell r="CH8" t="str">
            <v>[82]</v>
          </cell>
          <cell r="CI8" t="str">
            <v>[83]</v>
          </cell>
          <cell r="CJ8" t="str">
            <v>[84]</v>
          </cell>
          <cell r="CK8" t="str">
            <v>[85]</v>
          </cell>
          <cell r="CL8" t="str">
            <v>[86]</v>
          </cell>
          <cell r="CM8" t="str">
            <v>[87]</v>
          </cell>
          <cell r="CN8" t="str">
            <v>[88]</v>
          </cell>
          <cell r="CO8" t="str">
            <v>[89]</v>
          </cell>
          <cell r="CP8" t="str">
            <v>[90]</v>
          </cell>
          <cell r="CQ8" t="str">
            <v>[91]</v>
          </cell>
          <cell r="CR8" t="str">
            <v>[92]</v>
          </cell>
          <cell r="CS8" t="str">
            <v>[93]</v>
          </cell>
          <cell r="CT8" t="str">
            <v>[94]</v>
          </cell>
          <cell r="CU8" t="str">
            <v>[95]</v>
          </cell>
          <cell r="CV8" t="str">
            <v>[96]</v>
          </cell>
          <cell r="CW8" t="str">
            <v>[97]</v>
          </cell>
          <cell r="CX8" t="str">
            <v>[98]</v>
          </cell>
          <cell r="CY8" t="str">
            <v>[99]</v>
          </cell>
          <cell r="CZ8" t="str">
            <v>[100]</v>
          </cell>
          <cell r="DA8" t="str">
            <v>[101]</v>
          </cell>
          <cell r="DB8" t="str">
            <v>[102]</v>
          </cell>
          <cell r="DY8" t="str">
            <v>[125]</v>
          </cell>
          <cell r="DZ8" t="str">
            <v>[126]</v>
          </cell>
          <cell r="EA8" t="str">
            <v>[127]</v>
          </cell>
          <cell r="ED8" t="str">
            <v>[130]</v>
          </cell>
          <cell r="EG8" t="str">
            <v>[133]</v>
          </cell>
          <cell r="EK8" t="str">
            <v>[137]</v>
          </cell>
          <cell r="EL8" t="str">
            <v>[138]</v>
          </cell>
          <cell r="EM8" t="str">
            <v>[139]</v>
          </cell>
          <cell r="EN8" t="str">
            <v>[140]</v>
          </cell>
          <cell r="EO8" t="str">
            <v>[141]</v>
          </cell>
          <cell r="ER8" t="str">
            <v>[144]</v>
          </cell>
          <cell r="EW8" t="str">
            <v>[148]</v>
          </cell>
          <cell r="EX8" t="str">
            <v>[149]</v>
          </cell>
          <cell r="EY8" t="str">
            <v>[150]</v>
          </cell>
          <cell r="EZ8" t="str">
            <v>[151]</v>
          </cell>
          <cell r="FA8" t="str">
            <v>[152]</v>
          </cell>
          <cell r="FB8" t="str">
            <v>[153]</v>
          </cell>
          <cell r="FC8" t="str">
            <v>[154]</v>
          </cell>
          <cell r="FD8" t="str">
            <v>[155]</v>
          </cell>
          <cell r="FE8" t="str">
            <v>[156]</v>
          </cell>
          <cell r="FF8" t="str">
            <v>[157]</v>
          </cell>
          <cell r="FG8" t="str">
            <v>[158]</v>
          </cell>
          <cell r="FH8" t="str">
            <v>[159]</v>
          </cell>
          <cell r="FI8" t="str">
            <v>[160]</v>
          </cell>
          <cell r="FJ8" t="str">
            <v>[161]</v>
          </cell>
          <cell r="FM8" t="str">
            <v>[164]</v>
          </cell>
          <cell r="FN8" t="str">
            <v>[165]</v>
          </cell>
          <cell r="FO8" t="str">
            <v>[166]</v>
          </cell>
          <cell r="FP8" t="str">
            <v>[167]</v>
          </cell>
          <cell r="FQ8" t="str">
            <v>[168]</v>
          </cell>
          <cell r="FR8" t="str">
            <v>[169]</v>
          </cell>
          <cell r="FS8" t="str">
            <v>[170]</v>
          </cell>
          <cell r="FT8" t="str">
            <v>[171]</v>
          </cell>
          <cell r="FU8" t="str">
            <v>[172]</v>
          </cell>
          <cell r="FX8" t="str">
            <v>[175]</v>
          </cell>
          <cell r="FY8" t="str">
            <v>[176]</v>
          </cell>
          <cell r="FZ8" t="str">
            <v>[177]</v>
          </cell>
        </row>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FIRE0064</v>
          </cell>
          <cell r="AC9" t="str">
            <v>FIRE0065</v>
          </cell>
          <cell r="AD9" t="str">
            <v>FIRE0066</v>
          </cell>
          <cell r="AE9" t="str">
            <v>FIRE0067</v>
          </cell>
          <cell r="AF9" t="str">
            <v>FIRE0068</v>
          </cell>
          <cell r="AG9" t="str">
            <v>FIRE0069</v>
          </cell>
          <cell r="AH9" t="str">
            <v>FIRE0070</v>
          </cell>
          <cell r="AI9" t="str">
            <v>FIRE0071</v>
          </cell>
          <cell r="AJ9" t="str">
            <v>FIRE0058</v>
          </cell>
          <cell r="AK9" t="str">
            <v>FIRE0274</v>
          </cell>
          <cell r="AL9" t="str">
            <v>FIRE0072</v>
          </cell>
          <cell r="AM9" t="str">
            <v>FIRE0073</v>
          </cell>
          <cell r="AN9" t="str">
            <v>FIRE0074</v>
          </cell>
          <cell r="AO9" t="str">
            <v>FIRE0075</v>
          </cell>
          <cell r="AP9" t="str">
            <v>FIRE0076</v>
          </cell>
          <cell r="AQ9" t="str">
            <v>FIRE0063</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T9" t="str">
            <v>FIRE0319</v>
          </cell>
          <cell r="EU9" t="str">
            <v>FIRE0320</v>
          </cell>
          <cell r="EV9" t="str">
            <v>FIRE0321</v>
          </cell>
          <cell r="EW9" t="str">
            <v>FIRE0261</v>
          </cell>
          <cell r="EX9" t="str">
            <v>FIRE0262</v>
          </cell>
          <cell r="EY9" t="str">
            <v>FIRE0263</v>
          </cell>
          <cell r="EZ9" t="str">
            <v>FIRE0264</v>
          </cell>
          <cell r="FA9" t="str">
            <v>FIRE0265</v>
          </cell>
          <cell r="FB9" t="str">
            <v>FIRE0178</v>
          </cell>
          <cell r="FC9" t="str">
            <v>FIRE0216</v>
          </cell>
          <cell r="FD9" t="str">
            <v>FIRE0217</v>
          </cell>
          <cell r="FE9" t="str">
            <v>FIRE0218</v>
          </cell>
          <cell r="FF9" t="str">
            <v>FIRE0219</v>
          </cell>
          <cell r="FG9" t="str">
            <v>FIRE0220</v>
          </cell>
          <cell r="FH9" t="str">
            <v>FIRE0221</v>
          </cell>
          <cell r="FI9" t="str">
            <v>FIRE0222</v>
          </cell>
          <cell r="FJ9" t="str">
            <v>FIRE0223</v>
          </cell>
          <cell r="FK9" t="str">
            <v>FIRE0232</v>
          </cell>
          <cell r="FL9" t="str">
            <v>FIRE0363</v>
          </cell>
          <cell r="FM9" t="str">
            <v>FIRE0183</v>
          </cell>
          <cell r="FN9" t="str">
            <v>FIRE0224</v>
          </cell>
          <cell r="FO9" t="str">
            <v>FIRE0225</v>
          </cell>
          <cell r="FP9" t="str">
            <v>FIRE0226</v>
          </cell>
          <cell r="FQ9" t="str">
            <v>FIRE0227</v>
          </cell>
          <cell r="FR9" t="str">
            <v>FIRE0228</v>
          </cell>
          <cell r="FS9" t="str">
            <v>FIRE0229</v>
          </cell>
          <cell r="FT9" t="str">
            <v>FIRE0230</v>
          </cell>
          <cell r="FU9" t="str">
            <v>FIRE0231</v>
          </cell>
          <cell r="FV9" t="str">
            <v>FIRE0233</v>
          </cell>
          <cell r="FW9" t="str">
            <v>FIRE0364</v>
          </cell>
          <cell r="FX9" t="str">
            <v>FIRE0188</v>
          </cell>
          <cell r="FY9" t="str">
            <v>FIRE0189</v>
          </cell>
          <cell r="FZ9" t="str">
            <v>FIRE0190</v>
          </cell>
          <cell r="GA9" t="str">
            <v>FIRE0191</v>
          </cell>
          <cell r="GB9" t="str">
            <v>FIRE0192</v>
          </cell>
          <cell r="GC9" t="str">
            <v>FIRE0193</v>
          </cell>
          <cell r="GD9" t="str">
            <v>FIRE0266</v>
          </cell>
          <cell r="GE9" t="str">
            <v>FIRE0267</v>
          </cell>
          <cell r="GF9" t="str">
            <v>FIRE0194</v>
          </cell>
          <cell r="GG9" t="str">
            <v>FIRE0234</v>
          </cell>
          <cell r="GH9" t="str">
            <v>FIRE0268</v>
          </cell>
          <cell r="GI9" t="str">
            <v>FIRE0269</v>
          </cell>
          <cell r="GJ9" t="str">
            <v>FIRE0195</v>
          </cell>
          <cell r="GK9" t="str">
            <v>FIRE0196</v>
          </cell>
          <cell r="GL9" t="str">
            <v>FIRE0197</v>
          </cell>
          <cell r="GM9" t="str">
            <v>FIRE0198</v>
          </cell>
          <cell r="GN9" t="str">
            <v>FIRE0199</v>
          </cell>
          <cell r="GO9" t="str">
            <v>FIRE0200</v>
          </cell>
          <cell r="GP9" t="str">
            <v>FIRE0294</v>
          </cell>
          <cell r="GQ9" t="str">
            <v>FIRE0295</v>
          </cell>
          <cell r="GR9" t="str">
            <v>FIRE0296</v>
          </cell>
          <cell r="GS9" t="str">
            <v>FIRE0297</v>
          </cell>
          <cell r="GT9" t="str">
            <v>FIRE0298</v>
          </cell>
          <cell r="GU9" t="str">
            <v>FIRE0299</v>
          </cell>
          <cell r="GV9" t="str">
            <v>FIRE0300</v>
          </cell>
          <cell r="GW9" t="str">
            <v>FIRE0301</v>
          </cell>
          <cell r="GX9" t="str">
            <v>FIRE0302</v>
          </cell>
          <cell r="GY9" t="str">
            <v>FIRE0303</v>
          </cell>
          <cell r="GZ9" t="str">
            <v>FIRE0305</v>
          </cell>
          <cell r="HA9" t="str">
            <v>FIRE0306</v>
          </cell>
          <cell r="HB9" t="str">
            <v>FIRE0322</v>
          </cell>
          <cell r="HC9" t="str">
            <v>FIRE0323</v>
          </cell>
          <cell r="HD9" t="str">
            <v>FIRE0324</v>
          </cell>
          <cell r="HE9" t="str">
            <v>FIRE0325</v>
          </cell>
          <cell r="HF9" t="str">
            <v>FIRE0326</v>
          </cell>
          <cell r="HG9" t="str">
            <v>FIRE0327</v>
          </cell>
          <cell r="HH9" t="str">
            <v>FIRE0328</v>
          </cell>
          <cell r="HI9" t="str">
            <v>FIRE0329</v>
          </cell>
          <cell r="HJ9" t="str">
            <v>FIRE0330</v>
          </cell>
          <cell r="HK9" t="str">
            <v>FIRE0331</v>
          </cell>
          <cell r="HL9" t="str">
            <v>FIRE0332</v>
          </cell>
          <cell r="HM9" t="str">
            <v>FIRE0333</v>
          </cell>
          <cell r="HN9" t="str">
            <v>FIRE0334</v>
          </cell>
          <cell r="HO9" t="str">
            <v>FIRE0335</v>
          </cell>
          <cell r="HP9" t="str">
            <v>FIRE0336</v>
          </cell>
          <cell r="HQ9" t="str">
            <v>FIRE0337</v>
          </cell>
          <cell r="HR9" t="str">
            <v>FIRE0338</v>
          </cell>
          <cell r="HS9" t="str">
            <v>FIRE0339</v>
          </cell>
          <cell r="HT9" t="str">
            <v>FIRE0340</v>
          </cell>
          <cell r="HU9" t="str">
            <v>FIRE0341</v>
          </cell>
          <cell r="HV9" t="str">
            <v>FIRE0342</v>
          </cell>
          <cell r="HW9" t="str">
            <v>FIRE0343</v>
          </cell>
          <cell r="HX9" t="str">
            <v>FIRE0344</v>
          </cell>
          <cell r="HY9" t="str">
            <v>FIRE0345</v>
          </cell>
          <cell r="HZ9" t="str">
            <v>FIRE0346</v>
          </cell>
          <cell r="IA9" t="str">
            <v>FIRE0347</v>
          </cell>
          <cell r="IB9" t="str">
            <v>FIRE0348</v>
          </cell>
          <cell r="IC9" t="str">
            <v>FIRE0349</v>
          </cell>
          <cell r="ID9" t="str">
            <v>FIRE0350</v>
          </cell>
          <cell r="IE9" t="str">
            <v>FIRE0351</v>
          </cell>
          <cell r="IF9" t="str">
            <v>FIRE0352</v>
          </cell>
          <cell r="IG9" t="str">
            <v>FIRE0353</v>
          </cell>
          <cell r="IH9" t="str">
            <v>FIRE0354</v>
          </cell>
          <cell r="II9" t="str">
            <v>FIRE0355</v>
          </cell>
          <cell r="IJ9" t="str">
            <v>FIRE0356</v>
          </cell>
          <cell r="IK9" t="str">
            <v>FIRE0357</v>
          </cell>
          <cell r="IL9" t="str">
            <v>FIRE0358</v>
          </cell>
          <cell r="IM9" t="str">
            <v>FIRE0359</v>
          </cell>
          <cell r="IN9" t="str">
            <v>FIRE0360</v>
          </cell>
          <cell r="IO9" t="str">
            <v>FIRE0271</v>
          </cell>
          <cell r="IP9" t="str">
            <v>FIRE0201</v>
          </cell>
          <cell r="IQ9" t="str">
            <v>FIRE0307</v>
          </cell>
          <cell r="IR9" t="str">
            <v>FIRE0270</v>
          </cell>
          <cell r="IS9" t="str">
            <v>FIRE0308</v>
          </cell>
          <cell r="IT9" t="str">
            <v>FIRE0309</v>
          </cell>
          <cell r="IU9" t="str">
            <v>FIRE0273</v>
          </cell>
          <cell r="IV9" t="str">
            <v>FIRE0242</v>
          </cell>
          <cell r="IW9" t="str">
            <v>FIRE0307</v>
          </cell>
        </row>
        <row r="10">
          <cell r="B10" t="str">
            <v>E0801</v>
          </cell>
          <cell r="C10" t="str">
            <v>Cornwall</v>
          </cell>
          <cell r="D10" t="str">
            <v>1</v>
          </cell>
          <cell r="E10">
            <v>2</v>
          </cell>
          <cell r="F10">
            <v>23</v>
          </cell>
          <cell r="G10">
            <v>6</v>
          </cell>
          <cell r="H10">
            <v>0</v>
          </cell>
          <cell r="I10">
            <v>31</v>
          </cell>
          <cell r="J10">
            <v>5</v>
          </cell>
          <cell r="K10">
            <v>2</v>
          </cell>
          <cell r="L10">
            <v>23</v>
          </cell>
          <cell r="M10">
            <v>6</v>
          </cell>
          <cell r="N10">
            <v>0</v>
          </cell>
          <cell r="O10">
            <v>31</v>
          </cell>
          <cell r="P10">
            <v>5</v>
          </cell>
          <cell r="Q10">
            <v>43</v>
          </cell>
          <cell r="R10">
            <v>43</v>
          </cell>
          <cell r="S10">
            <v>2</v>
          </cell>
          <cell r="T10">
            <v>46</v>
          </cell>
          <cell r="U10">
            <v>34</v>
          </cell>
          <cell r="V10">
            <v>0</v>
          </cell>
          <cell r="W10">
            <v>5</v>
          </cell>
          <cell r="X10">
            <v>130</v>
          </cell>
          <cell r="Y10">
            <v>64</v>
          </cell>
          <cell r="Z10">
            <v>8</v>
          </cell>
          <cell r="AA10">
            <v>4</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v>9443.1550799999804</v>
          </cell>
          <cell r="AV10">
            <v>4219.25785</v>
          </cell>
          <cell r="AW10">
            <v>766.22735999999998</v>
          </cell>
          <cell r="AX10">
            <v>2524.5617600000005</v>
          </cell>
          <cell r="AY10">
            <v>320.06900000000002</v>
          </cell>
          <cell r="AZ10">
            <v>357.00828000000001</v>
          </cell>
          <cell r="BA10">
            <v>17630.279329999983</v>
          </cell>
          <cell r="BB10">
            <v>1166.4449999999999</v>
          </cell>
          <cell r="BC10">
            <v>835.34267</v>
          </cell>
          <cell r="BD10">
            <v>1746.566</v>
          </cell>
          <cell r="BE10">
            <v>3065</v>
          </cell>
          <cell r="BF10">
            <v>0</v>
          </cell>
          <cell r="BG10">
            <v>0</v>
          </cell>
          <cell r="BH10">
            <v>24443.63299999998</v>
          </cell>
          <cell r="BI10">
            <v>241</v>
          </cell>
          <cell r="BJ10">
            <v>675.98099999999999</v>
          </cell>
          <cell r="BK10">
            <v>1224.5609999999999</v>
          </cell>
          <cell r="BL10">
            <v>2141.5419999999999</v>
          </cell>
          <cell r="BM10">
            <v>22302.090999999979</v>
          </cell>
          <cell r="BN10">
            <v>943</v>
          </cell>
          <cell r="BO10">
            <v>0</v>
          </cell>
          <cell r="BP10">
            <v>0</v>
          </cell>
          <cell r="BQ10">
            <v>0</v>
          </cell>
          <cell r="BR10">
            <v>0</v>
          </cell>
          <cell r="BS10">
            <v>0</v>
          </cell>
          <cell r="BT10">
            <v>0</v>
          </cell>
          <cell r="BU10">
            <v>0</v>
          </cell>
          <cell r="BV10">
            <v>31.89648</v>
          </cell>
          <cell r="BW10">
            <v>212.15100000000001</v>
          </cell>
          <cell r="BX10">
            <v>0</v>
          </cell>
          <cell r="BY10">
            <v>0</v>
          </cell>
          <cell r="BZ10">
            <v>0</v>
          </cell>
          <cell r="CA10">
            <v>0.8</v>
          </cell>
          <cell r="CB10">
            <v>244.84748000000002</v>
          </cell>
          <cell r="CC10">
            <v>0</v>
          </cell>
          <cell r="CD10">
            <v>2</v>
          </cell>
          <cell r="CE10">
            <v>6.9</v>
          </cell>
          <cell r="CF10">
            <v>0</v>
          </cell>
          <cell r="CG10" t="str">
            <v>..</v>
          </cell>
          <cell r="CH10">
            <v>9632.0181815999804</v>
          </cell>
          <cell r="CI10">
            <v>4303.6430069999997</v>
          </cell>
          <cell r="CJ10">
            <v>781.55190719999996</v>
          </cell>
          <cell r="CK10">
            <v>2575.0529952000006</v>
          </cell>
          <cell r="CL10">
            <v>340</v>
          </cell>
          <cell r="CM10">
            <v>360</v>
          </cell>
          <cell r="CN10">
            <v>17992.266090999983</v>
          </cell>
          <cell r="CO10">
            <v>1170</v>
          </cell>
          <cell r="CP10">
            <v>820</v>
          </cell>
          <cell r="CQ10">
            <v>1780</v>
          </cell>
          <cell r="CR10">
            <v>3065</v>
          </cell>
          <cell r="CS10">
            <v>0</v>
          </cell>
          <cell r="CT10">
            <v>0</v>
          </cell>
          <cell r="CU10">
            <v>24827.266090999983</v>
          </cell>
          <cell r="CV10">
            <v>250</v>
          </cell>
          <cell r="CW10">
            <v>1033.3</v>
          </cell>
          <cell r="CX10">
            <v>1400</v>
          </cell>
          <cell r="CY10">
            <v>2683.3</v>
          </cell>
          <cell r="CZ10">
            <v>22143.966090999984</v>
          </cell>
          <cell r="DA10">
            <v>1000</v>
          </cell>
          <cell r="DB10">
            <v>0</v>
          </cell>
          <cell r="DC10">
            <v>0</v>
          </cell>
          <cell r="DD10">
            <v>0</v>
          </cell>
          <cell r="DE10">
            <v>0</v>
          </cell>
          <cell r="DF10">
            <v>0</v>
          </cell>
          <cell r="DG10">
            <v>0</v>
          </cell>
          <cell r="DH10">
            <v>0</v>
          </cell>
          <cell r="DI10">
            <v>370</v>
          </cell>
          <cell r="DJ10">
            <v>0</v>
          </cell>
          <cell r="DK10">
            <v>0</v>
          </cell>
          <cell r="DL10">
            <v>0</v>
          </cell>
          <cell r="DM10">
            <v>0</v>
          </cell>
          <cell r="DN10">
            <v>0</v>
          </cell>
          <cell r="DO10">
            <v>370</v>
          </cell>
          <cell r="DP10">
            <v>0</v>
          </cell>
          <cell r="DQ10">
            <v>0</v>
          </cell>
          <cell r="DR10">
            <v>0</v>
          </cell>
          <cell r="DS10">
            <v>0</v>
          </cell>
          <cell r="DT10" t="str">
            <v>..</v>
          </cell>
          <cell r="DU10">
            <v>0</v>
          </cell>
          <cell r="DV10">
            <v>44</v>
          </cell>
          <cell r="DW10">
            <v>17.5</v>
          </cell>
          <cell r="DX10">
            <v>0</v>
          </cell>
          <cell r="DY10">
            <v>0</v>
          </cell>
          <cell r="DZ10">
            <v>0</v>
          </cell>
          <cell r="EA10">
            <v>0</v>
          </cell>
          <cell r="EB10">
            <v>0</v>
          </cell>
          <cell r="EC10">
            <v>0</v>
          </cell>
          <cell r="ED10">
            <v>0</v>
          </cell>
          <cell r="EE10" t="str">
            <v>..</v>
          </cell>
          <cell r="EF10" t="str">
            <v>..</v>
          </cell>
          <cell r="EG10">
            <v>1500</v>
          </cell>
          <cell r="EH10" t="str">
            <v>..</v>
          </cell>
          <cell r="EI10" t="str">
            <v>..</v>
          </cell>
          <cell r="EJ10" t="str">
            <v>..</v>
          </cell>
          <cell r="EK10">
            <v>18680</v>
          </cell>
          <cell r="EL10">
            <v>0</v>
          </cell>
          <cell r="EM10">
            <v>3065</v>
          </cell>
          <cell r="EN10">
            <v>0</v>
          </cell>
          <cell r="EO10">
            <v>23245</v>
          </cell>
          <cell r="EP10">
            <v>0</v>
          </cell>
          <cell r="EQ10">
            <v>0</v>
          </cell>
          <cell r="ER10">
            <v>0</v>
          </cell>
          <cell r="ES10">
            <v>0</v>
          </cell>
          <cell r="ET10">
            <v>0</v>
          </cell>
          <cell r="EU10">
            <v>0</v>
          </cell>
          <cell r="EV10">
            <v>0</v>
          </cell>
          <cell r="EW10">
            <v>0</v>
          </cell>
          <cell r="EX10">
            <v>0</v>
          </cell>
          <cell r="EY10">
            <v>0</v>
          </cell>
          <cell r="EZ10">
            <v>0</v>
          </cell>
          <cell r="FA10">
            <v>0</v>
          </cell>
          <cell r="FB10">
            <v>-1538</v>
          </cell>
          <cell r="FC10">
            <v>0</v>
          </cell>
          <cell r="FD10">
            <v>0</v>
          </cell>
          <cell r="FE10">
            <v>-1319</v>
          </cell>
          <cell r="FF10">
            <v>-40</v>
          </cell>
          <cell r="FG10">
            <v>4943</v>
          </cell>
          <cell r="FH10">
            <v>716</v>
          </cell>
          <cell r="FI10">
            <v>27</v>
          </cell>
          <cell r="FJ10">
            <v>2789</v>
          </cell>
          <cell r="FK10">
            <v>0</v>
          </cell>
          <cell r="FL10">
            <v>0</v>
          </cell>
          <cell r="FM10">
            <v>-1800</v>
          </cell>
          <cell r="FN10">
            <v>-80</v>
          </cell>
          <cell r="FO10">
            <v>0</v>
          </cell>
          <cell r="FP10">
            <v>-1203</v>
          </cell>
          <cell r="FQ10">
            <v>-30</v>
          </cell>
          <cell r="FR10">
            <v>4814</v>
          </cell>
          <cell r="FS10">
            <v>918</v>
          </cell>
          <cell r="FT10">
            <v>0</v>
          </cell>
          <cell r="FU10">
            <v>2619</v>
          </cell>
          <cell r="FV10">
            <v>0</v>
          </cell>
          <cell r="FW10">
            <v>0</v>
          </cell>
          <cell r="FX10">
            <v>341</v>
          </cell>
          <cell r="FY10" t="str">
            <v>..</v>
          </cell>
          <cell r="FZ10">
            <v>5</v>
          </cell>
          <cell r="GA10">
            <v>1</v>
          </cell>
          <cell r="GB10">
            <v>30</v>
          </cell>
          <cell r="GC10">
            <v>22</v>
          </cell>
          <cell r="GD10">
            <v>550</v>
          </cell>
          <cell r="GE10">
            <v>27</v>
          </cell>
          <cell r="GF10">
            <v>17</v>
          </cell>
          <cell r="GG10">
            <v>176</v>
          </cell>
          <cell r="GH10">
            <v>109</v>
          </cell>
          <cell r="GI10">
            <v>11</v>
          </cell>
          <cell r="GJ10">
            <v>0</v>
          </cell>
          <cell r="GK10">
            <v>0</v>
          </cell>
          <cell r="GL10">
            <v>100</v>
          </cell>
          <cell r="GM10">
            <v>0</v>
          </cell>
          <cell r="GN10">
            <v>0</v>
          </cell>
          <cell r="GO10">
            <v>100</v>
          </cell>
          <cell r="GP10">
            <v>52</v>
          </cell>
          <cell r="GQ10">
            <v>0</v>
          </cell>
          <cell r="GR10">
            <v>0</v>
          </cell>
          <cell r="GS10">
            <v>414</v>
          </cell>
          <cell r="GT10">
            <v>0</v>
          </cell>
          <cell r="GU10">
            <v>610</v>
          </cell>
          <cell r="GV10">
            <v>237</v>
          </cell>
          <cell r="GW10">
            <v>28</v>
          </cell>
          <cell r="GX10">
            <v>7</v>
          </cell>
          <cell r="GY10">
            <v>0</v>
          </cell>
          <cell r="GZ10">
            <v>0</v>
          </cell>
          <cell r="HA10">
            <v>0</v>
          </cell>
          <cell r="HB10">
            <v>226</v>
          </cell>
          <cell r="HC10">
            <v>0</v>
          </cell>
          <cell r="HD10">
            <v>0</v>
          </cell>
          <cell r="HE10">
            <v>0</v>
          </cell>
          <cell r="HF10">
            <v>1574</v>
          </cell>
          <cell r="HG10">
            <v>128</v>
          </cell>
          <cell r="HH10">
            <v>0</v>
          </cell>
          <cell r="HI10">
            <v>0</v>
          </cell>
          <cell r="HJ10">
            <v>5</v>
          </cell>
          <cell r="HK10">
            <v>0</v>
          </cell>
          <cell r="HL10">
            <v>1900</v>
          </cell>
          <cell r="HM10">
            <v>87</v>
          </cell>
          <cell r="HN10">
            <v>6</v>
          </cell>
          <cell r="HO10">
            <v>72</v>
          </cell>
          <cell r="HP10">
            <v>0</v>
          </cell>
          <cell r="HQ10">
            <v>0</v>
          </cell>
          <cell r="HR10">
            <v>0</v>
          </cell>
          <cell r="HS10">
            <v>357</v>
          </cell>
          <cell r="HT10">
            <v>0</v>
          </cell>
          <cell r="HU10">
            <v>425</v>
          </cell>
          <cell r="HV10">
            <v>0</v>
          </cell>
          <cell r="HW10">
            <v>2980</v>
          </cell>
          <cell r="HX10">
            <v>1400</v>
          </cell>
          <cell r="HY10">
            <v>0</v>
          </cell>
          <cell r="HZ10">
            <v>0</v>
          </cell>
          <cell r="IA10">
            <v>577</v>
          </cell>
          <cell r="IB10">
            <v>0</v>
          </cell>
          <cell r="IC10">
            <v>2491</v>
          </cell>
          <cell r="ID10">
            <v>154</v>
          </cell>
          <cell r="IE10">
            <v>60</v>
          </cell>
          <cell r="IF10">
            <v>235</v>
          </cell>
          <cell r="IG10">
            <v>519</v>
          </cell>
          <cell r="IH10">
            <v>0</v>
          </cell>
          <cell r="II10">
            <v>0</v>
          </cell>
          <cell r="IJ10">
            <v>516</v>
          </cell>
          <cell r="IK10">
            <v>0</v>
          </cell>
          <cell r="IL10">
            <v>464</v>
          </cell>
          <cell r="IM10">
            <v>0</v>
          </cell>
          <cell r="IN10">
            <v>6416</v>
          </cell>
          <cell r="IO10" t="str">
            <v>Tri-Service Stations (Police &amp; Ambulance): 2.4 Hayle
Shared Ambulance facility/dispatch point: 4.2 Truro, 2.0 Tolvaddon
Shared Police facility: 5.2 St Columb
Space Provided for Marine and Coastguard Agency: 5.3 Padstow</v>
          </cell>
          <cell r="IP10" t="str">
            <v>FOAM RESPONCE UNIT x1,MERC WRC &amp; GP LORRY x3,MERC RESCUE TENDER x1,OPERATIONAL SUPPORT x2,MERCEDES RESCUE x3,TOYOTA HI-LUX x22,ALL TERRAIN VEHICLE x1,VAUXHALL BRAVA x 8,WELFARE VEHICLE x1,RIB BOAT x1,VAN VAUXHALL MOVANO x3</v>
          </cell>
          <cell r="IQ10" t="str">
            <v>..</v>
          </cell>
          <cell r="IR10" t="str">
            <v>..</v>
          </cell>
          <cell r="IS10" t="str">
            <v>Tri Safety Officers- £143K, IOS - £60K, Other Secondments x 3 = £90K, Phoenix Services</v>
          </cell>
          <cell r="IT10" t="str">
            <v>..</v>
          </cell>
          <cell r="IU10" t="str">
            <v>..</v>
          </cell>
          <cell r="IV10" t="str">
            <v>I was surprised the split of details was not consistent with the NFCC Survey</v>
          </cell>
          <cell r="IW10" t="str">
            <v>Tri-Service Stations (Police &amp; Ambulance): 2.4 Hayle 
Location of tri-service officer: 7.3 Bude, 8.1 Liskeard.
Shared Ambulance facility/dispatch point: 4.2 Truro, 8.5 Callington, 2.0 Tolvaddon
Shared Police facility: 5.2 St Columb
Space Provided for Marine and Coastguard Agency: 5.3 Padstow</v>
          </cell>
        </row>
        <row r="11">
          <cell r="B11" t="str">
            <v>E0920</v>
          </cell>
          <cell r="C11" t="str">
            <v>Cumbria</v>
          </cell>
          <cell r="D11" t="str">
            <v>1</v>
          </cell>
          <cell r="E11">
            <v>2</v>
          </cell>
          <cell r="F11">
            <v>30</v>
          </cell>
          <cell r="G11">
            <v>6</v>
          </cell>
          <cell r="H11">
            <v>0</v>
          </cell>
          <cell r="I11">
            <v>38</v>
          </cell>
          <cell r="J11">
            <v>1</v>
          </cell>
          <cell r="K11">
            <v>2</v>
          </cell>
          <cell r="L11">
            <v>30</v>
          </cell>
          <cell r="M11">
            <v>6</v>
          </cell>
          <cell r="N11">
            <v>0</v>
          </cell>
          <cell r="O11">
            <v>38</v>
          </cell>
          <cell r="P11">
            <v>1</v>
          </cell>
          <cell r="Q11">
            <v>45</v>
          </cell>
          <cell r="R11">
            <v>45</v>
          </cell>
          <cell r="S11">
            <v>2</v>
          </cell>
          <cell r="T11">
            <v>20</v>
          </cell>
          <cell r="U11">
            <v>49</v>
          </cell>
          <cell r="V11">
            <v>0</v>
          </cell>
          <cell r="W11">
            <v>4</v>
          </cell>
          <cell r="X11">
            <v>120</v>
          </cell>
          <cell r="Y11">
            <v>32</v>
          </cell>
          <cell r="Z11">
            <v>5</v>
          </cell>
          <cell r="AA11">
            <v>4</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v>9350</v>
          </cell>
          <cell r="AV11">
            <v>2491</v>
          </cell>
          <cell r="AW11">
            <v>0</v>
          </cell>
          <cell r="AX11">
            <v>788</v>
          </cell>
          <cell r="AY11">
            <v>375</v>
          </cell>
          <cell r="AZ11">
            <v>63</v>
          </cell>
          <cell r="BA11">
            <v>13067</v>
          </cell>
          <cell r="BB11">
            <v>1767</v>
          </cell>
          <cell r="BC11">
            <v>813</v>
          </cell>
          <cell r="BD11">
            <v>836</v>
          </cell>
          <cell r="BE11">
            <v>2534</v>
          </cell>
          <cell r="BF11">
            <v>363</v>
          </cell>
          <cell r="BG11">
            <v>0</v>
          </cell>
          <cell r="BH11">
            <v>19380</v>
          </cell>
          <cell r="BI11">
            <v>1881</v>
          </cell>
          <cell r="BJ11">
            <v>0</v>
          </cell>
          <cell r="BK11">
            <v>157</v>
          </cell>
          <cell r="BL11">
            <v>2038</v>
          </cell>
          <cell r="BM11">
            <v>17342</v>
          </cell>
          <cell r="BN11">
            <v>1598</v>
          </cell>
          <cell r="BO11">
            <v>336</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10853</v>
          </cell>
          <cell r="CI11">
            <v>3039</v>
          </cell>
          <cell r="CJ11">
            <v>0</v>
          </cell>
          <cell r="CK11">
            <v>961</v>
          </cell>
          <cell r="CL11">
            <v>457</v>
          </cell>
          <cell r="CM11">
            <v>76</v>
          </cell>
          <cell r="CN11">
            <v>15386</v>
          </cell>
          <cell r="CO11">
            <v>1780</v>
          </cell>
          <cell r="CP11">
            <v>819</v>
          </cell>
          <cell r="CQ11">
            <v>971</v>
          </cell>
          <cell r="CR11">
            <v>2540</v>
          </cell>
          <cell r="CS11">
            <v>376</v>
          </cell>
          <cell r="CT11">
            <v>0</v>
          </cell>
          <cell r="CU11">
            <v>21872</v>
          </cell>
          <cell r="CV11">
            <v>3261</v>
          </cell>
          <cell r="CW11">
            <v>0</v>
          </cell>
          <cell r="CX11">
            <v>136</v>
          </cell>
          <cell r="CY11">
            <v>3397</v>
          </cell>
          <cell r="CZ11">
            <v>18475</v>
          </cell>
          <cell r="DA11">
            <v>1599</v>
          </cell>
          <cell r="DB11">
            <v>370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14.9</v>
          </cell>
          <cell r="DX11">
            <v>0</v>
          </cell>
          <cell r="DY11" t="str">
            <v>..</v>
          </cell>
          <cell r="DZ11" t="str">
            <v>..</v>
          </cell>
          <cell r="EA11" t="str">
            <v>..</v>
          </cell>
          <cell r="EB11" t="str">
            <v>..</v>
          </cell>
          <cell r="EC11" t="str">
            <v>..</v>
          </cell>
          <cell r="ED11" t="str">
            <v>..</v>
          </cell>
          <cell r="EE11" t="str">
            <v>..</v>
          </cell>
          <cell r="EF11" t="str">
            <v>..</v>
          </cell>
          <cell r="EG11">
            <v>934</v>
          </cell>
          <cell r="EH11" t="str">
            <v>..</v>
          </cell>
          <cell r="EI11" t="str">
            <v>..</v>
          </cell>
          <cell r="EJ11" t="str">
            <v>..</v>
          </cell>
          <cell r="EK11">
            <v>18006</v>
          </cell>
          <cell r="EL11">
            <v>0</v>
          </cell>
          <cell r="EM11">
            <v>0</v>
          </cell>
          <cell r="EN11">
            <v>0</v>
          </cell>
          <cell r="EO11">
            <v>18940</v>
          </cell>
          <cell r="EP11" t="str">
            <v>..</v>
          </cell>
          <cell r="EQ11" t="str">
            <v>..</v>
          </cell>
          <cell r="ER11">
            <v>124</v>
          </cell>
          <cell r="ES11">
            <v>0.13276231263383298</v>
          </cell>
          <cell r="ET11" t="str">
            <v>..</v>
          </cell>
          <cell r="EU11" t="str">
            <v>..</v>
          </cell>
          <cell r="EV11" t="str">
            <v>..</v>
          </cell>
          <cell r="EW11">
            <v>2399</v>
          </cell>
          <cell r="EX11">
            <v>0</v>
          </cell>
          <cell r="EY11">
            <v>0</v>
          </cell>
          <cell r="EZ11">
            <v>0</v>
          </cell>
          <cell r="FA11">
            <v>2523</v>
          </cell>
          <cell r="FB11">
            <v>-1434</v>
          </cell>
          <cell r="FC11">
            <v>0</v>
          </cell>
          <cell r="FD11">
            <v>0</v>
          </cell>
          <cell r="FE11">
            <v>-1209</v>
          </cell>
          <cell r="FF11">
            <v>-38</v>
          </cell>
          <cell r="FG11">
            <v>6596</v>
          </cell>
          <cell r="FH11">
            <v>1435</v>
          </cell>
          <cell r="FI11">
            <v>0</v>
          </cell>
          <cell r="FJ11">
            <v>5350</v>
          </cell>
          <cell r="FK11">
            <v>0</v>
          </cell>
          <cell r="FL11">
            <v>0</v>
          </cell>
          <cell r="FM11">
            <v>-2801</v>
          </cell>
          <cell r="FN11">
            <v>0</v>
          </cell>
          <cell r="FO11">
            <v>0</v>
          </cell>
          <cell r="FP11">
            <v>-1194</v>
          </cell>
          <cell r="FQ11">
            <v>0</v>
          </cell>
          <cell r="FR11">
            <v>6926</v>
          </cell>
          <cell r="FS11">
            <v>767</v>
          </cell>
          <cell r="FT11">
            <v>0</v>
          </cell>
          <cell r="FU11">
            <v>3698</v>
          </cell>
          <cell r="FV11">
            <v>0</v>
          </cell>
          <cell r="FW11">
            <v>0</v>
          </cell>
          <cell r="FX11">
            <v>427</v>
          </cell>
          <cell r="FY11">
            <v>437</v>
          </cell>
          <cell r="FZ11">
            <v>12</v>
          </cell>
          <cell r="GA11">
            <v>0</v>
          </cell>
          <cell r="GB11">
            <v>51</v>
          </cell>
          <cell r="GC11">
            <v>46</v>
          </cell>
          <cell r="GD11">
            <v>414</v>
          </cell>
          <cell r="GE11">
            <v>60</v>
          </cell>
          <cell r="GF11">
            <v>36</v>
          </cell>
          <cell r="GG11">
            <v>166</v>
          </cell>
          <cell r="GH11">
            <v>76</v>
          </cell>
          <cell r="GI11">
            <v>35</v>
          </cell>
          <cell r="GJ11">
            <v>240</v>
          </cell>
          <cell r="GK11">
            <v>0</v>
          </cell>
          <cell r="GL11">
            <v>0</v>
          </cell>
          <cell r="GM11">
            <v>313</v>
          </cell>
          <cell r="GN11">
            <v>0</v>
          </cell>
          <cell r="GO11">
            <v>0</v>
          </cell>
          <cell r="GP11">
            <v>0</v>
          </cell>
          <cell r="GQ11">
            <v>0</v>
          </cell>
          <cell r="GR11">
            <v>0</v>
          </cell>
          <cell r="GS11">
            <v>0</v>
          </cell>
          <cell r="GT11">
            <v>0</v>
          </cell>
          <cell r="GU11">
            <v>465</v>
          </cell>
          <cell r="GV11">
            <v>0</v>
          </cell>
          <cell r="GW11">
            <v>0</v>
          </cell>
          <cell r="GX11">
            <v>0</v>
          </cell>
          <cell r="GY11">
            <v>0</v>
          </cell>
          <cell r="GZ11">
            <v>0</v>
          </cell>
          <cell r="HA11">
            <v>0</v>
          </cell>
          <cell r="HB11">
            <v>111</v>
          </cell>
          <cell r="HC11">
            <v>0</v>
          </cell>
          <cell r="HD11">
            <v>0</v>
          </cell>
          <cell r="HE11">
            <v>0</v>
          </cell>
          <cell r="HF11">
            <v>576</v>
          </cell>
          <cell r="HG11">
            <v>0</v>
          </cell>
          <cell r="HH11">
            <v>0</v>
          </cell>
          <cell r="HI11">
            <v>0</v>
          </cell>
          <cell r="HJ11">
            <v>0</v>
          </cell>
          <cell r="HK11">
            <v>0</v>
          </cell>
          <cell r="HL11">
            <v>1710</v>
          </cell>
          <cell r="HM11">
            <v>12</v>
          </cell>
          <cell r="HN11">
            <v>24</v>
          </cell>
          <cell r="HO11">
            <v>0</v>
          </cell>
          <cell r="HP11">
            <v>0</v>
          </cell>
          <cell r="HQ11">
            <v>0</v>
          </cell>
          <cell r="HR11">
            <v>0</v>
          </cell>
          <cell r="HS11">
            <v>122</v>
          </cell>
          <cell r="HT11">
            <v>0</v>
          </cell>
          <cell r="HU11">
            <v>0</v>
          </cell>
          <cell r="HV11">
            <v>0</v>
          </cell>
          <cell r="HW11">
            <v>1868</v>
          </cell>
          <cell r="HX11">
            <v>0</v>
          </cell>
          <cell r="HY11">
            <v>0</v>
          </cell>
          <cell r="HZ11">
            <v>0</v>
          </cell>
          <cell r="IA11">
            <v>0</v>
          </cell>
          <cell r="IB11">
            <v>0</v>
          </cell>
          <cell r="IC11">
            <v>729</v>
          </cell>
          <cell r="ID11">
            <v>0</v>
          </cell>
          <cell r="IE11">
            <v>0</v>
          </cell>
          <cell r="IF11">
            <v>0</v>
          </cell>
          <cell r="IG11">
            <v>0</v>
          </cell>
          <cell r="IH11">
            <v>0</v>
          </cell>
          <cell r="II11">
            <v>0</v>
          </cell>
          <cell r="IJ11">
            <v>62</v>
          </cell>
          <cell r="IK11">
            <v>0</v>
          </cell>
          <cell r="IL11">
            <v>0</v>
          </cell>
          <cell r="IM11">
            <v>0</v>
          </cell>
          <cell r="IN11">
            <v>791</v>
          </cell>
          <cell r="IO11" t="str">
            <v>North West Ambulance Service (NWAS)</v>
          </cell>
          <cell r="IP11" t="str">
            <v xml:space="preserve">2 x Water Bowsers, 1 x BA support Unit, 1 x Water Response vechicle, 3  x Joint Incident Command Units, 7 x Wildfire Land Rovers, 2 x Uni Mogs, 1 x Welfare Unit and 3 Rapid Response Vechicles </v>
          </cell>
          <cell r="IQ11" t="str">
            <v>..</v>
          </cell>
          <cell r="IR11" t="str">
            <v>..</v>
          </cell>
          <cell r="IS11" t="str">
            <v>..</v>
          </cell>
          <cell r="IT11" t="str">
            <v>Secondment of staff income included</v>
          </cell>
          <cell r="IU11" t="str">
            <v>..</v>
          </cell>
          <cell r="IV11" t="str">
            <v>..</v>
          </cell>
          <cell r="IW11" t="str">
            <v>North West Ambulance sharing Fire Station at Penrith by June 2018, however will have a blue light hub for Fire Police and Ambulance in place at Ulverston by October 2018</v>
          </cell>
        </row>
        <row r="12">
          <cell r="B12" t="str">
            <v>E1620</v>
          </cell>
          <cell r="C12" t="str">
            <v>Gloucestershire</v>
          </cell>
          <cell r="D12" t="str">
            <v>1</v>
          </cell>
          <cell r="E12">
            <v>2</v>
          </cell>
          <cell r="F12">
            <v>16</v>
          </cell>
          <cell r="G12">
            <v>3</v>
          </cell>
          <cell r="H12">
            <v>0</v>
          </cell>
          <cell r="I12">
            <v>21</v>
          </cell>
          <cell r="J12">
            <v>9</v>
          </cell>
          <cell r="K12">
            <v>2</v>
          </cell>
          <cell r="L12">
            <v>16</v>
          </cell>
          <cell r="M12">
            <v>3</v>
          </cell>
          <cell r="N12">
            <v>0</v>
          </cell>
          <cell r="O12">
            <v>21</v>
          </cell>
          <cell r="P12">
            <v>13</v>
          </cell>
          <cell r="Q12">
            <v>31</v>
          </cell>
          <cell r="R12">
            <v>31</v>
          </cell>
          <cell r="S12">
            <v>2</v>
          </cell>
          <cell r="T12">
            <v>13</v>
          </cell>
          <cell r="U12">
            <v>26</v>
          </cell>
          <cell r="V12">
            <v>0</v>
          </cell>
          <cell r="W12">
            <v>3</v>
          </cell>
          <cell r="X12">
            <v>75</v>
          </cell>
          <cell r="Y12">
            <v>53</v>
          </cell>
          <cell r="Z12">
            <v>4</v>
          </cell>
          <cell r="AA12">
            <v>2</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v>8253</v>
          </cell>
          <cell r="AV12">
            <v>2269</v>
          </cell>
          <cell r="AW12">
            <v>801</v>
          </cell>
          <cell r="AX12">
            <v>1102</v>
          </cell>
          <cell r="AY12">
            <v>616</v>
          </cell>
          <cell r="AZ12">
            <v>142</v>
          </cell>
          <cell r="BA12">
            <v>13183</v>
          </cell>
          <cell r="BB12">
            <v>2336</v>
          </cell>
          <cell r="BC12">
            <v>1145</v>
          </cell>
          <cell r="BD12">
            <v>2487</v>
          </cell>
          <cell r="BE12">
            <v>1554</v>
          </cell>
          <cell r="BF12">
            <v>0</v>
          </cell>
          <cell r="BG12">
            <v>2208</v>
          </cell>
          <cell r="BH12">
            <v>22913</v>
          </cell>
          <cell r="BI12">
            <v>5086</v>
          </cell>
          <cell r="BJ12">
            <v>0</v>
          </cell>
          <cell r="BK12">
            <v>668</v>
          </cell>
          <cell r="BL12">
            <v>5754</v>
          </cell>
          <cell r="BM12">
            <v>17159</v>
          </cell>
          <cell r="BN12">
            <v>-1542</v>
          </cell>
          <cell r="BO12">
            <v>13202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6</v>
          </cell>
          <cell r="CH12">
            <v>8137</v>
          </cell>
          <cell r="CI12">
            <v>2177</v>
          </cell>
          <cell r="CJ12">
            <v>836</v>
          </cell>
          <cell r="CK12">
            <v>1212</v>
          </cell>
          <cell r="CL12">
            <v>539</v>
          </cell>
          <cell r="CM12">
            <v>357</v>
          </cell>
          <cell r="CN12">
            <v>13258</v>
          </cell>
          <cell r="CO12">
            <v>2347</v>
          </cell>
          <cell r="CP12">
            <v>1103</v>
          </cell>
          <cell r="CQ12">
            <v>3296</v>
          </cell>
          <cell r="CR12">
            <v>1664</v>
          </cell>
          <cell r="CS12">
            <v>0</v>
          </cell>
          <cell r="CT12">
            <v>2000</v>
          </cell>
          <cell r="CU12">
            <v>23668</v>
          </cell>
          <cell r="CV12">
            <v>6375</v>
          </cell>
          <cell r="CW12">
            <v>0</v>
          </cell>
          <cell r="CX12">
            <v>579</v>
          </cell>
          <cell r="CY12">
            <v>6954</v>
          </cell>
          <cell r="CZ12">
            <v>16714</v>
          </cell>
          <cell r="DA12">
            <v>3280</v>
          </cell>
          <cell r="DB12">
            <v>2500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7</v>
          </cell>
          <cell r="DU12">
            <v>0</v>
          </cell>
          <cell r="DV12">
            <v>53</v>
          </cell>
          <cell r="DW12">
            <v>29.9</v>
          </cell>
          <cell r="DX12">
            <v>0</v>
          </cell>
          <cell r="DY12">
            <v>0</v>
          </cell>
          <cell r="DZ12">
            <v>0</v>
          </cell>
          <cell r="EA12">
            <v>0</v>
          </cell>
          <cell r="EB12">
            <v>0</v>
          </cell>
          <cell r="EC12">
            <v>0</v>
          </cell>
          <cell r="ED12">
            <v>0</v>
          </cell>
          <cell r="EE12">
            <v>809</v>
          </cell>
          <cell r="EF12">
            <v>260</v>
          </cell>
          <cell r="EG12">
            <v>1069</v>
          </cell>
          <cell r="EH12">
            <v>13323</v>
          </cell>
          <cell r="EI12">
            <v>920</v>
          </cell>
          <cell r="EJ12">
            <v>108</v>
          </cell>
          <cell r="EK12">
            <v>14351</v>
          </cell>
          <cell r="EL12">
            <v>-3</v>
          </cell>
          <cell r="EM12">
            <v>200</v>
          </cell>
          <cell r="EN12">
            <v>0</v>
          </cell>
          <cell r="EO12">
            <v>15617</v>
          </cell>
          <cell r="EP12">
            <v>657</v>
          </cell>
          <cell r="EQ12">
            <v>8</v>
          </cell>
          <cell r="ER12">
            <v>665</v>
          </cell>
          <cell r="ES12">
            <v>0.62207670720299346</v>
          </cell>
          <cell r="ET12">
            <v>9988</v>
          </cell>
          <cell r="EU12">
            <v>3</v>
          </cell>
          <cell r="EV12">
            <v>4</v>
          </cell>
          <cell r="EW12">
            <v>9995</v>
          </cell>
          <cell r="EX12">
            <v>1</v>
          </cell>
          <cell r="EY12">
            <v>0</v>
          </cell>
          <cell r="EZ12">
            <v>0</v>
          </cell>
          <cell r="FA12">
            <v>10661</v>
          </cell>
          <cell r="FB12">
            <v>-1269</v>
          </cell>
          <cell r="FC12">
            <v>0</v>
          </cell>
          <cell r="FD12">
            <v>0</v>
          </cell>
          <cell r="FE12">
            <v>-1081</v>
          </cell>
          <cell r="FF12">
            <v>-198</v>
          </cell>
          <cell r="FG12">
            <v>5888</v>
          </cell>
          <cell r="FH12">
            <v>1160</v>
          </cell>
          <cell r="FI12">
            <v>0</v>
          </cell>
          <cell r="FJ12">
            <v>4500</v>
          </cell>
          <cell r="FK12">
            <v>145</v>
          </cell>
          <cell r="FL12">
            <v>0</v>
          </cell>
          <cell r="FM12">
            <v>-1261</v>
          </cell>
          <cell r="FN12">
            <v>0</v>
          </cell>
          <cell r="FO12">
            <v>0</v>
          </cell>
          <cell r="FP12">
            <v>-1053</v>
          </cell>
          <cell r="FQ12">
            <v>0</v>
          </cell>
          <cell r="FR12">
            <v>6041</v>
          </cell>
          <cell r="FS12">
            <v>769</v>
          </cell>
          <cell r="FT12">
            <v>0</v>
          </cell>
          <cell r="FU12">
            <v>4496</v>
          </cell>
          <cell r="FV12">
            <v>144</v>
          </cell>
          <cell r="FW12">
            <v>0</v>
          </cell>
          <cell r="FX12">
            <v>408</v>
          </cell>
          <cell r="FY12">
            <v>422</v>
          </cell>
          <cell r="FZ12">
            <v>14</v>
          </cell>
          <cell r="GA12">
            <v>0</v>
          </cell>
          <cell r="GB12">
            <v>37</v>
          </cell>
          <cell r="GC12">
            <v>9</v>
          </cell>
          <cell r="GD12">
            <v>343</v>
          </cell>
          <cell r="GE12">
            <v>10</v>
          </cell>
          <cell r="GF12">
            <v>33</v>
          </cell>
          <cell r="GG12">
            <v>204</v>
          </cell>
          <cell r="GH12">
            <v>124</v>
          </cell>
          <cell r="GI12">
            <v>20</v>
          </cell>
          <cell r="GJ12">
            <v>4542</v>
          </cell>
          <cell r="GK12">
            <v>0</v>
          </cell>
          <cell r="GL12">
            <v>10</v>
          </cell>
          <cell r="GM12">
            <v>4749</v>
          </cell>
          <cell r="GN12">
            <v>0</v>
          </cell>
          <cell r="GO12">
            <v>0</v>
          </cell>
          <cell r="GP12">
            <v>0</v>
          </cell>
          <cell r="GQ12">
            <v>0</v>
          </cell>
          <cell r="GR12">
            <v>51</v>
          </cell>
          <cell r="GS12">
            <v>13</v>
          </cell>
          <cell r="GT12">
            <v>0</v>
          </cell>
          <cell r="GU12">
            <v>304</v>
          </cell>
          <cell r="GV12">
            <v>0</v>
          </cell>
          <cell r="GW12">
            <v>0</v>
          </cell>
          <cell r="GX12">
            <v>0</v>
          </cell>
          <cell r="GY12">
            <v>100</v>
          </cell>
          <cell r="GZ12">
            <v>47</v>
          </cell>
          <cell r="HA12">
            <v>0</v>
          </cell>
          <cell r="HB12">
            <v>679</v>
          </cell>
          <cell r="HC12">
            <v>0</v>
          </cell>
          <cell r="HD12">
            <v>0</v>
          </cell>
          <cell r="HE12">
            <v>0</v>
          </cell>
          <cell r="HF12">
            <v>1194</v>
          </cell>
          <cell r="HG12">
            <v>0</v>
          </cell>
          <cell r="HH12">
            <v>0</v>
          </cell>
          <cell r="HI12">
            <v>0</v>
          </cell>
          <cell r="HJ12">
            <v>0</v>
          </cell>
          <cell r="HK12">
            <v>0</v>
          </cell>
          <cell r="HL12">
            <v>445</v>
          </cell>
          <cell r="HM12">
            <v>46</v>
          </cell>
          <cell r="HN12">
            <v>0</v>
          </cell>
          <cell r="HO12">
            <v>0</v>
          </cell>
          <cell r="HP12">
            <v>40</v>
          </cell>
          <cell r="HQ12">
            <v>2</v>
          </cell>
          <cell r="HR12">
            <v>0</v>
          </cell>
          <cell r="HS12">
            <v>99</v>
          </cell>
          <cell r="HT12">
            <v>0</v>
          </cell>
          <cell r="HU12">
            <v>0</v>
          </cell>
          <cell r="HV12">
            <v>0</v>
          </cell>
          <cell r="HW12">
            <v>632</v>
          </cell>
          <cell r="HX12">
            <v>600</v>
          </cell>
          <cell r="HY12">
            <v>0</v>
          </cell>
          <cell r="HZ12">
            <v>124</v>
          </cell>
          <cell r="IA12">
            <v>0</v>
          </cell>
          <cell r="IB12">
            <v>0</v>
          </cell>
          <cell r="IC12">
            <v>0</v>
          </cell>
          <cell r="ID12">
            <v>86</v>
          </cell>
          <cell r="IE12">
            <v>0</v>
          </cell>
          <cell r="IF12">
            <v>0</v>
          </cell>
          <cell r="IG12">
            <v>300</v>
          </cell>
          <cell r="IH12">
            <v>0</v>
          </cell>
          <cell r="II12">
            <v>0</v>
          </cell>
          <cell r="IJ12">
            <v>300</v>
          </cell>
          <cell r="IK12">
            <v>0</v>
          </cell>
          <cell r="IL12">
            <v>0</v>
          </cell>
          <cell r="IM12">
            <v>0</v>
          </cell>
          <cell r="IN12">
            <v>1410</v>
          </cell>
          <cell r="IO12" t="str">
            <v>Police, Ambulance, Red Cross, SARArescue</v>
          </cell>
          <cell r="IP12" t="str">
            <v>SISU, Water Carrier, EPU, Boats x 3, 4 x 4 (Rope Rescue), Fogging Unit, Command Unit, MDU</v>
          </cell>
          <cell r="IQ12" t="str">
            <v>..</v>
          </cell>
          <cell r="IR12" t="str">
            <v>..</v>
          </cell>
          <cell r="IS12" t="str">
            <v>..</v>
          </cell>
          <cell r="IT12" t="str">
            <v>..</v>
          </cell>
          <cell r="IU12" t="str">
            <v>..</v>
          </cell>
          <cell r="IV12" t="str">
            <v>..</v>
          </cell>
          <cell r="IW12" t="str">
            <v>Police, Ambulance, Red Cross, SARArescue</v>
          </cell>
        </row>
        <row r="13">
          <cell r="B13" t="str">
            <v>E1920</v>
          </cell>
          <cell r="C13" t="str">
            <v>Hertfordshire</v>
          </cell>
          <cell r="D13" t="str">
            <v>1</v>
          </cell>
          <cell r="E13">
            <v>13</v>
          </cell>
          <cell r="F13">
            <v>9</v>
          </cell>
          <cell r="G13">
            <v>7</v>
          </cell>
          <cell r="H13">
            <v>0</v>
          </cell>
          <cell r="I13">
            <v>29</v>
          </cell>
          <cell r="J13">
            <v>19</v>
          </cell>
          <cell r="K13">
            <v>13</v>
          </cell>
          <cell r="L13">
            <v>9</v>
          </cell>
          <cell r="M13">
            <v>7</v>
          </cell>
          <cell r="N13">
            <v>0</v>
          </cell>
          <cell r="O13">
            <v>29</v>
          </cell>
          <cell r="P13">
            <v>19</v>
          </cell>
          <cell r="Q13">
            <v>40</v>
          </cell>
          <cell r="R13">
            <v>40</v>
          </cell>
          <cell r="S13">
            <v>2</v>
          </cell>
          <cell r="T13">
            <v>2</v>
          </cell>
          <cell r="U13">
            <v>44</v>
          </cell>
          <cell r="V13">
            <v>0</v>
          </cell>
          <cell r="W13">
            <v>6</v>
          </cell>
          <cell r="X13">
            <v>94</v>
          </cell>
          <cell r="Y13">
            <v>54</v>
          </cell>
          <cell r="Z13">
            <v>7</v>
          </cell>
          <cell r="AA13">
            <v>6</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v>22081</v>
          </cell>
          <cell r="AV13">
            <v>1951</v>
          </cell>
          <cell r="AW13">
            <v>1056</v>
          </cell>
          <cell r="AX13">
            <v>4025</v>
          </cell>
          <cell r="AY13">
            <v>1040</v>
          </cell>
          <cell r="AZ13">
            <v>139</v>
          </cell>
          <cell r="BA13">
            <v>30292</v>
          </cell>
          <cell r="BB13">
            <v>2671</v>
          </cell>
          <cell r="BC13">
            <v>1326</v>
          </cell>
          <cell r="BD13">
            <v>2878</v>
          </cell>
          <cell r="BE13">
            <v>2567</v>
          </cell>
          <cell r="BF13">
            <v>8</v>
          </cell>
          <cell r="BG13">
            <v>0</v>
          </cell>
          <cell r="BH13">
            <v>39742</v>
          </cell>
          <cell r="BI13">
            <v>0</v>
          </cell>
          <cell r="BJ13">
            <v>307</v>
          </cell>
          <cell r="BK13">
            <v>1442</v>
          </cell>
          <cell r="BL13">
            <v>1749</v>
          </cell>
          <cell r="BM13">
            <v>37993</v>
          </cell>
          <cell r="BN13">
            <v>2726</v>
          </cell>
          <cell r="BO13">
            <v>6695</v>
          </cell>
          <cell r="BP13">
            <v>0</v>
          </cell>
          <cell r="BQ13">
            <v>0</v>
          </cell>
          <cell r="BR13">
            <v>0</v>
          </cell>
          <cell r="BS13">
            <v>0</v>
          </cell>
          <cell r="BT13">
            <v>0</v>
          </cell>
          <cell r="BU13">
            <v>0</v>
          </cell>
          <cell r="BV13">
            <v>0</v>
          </cell>
          <cell r="BW13">
            <v>0</v>
          </cell>
          <cell r="BX13">
            <v>173</v>
          </cell>
          <cell r="BY13">
            <v>260</v>
          </cell>
          <cell r="BZ13">
            <v>0</v>
          </cell>
          <cell r="CA13">
            <v>0</v>
          </cell>
          <cell r="CB13">
            <v>433</v>
          </cell>
          <cell r="CC13">
            <v>0</v>
          </cell>
          <cell r="CD13">
            <v>5</v>
          </cell>
          <cell r="CE13">
            <v>624</v>
          </cell>
          <cell r="CF13">
            <v>0</v>
          </cell>
          <cell r="CG13">
            <v>720</v>
          </cell>
          <cell r="CH13">
            <v>24915</v>
          </cell>
          <cell r="CI13">
            <v>2047</v>
          </cell>
          <cell r="CJ13">
            <v>1162</v>
          </cell>
          <cell r="CK13">
            <v>3883</v>
          </cell>
          <cell r="CL13">
            <v>1005</v>
          </cell>
          <cell r="CM13">
            <v>128</v>
          </cell>
          <cell r="CN13">
            <v>33140</v>
          </cell>
          <cell r="CO13">
            <v>2868</v>
          </cell>
          <cell r="CP13">
            <v>1322</v>
          </cell>
          <cell r="CQ13">
            <v>2922</v>
          </cell>
          <cell r="CR13">
            <v>2391</v>
          </cell>
          <cell r="CS13">
            <v>0</v>
          </cell>
          <cell r="CT13">
            <v>0</v>
          </cell>
          <cell r="CU13">
            <v>42643</v>
          </cell>
          <cell r="CV13">
            <v>0</v>
          </cell>
          <cell r="CW13">
            <v>310</v>
          </cell>
          <cell r="CX13">
            <v>1449</v>
          </cell>
          <cell r="CY13">
            <v>1759</v>
          </cell>
          <cell r="CZ13">
            <v>40884</v>
          </cell>
          <cell r="DA13">
            <v>0</v>
          </cell>
          <cell r="DB13">
            <v>0</v>
          </cell>
          <cell r="DC13">
            <v>0</v>
          </cell>
          <cell r="DD13">
            <v>0</v>
          </cell>
          <cell r="DE13">
            <v>0</v>
          </cell>
          <cell r="DF13">
            <v>0</v>
          </cell>
          <cell r="DG13">
            <v>0</v>
          </cell>
          <cell r="DH13">
            <v>0</v>
          </cell>
          <cell r="DI13">
            <v>0</v>
          </cell>
          <cell r="DJ13">
            <v>0</v>
          </cell>
          <cell r="DK13">
            <v>173</v>
          </cell>
          <cell r="DL13">
            <v>189</v>
          </cell>
          <cell r="DM13">
            <v>0</v>
          </cell>
          <cell r="DN13">
            <v>0</v>
          </cell>
          <cell r="DO13">
            <v>362</v>
          </cell>
          <cell r="DP13">
            <v>0</v>
          </cell>
          <cell r="DQ13">
            <v>0</v>
          </cell>
          <cell r="DR13">
            <v>370</v>
          </cell>
          <cell r="DS13">
            <v>0</v>
          </cell>
          <cell r="DT13">
            <v>720</v>
          </cell>
          <cell r="DU13">
            <v>0</v>
          </cell>
          <cell r="DV13">
            <v>0</v>
          </cell>
          <cell r="DW13">
            <v>20.6</v>
          </cell>
          <cell r="DX13">
            <v>0</v>
          </cell>
          <cell r="DY13">
            <v>0</v>
          </cell>
          <cell r="DZ13">
            <v>0</v>
          </cell>
          <cell r="EA13">
            <v>0</v>
          </cell>
          <cell r="EB13">
            <v>0</v>
          </cell>
          <cell r="EC13">
            <v>0</v>
          </cell>
          <cell r="ED13">
            <v>0</v>
          </cell>
          <cell r="EE13">
            <v>1859</v>
          </cell>
          <cell r="EF13">
            <v>853</v>
          </cell>
          <cell r="EG13">
            <v>2712</v>
          </cell>
          <cell r="EH13">
            <v>36660</v>
          </cell>
          <cell r="EI13">
            <v>1124</v>
          </cell>
          <cell r="EJ13">
            <v>101</v>
          </cell>
          <cell r="EK13">
            <v>37885</v>
          </cell>
          <cell r="EL13">
            <v>0</v>
          </cell>
          <cell r="EM13">
            <v>-78</v>
          </cell>
          <cell r="EN13">
            <v>200</v>
          </cell>
          <cell r="EO13">
            <v>40719</v>
          </cell>
          <cell r="EP13">
            <v>406</v>
          </cell>
          <cell r="EQ13">
            <v>186</v>
          </cell>
          <cell r="ER13">
            <v>592</v>
          </cell>
          <cell r="ES13">
            <v>0.21828908554572271</v>
          </cell>
          <cell r="ET13">
            <v>4219</v>
          </cell>
          <cell r="EU13">
            <v>129</v>
          </cell>
          <cell r="EV13">
            <v>12</v>
          </cell>
          <cell r="EW13">
            <v>4360</v>
          </cell>
          <cell r="EX13">
            <v>0</v>
          </cell>
          <cell r="EY13">
            <v>-78</v>
          </cell>
          <cell r="EZ13">
            <v>23</v>
          </cell>
          <cell r="FA13">
            <v>4897</v>
          </cell>
          <cell r="FB13">
            <v>-2696</v>
          </cell>
          <cell r="FC13">
            <v>-41</v>
          </cell>
          <cell r="FD13">
            <v>0</v>
          </cell>
          <cell r="FE13">
            <v>-2208</v>
          </cell>
          <cell r="FF13">
            <v>-20</v>
          </cell>
          <cell r="FG13">
            <v>11072</v>
          </cell>
          <cell r="FH13">
            <v>3964</v>
          </cell>
          <cell r="FI13">
            <v>0</v>
          </cell>
          <cell r="FJ13">
            <v>10071</v>
          </cell>
          <cell r="FK13">
            <v>685</v>
          </cell>
          <cell r="FL13">
            <v>0</v>
          </cell>
          <cell r="FM13">
            <v>-4857.2</v>
          </cell>
          <cell r="FN13">
            <v>-22.4</v>
          </cell>
          <cell r="FO13">
            <v>0</v>
          </cell>
          <cell r="FP13">
            <v>-2110.5</v>
          </cell>
          <cell r="FQ13">
            <v>-3.38</v>
          </cell>
          <cell r="FR13">
            <v>11329.2</v>
          </cell>
          <cell r="FS13">
            <v>2260.8000000000002</v>
          </cell>
          <cell r="FT13">
            <v>2.3199999999999998</v>
          </cell>
          <cell r="FU13">
            <v>6598.8400000000011</v>
          </cell>
          <cell r="FV13">
            <v>738</v>
          </cell>
          <cell r="FW13">
            <v>0</v>
          </cell>
          <cell r="FX13">
            <v>684</v>
          </cell>
          <cell r="FY13">
            <v>700</v>
          </cell>
          <cell r="FZ13">
            <v>30</v>
          </cell>
          <cell r="GA13">
            <v>0</v>
          </cell>
          <cell r="GB13">
            <v>70</v>
          </cell>
          <cell r="GC13">
            <v>11</v>
          </cell>
          <cell r="GD13">
            <v>523</v>
          </cell>
          <cell r="GE13">
            <v>11</v>
          </cell>
          <cell r="GF13">
            <v>79</v>
          </cell>
          <cell r="GG13">
            <v>157</v>
          </cell>
          <cell r="GH13">
            <v>73</v>
          </cell>
          <cell r="GI13">
            <v>0</v>
          </cell>
          <cell r="GJ13">
            <v>286</v>
          </cell>
          <cell r="GK13">
            <v>0</v>
          </cell>
          <cell r="GL13">
            <v>15</v>
          </cell>
          <cell r="GM13">
            <v>286</v>
          </cell>
          <cell r="GN13">
            <v>0</v>
          </cell>
          <cell r="GO13">
            <v>10</v>
          </cell>
          <cell r="GP13">
            <v>0</v>
          </cell>
          <cell r="GQ13">
            <v>0</v>
          </cell>
          <cell r="GR13">
            <v>0</v>
          </cell>
          <cell r="GS13">
            <v>0</v>
          </cell>
          <cell r="GT13">
            <v>174</v>
          </cell>
          <cell r="GU13">
            <v>1872</v>
          </cell>
          <cell r="GV13">
            <v>0</v>
          </cell>
          <cell r="GW13">
            <v>0</v>
          </cell>
          <cell r="GX13">
            <v>14</v>
          </cell>
          <cell r="GY13">
            <v>115</v>
          </cell>
          <cell r="GZ13">
            <v>3</v>
          </cell>
          <cell r="HA13">
            <v>49</v>
          </cell>
          <cell r="HB13">
            <v>662</v>
          </cell>
          <cell r="HC13">
            <v>0</v>
          </cell>
          <cell r="HD13">
            <v>0</v>
          </cell>
          <cell r="HE13">
            <v>0</v>
          </cell>
          <cell r="HF13">
            <v>2889</v>
          </cell>
          <cell r="HG13">
            <v>0</v>
          </cell>
          <cell r="HH13">
            <v>0</v>
          </cell>
          <cell r="HI13">
            <v>0</v>
          </cell>
          <cell r="HJ13">
            <v>0</v>
          </cell>
          <cell r="HK13">
            <v>129</v>
          </cell>
          <cell r="HL13">
            <v>648</v>
          </cell>
          <cell r="HM13">
            <v>0</v>
          </cell>
          <cell r="HN13">
            <v>0</v>
          </cell>
          <cell r="HO13">
            <v>46</v>
          </cell>
          <cell r="HP13">
            <v>239</v>
          </cell>
          <cell r="HQ13">
            <v>219</v>
          </cell>
          <cell r="HR13">
            <v>58</v>
          </cell>
          <cell r="HS13">
            <v>412</v>
          </cell>
          <cell r="HT13">
            <v>0</v>
          </cell>
          <cell r="HU13">
            <v>0</v>
          </cell>
          <cell r="HV13">
            <v>0</v>
          </cell>
          <cell r="HW13">
            <v>1751</v>
          </cell>
          <cell r="HX13">
            <v>0</v>
          </cell>
          <cell r="HY13">
            <v>0</v>
          </cell>
          <cell r="HZ13">
            <v>0</v>
          </cell>
          <cell r="IA13">
            <v>0</v>
          </cell>
          <cell r="IB13">
            <v>105</v>
          </cell>
          <cell r="IC13">
            <v>2519</v>
          </cell>
          <cell r="ID13">
            <v>0</v>
          </cell>
          <cell r="IE13">
            <v>0</v>
          </cell>
          <cell r="IF13">
            <v>0</v>
          </cell>
          <cell r="IG13">
            <v>100</v>
          </cell>
          <cell r="IH13">
            <v>377</v>
          </cell>
          <cell r="II13">
            <v>113</v>
          </cell>
          <cell r="IJ13">
            <v>286</v>
          </cell>
          <cell r="IK13">
            <v>0</v>
          </cell>
          <cell r="IL13">
            <v>0</v>
          </cell>
          <cell r="IM13">
            <v>0</v>
          </cell>
          <cell r="IN13">
            <v>3500</v>
          </cell>
          <cell r="IO13" t="str">
            <v>Ambulance - 18 &amp; ambulance/police - 1</v>
          </cell>
          <cell r="IP13" t="str">
            <v>Water Rescue Unit, Rescue Support Unit</v>
          </cell>
          <cell r="IQ13" t="str">
            <v>Cross border charges</v>
          </cell>
          <cell r="IR13" t="str">
            <v>..</v>
          </cell>
          <cell r="IS13" t="str">
            <v>Cross border charges, other grants, sponsorship &amp; bank interest</v>
          </cell>
          <cell r="IT13" t="str">
            <v>Secondments, rental income, training, fire hydrant testing, non-emergency operational incidents, licence fees, room hire &amp; catering</v>
          </cell>
          <cell r="IU13" t="str">
            <v>..</v>
          </cell>
          <cell r="IV13"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cell r="IW13" t="str">
            <v>East of England Ambulance</v>
          </cell>
        </row>
        <row r="14">
          <cell r="B14" t="str">
            <v>E2101</v>
          </cell>
          <cell r="C14" t="str">
            <v>Isle of Wight</v>
          </cell>
          <cell r="D14" t="str">
            <v>1</v>
          </cell>
          <cell r="E14">
            <v>1</v>
          </cell>
          <cell r="F14">
            <v>8</v>
          </cell>
          <cell r="G14">
            <v>1</v>
          </cell>
          <cell r="H14">
            <v>0</v>
          </cell>
          <cell r="I14">
            <v>10</v>
          </cell>
          <cell r="J14">
            <v>1</v>
          </cell>
          <cell r="K14">
            <v>1</v>
          </cell>
          <cell r="L14">
            <v>8</v>
          </cell>
          <cell r="M14">
            <v>1</v>
          </cell>
          <cell r="N14">
            <v>0</v>
          </cell>
          <cell r="O14">
            <v>10</v>
          </cell>
          <cell r="P14">
            <v>1</v>
          </cell>
          <cell r="Q14">
            <v>16</v>
          </cell>
          <cell r="R14">
            <v>16</v>
          </cell>
          <cell r="S14">
            <v>2</v>
          </cell>
          <cell r="T14">
            <v>3</v>
          </cell>
          <cell r="U14">
            <v>13</v>
          </cell>
          <cell r="V14">
            <v>0</v>
          </cell>
          <cell r="W14">
            <v>4</v>
          </cell>
          <cell r="X14">
            <v>38</v>
          </cell>
          <cell r="Y14">
            <v>16</v>
          </cell>
          <cell r="Z14">
            <v>2</v>
          </cell>
          <cell r="AA14">
            <v>1</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v>3820.9295000000002</v>
          </cell>
          <cell r="AV14">
            <v>777.73662000000013</v>
          </cell>
          <cell r="AW14">
            <v>0</v>
          </cell>
          <cell r="AX14">
            <v>538.79261999999994</v>
          </cell>
          <cell r="AY14">
            <v>41.819180000000003</v>
          </cell>
          <cell r="AZ14">
            <v>4.3947899999999995</v>
          </cell>
          <cell r="BA14">
            <v>5183.6727100000007</v>
          </cell>
          <cell r="BB14">
            <v>393.75031999999993</v>
          </cell>
          <cell r="BC14">
            <v>197.11608999999999</v>
          </cell>
          <cell r="BD14">
            <v>969.21798999999999</v>
          </cell>
          <cell r="BE14">
            <v>350.14497999999998</v>
          </cell>
          <cell r="BF14">
            <v>0</v>
          </cell>
          <cell r="BG14">
            <v>0</v>
          </cell>
          <cell r="BH14">
            <v>7093.9020900000014</v>
          </cell>
          <cell r="BI14">
            <v>113</v>
          </cell>
          <cell r="BJ14">
            <v>0</v>
          </cell>
          <cell r="BK14">
            <v>178</v>
          </cell>
          <cell r="BL14">
            <v>291</v>
          </cell>
          <cell r="BM14">
            <v>6802.9020900000014</v>
          </cell>
          <cell r="BN14">
            <v>636</v>
          </cell>
          <cell r="BO14">
            <v>-333</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58.637999999999998</v>
          </cell>
          <cell r="CE14">
            <v>463.12299999999999</v>
          </cell>
          <cell r="CF14">
            <v>0</v>
          </cell>
          <cell r="CG14">
            <v>152</v>
          </cell>
          <cell r="CH14">
            <v>3904.4583503827703</v>
          </cell>
          <cell r="CI14">
            <v>1086.9092042963612</v>
          </cell>
          <cell r="CJ14">
            <v>0</v>
          </cell>
          <cell r="CK14">
            <v>528.18100000000004</v>
          </cell>
          <cell r="CL14">
            <v>40.935000000000002</v>
          </cell>
          <cell r="CM14">
            <v>4.218</v>
          </cell>
          <cell r="CN14">
            <v>5564.7015546791317</v>
          </cell>
          <cell r="CO14">
            <v>328.178</v>
          </cell>
          <cell r="CP14">
            <v>200.38200000000001</v>
          </cell>
          <cell r="CQ14">
            <v>701.89800000000002</v>
          </cell>
          <cell r="CR14">
            <v>591.13</v>
          </cell>
          <cell r="CS14">
            <v>0</v>
          </cell>
          <cell r="CT14">
            <v>0</v>
          </cell>
          <cell r="CU14">
            <v>7386.2895546791315</v>
          </cell>
          <cell r="CV14">
            <v>424</v>
          </cell>
          <cell r="CW14">
            <v>0</v>
          </cell>
          <cell r="CX14">
            <v>90</v>
          </cell>
          <cell r="CY14">
            <v>514</v>
          </cell>
          <cell r="CZ14">
            <v>6872.2895546791315</v>
          </cell>
          <cell r="DA14">
            <v>581</v>
          </cell>
          <cell r="DB14">
            <v>69</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69</v>
          </cell>
          <cell r="DR14">
            <v>207</v>
          </cell>
          <cell r="DS14">
            <v>0</v>
          </cell>
          <cell r="DT14">
            <v>68</v>
          </cell>
          <cell r="DU14">
            <v>0</v>
          </cell>
          <cell r="DV14">
            <v>0</v>
          </cell>
          <cell r="DW14">
            <v>23.5</v>
          </cell>
          <cell r="DX14">
            <v>0</v>
          </cell>
          <cell r="DY14">
            <v>0</v>
          </cell>
          <cell r="DZ14">
            <v>0</v>
          </cell>
          <cell r="EA14">
            <v>0</v>
          </cell>
          <cell r="EB14">
            <v>0</v>
          </cell>
          <cell r="EC14">
            <v>0</v>
          </cell>
          <cell r="ED14">
            <v>0</v>
          </cell>
          <cell r="EE14" t="str">
            <v>..</v>
          </cell>
          <cell r="EF14" t="str">
            <v>..</v>
          </cell>
          <cell r="EG14">
            <v>1457</v>
          </cell>
          <cell r="EH14" t="str">
            <v>..</v>
          </cell>
          <cell r="EI14" t="str">
            <v>..</v>
          </cell>
          <cell r="EJ14" t="str">
            <v>..</v>
          </cell>
          <cell r="EK14">
            <v>5982</v>
          </cell>
          <cell r="EL14">
            <v>0</v>
          </cell>
          <cell r="EM14">
            <v>0</v>
          </cell>
          <cell r="EN14">
            <v>0</v>
          </cell>
          <cell r="EO14">
            <v>7439</v>
          </cell>
          <cell r="EP14" t="str">
            <v>..</v>
          </cell>
          <cell r="EQ14" t="str">
            <v>..</v>
          </cell>
          <cell r="ER14">
            <v>88</v>
          </cell>
          <cell r="ES14">
            <v>6.0398078242964996E-2</v>
          </cell>
          <cell r="ET14" t="str">
            <v>..</v>
          </cell>
          <cell r="EU14" t="str">
            <v>..</v>
          </cell>
          <cell r="EV14" t="str">
            <v>..</v>
          </cell>
          <cell r="EW14">
            <v>263</v>
          </cell>
          <cell r="EX14">
            <v>0</v>
          </cell>
          <cell r="EY14">
            <v>0</v>
          </cell>
          <cell r="EZ14">
            <v>0</v>
          </cell>
          <cell r="FA14">
            <v>351</v>
          </cell>
          <cell r="FB14">
            <v>-390.58529000000004</v>
          </cell>
          <cell r="FC14">
            <v>0</v>
          </cell>
          <cell r="FD14">
            <v>0</v>
          </cell>
          <cell r="FE14">
            <v>-368.21229</v>
          </cell>
          <cell r="FF14">
            <v>0</v>
          </cell>
          <cell r="FG14">
            <v>1609.5161300000002</v>
          </cell>
          <cell r="FH14">
            <v>162.24722999999997</v>
          </cell>
          <cell r="FI14">
            <v>0</v>
          </cell>
          <cell r="FJ14">
            <v>1012.9657800000001</v>
          </cell>
          <cell r="FK14">
            <v>441.01342999999997</v>
          </cell>
          <cell r="FL14">
            <v>0</v>
          </cell>
          <cell r="FM14">
            <v>-668.8974768779608</v>
          </cell>
          <cell r="FN14">
            <v>0</v>
          </cell>
          <cell r="FO14">
            <v>0</v>
          </cell>
          <cell r="FP14">
            <v>-375.57653579999999</v>
          </cell>
          <cell r="FQ14">
            <v>0</v>
          </cell>
          <cell r="FR14">
            <v>1641.7064526000001</v>
          </cell>
          <cell r="FS14">
            <v>1.6020000000000001</v>
          </cell>
          <cell r="FT14">
            <v>0</v>
          </cell>
          <cell r="FU14">
            <v>598.83443992203945</v>
          </cell>
          <cell r="FV14">
            <v>412.08600000000001</v>
          </cell>
          <cell r="FW14">
            <v>0</v>
          </cell>
          <cell r="FX14">
            <v>117</v>
          </cell>
          <cell r="FY14">
            <v>119</v>
          </cell>
          <cell r="FZ14">
            <v>2</v>
          </cell>
          <cell r="GA14">
            <v>0</v>
          </cell>
          <cell r="GB14">
            <v>21</v>
          </cell>
          <cell r="GC14">
            <v>2</v>
          </cell>
          <cell r="GD14">
            <v>92</v>
          </cell>
          <cell r="GE14">
            <v>15</v>
          </cell>
          <cell r="GF14">
            <v>0</v>
          </cell>
          <cell r="GG14">
            <v>3</v>
          </cell>
          <cell r="GH14">
            <v>4</v>
          </cell>
          <cell r="GI14">
            <v>0</v>
          </cell>
          <cell r="GJ14">
            <v>139</v>
          </cell>
          <cell r="GK14">
            <v>0</v>
          </cell>
          <cell r="GL14">
            <v>0</v>
          </cell>
          <cell r="GM14">
            <v>54</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19</v>
          </cell>
          <cell r="HF14">
            <v>19</v>
          </cell>
          <cell r="HG14">
            <v>77</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1</v>
          </cell>
          <cell r="HW14">
            <v>78</v>
          </cell>
          <cell r="HX14">
            <v>303</v>
          </cell>
          <cell r="HY14">
            <v>0</v>
          </cell>
          <cell r="HZ14">
            <v>0</v>
          </cell>
          <cell r="IA14">
            <v>0</v>
          </cell>
          <cell r="IB14">
            <v>0</v>
          </cell>
          <cell r="IC14">
            <v>300</v>
          </cell>
          <cell r="ID14">
            <v>0</v>
          </cell>
          <cell r="IE14">
            <v>0</v>
          </cell>
          <cell r="IF14">
            <v>0</v>
          </cell>
          <cell r="IG14">
            <v>0</v>
          </cell>
          <cell r="IH14">
            <v>0</v>
          </cell>
          <cell r="II14">
            <v>0</v>
          </cell>
          <cell r="IJ14">
            <v>0</v>
          </cell>
          <cell r="IK14">
            <v>0</v>
          </cell>
          <cell r="IL14">
            <v>0</v>
          </cell>
          <cell r="IM14">
            <v>7</v>
          </cell>
          <cell r="IN14">
            <v>610</v>
          </cell>
          <cell r="IO14" t="str">
            <v>police share Cowes station and use it as a Police Station.2 other Fire station facilities are used by Ambulance service but not 'shared'.</v>
          </cell>
          <cell r="IP14" t="str">
            <v>rescue tender, water/animal rescue tender, landrover</v>
          </cell>
          <cell r="IQ14" t="str">
            <v>..</v>
          </cell>
          <cell r="IR14" t="str">
            <v>..</v>
          </cell>
          <cell r="IS14" t="str">
            <v>..</v>
          </cell>
          <cell r="IT14" t="str">
            <v>..</v>
          </cell>
          <cell r="IU14" t="str">
            <v>..</v>
          </cell>
          <cell r="IV14" t="str">
            <v>..</v>
          </cell>
          <cell r="IW14" t="str">
            <v>Police</v>
          </cell>
        </row>
        <row r="15">
          <cell r="B15" t="str">
            <v>E2520</v>
          </cell>
          <cell r="C15" t="str">
            <v>Lincolnshire</v>
          </cell>
          <cell r="D15" t="str">
            <v>1</v>
          </cell>
          <cell r="E15">
            <v>0</v>
          </cell>
          <cell r="F15">
            <v>29</v>
          </cell>
          <cell r="G15">
            <v>9</v>
          </cell>
          <cell r="H15">
            <v>0</v>
          </cell>
          <cell r="I15">
            <v>38</v>
          </cell>
          <cell r="J15">
            <v>4</v>
          </cell>
          <cell r="K15">
            <v>0</v>
          </cell>
          <cell r="L15">
            <v>29</v>
          </cell>
          <cell r="M15">
            <v>9</v>
          </cell>
          <cell r="N15">
            <v>0</v>
          </cell>
          <cell r="O15">
            <v>38</v>
          </cell>
          <cell r="P15">
            <v>5</v>
          </cell>
          <cell r="Q15">
            <v>48</v>
          </cell>
          <cell r="R15">
            <v>48</v>
          </cell>
          <cell r="S15">
            <v>2</v>
          </cell>
          <cell r="T15">
            <v>37</v>
          </cell>
          <cell r="U15">
            <v>49</v>
          </cell>
          <cell r="V15">
            <v>0</v>
          </cell>
          <cell r="W15">
            <v>6</v>
          </cell>
          <cell r="X15">
            <v>142</v>
          </cell>
          <cell r="Y15">
            <v>40</v>
          </cell>
          <cell r="Z15">
            <v>5</v>
          </cell>
          <cell r="AA15">
            <v>3</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v>10137</v>
          </cell>
          <cell r="AV15">
            <v>4300</v>
          </cell>
          <cell r="AW15">
            <v>683</v>
          </cell>
          <cell r="AX15">
            <v>1884</v>
          </cell>
          <cell r="AY15">
            <v>588</v>
          </cell>
          <cell r="AZ15">
            <v>17</v>
          </cell>
          <cell r="BA15">
            <v>17609</v>
          </cell>
          <cell r="BB15">
            <v>1299</v>
          </cell>
          <cell r="BC15">
            <v>1262</v>
          </cell>
          <cell r="BD15">
            <v>1822</v>
          </cell>
          <cell r="BE15">
            <v>2943</v>
          </cell>
          <cell r="BF15">
            <v>0</v>
          </cell>
          <cell r="BG15">
            <v>0</v>
          </cell>
          <cell r="BH15">
            <v>24935</v>
          </cell>
          <cell r="BI15">
            <v>1184</v>
          </cell>
          <cell r="BJ15">
            <v>0</v>
          </cell>
          <cell r="BK15">
            <v>1041</v>
          </cell>
          <cell r="BL15">
            <v>2225</v>
          </cell>
          <cell r="BM15">
            <v>22710</v>
          </cell>
          <cell r="BN15">
            <v>4108</v>
          </cell>
          <cell r="BO15">
            <v>685</v>
          </cell>
          <cell r="BP15">
            <v>0</v>
          </cell>
          <cell r="BQ15">
            <v>0</v>
          </cell>
          <cell r="BR15">
            <v>0</v>
          </cell>
          <cell r="BS15">
            <v>0</v>
          </cell>
          <cell r="BT15">
            <v>0</v>
          </cell>
          <cell r="BU15">
            <v>0</v>
          </cell>
          <cell r="BV15">
            <v>0</v>
          </cell>
          <cell r="BW15">
            <v>0</v>
          </cell>
          <cell r="BX15">
            <v>0</v>
          </cell>
          <cell r="BY15">
            <v>0</v>
          </cell>
          <cell r="BZ15">
            <v>0</v>
          </cell>
          <cell r="CA15">
            <v>0</v>
          </cell>
          <cell r="CB15">
            <v>0</v>
          </cell>
          <cell r="CC15">
            <v>96</v>
          </cell>
          <cell r="CD15">
            <v>0</v>
          </cell>
          <cell r="CE15">
            <v>0</v>
          </cell>
          <cell r="CF15">
            <v>0</v>
          </cell>
          <cell r="CG15">
            <v>27</v>
          </cell>
          <cell r="CH15">
            <v>10332</v>
          </cell>
          <cell r="CI15">
            <v>4629</v>
          </cell>
          <cell r="CJ15">
            <v>721</v>
          </cell>
          <cell r="CK15">
            <v>1559</v>
          </cell>
          <cell r="CL15">
            <v>502</v>
          </cell>
          <cell r="CM15">
            <v>21</v>
          </cell>
          <cell r="CN15">
            <v>17764</v>
          </cell>
          <cell r="CO15">
            <v>1299</v>
          </cell>
          <cell r="CP15">
            <v>1189</v>
          </cell>
          <cell r="CQ15">
            <v>1975</v>
          </cell>
          <cell r="CR15">
            <v>2750</v>
          </cell>
          <cell r="CS15">
            <v>0</v>
          </cell>
          <cell r="CT15">
            <v>0</v>
          </cell>
          <cell r="CU15">
            <v>24977</v>
          </cell>
          <cell r="CV15">
            <v>1191</v>
          </cell>
          <cell r="CW15">
            <v>0</v>
          </cell>
          <cell r="CX15">
            <v>1486</v>
          </cell>
          <cell r="CY15">
            <v>2677</v>
          </cell>
          <cell r="CZ15">
            <v>22300</v>
          </cell>
          <cell r="DA15">
            <v>4108</v>
          </cell>
          <cell r="DB15">
            <v>685</v>
          </cell>
          <cell r="DC15">
            <v>0</v>
          </cell>
          <cell r="DD15">
            <v>0</v>
          </cell>
          <cell r="DE15">
            <v>0</v>
          </cell>
          <cell r="DF15">
            <v>0</v>
          </cell>
          <cell r="DG15">
            <v>0</v>
          </cell>
          <cell r="DH15">
            <v>0</v>
          </cell>
          <cell r="DI15">
            <v>0</v>
          </cell>
          <cell r="DJ15">
            <v>0</v>
          </cell>
          <cell r="DK15">
            <v>0</v>
          </cell>
          <cell r="DL15">
            <v>0</v>
          </cell>
          <cell r="DM15">
            <v>0</v>
          </cell>
          <cell r="DN15">
            <v>0</v>
          </cell>
          <cell r="DO15">
            <v>0</v>
          </cell>
          <cell r="DP15">
            <v>86</v>
          </cell>
          <cell r="DQ15">
            <v>0</v>
          </cell>
          <cell r="DR15">
            <v>0</v>
          </cell>
          <cell r="DS15">
            <v>0</v>
          </cell>
          <cell r="DT15">
            <v>0</v>
          </cell>
          <cell r="DU15">
            <v>0</v>
          </cell>
          <cell r="DV15">
            <v>50</v>
          </cell>
          <cell r="DW15">
            <v>16.399999999999999</v>
          </cell>
          <cell r="DX15">
            <v>0</v>
          </cell>
          <cell r="DY15">
            <v>0</v>
          </cell>
          <cell r="DZ15">
            <v>0</v>
          </cell>
          <cell r="EA15">
            <v>0</v>
          </cell>
          <cell r="EB15">
            <v>0</v>
          </cell>
          <cell r="EC15">
            <v>0</v>
          </cell>
          <cell r="ED15">
            <v>0</v>
          </cell>
          <cell r="EE15" t="str">
            <v>..</v>
          </cell>
          <cell r="EF15" t="str">
            <v>..</v>
          </cell>
          <cell r="EG15">
            <v>1184</v>
          </cell>
          <cell r="EH15" t="str">
            <v>..</v>
          </cell>
          <cell r="EI15" t="str">
            <v>..</v>
          </cell>
          <cell r="EJ15" t="str">
            <v>..</v>
          </cell>
          <cell r="EK15">
            <v>25634</v>
          </cell>
          <cell r="EL15">
            <v>0</v>
          </cell>
          <cell r="EM15">
            <v>0</v>
          </cell>
          <cell r="EN15">
            <v>0</v>
          </cell>
          <cell r="EO15">
            <v>26818</v>
          </cell>
          <cell r="EP15" t="str">
            <v>..</v>
          </cell>
          <cell r="EQ15" t="str">
            <v>..</v>
          </cell>
          <cell r="ER15">
            <v>203</v>
          </cell>
          <cell r="ES15">
            <v>0.17145270270270271</v>
          </cell>
          <cell r="ET15" t="str">
            <v>..</v>
          </cell>
          <cell r="EU15" t="str">
            <v>..</v>
          </cell>
          <cell r="EV15" t="str">
            <v>..</v>
          </cell>
          <cell r="EW15">
            <v>2723</v>
          </cell>
          <cell r="EX15">
            <v>0</v>
          </cell>
          <cell r="EY15">
            <v>0</v>
          </cell>
          <cell r="EZ15">
            <v>0</v>
          </cell>
          <cell r="FA15">
            <v>2926</v>
          </cell>
          <cell r="FB15">
            <v>-1690</v>
          </cell>
          <cell r="FC15">
            <v>0</v>
          </cell>
          <cell r="FD15">
            <v>0</v>
          </cell>
          <cell r="FE15">
            <v>-1405</v>
          </cell>
          <cell r="FF15">
            <v>-75</v>
          </cell>
          <cell r="FG15">
            <v>5348</v>
          </cell>
          <cell r="FH15">
            <v>2109</v>
          </cell>
          <cell r="FI15">
            <v>0</v>
          </cell>
          <cell r="FJ15">
            <v>4287</v>
          </cell>
          <cell r="FK15">
            <v>444</v>
          </cell>
          <cell r="FL15">
            <v>0</v>
          </cell>
          <cell r="FM15">
            <v>-1671</v>
          </cell>
          <cell r="FN15">
            <v>0</v>
          </cell>
          <cell r="FO15">
            <v>0</v>
          </cell>
          <cell r="FP15">
            <v>-1346</v>
          </cell>
          <cell r="FQ15">
            <v>-35</v>
          </cell>
          <cell r="FR15">
            <v>5521</v>
          </cell>
          <cell r="FS15">
            <v>1588</v>
          </cell>
          <cell r="FT15">
            <v>0</v>
          </cell>
          <cell r="FU15">
            <v>4057</v>
          </cell>
          <cell r="FV15">
            <v>444</v>
          </cell>
          <cell r="FW15">
            <v>0</v>
          </cell>
          <cell r="FX15">
            <v>392</v>
          </cell>
          <cell r="FY15">
            <v>392</v>
          </cell>
          <cell r="FZ15">
            <v>18</v>
          </cell>
          <cell r="GA15">
            <v>0</v>
          </cell>
          <cell r="GB15">
            <v>40</v>
          </cell>
          <cell r="GC15">
            <v>19</v>
          </cell>
          <cell r="GD15">
            <v>508</v>
          </cell>
          <cell r="GE15">
            <v>14</v>
          </cell>
          <cell r="GF15">
            <v>13</v>
          </cell>
          <cell r="GG15">
            <v>321</v>
          </cell>
          <cell r="GH15">
            <v>185</v>
          </cell>
          <cell r="GI15">
            <v>15</v>
          </cell>
          <cell r="GJ15">
            <v>150</v>
          </cell>
          <cell r="GK15">
            <v>0</v>
          </cell>
          <cell r="GL15">
            <v>0</v>
          </cell>
          <cell r="GM15">
            <v>150</v>
          </cell>
          <cell r="GN15">
            <v>0</v>
          </cell>
          <cell r="GO15">
            <v>0</v>
          </cell>
          <cell r="GP15">
            <v>73</v>
          </cell>
          <cell r="GQ15">
            <v>0</v>
          </cell>
          <cell r="GR15">
            <v>0</v>
          </cell>
          <cell r="GS15">
            <v>331</v>
          </cell>
          <cell r="GT15">
            <v>0</v>
          </cell>
          <cell r="GU15">
            <v>69</v>
          </cell>
          <cell r="GV15">
            <v>0</v>
          </cell>
          <cell r="GW15">
            <v>0</v>
          </cell>
          <cell r="GX15">
            <v>106</v>
          </cell>
          <cell r="GY15">
            <v>0</v>
          </cell>
          <cell r="GZ15">
            <v>0</v>
          </cell>
          <cell r="HA15">
            <v>0</v>
          </cell>
          <cell r="HB15">
            <v>31</v>
          </cell>
          <cell r="HC15">
            <v>0</v>
          </cell>
          <cell r="HD15">
            <v>0</v>
          </cell>
          <cell r="HE15">
            <v>0</v>
          </cell>
          <cell r="HF15">
            <v>610</v>
          </cell>
          <cell r="HG15">
            <v>183</v>
          </cell>
          <cell r="HH15">
            <v>0</v>
          </cell>
          <cell r="HI15">
            <v>5792.5129999999999</v>
          </cell>
          <cell r="HJ15">
            <v>245</v>
          </cell>
          <cell r="HK15">
            <v>0</v>
          </cell>
          <cell r="HL15">
            <v>1670</v>
          </cell>
          <cell r="HM15">
            <v>0</v>
          </cell>
          <cell r="HN15">
            <v>0</v>
          </cell>
          <cell r="HO15">
            <v>182</v>
          </cell>
          <cell r="HP15">
            <v>0</v>
          </cell>
          <cell r="HQ15">
            <v>0</v>
          </cell>
          <cell r="HR15">
            <v>0</v>
          </cell>
          <cell r="HS15">
            <v>31</v>
          </cell>
          <cell r="HT15">
            <v>0</v>
          </cell>
          <cell r="HU15">
            <v>0</v>
          </cell>
          <cell r="HV15">
            <v>0</v>
          </cell>
          <cell r="HW15">
            <v>8103.5129999999999</v>
          </cell>
          <cell r="HX15">
            <v>265</v>
          </cell>
          <cell r="HY15">
            <v>0</v>
          </cell>
          <cell r="HZ15">
            <v>1.351275</v>
          </cell>
          <cell r="IA15">
            <v>234</v>
          </cell>
          <cell r="IB15">
            <v>0</v>
          </cell>
          <cell r="IC15">
            <v>5775</v>
          </cell>
          <cell r="ID15">
            <v>0</v>
          </cell>
          <cell r="IE15">
            <v>0</v>
          </cell>
          <cell r="IF15">
            <v>875</v>
          </cell>
          <cell r="IG15">
            <v>0</v>
          </cell>
          <cell r="IH15">
            <v>0</v>
          </cell>
          <cell r="II15">
            <v>0</v>
          </cell>
          <cell r="IJ15">
            <v>90</v>
          </cell>
          <cell r="IK15">
            <v>0</v>
          </cell>
          <cell r="IL15">
            <v>0</v>
          </cell>
          <cell r="IM15">
            <v>0</v>
          </cell>
          <cell r="IN15">
            <v>7240.351275</v>
          </cell>
          <cell r="IO15" t="str">
            <v>year end 31.3.19: 2 x stations shared with Lincs Police, 2 x stations shared with Ambulance. Est 31.3.20 Further 1 station shared with both Ambulance and Police.</v>
          </cell>
          <cell r="IP15" t="str">
            <v>23 x inflatable boats, 7 x swift water rescue vans, 2 x rescue support units, 1 x water carrier, 2 x canine units, 2 x mobile flood pump units</v>
          </cell>
          <cell r="IQ15" t="str">
            <v>..</v>
          </cell>
          <cell r="IR15" t="str">
            <v>..</v>
          </cell>
          <cell r="IS15" t="str">
            <v>..</v>
          </cell>
          <cell r="IT15" t="str">
            <v>..</v>
          </cell>
          <cell r="IU15" t="str">
            <v>..</v>
          </cell>
          <cell r="IV15" t="str">
            <v>..</v>
          </cell>
          <cell r="IW15" t="str">
            <v>year end 31.3.18: 2 x stations shared with Lincs Police, 2 x stations shared with Ambulance. Est 31.3.19 as per 31.3.18 plus potential for another station shared with Police.</v>
          </cell>
        </row>
        <row r="16">
          <cell r="B16" t="str">
            <v>E2820</v>
          </cell>
          <cell r="C16" t="str">
            <v>Northamptonshire</v>
          </cell>
          <cell r="D16" t="str">
            <v>1</v>
          </cell>
          <cell r="E16">
            <v>3</v>
          </cell>
          <cell r="F16">
            <v>14</v>
          </cell>
          <cell r="G16">
            <v>5</v>
          </cell>
          <cell r="H16">
            <v>0</v>
          </cell>
          <cell r="I16">
            <v>22</v>
          </cell>
          <cell r="J16">
            <v>3</v>
          </cell>
          <cell r="K16">
            <v>3</v>
          </cell>
          <cell r="L16">
            <v>14</v>
          </cell>
          <cell r="M16">
            <v>5</v>
          </cell>
          <cell r="N16">
            <v>0</v>
          </cell>
          <cell r="O16">
            <v>22</v>
          </cell>
          <cell r="P16">
            <v>3</v>
          </cell>
          <cell r="Q16">
            <v>26</v>
          </cell>
          <cell r="R16">
            <v>26</v>
          </cell>
          <cell r="S16">
            <v>2</v>
          </cell>
          <cell r="T16">
            <v>28</v>
          </cell>
          <cell r="U16">
            <v>36</v>
          </cell>
          <cell r="V16">
            <v>0</v>
          </cell>
          <cell r="W16">
            <v>6</v>
          </cell>
          <cell r="X16">
            <v>98</v>
          </cell>
          <cell r="Y16">
            <v>50</v>
          </cell>
          <cell r="Z16">
            <v>4</v>
          </cell>
          <cell r="AA16">
            <v>3</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v>11737.170290000002</v>
          </cell>
          <cell r="AV16">
            <v>1779.70732</v>
          </cell>
          <cell r="AW16">
            <v>723.07609000000014</v>
          </cell>
          <cell r="AX16">
            <v>2078.4061499999998</v>
          </cell>
          <cell r="AY16">
            <v>356.11381999999998</v>
          </cell>
          <cell r="AZ16">
            <v>82.515959999999993</v>
          </cell>
          <cell r="BA16">
            <v>16756.98963</v>
          </cell>
          <cell r="BB16">
            <v>1571.71165</v>
          </cell>
          <cell r="BC16">
            <v>700.33970999999997</v>
          </cell>
          <cell r="BD16">
            <v>3359.1512700000003</v>
          </cell>
          <cell r="BE16">
            <v>2026.0975975137474</v>
          </cell>
          <cell r="BF16">
            <v>0</v>
          </cell>
          <cell r="BG16">
            <v>0</v>
          </cell>
          <cell r="BH16">
            <v>24414.289857513751</v>
          </cell>
          <cell r="BI16">
            <v>-662.51016000000004</v>
          </cell>
          <cell r="BJ16">
            <v>0</v>
          </cell>
          <cell r="BK16">
            <v>-360.38259000000011</v>
          </cell>
          <cell r="BL16">
            <v>-1022.8927500000002</v>
          </cell>
          <cell r="BM16">
            <v>25437.182607513751</v>
          </cell>
          <cell r="BN16">
            <v>4694.7294099999999</v>
          </cell>
          <cell r="BO16">
            <v>0</v>
          </cell>
          <cell r="BP16">
            <v>0</v>
          </cell>
          <cell r="BQ16">
            <v>0</v>
          </cell>
          <cell r="BR16">
            <v>0</v>
          </cell>
          <cell r="BS16">
            <v>0</v>
          </cell>
          <cell r="BT16">
            <v>0</v>
          </cell>
          <cell r="BU16">
            <v>0</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v>13597.815000000001</v>
          </cell>
          <cell r="CI16">
            <v>2124.9969999999998</v>
          </cell>
          <cell r="CJ16">
            <v>722.97900000000004</v>
          </cell>
          <cell r="CK16">
            <v>2476.3359999999998</v>
          </cell>
          <cell r="CL16">
            <v>367.86200000000002</v>
          </cell>
          <cell r="CM16">
            <v>67.766000000000005</v>
          </cell>
          <cell r="CN16">
            <v>19357.755000000001</v>
          </cell>
          <cell r="CO16">
            <v>1289.0930000000001</v>
          </cell>
          <cell r="CP16">
            <v>614.74400000000003</v>
          </cell>
          <cell r="CQ16">
            <v>3916.3649999999998</v>
          </cell>
          <cell r="CR16">
            <v>0</v>
          </cell>
          <cell r="CS16">
            <v>0</v>
          </cell>
          <cell r="CT16">
            <v>0</v>
          </cell>
          <cell r="CU16">
            <v>25177.957000000002</v>
          </cell>
          <cell r="CV16">
            <v>442.21800000000002</v>
          </cell>
          <cell r="CW16">
            <v>0</v>
          </cell>
          <cell r="CX16">
            <v>392.73899999999998</v>
          </cell>
          <cell r="CY16">
            <v>834.95699999999999</v>
          </cell>
          <cell r="CZ16">
            <v>26012.914000000001</v>
          </cell>
          <cell r="DA16">
            <v>275</v>
          </cell>
          <cell r="DB16">
            <v>0</v>
          </cell>
          <cell r="DC16">
            <v>0</v>
          </cell>
          <cell r="DD16">
            <v>0</v>
          </cell>
          <cell r="DE16">
            <v>0</v>
          </cell>
          <cell r="DF16">
            <v>0</v>
          </cell>
          <cell r="DG16">
            <v>0</v>
          </cell>
          <cell r="DH16">
            <v>0</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v>0</v>
          </cell>
          <cell r="DV16">
            <v>0</v>
          </cell>
          <cell r="DW16" t="str">
            <v>..</v>
          </cell>
          <cell r="DX16" t="str">
            <v>..</v>
          </cell>
          <cell r="DY16">
            <v>6374.0000000000009</v>
          </cell>
          <cell r="DZ16">
            <v>2955</v>
          </cell>
          <cell r="EA16">
            <v>14910</v>
          </cell>
          <cell r="EB16">
            <v>379</v>
          </cell>
          <cell r="EC16">
            <v>0</v>
          </cell>
          <cell r="ED16">
            <v>24618</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e">
            <v>#VALUE!</v>
          </cell>
          <cell r="ET16" t="str">
            <v>..</v>
          </cell>
          <cell r="EU16" t="str">
            <v>..</v>
          </cell>
          <cell r="EV16" t="str">
            <v>..</v>
          </cell>
          <cell r="EW16" t="str">
            <v>..</v>
          </cell>
          <cell r="EX16" t="str">
            <v>..</v>
          </cell>
          <cell r="EY16" t="str">
            <v>..</v>
          </cell>
          <cell r="EZ16" t="str">
            <v>..</v>
          </cell>
          <cell r="FA16" t="str">
            <v>..</v>
          </cell>
          <cell r="FB16">
            <v>-1357</v>
          </cell>
          <cell r="FC16">
            <v>0</v>
          </cell>
          <cell r="FD16">
            <v>0</v>
          </cell>
          <cell r="FE16">
            <v>-933</v>
          </cell>
          <cell r="FF16">
            <v>0</v>
          </cell>
          <cell r="FG16">
            <v>6368</v>
          </cell>
          <cell r="FH16">
            <v>1585</v>
          </cell>
          <cell r="FI16">
            <v>0</v>
          </cell>
          <cell r="FJ16">
            <v>5663</v>
          </cell>
          <cell r="FK16">
            <v>0</v>
          </cell>
          <cell r="FL16">
            <v>0</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v>416</v>
          </cell>
          <cell r="FY16" t="str">
            <v>..</v>
          </cell>
          <cell r="FZ16">
            <v>14</v>
          </cell>
          <cell r="GA16">
            <v>0</v>
          </cell>
          <cell r="GB16">
            <v>33</v>
          </cell>
          <cell r="GC16">
            <v>11</v>
          </cell>
          <cell r="GD16">
            <v>345</v>
          </cell>
          <cell r="GE16">
            <v>14</v>
          </cell>
          <cell r="GF16">
            <v>24</v>
          </cell>
          <cell r="GG16">
            <v>130</v>
          </cell>
          <cell r="GH16">
            <v>55</v>
          </cell>
          <cell r="GI16">
            <v>11</v>
          </cell>
          <cell r="GJ16">
            <v>0</v>
          </cell>
          <cell r="GK16">
            <v>0</v>
          </cell>
          <cell r="GL16">
            <v>0</v>
          </cell>
          <cell r="GM16">
            <v>-1289</v>
          </cell>
          <cell r="GN16">
            <v>-688</v>
          </cell>
          <cell r="GO16">
            <v>0</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t="str">
            <v>..</v>
          </cell>
          <cell r="HD16" t="str">
            <v>..</v>
          </cell>
          <cell r="HE16" t="str">
            <v>..</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t="str">
            <v>..</v>
          </cell>
          <cell r="HS16" t="str">
            <v>..</v>
          </cell>
          <cell r="HT16" t="str">
            <v>..</v>
          </cell>
          <cell r="HU16" t="str">
            <v>..</v>
          </cell>
          <cell r="HV16" t="str">
            <v>..</v>
          </cell>
          <cell r="HW16">
            <v>0</v>
          </cell>
          <cell r="HX16" t="str">
            <v>..</v>
          </cell>
          <cell r="HY16" t="str">
            <v>..</v>
          </cell>
          <cell r="HZ16" t="e">
            <v>#VALUE!</v>
          </cell>
          <cell r="IA16" t="str">
            <v>..</v>
          </cell>
          <cell r="IB16" t="str">
            <v>..</v>
          </cell>
          <cell r="IC16" t="str">
            <v>..</v>
          </cell>
          <cell r="ID16" t="str">
            <v>..</v>
          </cell>
          <cell r="IE16" t="str">
            <v>..</v>
          </cell>
          <cell r="IF16" t="str">
            <v>..</v>
          </cell>
          <cell r="IG16" t="str">
            <v>..</v>
          </cell>
          <cell r="IH16" t="str">
            <v>..</v>
          </cell>
          <cell r="II16" t="str">
            <v>..</v>
          </cell>
          <cell r="IJ16" t="str">
            <v>..</v>
          </cell>
          <cell r="IK16" t="str">
            <v>..</v>
          </cell>
          <cell r="IL16" t="str">
            <v>..</v>
          </cell>
          <cell r="IM16" t="str">
            <v>..</v>
          </cell>
          <cell r="IN16" t="e">
            <v>#VALUE!</v>
          </cell>
          <cell r="IO16" t="str">
            <v>..</v>
          </cell>
          <cell r="IP16" t="str">
            <v>..</v>
          </cell>
          <cell r="IQ16" t="str">
            <v>..</v>
          </cell>
          <cell r="IR16" t="str">
            <v>..</v>
          </cell>
          <cell r="IS16" t="str">
            <v>..</v>
          </cell>
          <cell r="IT16" t="str">
            <v>..</v>
          </cell>
          <cell r="IU16" t="str">
            <v>..</v>
          </cell>
          <cell r="IV16" t="str">
            <v>..</v>
          </cell>
        </row>
        <row r="17">
          <cell r="B17" t="str">
            <v>E2620</v>
          </cell>
          <cell r="C17" t="str">
            <v>Norfolk</v>
          </cell>
          <cell r="D17" t="str">
            <v>1</v>
          </cell>
          <cell r="E17">
            <v>3</v>
          </cell>
          <cell r="F17">
            <v>33</v>
          </cell>
          <cell r="G17">
            <v>6</v>
          </cell>
          <cell r="H17">
            <v>0</v>
          </cell>
          <cell r="I17">
            <v>42</v>
          </cell>
          <cell r="J17">
            <v>10</v>
          </cell>
          <cell r="K17">
            <v>3</v>
          </cell>
          <cell r="L17">
            <v>33</v>
          </cell>
          <cell r="M17">
            <v>6</v>
          </cell>
          <cell r="N17">
            <v>0</v>
          </cell>
          <cell r="O17">
            <v>42</v>
          </cell>
          <cell r="P17">
            <v>13</v>
          </cell>
          <cell r="Q17">
            <v>53</v>
          </cell>
          <cell r="R17">
            <v>53</v>
          </cell>
          <cell r="S17">
            <v>4</v>
          </cell>
          <cell r="T17">
            <v>12</v>
          </cell>
          <cell r="U17">
            <v>47</v>
          </cell>
          <cell r="V17">
            <v>0</v>
          </cell>
          <cell r="W17">
            <v>10</v>
          </cell>
          <cell r="X17">
            <v>126</v>
          </cell>
          <cell r="Y17">
            <v>51</v>
          </cell>
          <cell r="Z17">
            <v>4</v>
          </cell>
          <cell r="AA17">
            <v>6</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v>13382</v>
          </cell>
          <cell r="AV17">
            <v>5581</v>
          </cell>
          <cell r="AW17">
            <v>912</v>
          </cell>
          <cell r="AX17">
            <v>2468</v>
          </cell>
          <cell r="AY17">
            <v>256</v>
          </cell>
          <cell r="AZ17">
            <v>270</v>
          </cell>
          <cell r="BA17">
            <v>22869</v>
          </cell>
          <cell r="BB17">
            <v>1513</v>
          </cell>
          <cell r="BC17">
            <v>1502</v>
          </cell>
          <cell r="BD17">
            <v>2525</v>
          </cell>
          <cell r="BE17">
            <v>1254</v>
          </cell>
          <cell r="BF17">
            <v>29</v>
          </cell>
          <cell r="BG17">
            <v>0</v>
          </cell>
          <cell r="BH17">
            <v>29692</v>
          </cell>
          <cell r="BI17">
            <v>1128</v>
          </cell>
          <cell r="BJ17">
            <v>0</v>
          </cell>
          <cell r="BK17">
            <v>776</v>
          </cell>
          <cell r="BL17">
            <v>1904</v>
          </cell>
          <cell r="BM17">
            <v>27788</v>
          </cell>
          <cell r="BN17">
            <v>2511</v>
          </cell>
          <cell r="BO17">
            <v>1290</v>
          </cell>
          <cell r="BP17">
            <v>0</v>
          </cell>
          <cell r="BQ17" t="str">
            <v>..</v>
          </cell>
          <cell r="BR17" t="str">
            <v>..</v>
          </cell>
          <cell r="BS17" t="str">
            <v>..</v>
          </cell>
          <cell r="BT17" t="str">
            <v>..</v>
          </cell>
          <cell r="BU17">
            <v>0</v>
          </cell>
          <cell r="BV17" t="str">
            <v>..</v>
          </cell>
          <cell r="BW17" t="str">
            <v>..</v>
          </cell>
          <cell r="BX17" t="str">
            <v>..</v>
          </cell>
          <cell r="BY17" t="str">
            <v>..</v>
          </cell>
          <cell r="BZ17" t="str">
            <v>..</v>
          </cell>
          <cell r="CA17" t="str">
            <v>..</v>
          </cell>
          <cell r="CB17" t="str">
            <v>..</v>
          </cell>
          <cell r="CC17" t="str">
            <v>..</v>
          </cell>
          <cell r="CD17" t="str">
            <v>..</v>
          </cell>
          <cell r="CE17">
            <v>625</v>
          </cell>
          <cell r="CF17" t="str">
            <v>..</v>
          </cell>
          <cell r="CG17" t="str">
            <v>..</v>
          </cell>
          <cell r="CH17">
            <v>14548</v>
          </cell>
          <cell r="CI17">
            <v>5940</v>
          </cell>
          <cell r="CJ17">
            <v>866</v>
          </cell>
          <cell r="CK17">
            <v>2658</v>
          </cell>
          <cell r="CL17">
            <v>225</v>
          </cell>
          <cell r="CM17">
            <v>293</v>
          </cell>
          <cell r="CN17">
            <v>24530</v>
          </cell>
          <cell r="CO17">
            <v>1374</v>
          </cell>
          <cell r="CP17">
            <v>1485</v>
          </cell>
          <cell r="CQ17">
            <v>2979</v>
          </cell>
          <cell r="CR17">
            <v>1254</v>
          </cell>
          <cell r="CS17">
            <v>26</v>
          </cell>
          <cell r="CT17">
            <v>0</v>
          </cell>
          <cell r="CU17">
            <v>31648</v>
          </cell>
          <cell r="CV17">
            <v>2437</v>
          </cell>
          <cell r="CW17">
            <v>0</v>
          </cell>
          <cell r="CX17">
            <v>752</v>
          </cell>
          <cell r="CY17">
            <v>3189</v>
          </cell>
          <cell r="CZ17">
            <v>28459</v>
          </cell>
          <cell r="DA17">
            <v>2170</v>
          </cell>
          <cell r="DB17">
            <v>1290</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v>907</v>
          </cell>
          <cell r="DS17" t="str">
            <v>..</v>
          </cell>
          <cell r="DT17">
            <v>77</v>
          </cell>
          <cell r="DU17" t="str">
            <v>..</v>
          </cell>
          <cell r="DV17" t="str">
            <v>..</v>
          </cell>
          <cell r="DW17">
            <v>15.5</v>
          </cell>
          <cell r="DX17" t="str">
            <v>..</v>
          </cell>
          <cell r="DY17">
            <v>0</v>
          </cell>
          <cell r="DZ17">
            <v>0</v>
          </cell>
          <cell r="EA17">
            <v>0</v>
          </cell>
          <cell r="EB17">
            <v>0</v>
          </cell>
          <cell r="EC17">
            <v>0</v>
          </cell>
          <cell r="ED17">
            <v>0</v>
          </cell>
          <cell r="EE17">
            <v>756</v>
          </cell>
          <cell r="EF17">
            <v>614</v>
          </cell>
          <cell r="EG17">
            <v>1370</v>
          </cell>
          <cell r="EH17">
            <v>24043</v>
          </cell>
          <cell r="EI17">
            <v>2916</v>
          </cell>
          <cell r="EJ17">
            <v>315</v>
          </cell>
          <cell r="EK17">
            <v>27274</v>
          </cell>
          <cell r="EL17">
            <v>401</v>
          </cell>
          <cell r="EM17">
            <v>1254</v>
          </cell>
          <cell r="EN17">
            <v>0</v>
          </cell>
          <cell r="EO17">
            <v>30299</v>
          </cell>
          <cell r="EP17">
            <v>261</v>
          </cell>
          <cell r="EQ17">
            <v>155</v>
          </cell>
          <cell r="ER17">
            <v>416</v>
          </cell>
          <cell r="ES17">
            <v>0.30364963503649633</v>
          </cell>
          <cell r="ET17">
            <v>8214</v>
          </cell>
          <cell r="EU17">
            <v>990</v>
          </cell>
          <cell r="EV17">
            <v>107</v>
          </cell>
          <cell r="EW17">
            <v>9311</v>
          </cell>
          <cell r="EX17">
            <v>136</v>
          </cell>
          <cell r="EY17">
            <v>1254</v>
          </cell>
          <cell r="EZ17">
            <v>0</v>
          </cell>
          <cell r="FA17">
            <v>11117</v>
          </cell>
          <cell r="FB17">
            <v>-1842</v>
          </cell>
          <cell r="FC17">
            <v>-158</v>
          </cell>
          <cell r="FD17">
            <v>0</v>
          </cell>
          <cell r="FE17">
            <v>-1560</v>
          </cell>
          <cell r="FF17">
            <v>-15</v>
          </cell>
          <cell r="FG17">
            <v>7226</v>
          </cell>
          <cell r="FH17">
            <v>1494</v>
          </cell>
          <cell r="FI17">
            <v>0</v>
          </cell>
          <cell r="FJ17">
            <v>5145</v>
          </cell>
          <cell r="FK17">
            <v>1076</v>
          </cell>
          <cell r="FL17">
            <v>0</v>
          </cell>
          <cell r="FM17">
            <v>-3712</v>
          </cell>
          <cell r="FN17">
            <v>-158</v>
          </cell>
          <cell r="FO17">
            <v>0</v>
          </cell>
          <cell r="FP17">
            <v>-1616</v>
          </cell>
          <cell r="FQ17">
            <v>0</v>
          </cell>
          <cell r="FR17">
            <v>7481</v>
          </cell>
          <cell r="FS17">
            <v>1647</v>
          </cell>
          <cell r="FT17">
            <v>0</v>
          </cell>
          <cell r="FU17">
            <v>3642</v>
          </cell>
          <cell r="FV17">
            <v>1128</v>
          </cell>
          <cell r="FW17">
            <v>0</v>
          </cell>
          <cell r="FX17">
            <v>617</v>
          </cell>
          <cell r="FY17">
            <v>633</v>
          </cell>
          <cell r="FZ17">
            <v>17</v>
          </cell>
          <cell r="GA17">
            <v>4</v>
          </cell>
          <cell r="GB17">
            <v>45</v>
          </cell>
          <cell r="GC17">
            <v>25</v>
          </cell>
          <cell r="GD17">
            <v>515</v>
          </cell>
          <cell r="GE17">
            <v>7</v>
          </cell>
          <cell r="GF17">
            <v>48</v>
          </cell>
          <cell r="GG17">
            <v>114</v>
          </cell>
          <cell r="GH17">
            <v>61</v>
          </cell>
          <cell r="GI17">
            <v>10</v>
          </cell>
          <cell r="GJ17">
            <v>1160</v>
          </cell>
          <cell r="GK17">
            <v>0</v>
          </cell>
          <cell r="GL17">
            <v>48</v>
          </cell>
          <cell r="GM17">
            <v>1356</v>
          </cell>
          <cell r="GN17">
            <v>0</v>
          </cell>
          <cell r="GO17">
            <v>48</v>
          </cell>
          <cell r="GP17">
            <v>0</v>
          </cell>
          <cell r="GQ17">
            <v>13</v>
          </cell>
          <cell r="GR17">
            <v>739</v>
          </cell>
          <cell r="GS17">
            <v>82</v>
          </cell>
          <cell r="GT17">
            <v>24</v>
          </cell>
          <cell r="GU17">
            <v>118</v>
          </cell>
          <cell r="GV17">
            <v>0</v>
          </cell>
          <cell r="GW17">
            <v>0</v>
          </cell>
          <cell r="GX17">
            <v>0</v>
          </cell>
          <cell r="GY17">
            <v>235</v>
          </cell>
          <cell r="GZ17">
            <v>0</v>
          </cell>
          <cell r="HA17">
            <v>0</v>
          </cell>
          <cell r="HB17">
            <v>82</v>
          </cell>
          <cell r="HC17">
            <v>0</v>
          </cell>
          <cell r="HD17">
            <v>476</v>
          </cell>
          <cell r="HE17">
            <v>0</v>
          </cell>
          <cell r="HF17">
            <v>1769</v>
          </cell>
          <cell r="HG17">
            <v>0</v>
          </cell>
          <cell r="HH17">
            <v>34</v>
          </cell>
          <cell r="HI17">
            <v>113</v>
          </cell>
          <cell r="HJ17">
            <v>45</v>
          </cell>
          <cell r="HK17">
            <v>0</v>
          </cell>
          <cell r="HL17">
            <v>210</v>
          </cell>
          <cell r="HM17">
            <v>0</v>
          </cell>
          <cell r="HN17">
            <v>0</v>
          </cell>
          <cell r="HO17">
            <v>9</v>
          </cell>
          <cell r="HP17">
            <v>0</v>
          </cell>
          <cell r="HQ17">
            <v>0</v>
          </cell>
          <cell r="HR17">
            <v>0</v>
          </cell>
          <cell r="HS17">
            <v>125</v>
          </cell>
          <cell r="HT17">
            <v>0</v>
          </cell>
          <cell r="HU17">
            <v>26</v>
          </cell>
          <cell r="HV17">
            <v>0</v>
          </cell>
          <cell r="HW17">
            <v>562</v>
          </cell>
          <cell r="HX17">
            <v>0</v>
          </cell>
          <cell r="HY17">
            <v>0</v>
          </cell>
          <cell r="HZ17">
            <v>542</v>
          </cell>
          <cell r="IA17">
            <v>800</v>
          </cell>
          <cell r="IB17">
            <v>221</v>
          </cell>
          <cell r="IC17">
            <v>500</v>
          </cell>
          <cell r="ID17">
            <v>0</v>
          </cell>
          <cell r="IE17">
            <v>0</v>
          </cell>
          <cell r="IF17">
            <v>0</v>
          </cell>
          <cell r="IG17">
            <v>203</v>
          </cell>
          <cell r="IH17">
            <v>100</v>
          </cell>
          <cell r="II17">
            <v>140</v>
          </cell>
          <cell r="IJ17">
            <v>352</v>
          </cell>
          <cell r="IK17">
            <v>0</v>
          </cell>
          <cell r="IL17">
            <v>133</v>
          </cell>
          <cell r="IM17">
            <v>0</v>
          </cell>
          <cell r="IN17">
            <v>2991</v>
          </cell>
          <cell r="IO17" t="str">
            <v>..</v>
          </cell>
          <cell r="IP17" t="str">
            <v>..</v>
          </cell>
          <cell r="IQ17" t="str">
            <v>cross border activity with Cambridgeshire Fire &amp; Rescue Service</v>
          </cell>
          <cell r="IR17" t="str">
            <v>..</v>
          </cell>
          <cell r="IS17" t="str">
            <v>..</v>
          </cell>
          <cell r="IT17" t="str">
            <v>..</v>
          </cell>
          <cell r="IU17" t="str">
            <v>..</v>
          </cell>
          <cell r="IV17"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cell r="IW17" t="str">
            <v xml:space="preserve">Wymondham Fire Station- Police. 
Hunstanton Fire Station- Police. 
Gorleston Fire Station- Maritime &amp; Coastguard Agency, Norlsar, Environment Agency, Gt Yarmouth Borough Council &amp; British Red Cross. 
Gt Yarmouth Fire Station- East of England Ambulance Service. 
Sandringham Fire Station- East of England Ambulance Service. 
Diamond Jubilee Fire Station- East of England Ambulance Service. 
Sheringham Fire Station- East of England Ambulance Service, Police &amp; Maritime &amp; Coastguard Agency. 
Wroxham Fire Station- Norlsar (Norfolk Lowland Search and Rescue). 
Whitegates Hethersett- Police &amp; I’m fairly sure NARS (Norfolk Accident Rescue Service) on an extended agreement. 
North Lynn Fire Station- Police 
Downham Market Fire Station- Police. 
NEXT  YEAR, possible additions: Reepham Fire Station- Police; Holt Fire Station- Police; Attleborough Fire Station- Police. 
</v>
          </cell>
        </row>
        <row r="18">
          <cell r="B18" t="str">
            <v>E2901</v>
          </cell>
          <cell r="C18" t="str">
            <v>Northumberland</v>
          </cell>
          <cell r="D18" t="str">
            <v>1</v>
          </cell>
          <cell r="E18">
            <v>1</v>
          </cell>
          <cell r="F18">
            <v>11</v>
          </cell>
          <cell r="G18">
            <v>3</v>
          </cell>
          <cell r="H18">
            <v>0</v>
          </cell>
          <cell r="I18">
            <v>15</v>
          </cell>
          <cell r="J18">
            <v>7</v>
          </cell>
          <cell r="K18">
            <v>1</v>
          </cell>
          <cell r="L18">
            <v>11</v>
          </cell>
          <cell r="M18">
            <v>3</v>
          </cell>
          <cell r="N18">
            <v>0</v>
          </cell>
          <cell r="O18">
            <v>15</v>
          </cell>
          <cell r="P18">
            <v>7</v>
          </cell>
          <cell r="Q18">
            <v>22</v>
          </cell>
          <cell r="R18">
            <v>22</v>
          </cell>
          <cell r="S18">
            <v>0</v>
          </cell>
          <cell r="T18">
            <v>0</v>
          </cell>
          <cell r="U18">
            <v>19</v>
          </cell>
          <cell r="V18">
            <v>0</v>
          </cell>
          <cell r="W18">
            <v>14</v>
          </cell>
          <cell r="X18">
            <v>55</v>
          </cell>
          <cell r="Y18">
            <v>21</v>
          </cell>
          <cell r="Z18">
            <v>3</v>
          </cell>
          <cell r="AA18">
            <v>3</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v>6959</v>
          </cell>
          <cell r="AV18">
            <v>1883</v>
          </cell>
          <cell r="AW18">
            <v>653</v>
          </cell>
          <cell r="AX18">
            <v>1093</v>
          </cell>
          <cell r="AY18">
            <v>188</v>
          </cell>
          <cell r="AZ18">
            <v>150</v>
          </cell>
          <cell r="BA18">
            <v>10926</v>
          </cell>
          <cell r="BB18">
            <v>1832</v>
          </cell>
          <cell r="BC18">
            <v>259</v>
          </cell>
          <cell r="BD18">
            <v>1559</v>
          </cell>
          <cell r="BE18">
            <v>0</v>
          </cell>
          <cell r="BF18">
            <v>436</v>
          </cell>
          <cell r="BG18">
            <v>0</v>
          </cell>
          <cell r="BH18">
            <v>15012</v>
          </cell>
          <cell r="BI18">
            <v>1825</v>
          </cell>
          <cell r="BJ18">
            <v>0</v>
          </cell>
          <cell r="BK18">
            <v>680</v>
          </cell>
          <cell r="BL18">
            <v>2505</v>
          </cell>
          <cell r="BM18">
            <v>12507</v>
          </cell>
          <cell r="BN18">
            <v>1505</v>
          </cell>
          <cell r="BO18">
            <v>1519</v>
          </cell>
          <cell r="BP18">
            <v>0</v>
          </cell>
          <cell r="BQ18">
            <v>0</v>
          </cell>
          <cell r="BR18">
            <v>0</v>
          </cell>
          <cell r="BS18">
            <v>0</v>
          </cell>
          <cell r="BT18">
            <v>0</v>
          </cell>
          <cell r="BU18">
            <v>1770</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v>7176</v>
          </cell>
          <cell r="CI18">
            <v>1862</v>
          </cell>
          <cell r="CJ18">
            <v>659</v>
          </cell>
          <cell r="CK18">
            <v>1250</v>
          </cell>
          <cell r="CL18">
            <v>147</v>
          </cell>
          <cell r="CM18">
            <v>88</v>
          </cell>
          <cell r="CN18">
            <v>11182</v>
          </cell>
          <cell r="CO18">
            <v>3498</v>
          </cell>
          <cell r="CP18">
            <v>269</v>
          </cell>
          <cell r="CQ18">
            <v>1188</v>
          </cell>
          <cell r="CR18">
            <v>0</v>
          </cell>
          <cell r="CS18">
            <v>317</v>
          </cell>
          <cell r="CT18">
            <v>0</v>
          </cell>
          <cell r="CU18">
            <v>16454</v>
          </cell>
          <cell r="CV18">
            <v>1795</v>
          </cell>
          <cell r="CW18">
            <v>0</v>
          </cell>
          <cell r="CX18">
            <v>661</v>
          </cell>
          <cell r="CY18">
            <v>2456</v>
          </cell>
          <cell r="CZ18">
            <v>13998</v>
          </cell>
          <cell r="DA18">
            <v>1385</v>
          </cell>
          <cell r="DB18">
            <v>1519</v>
          </cell>
          <cell r="DC18" t="str">
            <v>..</v>
          </cell>
          <cell r="DD18" t="str">
            <v>..</v>
          </cell>
          <cell r="DE18" t="str">
            <v>..</v>
          </cell>
          <cell r="DF18" t="str">
            <v>..</v>
          </cell>
          <cell r="DG18" t="str">
            <v>..</v>
          </cell>
          <cell r="DH18">
            <v>1800</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v>18.5</v>
          </cell>
          <cell r="DX18" t="str">
            <v>..</v>
          </cell>
          <cell r="DY18">
            <v>0</v>
          </cell>
          <cell r="DZ18">
            <v>0</v>
          </cell>
          <cell r="EA18">
            <v>0</v>
          </cell>
          <cell r="EB18">
            <v>0</v>
          </cell>
          <cell r="EC18">
            <v>0</v>
          </cell>
          <cell r="ED18">
            <v>0</v>
          </cell>
          <cell r="EE18" t="str">
            <v>..</v>
          </cell>
          <cell r="EF18" t="str">
            <v>..</v>
          </cell>
          <cell r="EG18">
            <v>459</v>
          </cell>
          <cell r="EH18" t="str">
            <v>..</v>
          </cell>
          <cell r="EI18" t="str">
            <v>..</v>
          </cell>
          <cell r="EJ18" t="str">
            <v>..</v>
          </cell>
          <cell r="EK18">
            <v>13322</v>
          </cell>
          <cell r="EL18">
            <v>231</v>
          </cell>
          <cell r="EM18">
            <v>0</v>
          </cell>
          <cell r="EN18">
            <v>0</v>
          </cell>
          <cell r="EO18">
            <v>14012</v>
          </cell>
          <cell r="EP18" t="str">
            <v>..</v>
          </cell>
          <cell r="EQ18" t="str">
            <v>..</v>
          </cell>
          <cell r="ER18">
            <v>0</v>
          </cell>
          <cell r="ES18">
            <v>0</v>
          </cell>
          <cell r="ET18" t="str">
            <v>..</v>
          </cell>
          <cell r="EU18" t="str">
            <v>..</v>
          </cell>
          <cell r="EV18" t="str">
            <v>..</v>
          </cell>
          <cell r="EW18">
            <v>0</v>
          </cell>
          <cell r="EX18">
            <v>0</v>
          </cell>
          <cell r="EY18">
            <v>0</v>
          </cell>
          <cell r="EZ18">
            <v>0</v>
          </cell>
          <cell r="FA18">
            <v>0</v>
          </cell>
          <cell r="FB18">
            <v>-950</v>
          </cell>
          <cell r="FC18">
            <v>0</v>
          </cell>
          <cell r="FD18">
            <v>0</v>
          </cell>
          <cell r="FE18">
            <v>-777</v>
          </cell>
          <cell r="FF18">
            <v>0</v>
          </cell>
          <cell r="FG18">
            <v>5329</v>
          </cell>
          <cell r="FH18">
            <v>1625</v>
          </cell>
          <cell r="FI18">
            <v>5</v>
          </cell>
          <cell r="FJ18">
            <v>5232</v>
          </cell>
          <cell r="FK18">
            <v>284</v>
          </cell>
          <cell r="FL18">
            <v>0</v>
          </cell>
          <cell r="FM18">
            <v>-1800</v>
          </cell>
          <cell r="FN18">
            <v>0</v>
          </cell>
          <cell r="FO18">
            <v>0</v>
          </cell>
          <cell r="FP18">
            <v>-792</v>
          </cell>
          <cell r="FQ18">
            <v>0</v>
          </cell>
          <cell r="FR18">
            <v>5430</v>
          </cell>
          <cell r="FS18">
            <v>1625</v>
          </cell>
          <cell r="FT18">
            <v>5</v>
          </cell>
          <cell r="FU18">
            <v>4468</v>
          </cell>
          <cell r="FV18">
            <v>290</v>
          </cell>
          <cell r="FW18">
            <v>0</v>
          </cell>
          <cell r="FX18">
            <v>361</v>
          </cell>
          <cell r="FY18">
            <v>363</v>
          </cell>
          <cell r="FZ18">
            <v>15</v>
          </cell>
          <cell r="GA18">
            <v>0</v>
          </cell>
          <cell r="GB18">
            <v>37</v>
          </cell>
          <cell r="GC18">
            <v>7</v>
          </cell>
          <cell r="GD18">
            <v>206</v>
          </cell>
          <cell r="GE18">
            <v>10</v>
          </cell>
          <cell r="GF18">
            <v>21</v>
          </cell>
          <cell r="GG18">
            <v>117</v>
          </cell>
          <cell r="GH18">
            <v>57</v>
          </cell>
          <cell r="GI18">
            <v>18</v>
          </cell>
          <cell r="GJ18">
            <v>448</v>
          </cell>
          <cell r="GK18">
            <v>0</v>
          </cell>
          <cell r="GL18">
            <v>0</v>
          </cell>
          <cell r="GM18">
            <v>438</v>
          </cell>
          <cell r="GN18">
            <v>0</v>
          </cell>
          <cell r="GO18">
            <v>0</v>
          </cell>
          <cell r="GP18">
            <v>0</v>
          </cell>
          <cell r="GQ18">
            <v>0</v>
          </cell>
          <cell r="GR18">
            <v>100</v>
          </cell>
          <cell r="GS18">
            <v>0</v>
          </cell>
          <cell r="GT18">
            <v>0</v>
          </cell>
          <cell r="GU18">
            <v>73</v>
          </cell>
          <cell r="GV18">
            <v>60</v>
          </cell>
          <cell r="GW18">
            <v>0</v>
          </cell>
          <cell r="GX18">
            <v>0</v>
          </cell>
          <cell r="GY18">
            <v>30</v>
          </cell>
          <cell r="GZ18">
            <v>0</v>
          </cell>
          <cell r="HA18">
            <v>0</v>
          </cell>
          <cell r="HB18">
            <v>0</v>
          </cell>
          <cell r="HC18">
            <v>0</v>
          </cell>
          <cell r="HD18">
            <v>0</v>
          </cell>
          <cell r="HE18">
            <v>0</v>
          </cell>
          <cell r="HF18">
            <v>263</v>
          </cell>
          <cell r="HG18">
            <v>82</v>
          </cell>
          <cell r="HH18">
            <v>0</v>
          </cell>
          <cell r="HI18">
            <v>45</v>
          </cell>
          <cell r="HJ18">
            <v>5</v>
          </cell>
          <cell r="HK18">
            <v>0</v>
          </cell>
          <cell r="HL18">
            <v>502</v>
          </cell>
          <cell r="HM18">
            <v>209</v>
          </cell>
          <cell r="HN18">
            <v>0</v>
          </cell>
          <cell r="HO18">
            <v>0</v>
          </cell>
          <cell r="HP18">
            <v>0</v>
          </cell>
          <cell r="HQ18">
            <v>0</v>
          </cell>
          <cell r="HR18">
            <v>0</v>
          </cell>
          <cell r="HS18">
            <v>0</v>
          </cell>
          <cell r="HT18">
            <v>0</v>
          </cell>
          <cell r="HU18">
            <v>0</v>
          </cell>
          <cell r="HV18">
            <v>0</v>
          </cell>
          <cell r="HW18">
            <v>843</v>
          </cell>
          <cell r="HX18">
            <v>71</v>
          </cell>
          <cell r="HY18">
            <v>0</v>
          </cell>
          <cell r="HZ18">
            <v>0</v>
          </cell>
          <cell r="IA18">
            <v>31</v>
          </cell>
          <cell r="IB18">
            <v>0</v>
          </cell>
          <cell r="IC18">
            <v>1767</v>
          </cell>
          <cell r="ID18">
            <v>33</v>
          </cell>
          <cell r="IE18">
            <v>0</v>
          </cell>
          <cell r="IF18">
            <v>0</v>
          </cell>
          <cell r="IG18">
            <v>11</v>
          </cell>
          <cell r="IH18">
            <v>0</v>
          </cell>
          <cell r="II18">
            <v>0</v>
          </cell>
          <cell r="IJ18">
            <v>0</v>
          </cell>
          <cell r="IK18">
            <v>0</v>
          </cell>
          <cell r="IL18">
            <v>0</v>
          </cell>
          <cell r="IM18">
            <v>0</v>
          </cell>
          <cell r="IN18">
            <v>1913</v>
          </cell>
          <cell r="IO18" t="str">
            <v>Police, Ambulance, Mountain Rescue</v>
          </cell>
          <cell r="IP18" t="str">
            <v>6 x RTC/Fogging Units. 3 x Water Rescue Units, Special Rescue Unit, Incident Support Unit</v>
          </cell>
          <cell r="IQ18" t="str">
            <v>..</v>
          </cell>
          <cell r="IR18" t="str">
            <v>..</v>
          </cell>
          <cell r="IS18" t="str">
            <v>..</v>
          </cell>
          <cell r="IT18" t="str">
            <v>..</v>
          </cell>
          <cell r="IU18" t="str">
            <v>..</v>
          </cell>
          <cell r="IV18" t="str">
            <v>..</v>
          </cell>
          <cell r="IW18" t="str">
            <v>Police, Ambulance, Mountain Rescue</v>
          </cell>
        </row>
        <row r="19">
          <cell r="B19" t="str">
            <v>E3120</v>
          </cell>
          <cell r="C19" t="str">
            <v>Oxfordshire</v>
          </cell>
          <cell r="D19" t="str">
            <v>1</v>
          </cell>
          <cell r="E19">
            <v>0</v>
          </cell>
          <cell r="F19">
            <v>19</v>
          </cell>
          <cell r="G19">
            <v>6</v>
          </cell>
          <cell r="H19">
            <v>0</v>
          </cell>
          <cell r="I19">
            <v>25</v>
          </cell>
          <cell r="J19">
            <v>2</v>
          </cell>
          <cell r="K19">
            <v>0</v>
          </cell>
          <cell r="L19">
            <v>19</v>
          </cell>
          <cell r="M19">
            <v>6</v>
          </cell>
          <cell r="N19">
            <v>0</v>
          </cell>
          <cell r="O19">
            <v>25</v>
          </cell>
          <cell r="P19">
            <v>3</v>
          </cell>
          <cell r="Q19">
            <v>35</v>
          </cell>
          <cell r="R19">
            <v>35</v>
          </cell>
          <cell r="S19">
            <v>1</v>
          </cell>
          <cell r="T19">
            <v>5</v>
          </cell>
          <cell r="U19">
            <v>21</v>
          </cell>
          <cell r="V19">
            <v>25</v>
          </cell>
          <cell r="W19">
            <v>4</v>
          </cell>
          <cell r="X19">
            <v>91</v>
          </cell>
          <cell r="Y19">
            <v>73</v>
          </cell>
          <cell r="Z19">
            <v>5</v>
          </cell>
          <cell r="AA19">
            <v>7</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v>11674</v>
          </cell>
          <cell r="AV19">
            <v>3417</v>
          </cell>
          <cell r="AW19">
            <v>0</v>
          </cell>
          <cell r="AX19">
            <v>2060</v>
          </cell>
          <cell r="AY19">
            <v>645</v>
          </cell>
          <cell r="AZ19">
            <v>168</v>
          </cell>
          <cell r="BA19">
            <v>17964</v>
          </cell>
          <cell r="BB19">
            <v>1608</v>
          </cell>
          <cell r="BC19">
            <v>1146</v>
          </cell>
          <cell r="BD19">
            <v>2271</v>
          </cell>
          <cell r="BE19">
            <v>1229</v>
          </cell>
          <cell r="BF19">
            <v>624</v>
          </cell>
          <cell r="BG19">
            <v>180</v>
          </cell>
          <cell r="BH19">
            <v>25022</v>
          </cell>
          <cell r="BI19">
            <v>48</v>
          </cell>
          <cell r="BJ19">
            <v>674</v>
          </cell>
          <cell r="BK19">
            <v>229</v>
          </cell>
          <cell r="BL19">
            <v>951</v>
          </cell>
          <cell r="BM19">
            <v>24071</v>
          </cell>
          <cell r="BN19">
            <v>1838</v>
          </cell>
          <cell r="BO19">
            <v>3378</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v>12931</v>
          </cell>
          <cell r="CI19">
            <v>3967</v>
          </cell>
          <cell r="CJ19">
            <v>0</v>
          </cell>
          <cell r="CK19">
            <v>2515</v>
          </cell>
          <cell r="CL19">
            <v>543</v>
          </cell>
          <cell r="CM19">
            <v>205</v>
          </cell>
          <cell r="CN19">
            <v>20161</v>
          </cell>
          <cell r="CO19">
            <v>1471</v>
          </cell>
          <cell r="CP19">
            <v>1264</v>
          </cell>
          <cell r="CQ19">
            <v>2395</v>
          </cell>
          <cell r="CR19">
            <v>1297</v>
          </cell>
          <cell r="CS19">
            <v>700</v>
          </cell>
          <cell r="CT19">
            <v>-143</v>
          </cell>
          <cell r="CU19">
            <v>27145</v>
          </cell>
          <cell r="CV19">
            <v>1206</v>
          </cell>
          <cell r="CW19">
            <v>425</v>
          </cell>
          <cell r="CX19">
            <v>436</v>
          </cell>
          <cell r="CY19">
            <v>2067</v>
          </cell>
          <cell r="CZ19">
            <v>25078</v>
          </cell>
          <cell r="DA19">
            <v>0</v>
          </cell>
          <cell r="DB19">
            <v>0</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v>3</v>
          </cell>
          <cell r="DW19">
            <v>19.899999999999999</v>
          </cell>
          <cell r="DX19">
            <v>0</v>
          </cell>
          <cell r="DY19">
            <v>0</v>
          </cell>
          <cell r="DZ19">
            <v>0</v>
          </cell>
          <cell r="EA19">
            <v>0</v>
          </cell>
          <cell r="EB19">
            <v>0</v>
          </cell>
          <cell r="EC19">
            <v>0</v>
          </cell>
          <cell r="ED19">
            <v>0</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e">
            <v>#VALUE!</v>
          </cell>
          <cell r="ET19" t="str">
            <v>..</v>
          </cell>
          <cell r="EU19" t="str">
            <v>..</v>
          </cell>
          <cell r="EV19" t="str">
            <v>..</v>
          </cell>
          <cell r="EW19" t="str">
            <v>..</v>
          </cell>
          <cell r="EX19" t="str">
            <v>..</v>
          </cell>
          <cell r="EY19" t="str">
            <v>..</v>
          </cell>
          <cell r="EZ19" t="str">
            <v>..</v>
          </cell>
          <cell r="FA19" t="str">
            <v>..</v>
          </cell>
          <cell r="FB19">
            <v>-1589</v>
          </cell>
          <cell r="FC19">
            <v>-55</v>
          </cell>
          <cell r="FD19">
            <v>195</v>
          </cell>
          <cell r="FE19">
            <v>-1392</v>
          </cell>
          <cell r="FF19">
            <v>0</v>
          </cell>
          <cell r="FG19">
            <v>5463</v>
          </cell>
          <cell r="FH19">
            <v>1267</v>
          </cell>
          <cell r="FI19">
            <v>0</v>
          </cell>
          <cell r="FJ19">
            <v>3889</v>
          </cell>
          <cell r="FK19">
            <v>369</v>
          </cell>
          <cell r="FL19">
            <v>3</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v>367</v>
          </cell>
          <cell r="FY19">
            <v>376</v>
          </cell>
          <cell r="FZ19">
            <v>10</v>
          </cell>
          <cell r="GA19">
            <v>2</v>
          </cell>
          <cell r="GB19">
            <v>18</v>
          </cell>
          <cell r="GC19">
            <v>9</v>
          </cell>
          <cell r="GD19">
            <v>500</v>
          </cell>
          <cell r="GE19">
            <v>15</v>
          </cell>
          <cell r="GF19">
            <v>30</v>
          </cell>
          <cell r="GG19">
            <v>358</v>
          </cell>
          <cell r="GH19">
            <v>194</v>
          </cell>
          <cell r="GI19">
            <v>20</v>
          </cell>
          <cell r="GJ19">
            <v>2746</v>
          </cell>
          <cell r="GK19">
            <v>0</v>
          </cell>
          <cell r="GL19">
            <v>0</v>
          </cell>
          <cell r="GM19">
            <v>2871</v>
          </cell>
          <cell r="GN19">
            <v>0</v>
          </cell>
          <cell r="GO19">
            <v>0</v>
          </cell>
          <cell r="GP19">
            <v>0</v>
          </cell>
          <cell r="GQ19">
            <v>0</v>
          </cell>
          <cell r="GR19">
            <v>0</v>
          </cell>
          <cell r="GS19">
            <v>0</v>
          </cell>
          <cell r="GT19">
            <v>0</v>
          </cell>
          <cell r="GU19">
            <v>1182</v>
          </cell>
          <cell r="GV19">
            <v>0</v>
          </cell>
          <cell r="GW19">
            <v>0</v>
          </cell>
          <cell r="GX19">
            <v>0</v>
          </cell>
          <cell r="GY19">
            <v>0</v>
          </cell>
          <cell r="GZ19">
            <v>0</v>
          </cell>
          <cell r="HA19">
            <v>0</v>
          </cell>
          <cell r="HB19">
            <v>0</v>
          </cell>
          <cell r="HC19">
            <v>0</v>
          </cell>
          <cell r="HD19">
            <v>0</v>
          </cell>
          <cell r="HE19">
            <v>0</v>
          </cell>
          <cell r="HF19">
            <v>1182</v>
          </cell>
          <cell r="HG19">
            <v>0</v>
          </cell>
          <cell r="HH19">
            <v>0</v>
          </cell>
          <cell r="HI19">
            <v>120</v>
          </cell>
          <cell r="HJ19">
            <v>28</v>
          </cell>
          <cell r="HK19">
            <v>0</v>
          </cell>
          <cell r="HL19">
            <v>1371</v>
          </cell>
          <cell r="HM19">
            <v>0</v>
          </cell>
          <cell r="HN19">
            <v>0</v>
          </cell>
          <cell r="HO19">
            <v>0</v>
          </cell>
          <cell r="HP19">
            <v>0</v>
          </cell>
          <cell r="HQ19">
            <v>0</v>
          </cell>
          <cell r="HR19">
            <v>0</v>
          </cell>
          <cell r="HS19">
            <v>0</v>
          </cell>
          <cell r="HT19">
            <v>0</v>
          </cell>
          <cell r="HU19">
            <v>0</v>
          </cell>
          <cell r="HV19">
            <v>0</v>
          </cell>
          <cell r="HW19">
            <v>1519</v>
          </cell>
          <cell r="HX19">
            <v>0</v>
          </cell>
          <cell r="HY19">
            <v>0</v>
          </cell>
          <cell r="HZ19">
            <v>400</v>
          </cell>
          <cell r="IA19">
            <v>900</v>
          </cell>
          <cell r="IB19">
            <v>0</v>
          </cell>
          <cell r="IC19">
            <v>1000</v>
          </cell>
          <cell r="ID19">
            <v>0</v>
          </cell>
          <cell r="IE19">
            <v>0</v>
          </cell>
          <cell r="IF19">
            <v>0</v>
          </cell>
          <cell r="IG19">
            <v>0</v>
          </cell>
          <cell r="IH19">
            <v>0</v>
          </cell>
          <cell r="II19">
            <v>0</v>
          </cell>
          <cell r="IJ19">
            <v>0</v>
          </cell>
          <cell r="IK19">
            <v>0</v>
          </cell>
          <cell r="IL19">
            <v>0</v>
          </cell>
          <cell r="IM19">
            <v>0</v>
          </cell>
          <cell r="IN19">
            <v>2300</v>
          </cell>
          <cell r="IO19" t="str">
            <v>1 shares with Police and another is a stand by point for Ambulance</v>
          </cell>
          <cell r="IP19" t="str">
            <v>Rescue tender x1 rescue boat x1 4x4 x3 fogging system</v>
          </cell>
          <cell r="IQ19" t="str">
            <v>£596.6k in 2018-19 to Royal Berkshire FRS for Thames Valley Fire Control</v>
          </cell>
          <cell r="IR19" t="str">
            <v>2018/19: £180k transfer to reserves.  2019/20: £2.3m trasnfers from reserves offset by £2.2m vehicle purchases on CERA.</v>
          </cell>
          <cell r="IS19" t="str">
            <v>..</v>
          </cell>
          <cell r="IT19" t="str">
            <v>..</v>
          </cell>
          <cell r="IU19" t="str">
            <v>..</v>
          </cell>
          <cell r="IV19" t="str">
            <v>..</v>
          </cell>
          <cell r="IW19">
            <v>0</v>
          </cell>
        </row>
        <row r="20">
          <cell r="B20" t="str">
            <v>E3520</v>
          </cell>
          <cell r="C20" t="str">
            <v>Suffolk</v>
          </cell>
          <cell r="D20" t="str">
            <v>1</v>
          </cell>
          <cell r="E20">
            <v>0</v>
          </cell>
          <cell r="F20">
            <v>29</v>
          </cell>
          <cell r="G20">
            <v>6</v>
          </cell>
          <cell r="H20">
            <v>0</v>
          </cell>
          <cell r="I20">
            <v>35</v>
          </cell>
          <cell r="J20">
            <v>16</v>
          </cell>
          <cell r="K20">
            <v>0</v>
          </cell>
          <cell r="L20">
            <v>29</v>
          </cell>
          <cell r="M20">
            <v>6</v>
          </cell>
          <cell r="N20">
            <v>0</v>
          </cell>
          <cell r="O20">
            <v>35</v>
          </cell>
          <cell r="P20">
            <v>16</v>
          </cell>
          <cell r="Q20">
            <v>43</v>
          </cell>
          <cell r="R20">
            <v>43</v>
          </cell>
          <cell r="S20">
            <v>2</v>
          </cell>
          <cell r="T20">
            <v>14</v>
          </cell>
          <cell r="U20">
            <v>30</v>
          </cell>
          <cell r="V20">
            <v>0</v>
          </cell>
          <cell r="W20">
            <v>2</v>
          </cell>
          <cell r="X20">
            <v>91</v>
          </cell>
          <cell r="Y20">
            <v>52</v>
          </cell>
          <cell r="Z20">
            <v>4</v>
          </cell>
          <cell r="AA20">
            <v>3</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v>9679</v>
          </cell>
          <cell r="AV20">
            <v>3625</v>
          </cell>
          <cell r="AW20">
            <v>0</v>
          </cell>
          <cell r="AX20">
            <v>1591</v>
          </cell>
          <cell r="AY20">
            <v>249</v>
          </cell>
          <cell r="AZ20">
            <v>165</v>
          </cell>
          <cell r="BA20">
            <v>15309</v>
          </cell>
          <cell r="BB20">
            <v>1175</v>
          </cell>
          <cell r="BC20">
            <v>1799</v>
          </cell>
          <cell r="BD20">
            <v>4737</v>
          </cell>
          <cell r="BE20">
            <v>1662</v>
          </cell>
          <cell r="BF20">
            <v>0</v>
          </cell>
          <cell r="BG20">
            <v>0</v>
          </cell>
          <cell r="BH20">
            <v>24682</v>
          </cell>
          <cell r="BI20">
            <v>2449</v>
          </cell>
          <cell r="BJ20">
            <v>55</v>
          </cell>
          <cell r="BK20">
            <v>265</v>
          </cell>
          <cell r="BL20">
            <v>2769</v>
          </cell>
          <cell r="BM20">
            <v>21913</v>
          </cell>
          <cell r="BN20">
            <v>3155</v>
          </cell>
          <cell r="BO20">
            <v>-1112</v>
          </cell>
          <cell r="BP20">
            <v>0</v>
          </cell>
          <cell r="BQ20">
            <v>313</v>
          </cell>
          <cell r="BR20">
            <v>0</v>
          </cell>
          <cell r="BS20">
            <v>1448</v>
          </cell>
          <cell r="BT20">
            <v>0</v>
          </cell>
          <cell r="BU20">
            <v>0</v>
          </cell>
          <cell r="BV20">
            <v>0</v>
          </cell>
          <cell r="BW20">
            <v>0</v>
          </cell>
          <cell r="BX20">
            <v>0</v>
          </cell>
          <cell r="BY20">
            <v>0</v>
          </cell>
          <cell r="BZ20">
            <v>0</v>
          </cell>
          <cell r="CA20">
            <v>0</v>
          </cell>
          <cell r="CB20">
            <v>0</v>
          </cell>
          <cell r="CC20">
            <v>0</v>
          </cell>
          <cell r="CD20">
            <v>0</v>
          </cell>
          <cell r="CE20">
            <v>873</v>
          </cell>
          <cell r="CF20">
            <v>0</v>
          </cell>
          <cell r="CG20">
            <v>185</v>
          </cell>
          <cell r="CH20">
            <v>11397</v>
          </cell>
          <cell r="CI20">
            <v>3776</v>
          </cell>
          <cell r="CJ20">
            <v>0</v>
          </cell>
          <cell r="CK20">
            <v>1640</v>
          </cell>
          <cell r="CL20">
            <v>255</v>
          </cell>
          <cell r="CM20">
            <v>103</v>
          </cell>
          <cell r="CN20">
            <v>17171</v>
          </cell>
          <cell r="CO20">
            <v>1208</v>
          </cell>
          <cell r="CP20">
            <v>921</v>
          </cell>
          <cell r="CQ20">
            <v>4793</v>
          </cell>
          <cell r="CR20">
            <v>1695</v>
          </cell>
          <cell r="CS20">
            <v>0</v>
          </cell>
          <cell r="CT20">
            <v>0</v>
          </cell>
          <cell r="CU20">
            <v>25788</v>
          </cell>
          <cell r="CV20">
            <v>3790</v>
          </cell>
          <cell r="CW20">
            <v>50</v>
          </cell>
          <cell r="CX20">
            <v>213</v>
          </cell>
          <cell r="CY20">
            <v>4053</v>
          </cell>
          <cell r="CZ20">
            <v>21735</v>
          </cell>
          <cell r="DA20">
            <v>0</v>
          </cell>
          <cell r="DB20">
            <v>0</v>
          </cell>
          <cell r="DC20">
            <v>0</v>
          </cell>
          <cell r="DD20">
            <v>322</v>
          </cell>
          <cell r="DE20">
            <v>0</v>
          </cell>
          <cell r="DF20">
            <v>1491</v>
          </cell>
          <cell r="DG20">
            <v>0</v>
          </cell>
          <cell r="DH20">
            <v>0</v>
          </cell>
          <cell r="DI20">
            <v>0</v>
          </cell>
          <cell r="DJ20">
            <v>0</v>
          </cell>
          <cell r="DK20">
            <v>0</v>
          </cell>
          <cell r="DL20">
            <v>0</v>
          </cell>
          <cell r="DM20">
            <v>0</v>
          </cell>
          <cell r="DN20">
            <v>0</v>
          </cell>
          <cell r="DO20">
            <v>0</v>
          </cell>
          <cell r="DP20">
            <v>0</v>
          </cell>
          <cell r="DQ20">
            <v>0</v>
          </cell>
          <cell r="DR20">
            <v>900</v>
          </cell>
          <cell r="DS20">
            <v>0</v>
          </cell>
          <cell r="DT20">
            <v>182</v>
          </cell>
          <cell r="DU20">
            <v>0</v>
          </cell>
          <cell r="DV20">
            <v>0</v>
          </cell>
          <cell r="DW20" t="str">
            <v>..</v>
          </cell>
          <cell r="DX20" t="str">
            <v>..</v>
          </cell>
          <cell r="DY20">
            <v>0</v>
          </cell>
          <cell r="DZ20">
            <v>0</v>
          </cell>
          <cell r="EA20">
            <v>0</v>
          </cell>
          <cell r="EB20">
            <v>0</v>
          </cell>
          <cell r="EC20">
            <v>0</v>
          </cell>
          <cell r="ED20">
            <v>0</v>
          </cell>
          <cell r="EE20">
            <v>1194</v>
          </cell>
          <cell r="EF20">
            <v>482</v>
          </cell>
          <cell r="EG20">
            <v>1676</v>
          </cell>
          <cell r="EH20">
            <v>20735</v>
          </cell>
          <cell r="EI20">
            <v>1983</v>
          </cell>
          <cell r="EJ20">
            <v>251</v>
          </cell>
          <cell r="EK20">
            <v>22969</v>
          </cell>
          <cell r="EL20">
            <v>371</v>
          </cell>
          <cell r="EM20">
            <v>52</v>
          </cell>
          <cell r="EN20">
            <v>0</v>
          </cell>
          <cell r="EO20">
            <v>25068</v>
          </cell>
          <cell r="EP20">
            <v>79</v>
          </cell>
          <cell r="EQ20">
            <v>32</v>
          </cell>
          <cell r="ER20">
            <v>111</v>
          </cell>
          <cell r="ES20">
            <v>6.62291169451074E-2</v>
          </cell>
          <cell r="ET20">
            <v>1378</v>
          </cell>
          <cell r="EU20">
            <v>132</v>
          </cell>
          <cell r="EV20">
            <v>16</v>
          </cell>
          <cell r="EW20">
            <v>1526</v>
          </cell>
          <cell r="EX20">
            <v>25</v>
          </cell>
          <cell r="EY20">
            <v>0</v>
          </cell>
          <cell r="EZ20">
            <v>0</v>
          </cell>
          <cell r="FA20">
            <v>1662</v>
          </cell>
          <cell r="FB20">
            <v>-1557</v>
          </cell>
          <cell r="FC20">
            <v>0</v>
          </cell>
          <cell r="FD20">
            <v>0</v>
          </cell>
          <cell r="FE20">
            <v>-1299</v>
          </cell>
          <cell r="FF20">
            <v>-165</v>
          </cell>
          <cell r="FG20">
            <v>5885</v>
          </cell>
          <cell r="FH20">
            <v>2061</v>
          </cell>
          <cell r="FI20">
            <v>0</v>
          </cell>
          <cell r="FJ20">
            <v>4925</v>
          </cell>
          <cell r="FK20">
            <v>504</v>
          </cell>
          <cell r="FL20">
            <v>62</v>
          </cell>
          <cell r="FM20">
            <v>-3078</v>
          </cell>
          <cell r="FN20">
            <v>0</v>
          </cell>
          <cell r="FO20">
            <v>0</v>
          </cell>
          <cell r="FP20">
            <v>-1337</v>
          </cell>
          <cell r="FQ20">
            <v>0</v>
          </cell>
          <cell r="FR20">
            <v>5938</v>
          </cell>
          <cell r="FS20">
            <v>1943</v>
          </cell>
          <cell r="FT20">
            <v>0</v>
          </cell>
          <cell r="FU20">
            <v>3466</v>
          </cell>
          <cell r="FV20">
            <v>514</v>
          </cell>
          <cell r="FW20">
            <v>0</v>
          </cell>
          <cell r="FX20">
            <v>401</v>
          </cell>
          <cell r="FY20">
            <v>409</v>
          </cell>
          <cell r="FZ20">
            <v>23</v>
          </cell>
          <cell r="GA20">
            <v>5</v>
          </cell>
          <cell r="GB20">
            <v>44</v>
          </cell>
          <cell r="GC20">
            <v>27</v>
          </cell>
          <cell r="GD20">
            <v>456</v>
          </cell>
          <cell r="GE20">
            <v>12</v>
          </cell>
          <cell r="GF20">
            <v>24</v>
          </cell>
          <cell r="GG20">
            <v>173</v>
          </cell>
          <cell r="GH20">
            <v>167</v>
          </cell>
          <cell r="GI20">
            <v>19</v>
          </cell>
          <cell r="GJ20">
            <v>3787</v>
          </cell>
          <cell r="GK20">
            <v>1225</v>
          </cell>
          <cell r="GL20" t="str">
            <v>..</v>
          </cell>
          <cell r="GM20">
            <v>2579</v>
          </cell>
          <cell r="GN20">
            <v>0</v>
          </cell>
          <cell r="GO20">
            <v>29</v>
          </cell>
          <cell r="GP20">
            <v>0</v>
          </cell>
          <cell r="GQ20">
            <v>0</v>
          </cell>
          <cell r="GR20">
            <v>0</v>
          </cell>
          <cell r="GS20">
            <v>1322</v>
          </cell>
          <cell r="GT20">
            <v>0</v>
          </cell>
          <cell r="GU20">
            <v>1500</v>
          </cell>
          <cell r="GV20">
            <v>248</v>
          </cell>
          <cell r="GW20">
            <v>0</v>
          </cell>
          <cell r="GX20">
            <v>1</v>
          </cell>
          <cell r="GY20">
            <v>264</v>
          </cell>
          <cell r="GZ20">
            <v>23</v>
          </cell>
          <cell r="HA20">
            <v>7</v>
          </cell>
          <cell r="HB20">
            <v>269</v>
          </cell>
          <cell r="HC20">
            <v>0</v>
          </cell>
          <cell r="HD20">
            <v>0</v>
          </cell>
          <cell r="HE20">
            <v>69</v>
          </cell>
          <cell r="HF20">
            <v>3703</v>
          </cell>
          <cell r="HG20">
            <v>0</v>
          </cell>
          <cell r="HH20">
            <v>0</v>
          </cell>
          <cell r="HI20">
            <v>0</v>
          </cell>
          <cell r="HJ20">
            <v>1487</v>
          </cell>
          <cell r="HK20">
            <v>0</v>
          </cell>
          <cell r="HL20">
            <v>637</v>
          </cell>
          <cell r="HM20">
            <v>198</v>
          </cell>
          <cell r="HN20">
            <v>0</v>
          </cell>
          <cell r="HO20">
            <v>1</v>
          </cell>
          <cell r="HP20">
            <v>70</v>
          </cell>
          <cell r="HQ20">
            <v>3</v>
          </cell>
          <cell r="HR20">
            <v>0</v>
          </cell>
          <cell r="HS20">
            <v>391</v>
          </cell>
          <cell r="HT20">
            <v>0</v>
          </cell>
          <cell r="HU20">
            <v>0</v>
          </cell>
          <cell r="HV20">
            <v>8</v>
          </cell>
          <cell r="HW20">
            <v>2795</v>
          </cell>
          <cell r="HX20">
            <v>0</v>
          </cell>
          <cell r="HY20">
            <v>0</v>
          </cell>
          <cell r="HZ20">
            <v>7340</v>
          </cell>
          <cell r="IA20">
            <v>1157</v>
          </cell>
          <cell r="IB20">
            <v>0</v>
          </cell>
          <cell r="IC20">
            <v>705</v>
          </cell>
          <cell r="ID20">
            <v>73</v>
          </cell>
          <cell r="IE20">
            <v>0</v>
          </cell>
          <cell r="IF20">
            <v>0</v>
          </cell>
          <cell r="IG20">
            <v>0</v>
          </cell>
          <cell r="IH20">
            <v>0</v>
          </cell>
          <cell r="II20">
            <v>0</v>
          </cell>
          <cell r="IJ20">
            <v>600</v>
          </cell>
          <cell r="IK20">
            <v>0</v>
          </cell>
          <cell r="IL20">
            <v>0</v>
          </cell>
          <cell r="IM20">
            <v>50</v>
          </cell>
          <cell r="IN20">
            <v>9925</v>
          </cell>
          <cell r="IO20" t="str">
            <v>11 shared with Police, 5 shared with Ambulance.</v>
          </cell>
          <cell r="IP20" t="str">
            <v>X3 CSV. X3 UNIMOG 4X4. X1 WATER RESCUE VAN. X2 WATER CARRIER. X1 OSU. X4 RESCUE BOATS.</v>
          </cell>
          <cell r="IQ20" t="str">
            <v>..</v>
          </cell>
          <cell r="IR20" t="str">
            <v>..</v>
          </cell>
          <cell r="IS20" t="str">
            <v xml:space="preserve">Cross Border Charges </v>
          </cell>
          <cell r="IT20" t="str">
            <v>Mostly relates to income collected in relation to shared BLI stations</v>
          </cell>
          <cell r="IU20" t="str">
            <v>..</v>
          </cell>
          <cell r="IV20">
            <v>0</v>
          </cell>
          <cell r="IW20" t="str">
            <v>Of our current stations 9 are shared with Police and 5 with Ambulance.</v>
          </cell>
        </row>
        <row r="21">
          <cell r="B21" t="str">
            <v>E3620</v>
          </cell>
          <cell r="C21" t="str">
            <v>Surrey</v>
          </cell>
          <cell r="D21" t="str">
            <v>1</v>
          </cell>
          <cell r="E21">
            <v>18</v>
          </cell>
          <cell r="F21">
            <v>7</v>
          </cell>
          <cell r="G21">
            <v>1</v>
          </cell>
          <cell r="H21">
            <v>0</v>
          </cell>
          <cell r="I21">
            <v>26</v>
          </cell>
          <cell r="J21">
            <v>8</v>
          </cell>
          <cell r="K21">
            <v>17</v>
          </cell>
          <cell r="L21">
            <v>7</v>
          </cell>
          <cell r="M21">
            <v>1</v>
          </cell>
          <cell r="N21">
            <v>0</v>
          </cell>
          <cell r="O21">
            <v>25</v>
          </cell>
          <cell r="P21">
            <v>7</v>
          </cell>
          <cell r="Q21">
            <v>30</v>
          </cell>
          <cell r="R21">
            <v>30</v>
          </cell>
          <cell r="S21">
            <v>2</v>
          </cell>
          <cell r="T21">
            <v>42</v>
          </cell>
          <cell r="U21">
            <v>39</v>
          </cell>
          <cell r="V21">
            <v>0</v>
          </cell>
          <cell r="W21">
            <v>4</v>
          </cell>
          <cell r="X21">
            <v>117</v>
          </cell>
          <cell r="Y21">
            <v>77</v>
          </cell>
          <cell r="Z21">
            <v>7</v>
          </cell>
          <cell r="AA21">
            <v>4</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v>25614</v>
          </cell>
          <cell r="AV21">
            <v>1508</v>
          </cell>
          <cell r="AW21">
            <v>1052</v>
          </cell>
          <cell r="AX21">
            <v>2631</v>
          </cell>
          <cell r="AY21">
            <v>445</v>
          </cell>
          <cell r="AZ21">
            <v>367</v>
          </cell>
          <cell r="BA21">
            <v>31617</v>
          </cell>
          <cell r="BB21">
            <v>73</v>
          </cell>
          <cell r="BC21">
            <v>931</v>
          </cell>
          <cell r="BD21">
            <v>1854</v>
          </cell>
          <cell r="BE21">
            <v>7212</v>
          </cell>
          <cell r="BF21">
            <v>0</v>
          </cell>
          <cell r="BG21">
            <v>110</v>
          </cell>
          <cell r="BH21">
            <v>41797</v>
          </cell>
          <cell r="BI21">
            <v>681</v>
          </cell>
          <cell r="BJ21">
            <v>133</v>
          </cell>
          <cell r="BK21">
            <v>247</v>
          </cell>
          <cell r="BL21">
            <v>1061</v>
          </cell>
          <cell r="BM21">
            <v>40736</v>
          </cell>
          <cell r="BN21">
            <v>1323</v>
          </cell>
          <cell r="BO21">
            <v>-850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28001</v>
          </cell>
          <cell r="CI21">
            <v>2007</v>
          </cell>
          <cell r="CJ21">
            <v>957</v>
          </cell>
          <cell r="CK21">
            <v>2652</v>
          </cell>
          <cell r="CL21">
            <v>559</v>
          </cell>
          <cell r="CM21">
            <v>190</v>
          </cell>
          <cell r="CN21">
            <v>34366</v>
          </cell>
          <cell r="CO21">
            <v>22</v>
          </cell>
          <cell r="CP21">
            <v>762</v>
          </cell>
          <cell r="CQ21">
            <v>1834</v>
          </cell>
          <cell r="CR21">
            <v>5477</v>
          </cell>
          <cell r="CS21">
            <v>0</v>
          </cell>
          <cell r="CT21">
            <v>-60</v>
          </cell>
          <cell r="CU21">
            <v>42401</v>
          </cell>
          <cell r="CV21">
            <v>2524</v>
          </cell>
          <cell r="CW21">
            <v>0</v>
          </cell>
          <cell r="CX21">
            <v>870</v>
          </cell>
          <cell r="CY21">
            <v>3394</v>
          </cell>
          <cell r="CZ21">
            <v>39007</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14.8</v>
          </cell>
          <cell r="DX21">
            <v>0</v>
          </cell>
          <cell r="DY21">
            <v>0</v>
          </cell>
          <cell r="DZ21">
            <v>0</v>
          </cell>
          <cell r="EA21">
            <v>0</v>
          </cell>
          <cell r="EB21">
            <v>0</v>
          </cell>
          <cell r="EC21">
            <v>0</v>
          </cell>
          <cell r="ED21">
            <v>0</v>
          </cell>
          <cell r="EE21" t="str">
            <v>..</v>
          </cell>
          <cell r="EF21" t="str">
            <v>..</v>
          </cell>
          <cell r="EG21">
            <v>2108</v>
          </cell>
          <cell r="EH21" t="str">
            <v>..</v>
          </cell>
          <cell r="EI21" t="str">
            <v>..</v>
          </cell>
          <cell r="EJ21" t="str">
            <v>..</v>
          </cell>
          <cell r="EK21">
            <v>29139</v>
          </cell>
          <cell r="EL21">
            <v>235</v>
          </cell>
          <cell r="EM21">
            <v>0</v>
          </cell>
          <cell r="EN21">
            <v>10577</v>
          </cell>
          <cell r="EO21">
            <v>42059</v>
          </cell>
          <cell r="EP21">
            <v>0</v>
          </cell>
          <cell r="EQ21">
            <v>0</v>
          </cell>
          <cell r="ER21">
            <v>0</v>
          </cell>
          <cell r="ES21">
            <v>0</v>
          </cell>
          <cell r="ET21">
            <v>0</v>
          </cell>
          <cell r="EU21">
            <v>0</v>
          </cell>
          <cell r="EV21">
            <v>0</v>
          </cell>
          <cell r="EW21">
            <v>7212</v>
          </cell>
          <cell r="EX21">
            <v>0</v>
          </cell>
          <cell r="EY21">
            <v>0</v>
          </cell>
          <cell r="EZ21">
            <v>0</v>
          </cell>
          <cell r="FA21">
            <v>7212</v>
          </cell>
          <cell r="FB21">
            <v>-2787</v>
          </cell>
          <cell r="FC21">
            <v>-26</v>
          </cell>
          <cell r="FD21">
            <v>0</v>
          </cell>
          <cell r="FE21">
            <v>-2277</v>
          </cell>
          <cell r="FF21">
            <v>0</v>
          </cell>
          <cell r="FG21">
            <v>13297</v>
          </cell>
          <cell r="FH21">
            <v>2160</v>
          </cell>
          <cell r="FI21">
            <v>0</v>
          </cell>
          <cell r="FJ21">
            <v>10367</v>
          </cell>
          <cell r="FK21">
            <v>1322</v>
          </cell>
          <cell r="FL21">
            <v>0</v>
          </cell>
          <cell r="FM21">
            <v>-3117</v>
          </cell>
          <cell r="FN21">
            <v>-26</v>
          </cell>
          <cell r="FO21">
            <v>0</v>
          </cell>
          <cell r="FP21">
            <v>-2047</v>
          </cell>
          <cell r="FQ21">
            <v>0</v>
          </cell>
          <cell r="FR21">
            <v>13593</v>
          </cell>
          <cell r="FS21">
            <v>2799</v>
          </cell>
          <cell r="FT21">
            <v>0</v>
          </cell>
          <cell r="FU21">
            <v>11202</v>
          </cell>
          <cell r="FV21">
            <v>1300</v>
          </cell>
          <cell r="FW21">
            <v>0</v>
          </cell>
          <cell r="FX21">
            <v>919</v>
          </cell>
          <cell r="FY21">
            <v>43</v>
          </cell>
          <cell r="FZ21">
            <v>14</v>
          </cell>
          <cell r="GA21">
            <v>0</v>
          </cell>
          <cell r="GB21">
            <v>314</v>
          </cell>
          <cell r="GC21">
            <v>257</v>
          </cell>
          <cell r="GD21">
            <v>0</v>
          </cell>
          <cell r="GE21">
            <v>0</v>
          </cell>
          <cell r="GF21">
            <v>76</v>
          </cell>
          <cell r="GG21">
            <v>83</v>
          </cell>
          <cell r="GH21">
            <v>0</v>
          </cell>
          <cell r="GI21">
            <v>0</v>
          </cell>
          <cell r="GJ21">
            <v>0</v>
          </cell>
          <cell r="GK21">
            <v>0</v>
          </cell>
          <cell r="GL21">
            <v>0</v>
          </cell>
          <cell r="GM21">
            <v>0</v>
          </cell>
          <cell r="GN21">
            <v>0</v>
          </cell>
          <cell r="GO21">
            <v>0</v>
          </cell>
          <cell r="GP21">
            <v>0</v>
          </cell>
          <cell r="GQ21">
            <v>0</v>
          </cell>
          <cell r="GR21">
            <v>2275</v>
          </cell>
          <cell r="GS21">
            <v>0</v>
          </cell>
          <cell r="GT21">
            <v>0</v>
          </cell>
          <cell r="GU21">
            <v>910</v>
          </cell>
          <cell r="GV21">
            <v>0</v>
          </cell>
          <cell r="GW21">
            <v>51</v>
          </cell>
          <cell r="GX21">
            <v>50</v>
          </cell>
          <cell r="GY21">
            <v>0</v>
          </cell>
          <cell r="GZ21">
            <v>0</v>
          </cell>
          <cell r="HA21">
            <v>0</v>
          </cell>
          <cell r="HB21">
            <v>192</v>
          </cell>
          <cell r="HC21">
            <v>0</v>
          </cell>
          <cell r="HD21">
            <v>0</v>
          </cell>
          <cell r="HE21">
            <v>0</v>
          </cell>
          <cell r="HF21">
            <v>3478</v>
          </cell>
          <cell r="HG21">
            <v>0</v>
          </cell>
          <cell r="HH21">
            <v>0</v>
          </cell>
          <cell r="HI21">
            <v>2139</v>
          </cell>
          <cell r="HJ21">
            <v>0</v>
          </cell>
          <cell r="HK21">
            <v>0</v>
          </cell>
          <cell r="HL21">
            <v>549</v>
          </cell>
          <cell r="HM21">
            <v>0</v>
          </cell>
          <cell r="HN21">
            <v>108</v>
          </cell>
          <cell r="HO21">
            <v>113</v>
          </cell>
          <cell r="HP21">
            <v>0</v>
          </cell>
          <cell r="HQ21">
            <v>0</v>
          </cell>
          <cell r="HR21">
            <v>0</v>
          </cell>
          <cell r="HS21">
            <v>356</v>
          </cell>
          <cell r="HT21">
            <v>0</v>
          </cell>
          <cell r="HU21">
            <v>0</v>
          </cell>
          <cell r="HV21">
            <v>0</v>
          </cell>
          <cell r="HW21">
            <v>3265</v>
          </cell>
          <cell r="HX21">
            <v>0</v>
          </cell>
          <cell r="HY21">
            <v>0</v>
          </cell>
          <cell r="HZ21">
            <v>2000</v>
          </cell>
          <cell r="IA21">
            <v>1000</v>
          </cell>
          <cell r="IB21">
            <v>0</v>
          </cell>
          <cell r="IC21">
            <v>1850</v>
          </cell>
          <cell r="ID21">
            <v>0</v>
          </cell>
          <cell r="IE21">
            <v>5</v>
          </cell>
          <cell r="IF21">
            <v>0</v>
          </cell>
          <cell r="IG21">
            <v>0</v>
          </cell>
          <cell r="IH21">
            <v>0</v>
          </cell>
          <cell r="II21">
            <v>0</v>
          </cell>
          <cell r="IJ21">
            <v>327</v>
          </cell>
          <cell r="IK21">
            <v>0</v>
          </cell>
          <cell r="IL21">
            <v>0</v>
          </cell>
          <cell r="IM21">
            <v>0</v>
          </cell>
          <cell r="IN21">
            <v>5182</v>
          </cell>
          <cell r="IO21" t="str">
            <v xml:space="preserve">Chertsey, Esher, Godstone, Reigate fire stations shared with South East Coast Ambulance service (SECAmb). Egham, Farnham, Leatherhead fire stations shared with Surrey Police. Staines fire station shared with SECAmb due to close 31 August 2019. </v>
          </cell>
          <cell r="IP21" t="str">
            <v>3 x water tankers, 1 x EPU, 4 x H4Ts, 2 x H4Cs, 25 x MRVs, 2 x Boats, 2 x Rescue L/R, 2 x IRVs, 1 x PM</v>
          </cell>
          <cell r="IQ21" t="str">
            <v>..</v>
          </cell>
          <cell r="IR21" t="str">
            <v>Cross border expenses</v>
          </cell>
          <cell r="IS21" t="str">
            <v>Cross border income</v>
          </cell>
          <cell r="IT21" t="str">
            <v>Special Services/Reports/Secondments/Rent/Sponsorship/SEBS dividend</v>
          </cell>
          <cell r="IU21" t="str">
            <v>..</v>
          </cell>
          <cell r="IV21"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cell r="IW21" t="str">
            <v>Surrey Police, South East Coast Ambulance Service.</v>
          </cell>
        </row>
        <row r="22">
          <cell r="B22" t="str">
            <v>E3720</v>
          </cell>
          <cell r="C22" t="str">
            <v>Warwickshire</v>
          </cell>
          <cell r="D22" t="str">
            <v>1</v>
          </cell>
          <cell r="E22">
            <v>5</v>
          </cell>
          <cell r="F22">
            <v>9</v>
          </cell>
          <cell r="G22">
            <v>3</v>
          </cell>
          <cell r="H22">
            <v>0</v>
          </cell>
          <cell r="I22">
            <v>17</v>
          </cell>
          <cell r="J22">
            <v>0</v>
          </cell>
          <cell r="K22">
            <v>5</v>
          </cell>
          <cell r="L22">
            <v>9</v>
          </cell>
          <cell r="M22">
            <v>3</v>
          </cell>
          <cell r="N22">
            <v>0</v>
          </cell>
          <cell r="O22">
            <v>17</v>
          </cell>
          <cell r="P22">
            <v>0</v>
          </cell>
          <cell r="Q22">
            <v>23</v>
          </cell>
          <cell r="R22">
            <v>23</v>
          </cell>
          <cell r="S22">
            <v>2</v>
          </cell>
          <cell r="T22">
            <v>3</v>
          </cell>
          <cell r="U22">
            <v>26</v>
          </cell>
          <cell r="V22">
            <v>5</v>
          </cell>
          <cell r="W22">
            <v>10</v>
          </cell>
          <cell r="X22">
            <v>69</v>
          </cell>
          <cell r="Y22">
            <v>46</v>
          </cell>
          <cell r="Z22">
            <v>3</v>
          </cell>
          <cell r="AA22">
            <v>3</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11572</v>
          </cell>
          <cell r="AV22">
            <v>1401</v>
          </cell>
          <cell r="AW22">
            <v>779</v>
          </cell>
          <cell r="AX22">
            <v>2070</v>
          </cell>
          <cell r="AY22">
            <v>311</v>
          </cell>
          <cell r="AZ22">
            <v>267</v>
          </cell>
          <cell r="BA22">
            <v>16400</v>
          </cell>
          <cell r="BB22">
            <v>611</v>
          </cell>
          <cell r="BC22">
            <v>1024</v>
          </cell>
          <cell r="BD22">
            <v>2285</v>
          </cell>
          <cell r="BE22">
            <v>1629</v>
          </cell>
          <cell r="BF22">
            <v>70</v>
          </cell>
          <cell r="BG22">
            <v>0</v>
          </cell>
          <cell r="BH22">
            <v>22019</v>
          </cell>
          <cell r="BI22">
            <v>0</v>
          </cell>
          <cell r="BJ22">
            <v>0</v>
          </cell>
          <cell r="BK22">
            <v>499</v>
          </cell>
          <cell r="BL22">
            <v>499</v>
          </cell>
          <cell r="BM22">
            <v>21520</v>
          </cell>
          <cell r="BN22">
            <v>640</v>
          </cell>
          <cell r="BO22">
            <v>4300</v>
          </cell>
          <cell r="BP22">
            <v>0</v>
          </cell>
          <cell r="BQ22">
            <v>319</v>
          </cell>
          <cell r="BR22">
            <v>13</v>
          </cell>
          <cell r="BS22">
            <v>55</v>
          </cell>
          <cell r="BT22">
            <v>0</v>
          </cell>
          <cell r="BU22">
            <v>0</v>
          </cell>
          <cell r="BV22">
            <v>0</v>
          </cell>
          <cell r="BW22">
            <v>0</v>
          </cell>
          <cell r="BX22">
            <v>0</v>
          </cell>
          <cell r="BY22">
            <v>0</v>
          </cell>
          <cell r="BZ22">
            <v>0</v>
          </cell>
          <cell r="CA22">
            <v>0</v>
          </cell>
          <cell r="CB22">
            <v>0</v>
          </cell>
          <cell r="CC22">
            <v>0</v>
          </cell>
          <cell r="CD22">
            <v>0</v>
          </cell>
          <cell r="CE22">
            <v>310</v>
          </cell>
          <cell r="CF22">
            <v>0</v>
          </cell>
          <cell r="CG22">
            <v>0</v>
          </cell>
          <cell r="CH22">
            <v>13010</v>
          </cell>
          <cell r="CI22">
            <v>1559</v>
          </cell>
          <cell r="CJ22">
            <v>736</v>
          </cell>
          <cell r="CK22">
            <v>2197</v>
          </cell>
          <cell r="CL22">
            <v>294</v>
          </cell>
          <cell r="CM22">
            <v>121</v>
          </cell>
          <cell r="CN22">
            <v>17917</v>
          </cell>
          <cell r="CO22">
            <v>33</v>
          </cell>
          <cell r="CP22">
            <v>956</v>
          </cell>
          <cell r="CQ22">
            <v>1920</v>
          </cell>
          <cell r="CR22">
            <v>1629</v>
          </cell>
          <cell r="CS22">
            <v>28</v>
          </cell>
          <cell r="CT22">
            <v>0</v>
          </cell>
          <cell r="CU22">
            <v>22483</v>
          </cell>
          <cell r="CV22">
            <v>0</v>
          </cell>
          <cell r="CW22">
            <v>0</v>
          </cell>
          <cell r="CX22">
            <v>502</v>
          </cell>
          <cell r="CY22">
            <v>502</v>
          </cell>
          <cell r="CZ22">
            <v>21981</v>
          </cell>
          <cell r="DA22">
            <v>640</v>
          </cell>
          <cell r="DB22">
            <v>4300</v>
          </cell>
          <cell r="DC22">
            <v>0</v>
          </cell>
          <cell r="DD22">
            <v>254</v>
          </cell>
          <cell r="DE22">
            <v>54</v>
          </cell>
          <cell r="DF22">
            <v>57</v>
          </cell>
          <cell r="DG22">
            <v>0</v>
          </cell>
          <cell r="DH22">
            <v>0</v>
          </cell>
          <cell r="DI22">
            <v>0</v>
          </cell>
          <cell r="DJ22">
            <v>0</v>
          </cell>
          <cell r="DK22">
            <v>0</v>
          </cell>
          <cell r="DL22">
            <v>0</v>
          </cell>
          <cell r="DM22">
            <v>0</v>
          </cell>
          <cell r="DN22">
            <v>0</v>
          </cell>
          <cell r="DO22">
            <v>0</v>
          </cell>
          <cell r="DP22">
            <v>0</v>
          </cell>
          <cell r="DQ22">
            <v>0</v>
          </cell>
          <cell r="DR22">
            <v>260</v>
          </cell>
          <cell r="DS22">
            <v>0</v>
          </cell>
          <cell r="DT22">
            <v>0</v>
          </cell>
          <cell r="DU22">
            <v>0</v>
          </cell>
          <cell r="DV22">
            <v>0</v>
          </cell>
          <cell r="DW22">
            <v>19</v>
          </cell>
          <cell r="DX22">
            <v>0</v>
          </cell>
          <cell r="DY22">
            <v>0</v>
          </cell>
          <cell r="DZ22">
            <v>0</v>
          </cell>
          <cell r="EA22">
            <v>0</v>
          </cell>
          <cell r="EB22">
            <v>0</v>
          </cell>
          <cell r="EC22">
            <v>0</v>
          </cell>
          <cell r="ED22">
            <v>0</v>
          </cell>
          <cell r="EE22">
            <v>755</v>
          </cell>
          <cell r="EF22">
            <v>4067</v>
          </cell>
          <cell r="EG22">
            <v>4822</v>
          </cell>
          <cell r="EH22">
            <v>14806</v>
          </cell>
          <cell r="EI22">
            <v>1884</v>
          </cell>
          <cell r="EJ22">
            <v>186</v>
          </cell>
          <cell r="EK22">
            <v>16876</v>
          </cell>
          <cell r="EL22">
            <v>462</v>
          </cell>
          <cell r="EM22">
            <v>0</v>
          </cell>
          <cell r="EN22">
            <v>0</v>
          </cell>
          <cell r="EO22">
            <v>22160</v>
          </cell>
          <cell r="EP22">
            <v>278</v>
          </cell>
          <cell r="EQ22">
            <v>1492</v>
          </cell>
          <cell r="ER22">
            <v>1770</v>
          </cell>
          <cell r="ES22">
            <v>0.36706760680215678</v>
          </cell>
          <cell r="ET22">
            <v>5398</v>
          </cell>
          <cell r="EU22">
            <v>682</v>
          </cell>
          <cell r="EV22">
            <v>69</v>
          </cell>
          <cell r="EW22">
            <v>6149</v>
          </cell>
          <cell r="EX22">
            <v>166</v>
          </cell>
          <cell r="EY22">
            <v>0</v>
          </cell>
          <cell r="EZ22">
            <v>0</v>
          </cell>
          <cell r="FA22">
            <v>8085</v>
          </cell>
          <cell r="FB22">
            <v>-1304</v>
          </cell>
          <cell r="FC22">
            <v>0</v>
          </cell>
          <cell r="FD22">
            <v>0</v>
          </cell>
          <cell r="FE22">
            <v>-1074</v>
          </cell>
          <cell r="FF22">
            <v>0</v>
          </cell>
          <cell r="FG22">
            <v>6433</v>
          </cell>
          <cell r="FH22">
            <v>1298</v>
          </cell>
          <cell r="FI22">
            <v>0</v>
          </cell>
          <cell r="FJ22">
            <v>5353</v>
          </cell>
          <cell r="FK22">
            <v>557</v>
          </cell>
          <cell r="FL22">
            <v>138</v>
          </cell>
          <cell r="FM22">
            <v>-1317</v>
          </cell>
          <cell r="FN22">
            <v>-41</v>
          </cell>
          <cell r="FO22">
            <v>0</v>
          </cell>
          <cell r="FP22">
            <v>-1064</v>
          </cell>
          <cell r="FQ22">
            <v>0</v>
          </cell>
          <cell r="FR22">
            <v>6653</v>
          </cell>
          <cell r="FS22">
            <v>1376</v>
          </cell>
          <cell r="FT22">
            <v>0</v>
          </cell>
          <cell r="FU22">
            <v>5607</v>
          </cell>
          <cell r="FV22">
            <v>581</v>
          </cell>
          <cell r="FW22">
            <v>135</v>
          </cell>
          <cell r="FX22">
            <v>395</v>
          </cell>
          <cell r="FY22">
            <v>398</v>
          </cell>
          <cell r="FZ22">
            <v>10</v>
          </cell>
          <cell r="GA22">
            <v>0</v>
          </cell>
          <cell r="GB22">
            <v>40</v>
          </cell>
          <cell r="GC22">
            <v>4</v>
          </cell>
          <cell r="GD22">
            <v>270</v>
          </cell>
          <cell r="GE22">
            <v>3</v>
          </cell>
          <cell r="GF22">
            <v>31</v>
          </cell>
          <cell r="GG22">
            <v>119</v>
          </cell>
          <cell r="GH22">
            <v>55</v>
          </cell>
          <cell r="GI22">
            <v>7</v>
          </cell>
          <cell r="GJ22">
            <v>1502</v>
          </cell>
          <cell r="GK22">
            <v>686</v>
          </cell>
          <cell r="GL22">
            <v>0</v>
          </cell>
          <cell r="GM22">
            <v>1698</v>
          </cell>
          <cell r="GN22">
            <v>525</v>
          </cell>
          <cell r="GO22">
            <v>0</v>
          </cell>
          <cell r="GP22">
            <v>0</v>
          </cell>
          <cell r="GQ22">
            <v>0</v>
          </cell>
          <cell r="GR22">
            <v>1414</v>
          </cell>
          <cell r="GS22">
            <v>2088</v>
          </cell>
          <cell r="GT22">
            <v>0</v>
          </cell>
          <cell r="GU22">
            <v>284</v>
          </cell>
          <cell r="GV22">
            <v>0</v>
          </cell>
          <cell r="GW22">
            <v>0</v>
          </cell>
          <cell r="GX22">
            <v>0</v>
          </cell>
          <cell r="GY22">
            <v>70</v>
          </cell>
          <cell r="GZ22">
            <v>0</v>
          </cell>
          <cell r="HA22">
            <v>0</v>
          </cell>
          <cell r="HB22">
            <v>100</v>
          </cell>
          <cell r="HC22">
            <v>0</v>
          </cell>
          <cell r="HD22">
            <v>0</v>
          </cell>
          <cell r="HE22">
            <v>0</v>
          </cell>
          <cell r="HF22">
            <v>3956</v>
          </cell>
          <cell r="HG22">
            <v>0</v>
          </cell>
          <cell r="HH22">
            <v>0</v>
          </cell>
          <cell r="HI22">
            <v>0</v>
          </cell>
          <cell r="HJ22">
            <v>11</v>
          </cell>
          <cell r="HK22">
            <v>0</v>
          </cell>
          <cell r="HL22">
            <v>86</v>
          </cell>
          <cell r="HM22">
            <v>0</v>
          </cell>
          <cell r="HN22">
            <v>0</v>
          </cell>
          <cell r="HO22">
            <v>0</v>
          </cell>
          <cell r="HP22">
            <v>0</v>
          </cell>
          <cell r="HQ22">
            <v>0</v>
          </cell>
          <cell r="HR22">
            <v>0</v>
          </cell>
          <cell r="HS22">
            <v>39</v>
          </cell>
          <cell r="HT22">
            <v>0</v>
          </cell>
          <cell r="HU22">
            <v>0</v>
          </cell>
          <cell r="HV22">
            <v>0</v>
          </cell>
          <cell r="HW22">
            <v>136</v>
          </cell>
          <cell r="HX22">
            <v>0</v>
          </cell>
          <cell r="HY22">
            <v>0</v>
          </cell>
          <cell r="HZ22">
            <v>2450</v>
          </cell>
          <cell r="IA22">
            <v>0</v>
          </cell>
          <cell r="IB22">
            <v>0</v>
          </cell>
          <cell r="IC22">
            <v>686</v>
          </cell>
          <cell r="ID22">
            <v>0</v>
          </cell>
          <cell r="IE22">
            <v>0</v>
          </cell>
          <cell r="IF22">
            <v>0</v>
          </cell>
          <cell r="IG22">
            <v>83</v>
          </cell>
          <cell r="IH22">
            <v>0</v>
          </cell>
          <cell r="II22">
            <v>0</v>
          </cell>
          <cell r="IJ22">
            <v>246</v>
          </cell>
          <cell r="IK22">
            <v>0</v>
          </cell>
          <cell r="IL22">
            <v>0</v>
          </cell>
          <cell r="IM22">
            <v>0</v>
          </cell>
          <cell r="IN22">
            <v>3465</v>
          </cell>
          <cell r="IO22" t="str">
            <v>..</v>
          </cell>
          <cell r="IP22" t="str">
            <v>2 x boats &amp; Landrovers, small fire unit</v>
          </cell>
          <cell r="IQ22" t="str">
            <v xml:space="preserve"> </v>
          </cell>
          <cell r="IR22" t="str">
            <v xml:space="preserve"> </v>
          </cell>
          <cell r="IS22" t="str">
            <v xml:space="preserve"> </v>
          </cell>
          <cell r="IT22" t="str">
            <v xml:space="preserve"> </v>
          </cell>
          <cell r="IU22" t="str">
            <v xml:space="preserve"> </v>
          </cell>
          <cell r="IV22" t="str">
            <v xml:space="preserve"> </v>
          </cell>
          <cell r="IW22" t="str">
            <v xml:space="preserve"> </v>
          </cell>
        </row>
        <row r="23">
          <cell r="B23" t="str">
            <v>E3820</v>
          </cell>
          <cell r="C23" t="str">
            <v>West Sussex</v>
          </cell>
          <cell r="D23" t="str">
            <v>1</v>
          </cell>
          <cell r="E23">
            <v>2</v>
          </cell>
          <cell r="F23">
            <v>14</v>
          </cell>
          <cell r="G23">
            <v>9</v>
          </cell>
          <cell r="H23">
            <v>0</v>
          </cell>
          <cell r="I23">
            <v>25</v>
          </cell>
          <cell r="J23">
            <v>0</v>
          </cell>
          <cell r="K23">
            <v>2</v>
          </cell>
          <cell r="L23">
            <v>14</v>
          </cell>
          <cell r="M23">
            <v>9</v>
          </cell>
          <cell r="N23">
            <v>0</v>
          </cell>
          <cell r="O23">
            <v>25</v>
          </cell>
          <cell r="P23">
            <v>0</v>
          </cell>
          <cell r="Q23">
            <v>42</v>
          </cell>
          <cell r="R23">
            <v>42</v>
          </cell>
          <cell r="S23">
            <v>2</v>
          </cell>
          <cell r="T23">
            <v>0</v>
          </cell>
          <cell r="U23">
            <v>37</v>
          </cell>
          <cell r="V23">
            <v>0</v>
          </cell>
          <cell r="W23">
            <v>4</v>
          </cell>
          <cell r="X23">
            <v>85</v>
          </cell>
          <cell r="Y23">
            <v>128</v>
          </cell>
          <cell r="Z23">
            <v>6</v>
          </cell>
          <cell r="AA23">
            <v>6</v>
          </cell>
          <cell r="AB23">
            <v>2</v>
          </cell>
          <cell r="AC23">
            <v>3</v>
          </cell>
          <cell r="AD23">
            <v>9</v>
          </cell>
          <cell r="AE23">
            <v>26</v>
          </cell>
          <cell r="AF23">
            <v>58</v>
          </cell>
          <cell r="AG23">
            <v>46</v>
          </cell>
          <cell r="AH23">
            <v>175</v>
          </cell>
          <cell r="AI23">
            <v>319</v>
          </cell>
          <cell r="AJ23" t="str">
            <v>..</v>
          </cell>
          <cell r="AK23">
            <v>0</v>
          </cell>
          <cell r="AL23">
            <v>0</v>
          </cell>
          <cell r="AM23">
            <v>13</v>
          </cell>
          <cell r="AN23">
            <v>32</v>
          </cell>
          <cell r="AO23">
            <v>106</v>
          </cell>
          <cell r="AP23">
            <v>151</v>
          </cell>
          <cell r="AQ23" t="str">
            <v>..</v>
          </cell>
          <cell r="AR23">
            <v>0</v>
          </cell>
          <cell r="AS23">
            <v>79</v>
          </cell>
          <cell r="AT23">
            <v>549</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v>0</v>
          </cell>
          <cell r="DZ23">
            <v>0</v>
          </cell>
          <cell r="EA23">
            <v>0</v>
          </cell>
          <cell r="EB23">
            <v>0</v>
          </cell>
          <cell r="EC23">
            <v>0</v>
          </cell>
          <cell r="ED23">
            <v>0</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e">
            <v>#VALUE!</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t="str">
            <v>..</v>
          </cell>
          <cell r="HD23" t="str">
            <v>..</v>
          </cell>
          <cell r="HE23" t="str">
            <v>..</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t="str">
            <v>..</v>
          </cell>
          <cell r="IW23" t="str">
            <v>Ambulance service and Police</v>
          </cell>
        </row>
        <row r="24">
          <cell r="B24" t="str">
            <v>E4001</v>
          </cell>
          <cell r="C24" t="str">
            <v>Isles of Scilly</v>
          </cell>
          <cell r="D24" t="str">
            <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v>0</v>
          </cell>
          <cell r="DZ24">
            <v>0</v>
          </cell>
          <cell r="EA24">
            <v>0</v>
          </cell>
          <cell r="EB24">
            <v>0</v>
          </cell>
          <cell r="EC24">
            <v>0</v>
          </cell>
          <cell r="ED24">
            <v>0</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e">
            <v>#VALUE!</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t="str">
            <v>..</v>
          </cell>
          <cell r="HD24" t="str">
            <v>..</v>
          </cell>
          <cell r="HE24" t="str">
            <v>..</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t="str">
            <v>..</v>
          </cell>
          <cell r="HS24" t="str">
            <v>..</v>
          </cell>
          <cell r="HT24" t="str">
            <v>..</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t="str">
            <v>..</v>
          </cell>
          <cell r="IW24" t="str">
            <v>..</v>
          </cell>
        </row>
        <row r="25">
          <cell r="B25" t="str">
            <v>E6101</v>
          </cell>
          <cell r="C25" t="str">
            <v>Avon</v>
          </cell>
          <cell r="D25" t="str">
            <v>1</v>
          </cell>
          <cell r="E25">
            <v>7</v>
          </cell>
          <cell r="F25">
            <v>11</v>
          </cell>
          <cell r="G25">
            <v>3</v>
          </cell>
          <cell r="H25">
            <v>0</v>
          </cell>
          <cell r="I25">
            <v>21</v>
          </cell>
          <cell r="J25">
            <v>8</v>
          </cell>
          <cell r="K25">
            <v>7</v>
          </cell>
          <cell r="L25">
            <v>11</v>
          </cell>
          <cell r="M25">
            <v>3</v>
          </cell>
          <cell r="N25">
            <v>0</v>
          </cell>
          <cell r="O25">
            <v>21</v>
          </cell>
          <cell r="P25">
            <v>8</v>
          </cell>
          <cell r="Q25">
            <v>34</v>
          </cell>
          <cell r="R25">
            <v>33</v>
          </cell>
          <cell r="S25">
            <v>4</v>
          </cell>
          <cell r="T25">
            <v>19</v>
          </cell>
          <cell r="U25">
            <v>37</v>
          </cell>
          <cell r="V25">
            <v>0</v>
          </cell>
          <cell r="W25">
            <v>12</v>
          </cell>
          <cell r="X25">
            <v>105</v>
          </cell>
          <cell r="Y25">
            <v>64</v>
          </cell>
          <cell r="Z25">
            <v>8</v>
          </cell>
          <cell r="AA25">
            <v>3</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v>21929</v>
          </cell>
          <cell r="AV25">
            <v>2213</v>
          </cell>
          <cell r="AW25">
            <v>1554</v>
          </cell>
          <cell r="AX25">
            <v>4551</v>
          </cell>
          <cell r="AY25">
            <v>304</v>
          </cell>
          <cell r="AZ25">
            <v>1927</v>
          </cell>
          <cell r="BA25">
            <v>32478</v>
          </cell>
          <cell r="BB25">
            <v>2136.4548500000001</v>
          </cell>
          <cell r="BC25">
            <v>1275.4111500000001</v>
          </cell>
          <cell r="BD25">
            <v>5209.6617899999965</v>
          </cell>
          <cell r="BE25">
            <v>0</v>
          </cell>
          <cell r="BF25">
            <v>0</v>
          </cell>
          <cell r="BG25">
            <v>0</v>
          </cell>
          <cell r="BH25">
            <v>41099.52779</v>
          </cell>
          <cell r="BI25">
            <v>2805</v>
          </cell>
          <cell r="BJ25">
            <v>0</v>
          </cell>
          <cell r="BK25">
            <v>674.11710999999991</v>
          </cell>
          <cell r="BL25">
            <v>3479.1171100000001</v>
          </cell>
          <cell r="BM25">
            <v>37620.410680000001</v>
          </cell>
          <cell r="BN25">
            <v>592.50512000000003</v>
          </cell>
          <cell r="BO25">
            <v>29605</v>
          </cell>
          <cell r="BP25">
            <v>0</v>
          </cell>
          <cell r="BQ25">
            <v>2562</v>
          </cell>
          <cell r="BR25">
            <v>0</v>
          </cell>
          <cell r="BS25">
            <v>258</v>
          </cell>
          <cell r="BT25">
            <v>-209</v>
          </cell>
          <cell r="BU25">
            <v>0</v>
          </cell>
          <cell r="BV25">
            <v>0</v>
          </cell>
          <cell r="BW25">
            <v>0</v>
          </cell>
          <cell r="BX25">
            <v>0</v>
          </cell>
          <cell r="BY25">
            <v>0</v>
          </cell>
          <cell r="BZ25">
            <v>0</v>
          </cell>
          <cell r="CA25">
            <v>0</v>
          </cell>
          <cell r="CB25">
            <v>0</v>
          </cell>
          <cell r="CC25" t="str">
            <v>..</v>
          </cell>
          <cell r="CD25" t="str">
            <v>..</v>
          </cell>
          <cell r="CE25" t="str">
            <v>..</v>
          </cell>
          <cell r="CF25" t="str">
            <v>..</v>
          </cell>
          <cell r="CG25" t="str">
            <v>..</v>
          </cell>
          <cell r="CH25">
            <v>24951.765027600002</v>
          </cell>
          <cell r="CI25">
            <v>2499.6924477000002</v>
          </cell>
          <cell r="CJ25">
            <v>1776.6874887333333</v>
          </cell>
          <cell r="CK25">
            <v>5530.2867999999999</v>
          </cell>
          <cell r="CL25">
            <v>559.86199999999997</v>
          </cell>
          <cell r="CM25">
            <v>2092.0770000000002</v>
          </cell>
          <cell r="CN25">
            <v>37410.37076403333</v>
          </cell>
          <cell r="CO25">
            <v>2378.6126100000001</v>
          </cell>
          <cell r="CP25">
            <v>1653.8383999999999</v>
          </cell>
          <cell r="CQ25">
            <v>5702.23909</v>
          </cell>
          <cell r="CR25">
            <v>0</v>
          </cell>
          <cell r="CS25">
            <v>0</v>
          </cell>
          <cell r="CT25">
            <v>0</v>
          </cell>
          <cell r="CU25">
            <v>47145.06086403333</v>
          </cell>
          <cell r="CV25">
            <v>3900</v>
          </cell>
          <cell r="CW25">
            <v>0</v>
          </cell>
          <cell r="CX25">
            <v>601</v>
          </cell>
          <cell r="CY25">
            <v>4501</v>
          </cell>
          <cell r="CZ25">
            <v>42644.06086403333</v>
          </cell>
          <cell r="DA25">
            <v>560</v>
          </cell>
          <cell r="DB25">
            <v>4936</v>
          </cell>
          <cell r="DC25">
            <v>0</v>
          </cell>
          <cell r="DD25">
            <v>377</v>
          </cell>
          <cell r="DE25">
            <v>0</v>
          </cell>
          <cell r="DF25">
            <v>258</v>
          </cell>
          <cell r="DG25">
            <v>-209</v>
          </cell>
          <cell r="DH25">
            <v>0</v>
          </cell>
          <cell r="DI25">
            <v>0</v>
          </cell>
          <cell r="DJ25">
            <v>0</v>
          </cell>
          <cell r="DK25">
            <v>0</v>
          </cell>
          <cell r="DL25">
            <v>0</v>
          </cell>
          <cell r="DM25">
            <v>0</v>
          </cell>
          <cell r="DN25">
            <v>0</v>
          </cell>
          <cell r="DO25">
            <v>0</v>
          </cell>
          <cell r="DP25" t="str">
            <v>..</v>
          </cell>
          <cell r="DQ25" t="str">
            <v>..</v>
          </cell>
          <cell r="DR25" t="str">
            <v>..</v>
          </cell>
          <cell r="DS25" t="str">
            <v>..</v>
          </cell>
          <cell r="DT25" t="str">
            <v>..</v>
          </cell>
          <cell r="DU25">
            <v>0</v>
          </cell>
          <cell r="DV25">
            <v>0</v>
          </cell>
          <cell r="DW25">
            <v>15.3</v>
          </cell>
          <cell r="DX25">
            <v>370.70034000000004</v>
          </cell>
          <cell r="DY25">
            <v>11741.231</v>
          </cell>
          <cell r="DZ25">
            <v>4658.2740000000003</v>
          </cell>
          <cell r="EA25">
            <v>25741.591639999999</v>
          </cell>
          <cell r="EB25">
            <v>0</v>
          </cell>
          <cell r="EC25">
            <v>-110</v>
          </cell>
          <cell r="ED25">
            <v>42031.096640000003</v>
          </cell>
          <cell r="EE25">
            <v>977</v>
          </cell>
          <cell r="EF25">
            <v>1809</v>
          </cell>
          <cell r="EG25">
            <v>2786</v>
          </cell>
          <cell r="EH25">
            <v>30486</v>
          </cell>
          <cell r="EI25">
            <v>2840</v>
          </cell>
          <cell r="EJ25">
            <v>117</v>
          </cell>
          <cell r="EK25">
            <v>33443</v>
          </cell>
          <cell r="EL25">
            <v>0</v>
          </cell>
          <cell r="EM25">
            <v>1429</v>
          </cell>
          <cell r="EN25">
            <v>554</v>
          </cell>
          <cell r="EO25">
            <v>38212</v>
          </cell>
          <cell r="EP25">
            <v>300</v>
          </cell>
          <cell r="EQ25">
            <v>556</v>
          </cell>
          <cell r="ER25">
            <v>856</v>
          </cell>
          <cell r="ES25">
            <v>0.30725053840631728</v>
          </cell>
          <cell r="ET25">
            <v>9400</v>
          </cell>
          <cell r="EU25">
            <v>873</v>
          </cell>
          <cell r="EV25">
            <v>36</v>
          </cell>
          <cell r="EW25">
            <v>10309</v>
          </cell>
          <cell r="EX25">
            <v>0</v>
          </cell>
          <cell r="EY25">
            <v>439</v>
          </cell>
          <cell r="EZ25">
            <v>171</v>
          </cell>
          <cell r="FA25">
            <v>11775</v>
          </cell>
          <cell r="FB25">
            <v>-2829</v>
          </cell>
          <cell r="FC25">
            <v>-264</v>
          </cell>
          <cell r="FD25">
            <v>0</v>
          </cell>
          <cell r="FE25">
            <v>-2347</v>
          </cell>
          <cell r="FF25">
            <v>0</v>
          </cell>
          <cell r="FG25">
            <v>13925</v>
          </cell>
          <cell r="FH25">
            <v>4429</v>
          </cell>
          <cell r="FI25">
            <v>65</v>
          </cell>
          <cell r="FJ25">
            <v>12979</v>
          </cell>
          <cell r="FK25">
            <v>1330</v>
          </cell>
          <cell r="FL25">
            <v>115</v>
          </cell>
          <cell r="FM25">
            <v>-5255</v>
          </cell>
          <cell r="FN25">
            <v>-382</v>
          </cell>
          <cell r="FO25">
            <v>0</v>
          </cell>
          <cell r="FP25">
            <v>-2334</v>
          </cell>
          <cell r="FQ25">
            <v>0</v>
          </cell>
          <cell r="FR25">
            <v>14413</v>
          </cell>
          <cell r="FS25">
            <v>1304</v>
          </cell>
          <cell r="FT25">
            <v>0</v>
          </cell>
          <cell r="FU25">
            <v>7746</v>
          </cell>
          <cell r="FV25">
            <v>1331</v>
          </cell>
          <cell r="FW25">
            <v>0</v>
          </cell>
          <cell r="FX25">
            <v>885</v>
          </cell>
          <cell r="FY25">
            <v>18</v>
          </cell>
          <cell r="FZ25">
            <v>30</v>
          </cell>
          <cell r="GA25">
            <v>2</v>
          </cell>
          <cell r="GB25">
            <v>94</v>
          </cell>
          <cell r="GC25">
            <v>14</v>
          </cell>
          <cell r="GD25">
            <v>491</v>
          </cell>
          <cell r="GE25">
            <v>20</v>
          </cell>
          <cell r="GF25">
            <v>82</v>
          </cell>
          <cell r="GG25">
            <v>124</v>
          </cell>
          <cell r="GH25">
            <v>70</v>
          </cell>
          <cell r="GI25">
            <v>8</v>
          </cell>
          <cell r="GJ25">
            <v>2361</v>
          </cell>
          <cell r="GK25">
            <v>1500</v>
          </cell>
          <cell r="GL25">
            <v>1453</v>
          </cell>
          <cell r="GM25">
            <v>6506</v>
          </cell>
          <cell r="GN25">
            <v>1500</v>
          </cell>
          <cell r="GO25">
            <v>1189</v>
          </cell>
          <cell r="GP25">
            <v>0</v>
          </cell>
          <cell r="GQ25">
            <v>0</v>
          </cell>
          <cell r="GR25">
            <v>0</v>
          </cell>
          <cell r="GS25">
            <v>231</v>
          </cell>
          <cell r="GT25">
            <v>34</v>
          </cell>
          <cell r="GU25">
            <v>1412.0221000000001</v>
          </cell>
          <cell r="GV25">
            <v>34</v>
          </cell>
          <cell r="GW25">
            <v>0</v>
          </cell>
          <cell r="GX25">
            <v>74</v>
          </cell>
          <cell r="GY25">
            <v>13</v>
          </cell>
          <cell r="GZ25">
            <v>143</v>
          </cell>
          <cell r="HA25">
            <v>0</v>
          </cell>
          <cell r="HB25">
            <v>26.5</v>
          </cell>
          <cell r="HC25">
            <v>0</v>
          </cell>
          <cell r="HD25">
            <v>0</v>
          </cell>
          <cell r="HE25">
            <v>0</v>
          </cell>
          <cell r="HF25">
            <v>1967.5221000000001</v>
          </cell>
          <cell r="HG25">
            <v>0</v>
          </cell>
          <cell r="HH25">
            <v>0</v>
          </cell>
          <cell r="HI25">
            <v>412</v>
          </cell>
          <cell r="HJ25">
            <v>59</v>
          </cell>
          <cell r="HK25">
            <v>73</v>
          </cell>
          <cell r="HL25">
            <v>306</v>
          </cell>
          <cell r="HM25">
            <v>0</v>
          </cell>
          <cell r="HN25">
            <v>0</v>
          </cell>
          <cell r="HO25">
            <v>0</v>
          </cell>
          <cell r="HP25">
            <v>352</v>
          </cell>
          <cell r="HQ25">
            <v>109</v>
          </cell>
          <cell r="HR25">
            <v>0</v>
          </cell>
          <cell r="HS25">
            <v>40.299999999999997</v>
          </cell>
          <cell r="HT25">
            <v>0</v>
          </cell>
          <cell r="HU25">
            <v>0</v>
          </cell>
          <cell r="HV25">
            <v>0</v>
          </cell>
          <cell r="HW25">
            <v>1351.3</v>
          </cell>
          <cell r="HX25">
            <v>0</v>
          </cell>
          <cell r="HY25">
            <v>0</v>
          </cell>
          <cell r="HZ25">
            <v>2960</v>
          </cell>
          <cell r="IA25">
            <v>200</v>
          </cell>
          <cell r="IB25">
            <v>356</v>
          </cell>
          <cell r="IC25">
            <v>700</v>
          </cell>
          <cell r="ID25">
            <v>20</v>
          </cell>
          <cell r="IE25">
            <v>0</v>
          </cell>
          <cell r="IF25">
            <v>0</v>
          </cell>
          <cell r="IG25">
            <v>252</v>
          </cell>
          <cell r="IH25">
            <v>905</v>
          </cell>
          <cell r="II25">
            <v>0</v>
          </cell>
          <cell r="IJ25">
            <v>307</v>
          </cell>
          <cell r="IK25">
            <v>0</v>
          </cell>
          <cell r="IL25">
            <v>0</v>
          </cell>
          <cell r="IM25">
            <v>0</v>
          </cell>
          <cell r="IN25">
            <v>5700</v>
          </cell>
          <cell r="IO25" t="str">
            <v>02 ambulance, 03 police, 05 ambulance, 06 police, 07 ambulance, 09 police, 16 police, 20 police</v>
          </cell>
          <cell r="IP25"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Q25" t="str">
            <v>..</v>
          </cell>
          <cell r="IR25" t="str">
            <v>..</v>
          </cell>
          <cell r="IS25" t="str">
            <v>..</v>
          </cell>
          <cell r="IT25" t="str">
            <v>..</v>
          </cell>
          <cell r="IU25" t="str">
            <v>..</v>
          </cell>
          <cell r="IV25" t="str">
            <v>..</v>
          </cell>
          <cell r="IW25" t="str">
            <v>02 ambulance, 03 police, 05 ambulance, 06 police, 07 ambulance, 09 police, 16 police, 20 police</v>
          </cell>
        </row>
        <row r="26">
          <cell r="B26" t="str">
            <v>E6102</v>
          </cell>
          <cell r="C26" t="str">
            <v>Bedfordshire</v>
          </cell>
          <cell r="D26" t="str">
            <v>1</v>
          </cell>
          <cell r="E26">
            <v>3</v>
          </cell>
          <cell r="F26">
            <v>8</v>
          </cell>
          <cell r="G26">
            <v>3</v>
          </cell>
          <cell r="H26">
            <v>0</v>
          </cell>
          <cell r="I26">
            <v>14</v>
          </cell>
          <cell r="J26" t="str">
            <v>..</v>
          </cell>
          <cell r="K26">
            <v>3</v>
          </cell>
          <cell r="L26">
            <v>8</v>
          </cell>
          <cell r="M26">
            <v>3</v>
          </cell>
          <cell r="N26">
            <v>0</v>
          </cell>
          <cell r="O26">
            <v>14</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v>14026</v>
          </cell>
          <cell r="AV26">
            <v>1767</v>
          </cell>
          <cell r="AW26">
            <v>979</v>
          </cell>
          <cell r="AX26">
            <v>5475</v>
          </cell>
          <cell r="AY26">
            <v>472</v>
          </cell>
          <cell r="AZ26">
            <v>317</v>
          </cell>
          <cell r="BA26">
            <v>23036</v>
          </cell>
          <cell r="BB26">
            <v>826</v>
          </cell>
          <cell r="BC26">
            <v>568</v>
          </cell>
          <cell r="BD26">
            <v>3971</v>
          </cell>
          <cell r="BE26">
            <v>0</v>
          </cell>
          <cell r="BF26">
            <v>0</v>
          </cell>
          <cell r="BG26">
            <v>0</v>
          </cell>
          <cell r="BH26">
            <v>28401</v>
          </cell>
          <cell r="BI26">
            <v>312</v>
          </cell>
          <cell r="BJ26">
            <v>0</v>
          </cell>
          <cell r="BK26">
            <v>780</v>
          </cell>
          <cell r="BL26">
            <v>1092</v>
          </cell>
          <cell r="BM26">
            <v>27309</v>
          </cell>
          <cell r="BN26">
            <v>1715</v>
          </cell>
          <cell r="BO26">
            <v>-1685</v>
          </cell>
          <cell r="BP26">
            <v>0</v>
          </cell>
          <cell r="BQ26">
            <v>428</v>
          </cell>
          <cell r="BR26">
            <v>0</v>
          </cell>
          <cell r="BS26">
            <v>422</v>
          </cell>
          <cell r="BT26">
            <v>0</v>
          </cell>
          <cell r="BU26">
            <v>0</v>
          </cell>
          <cell r="BV26">
            <v>0</v>
          </cell>
          <cell r="BW26">
            <v>0</v>
          </cell>
          <cell r="BX26">
            <v>0</v>
          </cell>
          <cell r="BY26">
            <v>0</v>
          </cell>
          <cell r="BZ26">
            <v>0</v>
          </cell>
          <cell r="CA26">
            <v>0</v>
          </cell>
          <cell r="CB26">
            <v>0</v>
          </cell>
          <cell r="CC26">
            <v>0</v>
          </cell>
          <cell r="CD26">
            <v>0</v>
          </cell>
          <cell r="CE26">
            <v>0</v>
          </cell>
          <cell r="CF26">
            <v>0</v>
          </cell>
          <cell r="CG26">
            <v>37</v>
          </cell>
          <cell r="CH26">
            <v>13403</v>
          </cell>
          <cell r="CI26">
            <v>1875</v>
          </cell>
          <cell r="CJ26">
            <v>1065</v>
          </cell>
          <cell r="CK26">
            <v>5982</v>
          </cell>
          <cell r="CL26">
            <v>447</v>
          </cell>
          <cell r="CM26">
            <v>443</v>
          </cell>
          <cell r="CN26">
            <v>23215</v>
          </cell>
          <cell r="CO26">
            <v>1091</v>
          </cell>
          <cell r="CP26">
            <v>676</v>
          </cell>
          <cell r="CQ26">
            <v>3654</v>
          </cell>
          <cell r="CR26">
            <v>0</v>
          </cell>
          <cell r="CS26">
            <v>0</v>
          </cell>
          <cell r="CT26">
            <v>0</v>
          </cell>
          <cell r="CU26">
            <v>28636</v>
          </cell>
          <cell r="CV26">
            <v>208</v>
          </cell>
          <cell r="CW26">
            <v>0</v>
          </cell>
          <cell r="CX26">
            <v>346</v>
          </cell>
          <cell r="CY26">
            <v>554</v>
          </cell>
          <cell r="CZ26">
            <v>28082</v>
          </cell>
          <cell r="DA26">
            <v>1396</v>
          </cell>
          <cell r="DB26">
            <v>0</v>
          </cell>
          <cell r="DC26">
            <v>0</v>
          </cell>
          <cell r="DD26">
            <v>428</v>
          </cell>
          <cell r="DE26">
            <v>0</v>
          </cell>
          <cell r="DF26">
            <v>422</v>
          </cell>
          <cell r="DG26">
            <v>0</v>
          </cell>
          <cell r="DH26">
            <v>0</v>
          </cell>
          <cell r="DI26">
            <v>0</v>
          </cell>
          <cell r="DJ26">
            <v>0</v>
          </cell>
          <cell r="DK26">
            <v>0</v>
          </cell>
          <cell r="DL26">
            <v>0</v>
          </cell>
          <cell r="DM26">
            <v>0</v>
          </cell>
          <cell r="DN26">
            <v>0</v>
          </cell>
          <cell r="DO26">
            <v>0</v>
          </cell>
          <cell r="DP26">
            <v>0</v>
          </cell>
          <cell r="DQ26">
            <v>0</v>
          </cell>
          <cell r="DR26">
            <v>0</v>
          </cell>
          <cell r="DS26">
            <v>0</v>
          </cell>
          <cell r="DT26">
            <v>37</v>
          </cell>
          <cell r="DU26">
            <v>0</v>
          </cell>
          <cell r="DV26">
            <v>0</v>
          </cell>
          <cell r="DW26">
            <v>17.3</v>
          </cell>
          <cell r="DX26">
            <v>143</v>
          </cell>
          <cell r="DY26">
            <v>6410</v>
          </cell>
          <cell r="DZ26">
            <v>2222</v>
          </cell>
          <cell r="EA26">
            <v>20973</v>
          </cell>
          <cell r="EB26">
            <v>287</v>
          </cell>
          <cell r="EC26">
            <v>-56</v>
          </cell>
          <cell r="ED26">
            <v>29836</v>
          </cell>
          <cell r="EE26" t="str">
            <v>..</v>
          </cell>
          <cell r="EF26" t="str">
            <v>..</v>
          </cell>
          <cell r="EG26">
            <v>2458</v>
          </cell>
          <cell r="EH26" t="str">
            <v>..</v>
          </cell>
          <cell r="EI26" t="str">
            <v>..</v>
          </cell>
          <cell r="EJ26" t="str">
            <v>..</v>
          </cell>
          <cell r="EK26">
            <v>24247</v>
          </cell>
          <cell r="EL26">
            <v>476</v>
          </cell>
          <cell r="EM26">
            <v>1132</v>
          </cell>
          <cell r="EN26">
            <v>711</v>
          </cell>
          <cell r="EO26">
            <v>29024</v>
          </cell>
          <cell r="EP26" t="str">
            <v>..</v>
          </cell>
          <cell r="EQ26" t="str">
            <v>..</v>
          </cell>
          <cell r="ER26" t="str">
            <v>..</v>
          </cell>
          <cell r="ES26" t="e">
            <v>#VALUE!</v>
          </cell>
          <cell r="ET26" t="str">
            <v>..</v>
          </cell>
          <cell r="EU26" t="str">
            <v>..</v>
          </cell>
          <cell r="EV26" t="str">
            <v>..</v>
          </cell>
          <cell r="EW26" t="str">
            <v>..</v>
          </cell>
          <cell r="EX26" t="str">
            <v>..</v>
          </cell>
          <cell r="EY26" t="str">
            <v>..</v>
          </cell>
          <cell r="EZ26" t="str">
            <v>..</v>
          </cell>
          <cell r="FA26" t="str">
            <v>..</v>
          </cell>
          <cell r="FB26">
            <v>-1597</v>
          </cell>
          <cell r="FC26">
            <v>-69</v>
          </cell>
          <cell r="FD26">
            <v>0</v>
          </cell>
          <cell r="FE26">
            <v>-1355</v>
          </cell>
          <cell r="FF26">
            <v>-45</v>
          </cell>
          <cell r="FG26">
            <v>6494</v>
          </cell>
          <cell r="FH26">
            <v>1354</v>
          </cell>
          <cell r="FI26">
            <v>0</v>
          </cell>
          <cell r="FJ26">
            <v>4782</v>
          </cell>
          <cell r="FK26">
            <v>0</v>
          </cell>
          <cell r="FL26">
            <v>0</v>
          </cell>
          <cell r="FM26">
            <v>-2487</v>
          </cell>
          <cell r="FN26">
            <v>-108</v>
          </cell>
          <cell r="FO26">
            <v>0</v>
          </cell>
          <cell r="FP26">
            <v>-1313</v>
          </cell>
          <cell r="FQ26">
            <v>0</v>
          </cell>
          <cell r="FR26">
            <v>6171</v>
          </cell>
          <cell r="FS26">
            <v>2252</v>
          </cell>
          <cell r="FT26">
            <v>0</v>
          </cell>
          <cell r="FU26">
            <v>4515</v>
          </cell>
          <cell r="FV26">
            <v>0</v>
          </cell>
          <cell r="FW26">
            <v>0</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v>12248</v>
          </cell>
          <cell r="GK26">
            <v>2600</v>
          </cell>
          <cell r="GL26">
            <v>229</v>
          </cell>
          <cell r="GM26">
            <v>12669</v>
          </cell>
          <cell r="GN26">
            <v>2600</v>
          </cell>
          <cell r="GO26">
            <v>244</v>
          </cell>
          <cell r="GP26" t="str">
            <v>..</v>
          </cell>
          <cell r="GQ26" t="str">
            <v>..</v>
          </cell>
          <cell r="GR26" t="str">
            <v>…</v>
          </cell>
          <cell r="GS26">
            <v>274</v>
          </cell>
          <cell r="GT26">
            <v>20</v>
          </cell>
          <cell r="GU26">
            <v>333</v>
          </cell>
          <cell r="GV26">
            <v>249</v>
          </cell>
          <cell r="GW26" t="str">
            <v>..</v>
          </cell>
          <cell r="GX26">
            <v>108</v>
          </cell>
          <cell r="GY26" t="str">
            <v>..</v>
          </cell>
          <cell r="GZ26">
            <v>81</v>
          </cell>
          <cell r="HA26" t="str">
            <v>..</v>
          </cell>
          <cell r="HB26">
            <v>124</v>
          </cell>
          <cell r="HC26" t="str">
            <v>..</v>
          </cell>
          <cell r="HD26" t="str">
            <v>..</v>
          </cell>
          <cell r="HE26" t="str">
            <v>..</v>
          </cell>
          <cell r="HF26">
            <v>1189</v>
          </cell>
          <cell r="HG26" t="str">
            <v>..</v>
          </cell>
          <cell r="HH26" t="str">
            <v>..</v>
          </cell>
          <cell r="HI26" t="str">
            <v>..</v>
          </cell>
          <cell r="HJ26">
            <v>151</v>
          </cell>
          <cell r="HK26">
            <v>82</v>
          </cell>
          <cell r="HL26">
            <v>542</v>
          </cell>
          <cell r="HM26">
            <v>158</v>
          </cell>
          <cell r="HN26" t="str">
            <v>..</v>
          </cell>
          <cell r="HO26">
            <v>28</v>
          </cell>
          <cell r="HP26">
            <v>9</v>
          </cell>
          <cell r="HQ26">
            <v>286</v>
          </cell>
          <cell r="HR26">
            <v>36</v>
          </cell>
          <cell r="HS26" t="str">
            <v>..</v>
          </cell>
          <cell r="HT26" t="str">
            <v>..</v>
          </cell>
          <cell r="HU26" t="str">
            <v>..</v>
          </cell>
          <cell r="HV26" t="str">
            <v>..</v>
          </cell>
          <cell r="HW26">
            <v>1292</v>
          </cell>
          <cell r="HX26" t="str">
            <v>..</v>
          </cell>
          <cell r="HY26" t="str">
            <v>..</v>
          </cell>
          <cell r="HZ26" t="str">
            <v>..</v>
          </cell>
          <cell r="IA26">
            <v>170</v>
          </cell>
          <cell r="IB26" t="str">
            <v>..</v>
          </cell>
          <cell r="IC26">
            <v>300</v>
          </cell>
          <cell r="ID26">
            <v>160</v>
          </cell>
          <cell r="IE26" t="str">
            <v>..</v>
          </cell>
          <cell r="IF26" t="str">
            <v>..</v>
          </cell>
          <cell r="IG26">
            <v>276</v>
          </cell>
          <cell r="IH26" t="str">
            <v>..</v>
          </cell>
          <cell r="II26" t="str">
            <v>..</v>
          </cell>
          <cell r="IJ26">
            <v>830</v>
          </cell>
          <cell r="IK26" t="str">
            <v>..</v>
          </cell>
          <cell r="IL26" t="str">
            <v>..</v>
          </cell>
          <cell r="IM26" t="str">
            <v>..</v>
          </cell>
          <cell r="IN26">
            <v>1736</v>
          </cell>
          <cell r="IO26" t="str">
            <v>..</v>
          </cell>
          <cell r="IP26" t="str">
            <v>..</v>
          </cell>
          <cell r="IQ26">
            <v>0</v>
          </cell>
          <cell r="IR26" t="str">
            <v>..</v>
          </cell>
          <cell r="IS26" t="str">
            <v>..</v>
          </cell>
          <cell r="IT26" t="str">
            <v>..</v>
          </cell>
          <cell r="IU26" t="str">
            <v>..</v>
          </cell>
          <cell r="IV26" t="str">
            <v>..</v>
          </cell>
          <cell r="IW26" t="str">
            <v>Police &amp; Ambulance</v>
          </cell>
        </row>
        <row r="27">
          <cell r="B27" t="str">
            <v>E6103</v>
          </cell>
          <cell r="C27" t="str">
            <v>Berkshire</v>
          </cell>
          <cell r="D27" t="str">
            <v>1</v>
          </cell>
          <cell r="E27">
            <v>11</v>
          </cell>
          <cell r="F27">
            <v>6</v>
          </cell>
          <cell r="G27">
            <v>1</v>
          </cell>
          <cell r="H27">
            <v>0</v>
          </cell>
          <cell r="I27">
            <v>18</v>
          </cell>
          <cell r="J27">
            <v>5</v>
          </cell>
          <cell r="K27">
            <v>11</v>
          </cell>
          <cell r="L27">
            <v>6</v>
          </cell>
          <cell r="M27">
            <v>1</v>
          </cell>
          <cell r="N27">
            <v>0</v>
          </cell>
          <cell r="O27">
            <v>18</v>
          </cell>
          <cell r="P27">
            <v>5</v>
          </cell>
          <cell r="Q27">
            <v>21</v>
          </cell>
          <cell r="R27">
            <v>21</v>
          </cell>
          <cell r="S27">
            <v>1</v>
          </cell>
          <cell r="T27">
            <v>20</v>
          </cell>
          <cell r="U27">
            <v>22</v>
          </cell>
          <cell r="V27">
            <v>19</v>
          </cell>
          <cell r="W27">
            <v>6</v>
          </cell>
          <cell r="X27">
            <v>89</v>
          </cell>
          <cell r="Y27">
            <v>39</v>
          </cell>
          <cell r="Z27">
            <v>9</v>
          </cell>
          <cell r="AA27">
            <v>4</v>
          </cell>
          <cell r="AB27">
            <v>3</v>
          </cell>
          <cell r="AC27">
            <v>2</v>
          </cell>
          <cell r="AD27">
            <v>6</v>
          </cell>
          <cell r="AE27">
            <v>17</v>
          </cell>
          <cell r="AF27">
            <v>54</v>
          </cell>
          <cell r="AG27">
            <v>61</v>
          </cell>
          <cell r="AH27">
            <v>223</v>
          </cell>
          <cell r="AI27">
            <v>366</v>
          </cell>
          <cell r="AJ27">
            <v>366</v>
          </cell>
          <cell r="AK27">
            <v>0</v>
          </cell>
          <cell r="AL27">
            <v>0</v>
          </cell>
          <cell r="AM27">
            <v>4.42</v>
          </cell>
          <cell r="AN27">
            <v>5.09</v>
          </cell>
          <cell r="AO27">
            <v>31.2</v>
          </cell>
          <cell r="AP27">
            <v>40.71</v>
          </cell>
          <cell r="AQ27">
            <v>85</v>
          </cell>
          <cell r="AR27">
            <v>38.69</v>
          </cell>
          <cell r="AS27">
            <v>145.53</v>
          </cell>
          <cell r="AT27">
            <v>590.92999999999995</v>
          </cell>
          <cell r="AU27">
            <v>17734</v>
          </cell>
          <cell r="AV27">
            <v>675</v>
          </cell>
          <cell r="AW27">
            <v>1586</v>
          </cell>
          <cell r="AX27">
            <v>6412</v>
          </cell>
          <cell r="AY27">
            <v>703</v>
          </cell>
          <cell r="AZ27">
            <v>258</v>
          </cell>
          <cell r="BA27">
            <v>27368</v>
          </cell>
          <cell r="BB27">
            <v>2151</v>
          </cell>
          <cell r="BC27">
            <v>983</v>
          </cell>
          <cell r="BD27">
            <v>3527</v>
          </cell>
          <cell r="BE27">
            <v>0</v>
          </cell>
          <cell r="BF27">
            <v>953</v>
          </cell>
          <cell r="BG27">
            <v>0</v>
          </cell>
          <cell r="BH27">
            <v>34982</v>
          </cell>
          <cell r="BI27">
            <v>406</v>
          </cell>
          <cell r="BJ27">
            <v>0</v>
          </cell>
          <cell r="BK27">
            <v>1769</v>
          </cell>
          <cell r="BL27">
            <v>2175</v>
          </cell>
          <cell r="BM27">
            <v>32807</v>
          </cell>
          <cell r="BN27">
            <v>813</v>
          </cell>
          <cell r="BO27">
            <v>434</v>
          </cell>
          <cell r="BP27">
            <v>0</v>
          </cell>
          <cell r="BQ27">
            <v>318</v>
          </cell>
          <cell r="BR27">
            <v>0</v>
          </cell>
          <cell r="BS27">
            <v>392</v>
          </cell>
          <cell r="BT27">
            <v>-102</v>
          </cell>
          <cell r="BU27">
            <v>0</v>
          </cell>
          <cell r="BV27">
            <v>0</v>
          </cell>
          <cell r="BW27">
            <v>0</v>
          </cell>
          <cell r="BX27">
            <v>1586</v>
          </cell>
          <cell r="BY27">
            <v>90</v>
          </cell>
          <cell r="BZ27">
            <v>0</v>
          </cell>
          <cell r="CA27">
            <v>0</v>
          </cell>
          <cell r="CB27">
            <v>1676</v>
          </cell>
          <cell r="CC27">
            <v>0</v>
          </cell>
          <cell r="CD27">
            <v>439</v>
          </cell>
          <cell r="CE27">
            <v>266</v>
          </cell>
          <cell r="CF27">
            <v>0</v>
          </cell>
          <cell r="CG27">
            <v>1539</v>
          </cell>
          <cell r="CH27">
            <v>19408</v>
          </cell>
          <cell r="CI27">
            <v>913</v>
          </cell>
          <cell r="CJ27">
            <v>1649</v>
          </cell>
          <cell r="CK27">
            <v>6834</v>
          </cell>
          <cell r="CL27">
            <v>647</v>
          </cell>
          <cell r="CM27">
            <v>207</v>
          </cell>
          <cell r="CN27">
            <v>29658</v>
          </cell>
          <cell r="CO27">
            <v>2277</v>
          </cell>
          <cell r="CP27">
            <v>1018</v>
          </cell>
          <cell r="CQ27">
            <v>3737</v>
          </cell>
          <cell r="CR27">
            <v>0</v>
          </cell>
          <cell r="CS27">
            <v>579</v>
          </cell>
          <cell r="CT27">
            <v>0</v>
          </cell>
          <cell r="CU27">
            <v>37269</v>
          </cell>
          <cell r="CV27">
            <v>2066</v>
          </cell>
          <cell r="CW27">
            <v>0</v>
          </cell>
          <cell r="CX27">
            <v>1763</v>
          </cell>
          <cell r="CY27">
            <v>3829</v>
          </cell>
          <cell r="CZ27">
            <v>33440</v>
          </cell>
          <cell r="DA27">
            <v>0</v>
          </cell>
          <cell r="DB27">
            <v>422</v>
          </cell>
          <cell r="DC27">
            <v>0</v>
          </cell>
          <cell r="DD27">
            <v>294</v>
          </cell>
          <cell r="DE27">
            <v>0</v>
          </cell>
          <cell r="DF27">
            <v>390</v>
          </cell>
          <cell r="DG27">
            <v>-125</v>
          </cell>
          <cell r="DH27">
            <v>0</v>
          </cell>
          <cell r="DI27">
            <v>0</v>
          </cell>
          <cell r="DJ27">
            <v>0</v>
          </cell>
          <cell r="DK27">
            <v>1649</v>
          </cell>
          <cell r="DL27">
            <v>120</v>
          </cell>
          <cell r="DM27">
            <v>0</v>
          </cell>
          <cell r="DN27">
            <v>0</v>
          </cell>
          <cell r="DO27">
            <v>1769</v>
          </cell>
          <cell r="DP27">
            <v>0</v>
          </cell>
          <cell r="DQ27">
            <v>373</v>
          </cell>
          <cell r="DR27">
            <v>285</v>
          </cell>
          <cell r="DS27">
            <v>0</v>
          </cell>
          <cell r="DT27">
            <v>1568</v>
          </cell>
          <cell r="DU27">
            <v>0</v>
          </cell>
          <cell r="DV27">
            <v>3</v>
          </cell>
          <cell r="DW27">
            <v>15.2</v>
          </cell>
          <cell r="DX27">
            <v>198</v>
          </cell>
          <cell r="DY27">
            <v>0</v>
          </cell>
          <cell r="DZ27">
            <v>0</v>
          </cell>
          <cell r="EA27">
            <v>0</v>
          </cell>
          <cell r="EB27">
            <v>0</v>
          </cell>
          <cell r="EC27">
            <v>0</v>
          </cell>
          <cell r="ED27">
            <v>0</v>
          </cell>
          <cell r="EE27" t="str">
            <v>..</v>
          </cell>
          <cell r="EF27" t="str">
            <v>..</v>
          </cell>
          <cell r="EG27">
            <v>16092</v>
          </cell>
          <cell r="EH27" t="str">
            <v>..</v>
          </cell>
          <cell r="EI27" t="str">
            <v>..</v>
          </cell>
          <cell r="EJ27" t="str">
            <v>..</v>
          </cell>
          <cell r="EK27">
            <v>16926</v>
          </cell>
          <cell r="EL27">
            <v>100</v>
          </cell>
          <cell r="EM27">
            <v>502</v>
          </cell>
          <cell r="EN27">
            <v>0</v>
          </cell>
          <cell r="EO27">
            <v>33620</v>
          </cell>
          <cell r="EP27" t="str">
            <v>..</v>
          </cell>
          <cell r="EQ27" t="str">
            <v>..</v>
          </cell>
          <cell r="ER27" t="str">
            <v>..</v>
          </cell>
          <cell r="ES27" t="e">
            <v>#VALUE!</v>
          </cell>
          <cell r="ET27" t="str">
            <v>..</v>
          </cell>
          <cell r="EU27" t="str">
            <v>..</v>
          </cell>
          <cell r="EV27" t="str">
            <v>..</v>
          </cell>
          <cell r="EW27" t="str">
            <v>..</v>
          </cell>
          <cell r="EX27" t="str">
            <v>..</v>
          </cell>
          <cell r="EY27" t="str">
            <v>..</v>
          </cell>
          <cell r="EZ27" t="str">
            <v>..</v>
          </cell>
          <cell r="FA27" t="str">
            <v>..</v>
          </cell>
          <cell r="FB27">
            <v>-1976</v>
          </cell>
          <cell r="FC27">
            <v>-70</v>
          </cell>
          <cell r="FD27">
            <v>-4</v>
          </cell>
          <cell r="FE27">
            <v>-1687</v>
          </cell>
          <cell r="FF27">
            <v>-64</v>
          </cell>
          <cell r="FG27">
            <v>7884</v>
          </cell>
          <cell r="FH27">
            <v>2619</v>
          </cell>
          <cell r="FI27">
            <v>36</v>
          </cell>
          <cell r="FJ27">
            <v>6738</v>
          </cell>
          <cell r="FK27">
            <v>337</v>
          </cell>
          <cell r="FL27">
            <v>159</v>
          </cell>
          <cell r="FM27">
            <v>-3719</v>
          </cell>
          <cell r="FN27">
            <v>-44</v>
          </cell>
          <cell r="FO27">
            <v>0</v>
          </cell>
          <cell r="FP27">
            <v>-1642</v>
          </cell>
          <cell r="FQ27">
            <v>-105</v>
          </cell>
          <cell r="FR27">
            <v>8022</v>
          </cell>
          <cell r="FS27">
            <v>1240</v>
          </cell>
          <cell r="FT27">
            <v>78</v>
          </cell>
          <cell r="FU27">
            <v>3830</v>
          </cell>
          <cell r="FV27">
            <v>340</v>
          </cell>
          <cell r="FW27">
            <v>150</v>
          </cell>
          <cell r="FX27">
            <v>480</v>
          </cell>
          <cell r="FY27">
            <v>488</v>
          </cell>
          <cell r="FZ27">
            <v>19</v>
          </cell>
          <cell r="GA27">
            <v>0</v>
          </cell>
          <cell r="GB27">
            <v>65</v>
          </cell>
          <cell r="GC27">
            <v>5</v>
          </cell>
          <cell r="GD27">
            <v>347</v>
          </cell>
          <cell r="GE27">
            <v>3</v>
          </cell>
          <cell r="GF27">
            <v>62</v>
          </cell>
          <cell r="GG27">
            <v>51</v>
          </cell>
          <cell r="GH27">
            <v>41</v>
          </cell>
          <cell r="GI27">
            <v>13</v>
          </cell>
          <cell r="GJ27">
            <v>7937</v>
          </cell>
          <cell r="GK27">
            <v>2321</v>
          </cell>
          <cell r="GL27">
            <v>442</v>
          </cell>
          <cell r="GM27">
            <v>7963</v>
          </cell>
          <cell r="GN27">
            <v>2309</v>
          </cell>
          <cell r="GO27">
            <v>284</v>
          </cell>
          <cell r="GP27">
            <v>0</v>
          </cell>
          <cell r="GQ27">
            <v>0</v>
          </cell>
          <cell r="GR27">
            <v>484</v>
          </cell>
          <cell r="GS27">
            <v>531</v>
          </cell>
          <cell r="GT27">
            <v>190</v>
          </cell>
          <cell r="GU27">
            <v>755</v>
          </cell>
          <cell r="GV27">
            <v>112</v>
          </cell>
          <cell r="GW27">
            <v>0</v>
          </cell>
          <cell r="GX27">
            <v>0</v>
          </cell>
          <cell r="GY27">
            <v>60</v>
          </cell>
          <cell r="GZ27">
            <v>28</v>
          </cell>
          <cell r="HA27">
            <v>113</v>
          </cell>
          <cell r="HB27">
            <v>0</v>
          </cell>
          <cell r="HC27">
            <v>0</v>
          </cell>
          <cell r="HD27">
            <v>0</v>
          </cell>
          <cell r="HE27">
            <v>0</v>
          </cell>
          <cell r="HF27">
            <v>2273</v>
          </cell>
          <cell r="HG27">
            <v>0</v>
          </cell>
          <cell r="HH27">
            <v>0</v>
          </cell>
          <cell r="HI27">
            <v>167</v>
          </cell>
          <cell r="HJ27">
            <v>500</v>
          </cell>
          <cell r="HK27">
            <v>0</v>
          </cell>
          <cell r="HL27">
            <v>1023</v>
          </cell>
          <cell r="HM27">
            <v>115</v>
          </cell>
          <cell r="HN27">
            <v>0</v>
          </cell>
          <cell r="HO27">
            <v>0</v>
          </cell>
          <cell r="HP27">
            <v>0</v>
          </cell>
          <cell r="HQ27">
            <v>61</v>
          </cell>
          <cell r="HR27">
            <v>198</v>
          </cell>
          <cell r="HS27">
            <v>0</v>
          </cell>
          <cell r="HT27">
            <v>0</v>
          </cell>
          <cell r="HU27">
            <v>0</v>
          </cell>
          <cell r="HV27">
            <v>0</v>
          </cell>
          <cell r="HW27">
            <v>2064</v>
          </cell>
          <cell r="HX27">
            <v>0</v>
          </cell>
          <cell r="HY27">
            <v>0</v>
          </cell>
          <cell r="HZ27">
            <v>2000</v>
          </cell>
          <cell r="IA27">
            <v>1000</v>
          </cell>
          <cell r="IB27">
            <v>130</v>
          </cell>
          <cell r="IC27">
            <v>3045</v>
          </cell>
          <cell r="ID27">
            <v>125</v>
          </cell>
          <cell r="IE27">
            <v>0</v>
          </cell>
          <cell r="IF27">
            <v>258</v>
          </cell>
          <cell r="IG27">
            <v>0</v>
          </cell>
          <cell r="IH27">
            <v>120</v>
          </cell>
          <cell r="II27">
            <v>280</v>
          </cell>
          <cell r="IJ27">
            <v>0</v>
          </cell>
          <cell r="IK27">
            <v>0</v>
          </cell>
          <cell r="IL27">
            <v>0</v>
          </cell>
          <cell r="IM27">
            <v>0</v>
          </cell>
          <cell r="IN27">
            <v>6958</v>
          </cell>
          <cell r="IO27" t="str">
            <v>Thames Valley Police based at 1 station. Ambulance service have standby points / storage at 4 stations.</v>
          </cell>
          <cell r="IP27" t="str">
            <v>..</v>
          </cell>
          <cell r="IQ27" t="str">
            <v>Legal Fees and Professional Services provided by third parties</v>
          </cell>
          <cell r="IR27" t="str">
            <v>..</v>
          </cell>
          <cell r="IS27" t="str">
            <v>..</v>
          </cell>
          <cell r="IT27" t="str">
            <v>..</v>
          </cell>
          <cell r="IU27" t="str">
            <v>..</v>
          </cell>
          <cell r="IV27" t="str">
            <v>A well structured return</v>
          </cell>
          <cell r="IW27" t="str">
            <v>Thames Valley Police based at 1 station. Ambulance service have standby points / storage at 4 stations.</v>
          </cell>
        </row>
        <row r="28">
          <cell r="B28" t="str">
            <v>E6104</v>
          </cell>
          <cell r="C28" t="str">
            <v>Buckinghamshire</v>
          </cell>
          <cell r="D28" t="str">
            <v>1</v>
          </cell>
          <cell r="E28">
            <v>6</v>
          </cell>
          <cell r="F28">
            <v>10</v>
          </cell>
          <cell r="G28">
            <v>4</v>
          </cell>
          <cell r="H28">
            <v>0</v>
          </cell>
          <cell r="I28">
            <v>20</v>
          </cell>
          <cell r="J28">
            <v>1</v>
          </cell>
          <cell r="K28">
            <v>5</v>
          </cell>
          <cell r="L28">
            <v>10</v>
          </cell>
          <cell r="M28">
            <v>4</v>
          </cell>
          <cell r="N28">
            <v>0</v>
          </cell>
          <cell r="O28">
            <v>19</v>
          </cell>
          <cell r="P28">
            <v>3</v>
          </cell>
          <cell r="Q28">
            <v>30</v>
          </cell>
          <cell r="R28">
            <v>30</v>
          </cell>
          <cell r="S28">
            <v>2</v>
          </cell>
          <cell r="T28">
            <v>4</v>
          </cell>
          <cell r="U28">
            <v>32</v>
          </cell>
          <cell r="V28">
            <v>0</v>
          </cell>
          <cell r="W28">
            <v>9</v>
          </cell>
          <cell r="X28">
            <v>77</v>
          </cell>
          <cell r="Y28">
            <v>47</v>
          </cell>
          <cell r="Z28">
            <v>2</v>
          </cell>
          <cell r="AA28">
            <v>3</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v>13027</v>
          </cell>
          <cell r="AV28">
            <v>1031</v>
          </cell>
          <cell r="AW28">
            <v>722</v>
          </cell>
          <cell r="AX28">
            <v>4432</v>
          </cell>
          <cell r="AY28">
            <v>535</v>
          </cell>
          <cell r="AZ28">
            <v>534</v>
          </cell>
          <cell r="BA28">
            <v>20281</v>
          </cell>
          <cell r="BB28">
            <v>1517</v>
          </cell>
          <cell r="BC28">
            <v>595</v>
          </cell>
          <cell r="BD28">
            <v>3965</v>
          </cell>
          <cell r="BE28">
            <v>0</v>
          </cell>
          <cell r="BF28">
            <v>0</v>
          </cell>
          <cell r="BG28">
            <v>0</v>
          </cell>
          <cell r="BH28">
            <v>26358</v>
          </cell>
          <cell r="BI28">
            <v>1098</v>
          </cell>
          <cell r="BJ28">
            <v>0</v>
          </cell>
          <cell r="BK28">
            <v>582</v>
          </cell>
          <cell r="BL28">
            <v>1680</v>
          </cell>
          <cell r="BM28">
            <v>24678</v>
          </cell>
          <cell r="BN28">
            <v>2919</v>
          </cell>
          <cell r="BO28">
            <v>4036</v>
          </cell>
          <cell r="BP28">
            <v>0</v>
          </cell>
          <cell r="BQ28">
            <v>47</v>
          </cell>
          <cell r="BR28">
            <v>0</v>
          </cell>
          <cell r="BS28">
            <v>314</v>
          </cell>
          <cell r="BT28">
            <v>-226</v>
          </cell>
          <cell r="BU28">
            <v>0</v>
          </cell>
          <cell r="BV28">
            <v>0</v>
          </cell>
          <cell r="BW28">
            <v>0</v>
          </cell>
          <cell r="BX28">
            <v>722</v>
          </cell>
          <cell r="BY28">
            <v>13</v>
          </cell>
          <cell r="BZ28">
            <v>0</v>
          </cell>
          <cell r="CA28">
            <v>0</v>
          </cell>
          <cell r="CB28">
            <v>735</v>
          </cell>
          <cell r="CC28">
            <v>0</v>
          </cell>
          <cell r="CD28">
            <v>0</v>
          </cell>
          <cell r="CE28">
            <v>110</v>
          </cell>
          <cell r="CF28">
            <v>0</v>
          </cell>
          <cell r="CG28">
            <v>0</v>
          </cell>
          <cell r="CH28">
            <v>15538</v>
          </cell>
          <cell r="CI28">
            <v>1852</v>
          </cell>
          <cell r="CJ28">
            <v>790</v>
          </cell>
          <cell r="CK28">
            <v>4730</v>
          </cell>
          <cell r="CL28">
            <v>535</v>
          </cell>
          <cell r="CM28">
            <v>353</v>
          </cell>
          <cell r="CN28">
            <v>23798</v>
          </cell>
          <cell r="CO28">
            <v>1613</v>
          </cell>
          <cell r="CP28">
            <v>643</v>
          </cell>
          <cell r="CQ28">
            <v>2882</v>
          </cell>
          <cell r="CR28">
            <v>0</v>
          </cell>
          <cell r="CS28">
            <v>0</v>
          </cell>
          <cell r="CT28">
            <v>0</v>
          </cell>
          <cell r="CU28">
            <v>28936</v>
          </cell>
          <cell r="CV28">
            <v>1097</v>
          </cell>
          <cell r="CW28">
            <v>0</v>
          </cell>
          <cell r="CX28">
            <v>478</v>
          </cell>
          <cell r="CY28">
            <v>1575</v>
          </cell>
          <cell r="CZ28">
            <v>27361</v>
          </cell>
          <cell r="DA28">
            <v>2919</v>
          </cell>
          <cell r="DB28">
            <v>4036</v>
          </cell>
          <cell r="DC28">
            <v>0</v>
          </cell>
          <cell r="DD28">
            <v>47</v>
          </cell>
          <cell r="DE28">
            <v>0</v>
          </cell>
          <cell r="DF28">
            <v>311</v>
          </cell>
          <cell r="DG28">
            <v>-150</v>
          </cell>
          <cell r="DH28">
            <v>0</v>
          </cell>
          <cell r="DI28">
            <v>0</v>
          </cell>
          <cell r="DJ28">
            <v>0</v>
          </cell>
          <cell r="DK28">
            <v>790</v>
          </cell>
          <cell r="DL28">
            <v>22</v>
          </cell>
          <cell r="DM28">
            <v>0</v>
          </cell>
          <cell r="DN28">
            <v>0</v>
          </cell>
          <cell r="DO28">
            <v>812</v>
          </cell>
          <cell r="DP28">
            <v>0</v>
          </cell>
          <cell r="DQ28">
            <v>0</v>
          </cell>
          <cell r="DR28">
            <v>220</v>
          </cell>
          <cell r="DS28">
            <v>0</v>
          </cell>
          <cell r="DT28">
            <v>0</v>
          </cell>
          <cell r="DU28">
            <v>0</v>
          </cell>
          <cell r="DV28">
            <v>30</v>
          </cell>
          <cell r="DW28">
            <v>15.5</v>
          </cell>
          <cell r="DX28">
            <v>0</v>
          </cell>
          <cell r="DY28">
            <v>2636</v>
          </cell>
          <cell r="DZ28">
            <v>5763</v>
          </cell>
          <cell r="EA28">
            <v>19117</v>
          </cell>
          <cell r="EB28">
            <v>120</v>
          </cell>
          <cell r="EC28">
            <v>107</v>
          </cell>
          <cell r="ED28">
            <v>27743</v>
          </cell>
          <cell r="EE28" t="str">
            <v>..</v>
          </cell>
          <cell r="EF28" t="str">
            <v>..</v>
          </cell>
          <cell r="EG28">
            <v>982</v>
          </cell>
          <cell r="EH28" t="str">
            <v>..</v>
          </cell>
          <cell r="EI28" t="str">
            <v>..</v>
          </cell>
          <cell r="EJ28" t="str">
            <v>..</v>
          </cell>
          <cell r="EK28">
            <v>24979</v>
          </cell>
          <cell r="EL28">
            <v>0</v>
          </cell>
          <cell r="EM28">
            <v>1249</v>
          </cell>
          <cell r="EN28">
            <v>387</v>
          </cell>
          <cell r="EO28">
            <v>27597</v>
          </cell>
          <cell r="EP28" t="str">
            <v>..</v>
          </cell>
          <cell r="EQ28" t="str">
            <v>..</v>
          </cell>
          <cell r="ER28" t="str">
            <v>..</v>
          </cell>
          <cell r="ES28" t="e">
            <v>#VALUE!</v>
          </cell>
          <cell r="ET28" t="str">
            <v>..</v>
          </cell>
          <cell r="EU28" t="str">
            <v>..</v>
          </cell>
          <cell r="EV28" t="str">
            <v>..</v>
          </cell>
          <cell r="EW28" t="str">
            <v>..</v>
          </cell>
          <cell r="EX28" t="str">
            <v>..</v>
          </cell>
          <cell r="EY28" t="str">
            <v>..</v>
          </cell>
          <cell r="EZ28" t="str">
            <v>..</v>
          </cell>
          <cell r="FA28" t="str">
            <v>..</v>
          </cell>
          <cell r="FB28">
            <v>-1429</v>
          </cell>
          <cell r="FC28">
            <v>-122</v>
          </cell>
          <cell r="FD28">
            <v>0</v>
          </cell>
          <cell r="FE28">
            <v>-1233</v>
          </cell>
          <cell r="FF28">
            <v>0</v>
          </cell>
          <cell r="FG28">
            <v>6860</v>
          </cell>
          <cell r="FH28">
            <v>2737</v>
          </cell>
          <cell r="FI28">
            <v>0</v>
          </cell>
          <cell r="FJ28">
            <v>6813</v>
          </cell>
          <cell r="FK28">
            <v>217</v>
          </cell>
          <cell r="FL28">
            <v>121</v>
          </cell>
          <cell r="FM28">
            <v>-2690</v>
          </cell>
          <cell r="FN28">
            <v>-122</v>
          </cell>
          <cell r="FO28">
            <v>0</v>
          </cell>
          <cell r="FP28">
            <v>-1303</v>
          </cell>
          <cell r="FQ28">
            <v>0</v>
          </cell>
          <cell r="FR28">
            <v>6994</v>
          </cell>
          <cell r="FS28">
            <v>563</v>
          </cell>
          <cell r="FT28">
            <v>0</v>
          </cell>
          <cell r="FU28">
            <v>3442</v>
          </cell>
          <cell r="FV28">
            <v>213</v>
          </cell>
          <cell r="FW28">
            <v>0</v>
          </cell>
          <cell r="FX28">
            <v>455</v>
          </cell>
          <cell r="FY28">
            <v>459</v>
          </cell>
          <cell r="FZ28">
            <v>29</v>
          </cell>
          <cell r="GA28">
            <v>5</v>
          </cell>
          <cell r="GB28">
            <v>30</v>
          </cell>
          <cell r="GC28">
            <v>9</v>
          </cell>
          <cell r="GD28">
            <v>373</v>
          </cell>
          <cell r="GE28">
            <v>0</v>
          </cell>
          <cell r="GF28">
            <v>48</v>
          </cell>
          <cell r="GG28">
            <v>176</v>
          </cell>
          <cell r="GH28">
            <v>59</v>
          </cell>
          <cell r="GI28">
            <v>0</v>
          </cell>
          <cell r="GJ28">
            <v>8229</v>
          </cell>
          <cell r="GK28">
            <v>1500</v>
          </cell>
          <cell r="GL28">
            <v>3196</v>
          </cell>
          <cell r="GM28">
            <v>5898</v>
          </cell>
          <cell r="GN28">
            <v>1500</v>
          </cell>
          <cell r="GO28">
            <v>2943</v>
          </cell>
          <cell r="GP28">
            <v>0</v>
          </cell>
          <cell r="GQ28">
            <v>0</v>
          </cell>
          <cell r="GR28">
            <v>1871</v>
          </cell>
          <cell r="GS28">
            <v>208</v>
          </cell>
          <cell r="GT28">
            <v>0</v>
          </cell>
          <cell r="GU28">
            <v>2068</v>
          </cell>
          <cell r="GV28">
            <v>0</v>
          </cell>
          <cell r="GW28">
            <v>0</v>
          </cell>
          <cell r="GX28">
            <v>0</v>
          </cell>
          <cell r="GY28">
            <v>0</v>
          </cell>
          <cell r="GZ28">
            <v>0</v>
          </cell>
          <cell r="HA28">
            <v>73</v>
          </cell>
          <cell r="HB28">
            <v>255</v>
          </cell>
          <cell r="HC28">
            <v>0</v>
          </cell>
          <cell r="HD28">
            <v>0</v>
          </cell>
          <cell r="HE28">
            <v>0</v>
          </cell>
          <cell r="HF28">
            <v>4475</v>
          </cell>
          <cell r="HG28">
            <v>0</v>
          </cell>
          <cell r="HH28">
            <v>0</v>
          </cell>
          <cell r="HI28">
            <v>6319</v>
          </cell>
          <cell r="HJ28">
            <v>500</v>
          </cell>
          <cell r="HK28">
            <v>0</v>
          </cell>
          <cell r="HL28">
            <v>522</v>
          </cell>
          <cell r="HM28">
            <v>0</v>
          </cell>
          <cell r="HN28">
            <v>0</v>
          </cell>
          <cell r="HO28">
            <v>0</v>
          </cell>
          <cell r="HP28">
            <v>0</v>
          </cell>
          <cell r="HQ28">
            <v>0</v>
          </cell>
          <cell r="HR28">
            <v>120</v>
          </cell>
          <cell r="HS28">
            <v>197</v>
          </cell>
          <cell r="HT28">
            <v>0</v>
          </cell>
          <cell r="HU28">
            <v>0</v>
          </cell>
          <cell r="HV28">
            <v>0</v>
          </cell>
          <cell r="HW28">
            <v>7658</v>
          </cell>
          <cell r="HX28">
            <v>0</v>
          </cell>
          <cell r="HY28">
            <v>0</v>
          </cell>
          <cell r="HZ28">
            <v>5875</v>
          </cell>
          <cell r="IA28">
            <v>500</v>
          </cell>
          <cell r="IB28">
            <v>0</v>
          </cell>
          <cell r="IC28">
            <v>815</v>
          </cell>
          <cell r="ID28">
            <v>0</v>
          </cell>
          <cell r="IE28">
            <v>0</v>
          </cell>
          <cell r="IF28">
            <v>90</v>
          </cell>
          <cell r="IG28">
            <v>0</v>
          </cell>
          <cell r="IH28">
            <v>0</v>
          </cell>
          <cell r="II28">
            <v>138</v>
          </cell>
          <cell r="IJ28">
            <v>182</v>
          </cell>
          <cell r="IK28">
            <v>0</v>
          </cell>
          <cell r="IL28">
            <v>0</v>
          </cell>
          <cell r="IM28">
            <v>0</v>
          </cell>
          <cell r="IN28">
            <v>7600</v>
          </cell>
          <cell r="IO28" t="str">
            <v>Police and Ambulance</v>
          </cell>
          <cell r="IP28" t="str">
            <v>2 Water Rescue (inc Boat) &amp; 2 tankers</v>
          </cell>
          <cell r="IQ28" t="str">
            <v>..</v>
          </cell>
          <cell r="IR28" t="str">
            <v>..</v>
          </cell>
          <cell r="IS28" t="str">
            <v>..</v>
          </cell>
          <cell r="IT28" t="str">
            <v>Aerial sites, seconded officers recharges, rents</v>
          </cell>
          <cell r="IU28" t="str">
            <v>..</v>
          </cell>
          <cell r="IV28" t="str">
            <v>..</v>
          </cell>
          <cell r="IW28" t="str">
            <v>..</v>
          </cell>
        </row>
        <row r="29">
          <cell r="B29" t="str">
            <v>E6105</v>
          </cell>
          <cell r="C29" t="str">
            <v>Cambridgeshire</v>
          </cell>
          <cell r="D29" t="str">
            <v>1</v>
          </cell>
          <cell r="E29">
            <v>3</v>
          </cell>
          <cell r="F29">
            <v>19</v>
          </cell>
          <cell r="G29">
            <v>4</v>
          </cell>
          <cell r="H29">
            <v>1</v>
          </cell>
          <cell r="I29">
            <v>27</v>
          </cell>
          <cell r="J29">
            <v>7</v>
          </cell>
          <cell r="K29">
            <v>3</v>
          </cell>
          <cell r="L29">
            <v>19</v>
          </cell>
          <cell r="M29">
            <v>4</v>
          </cell>
          <cell r="N29">
            <v>1</v>
          </cell>
          <cell r="O29">
            <v>27</v>
          </cell>
          <cell r="P29">
            <v>7</v>
          </cell>
          <cell r="Q29">
            <v>36</v>
          </cell>
          <cell r="R29">
            <v>36</v>
          </cell>
          <cell r="S29">
            <v>2</v>
          </cell>
          <cell r="T29">
            <v>5</v>
          </cell>
          <cell r="U29">
            <v>42</v>
          </cell>
          <cell r="V29">
            <v>3</v>
          </cell>
          <cell r="W29">
            <v>88</v>
          </cell>
          <cell r="X29">
            <v>176</v>
          </cell>
          <cell r="Y29">
            <v>74</v>
          </cell>
          <cell r="Z29">
            <v>4</v>
          </cell>
          <cell r="AA29">
            <v>3</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v>11983</v>
          </cell>
          <cell r="AV29">
            <v>2459</v>
          </cell>
          <cell r="AW29">
            <v>1611</v>
          </cell>
          <cell r="AX29">
            <v>5487</v>
          </cell>
          <cell r="AY29">
            <v>700</v>
          </cell>
          <cell r="AZ29">
            <v>806</v>
          </cell>
          <cell r="BA29">
            <v>23046</v>
          </cell>
          <cell r="BB29">
            <v>1439</v>
          </cell>
          <cell r="BC29">
            <v>907</v>
          </cell>
          <cell r="BD29">
            <v>4893</v>
          </cell>
          <cell r="BE29">
            <v>78</v>
          </cell>
          <cell r="BF29">
            <v>0</v>
          </cell>
          <cell r="BG29">
            <v>0</v>
          </cell>
          <cell r="BH29">
            <v>30363</v>
          </cell>
          <cell r="BI29">
            <v>0</v>
          </cell>
          <cell r="BJ29">
            <v>0</v>
          </cell>
          <cell r="BK29">
            <v>1933</v>
          </cell>
          <cell r="BL29">
            <v>1933</v>
          </cell>
          <cell r="BM29">
            <v>28430</v>
          </cell>
          <cell r="BN29">
            <v>6663</v>
          </cell>
          <cell r="BO29">
            <v>8384</v>
          </cell>
          <cell r="BP29">
            <v>0</v>
          </cell>
          <cell r="BQ29">
            <v>129</v>
          </cell>
          <cell r="BR29">
            <v>0</v>
          </cell>
          <cell r="BS29">
            <v>141</v>
          </cell>
          <cell r="BT29">
            <v>110</v>
          </cell>
          <cell r="BU29">
            <v>0</v>
          </cell>
          <cell r="BV29" t="str">
            <v>..</v>
          </cell>
          <cell r="BW29" t="str">
            <v>..</v>
          </cell>
          <cell r="BX29" t="str">
            <v>..</v>
          </cell>
          <cell r="BY29" t="str">
            <v>..</v>
          </cell>
          <cell r="BZ29" t="str">
            <v>..</v>
          </cell>
          <cell r="CA29" t="str">
            <v>..</v>
          </cell>
          <cell r="CB29" t="str">
            <v>..</v>
          </cell>
          <cell r="CC29" t="str">
            <v>..</v>
          </cell>
          <cell r="CD29" t="str">
            <v>..</v>
          </cell>
          <cell r="CE29">
            <v>105</v>
          </cell>
          <cell r="CF29" t="str">
            <v>..</v>
          </cell>
          <cell r="CG29">
            <v>1220</v>
          </cell>
          <cell r="CH29">
            <v>13003</v>
          </cell>
          <cell r="CI29">
            <v>2864</v>
          </cell>
          <cell r="CJ29">
            <v>1533</v>
          </cell>
          <cell r="CK29">
            <v>5737</v>
          </cell>
          <cell r="CL29">
            <v>548</v>
          </cell>
          <cell r="CM29">
            <v>752</v>
          </cell>
          <cell r="CN29">
            <v>24437</v>
          </cell>
          <cell r="CO29">
            <v>1454</v>
          </cell>
          <cell r="CP29">
            <v>845</v>
          </cell>
          <cell r="CQ29">
            <v>4558</v>
          </cell>
          <cell r="CR29">
            <v>102</v>
          </cell>
          <cell r="CS29">
            <v>0</v>
          </cell>
          <cell r="CT29">
            <v>0</v>
          </cell>
          <cell r="CU29">
            <v>31396</v>
          </cell>
          <cell r="CV29">
            <v>0</v>
          </cell>
          <cell r="CW29">
            <v>0</v>
          </cell>
          <cell r="CX29">
            <v>1213</v>
          </cell>
          <cell r="CY29">
            <v>1213</v>
          </cell>
          <cell r="CZ29">
            <v>30183</v>
          </cell>
          <cell r="DA29">
            <v>3505</v>
          </cell>
          <cell r="DB29">
            <v>12280</v>
          </cell>
          <cell r="DC29">
            <v>0</v>
          </cell>
          <cell r="DD29">
            <v>124</v>
          </cell>
          <cell r="DE29">
            <v>0</v>
          </cell>
          <cell r="DF29">
            <v>193</v>
          </cell>
          <cell r="DG29">
            <v>90</v>
          </cell>
          <cell r="DH29">
            <v>0</v>
          </cell>
          <cell r="DI29" t="str">
            <v>..</v>
          </cell>
          <cell r="DJ29" t="str">
            <v>..</v>
          </cell>
          <cell r="DK29" t="str">
            <v>..</v>
          </cell>
          <cell r="DL29" t="str">
            <v>..</v>
          </cell>
          <cell r="DM29" t="str">
            <v>..</v>
          </cell>
          <cell r="DN29" t="str">
            <v>..</v>
          </cell>
          <cell r="DO29" t="str">
            <v>..</v>
          </cell>
          <cell r="DP29" t="str">
            <v>..</v>
          </cell>
          <cell r="DQ29" t="str">
            <v>..</v>
          </cell>
          <cell r="DR29">
            <v>79</v>
          </cell>
          <cell r="DS29" t="str">
            <v>..</v>
          </cell>
          <cell r="DT29">
            <v>1021</v>
          </cell>
          <cell r="DU29">
            <v>0</v>
          </cell>
          <cell r="DV29">
            <v>0</v>
          </cell>
          <cell r="DW29">
            <v>18.600000000000001</v>
          </cell>
          <cell r="DX29">
            <v>364</v>
          </cell>
          <cell r="DY29">
            <v>6809</v>
          </cell>
          <cell r="DZ29">
            <v>3880</v>
          </cell>
          <cell r="EA29">
            <v>20164</v>
          </cell>
          <cell r="EB29">
            <v>62</v>
          </cell>
          <cell r="EC29">
            <v>113</v>
          </cell>
          <cell r="ED29">
            <v>31028</v>
          </cell>
          <cell r="EE29">
            <v>106</v>
          </cell>
          <cell r="EF29">
            <v>288</v>
          </cell>
          <cell r="EG29">
            <v>394</v>
          </cell>
          <cell r="EH29">
            <v>30395</v>
          </cell>
          <cell r="EI29">
            <v>3082</v>
          </cell>
          <cell r="EJ29">
            <v>393</v>
          </cell>
          <cell r="EK29">
            <v>33870</v>
          </cell>
          <cell r="EL29">
            <v>127</v>
          </cell>
          <cell r="EM29">
            <v>672</v>
          </cell>
          <cell r="EN29">
            <v>30</v>
          </cell>
          <cell r="EO29">
            <v>35093</v>
          </cell>
          <cell r="EP29">
            <v>54</v>
          </cell>
          <cell r="EQ29">
            <v>151</v>
          </cell>
          <cell r="ER29">
            <v>205</v>
          </cell>
          <cell r="ES29">
            <v>0.52030456852791873</v>
          </cell>
          <cell r="ET29">
            <v>15497</v>
          </cell>
          <cell r="EU29">
            <v>2023</v>
          </cell>
          <cell r="EV29">
            <v>206</v>
          </cell>
          <cell r="EW29">
            <v>17726</v>
          </cell>
          <cell r="EX29">
            <v>65</v>
          </cell>
          <cell r="EY29">
            <v>0</v>
          </cell>
          <cell r="EZ29">
            <v>0</v>
          </cell>
          <cell r="FA29">
            <v>17996</v>
          </cell>
          <cell r="FB29">
            <v>-1629</v>
          </cell>
          <cell r="FC29">
            <v>-45</v>
          </cell>
          <cell r="FD29">
            <v>0</v>
          </cell>
          <cell r="FE29">
            <v>-1402</v>
          </cell>
          <cell r="FF29">
            <v>-1</v>
          </cell>
          <cell r="FG29">
            <v>6648</v>
          </cell>
          <cell r="FH29">
            <v>1693</v>
          </cell>
          <cell r="FI29">
            <v>405</v>
          </cell>
          <cell r="FJ29">
            <v>5669</v>
          </cell>
          <cell r="FK29">
            <v>608</v>
          </cell>
          <cell r="FL29">
            <v>0</v>
          </cell>
          <cell r="FM29">
            <v>-2932</v>
          </cell>
          <cell r="FN29">
            <v>-110</v>
          </cell>
          <cell r="FO29">
            <v>0</v>
          </cell>
          <cell r="FP29">
            <v>-1382</v>
          </cell>
          <cell r="FQ29">
            <v>0</v>
          </cell>
          <cell r="FR29">
            <v>6916</v>
          </cell>
          <cell r="FS29">
            <v>1278</v>
          </cell>
          <cell r="FT29">
            <v>0</v>
          </cell>
          <cell r="FU29">
            <v>3770</v>
          </cell>
          <cell r="FV29">
            <v>633</v>
          </cell>
          <cell r="FW29">
            <v>0</v>
          </cell>
          <cell r="FX29">
            <v>441</v>
          </cell>
          <cell r="FY29">
            <v>456</v>
          </cell>
          <cell r="FZ29">
            <v>22</v>
          </cell>
          <cell r="GA29">
            <v>1</v>
          </cell>
          <cell r="GB29">
            <v>43</v>
          </cell>
          <cell r="GC29">
            <v>8</v>
          </cell>
          <cell r="GD29">
            <v>366</v>
          </cell>
          <cell r="GE29">
            <v>13</v>
          </cell>
          <cell r="GF29">
            <v>26</v>
          </cell>
          <cell r="GG29">
            <v>213</v>
          </cell>
          <cell r="GH29">
            <v>16</v>
          </cell>
          <cell r="GI29">
            <v>0</v>
          </cell>
          <cell r="GJ29">
            <v>10033</v>
          </cell>
          <cell r="GK29">
            <v>2471</v>
          </cell>
          <cell r="GL29">
            <v>371</v>
          </cell>
          <cell r="GM29">
            <v>8509</v>
          </cell>
          <cell r="GN29">
            <v>2502</v>
          </cell>
          <cell r="GO29">
            <v>450</v>
          </cell>
          <cell r="GP29">
            <v>0</v>
          </cell>
          <cell r="GQ29">
            <v>0</v>
          </cell>
          <cell r="GR29">
            <v>0</v>
          </cell>
          <cell r="GS29">
            <v>440</v>
          </cell>
          <cell r="GT29">
            <v>0</v>
          </cell>
          <cell r="GU29">
            <v>843</v>
          </cell>
          <cell r="GV29">
            <v>893</v>
          </cell>
          <cell r="GW29">
            <v>0</v>
          </cell>
          <cell r="GX29">
            <v>39</v>
          </cell>
          <cell r="GY29">
            <v>138</v>
          </cell>
          <cell r="GZ29">
            <v>31</v>
          </cell>
          <cell r="HA29">
            <v>29</v>
          </cell>
          <cell r="HB29">
            <v>479</v>
          </cell>
          <cell r="HC29">
            <v>0</v>
          </cell>
          <cell r="HD29">
            <v>0</v>
          </cell>
          <cell r="HE29">
            <v>0</v>
          </cell>
          <cell r="HF29">
            <v>2892</v>
          </cell>
          <cell r="HG29">
            <v>0</v>
          </cell>
          <cell r="HH29">
            <v>0</v>
          </cell>
          <cell r="HI29">
            <v>74</v>
          </cell>
          <cell r="HJ29">
            <v>1216</v>
          </cell>
          <cell r="HK29">
            <v>0</v>
          </cell>
          <cell r="HL29">
            <v>548</v>
          </cell>
          <cell r="HM29">
            <v>148</v>
          </cell>
          <cell r="HN29">
            <v>0</v>
          </cell>
          <cell r="HO29">
            <v>0</v>
          </cell>
          <cell r="HP29">
            <v>0</v>
          </cell>
          <cell r="HQ29">
            <v>387</v>
          </cell>
          <cell r="HR29">
            <v>0</v>
          </cell>
          <cell r="HS29">
            <v>236</v>
          </cell>
          <cell r="HT29">
            <v>0</v>
          </cell>
          <cell r="HU29">
            <v>0</v>
          </cell>
          <cell r="HV29">
            <v>0</v>
          </cell>
          <cell r="HW29">
            <v>2609</v>
          </cell>
          <cell r="HX29">
            <v>0</v>
          </cell>
          <cell r="HY29">
            <v>0</v>
          </cell>
          <cell r="HZ29">
            <v>0</v>
          </cell>
          <cell r="IA29">
            <v>1210</v>
          </cell>
          <cell r="IB29">
            <v>0</v>
          </cell>
          <cell r="IC29">
            <v>1616</v>
          </cell>
          <cell r="ID29">
            <v>719</v>
          </cell>
          <cell r="IE29">
            <v>0</v>
          </cell>
          <cell r="IF29">
            <v>50</v>
          </cell>
          <cell r="IG29">
            <v>0</v>
          </cell>
          <cell r="IH29">
            <v>300</v>
          </cell>
          <cell r="II29">
            <v>0</v>
          </cell>
          <cell r="IJ29">
            <v>292</v>
          </cell>
          <cell r="IK29">
            <v>0</v>
          </cell>
          <cell r="IL29">
            <v>0</v>
          </cell>
          <cell r="IM29">
            <v>0</v>
          </cell>
          <cell r="IN29">
            <v>4187</v>
          </cell>
          <cell r="IO29" t="str">
            <v>Ambulance Service</v>
          </cell>
          <cell r="IP29" t="str">
            <v>..</v>
          </cell>
          <cell r="IQ29" t="str">
            <v>..</v>
          </cell>
          <cell r="IR29" t="str">
            <v>..</v>
          </cell>
          <cell r="IS29" t="str">
            <v>..</v>
          </cell>
          <cell r="IT29" t="str">
            <v>Includes recharge of Combined Control</v>
          </cell>
          <cell r="IU29" t="str">
            <v>..</v>
          </cell>
          <cell r="IV29" t="str">
            <v>..</v>
          </cell>
          <cell r="IW29" t="str">
            <v>Ambulance Service</v>
          </cell>
        </row>
        <row r="30">
          <cell r="B30" t="str">
            <v>E6106</v>
          </cell>
          <cell r="C30" t="str">
            <v>Cheshire</v>
          </cell>
          <cell r="D30" t="str">
            <v>1</v>
          </cell>
          <cell r="E30">
            <v>7</v>
          </cell>
          <cell r="F30">
            <v>11</v>
          </cell>
          <cell r="G30">
            <v>10</v>
          </cell>
          <cell r="H30">
            <v>0</v>
          </cell>
          <cell r="I30">
            <v>28</v>
          </cell>
          <cell r="J30">
            <v>6</v>
          </cell>
          <cell r="K30">
            <v>7</v>
          </cell>
          <cell r="L30">
            <v>11</v>
          </cell>
          <cell r="M30">
            <v>10</v>
          </cell>
          <cell r="N30">
            <v>0</v>
          </cell>
          <cell r="O30">
            <v>28</v>
          </cell>
          <cell r="P30">
            <v>6</v>
          </cell>
          <cell r="Q30">
            <v>40</v>
          </cell>
          <cell r="R30">
            <v>36</v>
          </cell>
          <cell r="S30">
            <v>3</v>
          </cell>
          <cell r="T30">
            <v>7</v>
          </cell>
          <cell r="U30">
            <v>27</v>
          </cell>
          <cell r="V30">
            <v>9</v>
          </cell>
          <cell r="W30">
            <v>12</v>
          </cell>
          <cell r="X30">
            <v>94</v>
          </cell>
          <cell r="Y30">
            <v>124</v>
          </cell>
          <cell r="Z30">
            <v>8</v>
          </cell>
          <cell r="AA30">
            <v>4</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v>19044</v>
          </cell>
          <cell r="AV30">
            <v>2636</v>
          </cell>
          <cell r="AW30">
            <v>0</v>
          </cell>
          <cell r="AX30">
            <v>5192</v>
          </cell>
          <cell r="AY30">
            <v>462</v>
          </cell>
          <cell r="AZ30">
            <v>331</v>
          </cell>
          <cell r="BA30">
            <v>27665</v>
          </cell>
          <cell r="BB30">
            <v>2422</v>
          </cell>
          <cell r="BC30">
            <v>1101</v>
          </cell>
          <cell r="BD30">
            <v>4261</v>
          </cell>
          <cell r="BE30">
            <v>2866</v>
          </cell>
          <cell r="BF30">
            <v>830</v>
          </cell>
          <cell r="BG30">
            <v>1216</v>
          </cell>
          <cell r="BH30">
            <v>40361</v>
          </cell>
          <cell r="BI30">
            <v>289</v>
          </cell>
          <cell r="BJ30">
            <v>0</v>
          </cell>
          <cell r="BK30">
            <v>1372</v>
          </cell>
          <cell r="BL30">
            <v>1661</v>
          </cell>
          <cell r="BM30">
            <v>38700</v>
          </cell>
          <cell r="BN30">
            <v>2186</v>
          </cell>
          <cell r="BO30">
            <v>17034</v>
          </cell>
          <cell r="BP30">
            <v>0</v>
          </cell>
          <cell r="BQ30">
            <v>478</v>
          </cell>
          <cell r="BR30">
            <v>0</v>
          </cell>
          <cell r="BS30">
            <v>85</v>
          </cell>
          <cell r="BT30">
            <v>-216</v>
          </cell>
          <cell r="BU30">
            <v>0</v>
          </cell>
          <cell r="BV30">
            <v>0</v>
          </cell>
          <cell r="BW30">
            <v>0</v>
          </cell>
          <cell r="BX30">
            <v>0</v>
          </cell>
          <cell r="BY30">
            <v>0</v>
          </cell>
          <cell r="BZ30">
            <v>0</v>
          </cell>
          <cell r="CA30">
            <v>0</v>
          </cell>
          <cell r="CB30">
            <v>0</v>
          </cell>
          <cell r="CC30">
            <v>0</v>
          </cell>
          <cell r="CD30">
            <v>0</v>
          </cell>
          <cell r="CE30">
            <v>1161</v>
          </cell>
          <cell r="CF30">
            <v>2734</v>
          </cell>
          <cell r="CG30">
            <v>0</v>
          </cell>
          <cell r="CH30">
            <v>21576</v>
          </cell>
          <cell r="CI30">
            <v>3571</v>
          </cell>
          <cell r="CJ30">
            <v>0</v>
          </cell>
          <cell r="CK30">
            <v>5538</v>
          </cell>
          <cell r="CL30">
            <v>770</v>
          </cell>
          <cell r="CM30">
            <v>357</v>
          </cell>
          <cell r="CN30">
            <v>31812</v>
          </cell>
          <cell r="CO30">
            <v>2903</v>
          </cell>
          <cell r="CP30">
            <v>1273</v>
          </cell>
          <cell r="CQ30">
            <v>4788</v>
          </cell>
          <cell r="CR30">
            <v>3021</v>
          </cell>
          <cell r="CS30">
            <v>852</v>
          </cell>
          <cell r="CT30">
            <v>670</v>
          </cell>
          <cell r="CU30">
            <v>45319</v>
          </cell>
          <cell r="CV30">
            <v>1937</v>
          </cell>
          <cell r="CW30">
            <v>0</v>
          </cell>
          <cell r="CX30">
            <v>1234</v>
          </cell>
          <cell r="CY30">
            <v>3171</v>
          </cell>
          <cell r="CZ30">
            <v>42148</v>
          </cell>
          <cell r="DA30">
            <v>2300</v>
          </cell>
          <cell r="DB30">
            <v>0</v>
          </cell>
          <cell r="DC30">
            <v>0</v>
          </cell>
          <cell r="DD30">
            <v>446</v>
          </cell>
          <cell r="DE30">
            <v>0</v>
          </cell>
          <cell r="DF30">
            <v>394</v>
          </cell>
          <cell r="DG30">
            <v>-100</v>
          </cell>
          <cell r="DH30">
            <v>0</v>
          </cell>
          <cell r="DI30">
            <v>0</v>
          </cell>
          <cell r="DJ30">
            <v>0</v>
          </cell>
          <cell r="DK30">
            <v>0</v>
          </cell>
          <cell r="DL30">
            <v>0</v>
          </cell>
          <cell r="DM30">
            <v>0</v>
          </cell>
          <cell r="DN30">
            <v>0</v>
          </cell>
          <cell r="DO30">
            <v>0</v>
          </cell>
          <cell r="DP30">
            <v>0</v>
          </cell>
          <cell r="DQ30">
            <v>0</v>
          </cell>
          <cell r="DR30">
            <v>1278</v>
          </cell>
          <cell r="DS30">
            <v>2868</v>
          </cell>
          <cell r="DT30">
            <v>0</v>
          </cell>
          <cell r="DU30">
            <v>0</v>
          </cell>
          <cell r="DV30">
            <v>636</v>
          </cell>
          <cell r="DW30">
            <v>18.3</v>
          </cell>
          <cell r="DX30">
            <v>0</v>
          </cell>
          <cell r="DY30">
            <v>3927</v>
          </cell>
          <cell r="DZ30">
            <v>10154</v>
          </cell>
          <cell r="EA30">
            <v>29084</v>
          </cell>
          <cell r="EB30">
            <v>382</v>
          </cell>
          <cell r="EC30">
            <v>-86</v>
          </cell>
          <cell r="ED30">
            <v>43461</v>
          </cell>
          <cell r="EE30" t="str">
            <v>..</v>
          </cell>
          <cell r="EF30" t="str">
            <v>..</v>
          </cell>
          <cell r="EG30">
            <v>12065</v>
          </cell>
          <cell r="EH30" t="str">
            <v>..</v>
          </cell>
          <cell r="EI30" t="str">
            <v>..</v>
          </cell>
          <cell r="EJ30" t="str">
            <v>..</v>
          </cell>
          <cell r="EK30">
            <v>27880</v>
          </cell>
          <cell r="EL30">
            <v>0</v>
          </cell>
          <cell r="EM30">
            <v>941</v>
          </cell>
          <cell r="EN30">
            <v>0</v>
          </cell>
          <cell r="EO30">
            <v>40886</v>
          </cell>
          <cell r="EP30" t="str">
            <v>..</v>
          </cell>
          <cell r="EQ30" t="str">
            <v>..</v>
          </cell>
          <cell r="ER30">
            <v>405</v>
          </cell>
          <cell r="ES30">
            <v>3.3568172399502695E-2</v>
          </cell>
          <cell r="ET30" t="str">
            <v>..</v>
          </cell>
          <cell r="EU30" t="str">
            <v>..</v>
          </cell>
          <cell r="EV30" t="str">
            <v>..</v>
          </cell>
          <cell r="EW30">
            <v>2694</v>
          </cell>
          <cell r="EX30">
            <v>0</v>
          </cell>
          <cell r="EY30">
            <v>31</v>
          </cell>
          <cell r="EZ30">
            <v>0</v>
          </cell>
          <cell r="FA30">
            <v>3130</v>
          </cell>
          <cell r="FB30">
            <v>-2356</v>
          </cell>
          <cell r="FC30">
            <v>-83</v>
          </cell>
          <cell r="FD30">
            <v>43</v>
          </cell>
          <cell r="FE30">
            <v>-2000</v>
          </cell>
          <cell r="FF30">
            <v>-95</v>
          </cell>
          <cell r="FG30">
            <v>13190</v>
          </cell>
          <cell r="FH30">
            <v>3405</v>
          </cell>
          <cell r="FI30">
            <v>0</v>
          </cell>
          <cell r="FJ30">
            <v>12104</v>
          </cell>
          <cell r="FK30">
            <v>286</v>
          </cell>
          <cell r="FL30">
            <v>11</v>
          </cell>
          <cell r="FM30">
            <v>-2546</v>
          </cell>
          <cell r="FN30">
            <v>-80</v>
          </cell>
          <cell r="FO30">
            <v>0</v>
          </cell>
          <cell r="FP30">
            <v>-2242</v>
          </cell>
          <cell r="FQ30">
            <v>0</v>
          </cell>
          <cell r="FR30">
            <v>13728</v>
          </cell>
          <cell r="FS30">
            <v>2174</v>
          </cell>
          <cell r="FT30">
            <v>0</v>
          </cell>
          <cell r="FU30">
            <v>11034</v>
          </cell>
          <cell r="FV30">
            <v>328</v>
          </cell>
          <cell r="FW30">
            <v>11</v>
          </cell>
          <cell r="FX30">
            <v>842</v>
          </cell>
          <cell r="FY30">
            <v>860</v>
          </cell>
          <cell r="FZ30">
            <v>26</v>
          </cell>
          <cell r="GA30">
            <v>0</v>
          </cell>
          <cell r="GB30">
            <v>41</v>
          </cell>
          <cell r="GC30">
            <v>9</v>
          </cell>
          <cell r="GD30">
            <v>540</v>
          </cell>
          <cell r="GE30">
            <v>13</v>
          </cell>
          <cell r="GF30">
            <v>66</v>
          </cell>
          <cell r="GG30">
            <v>187</v>
          </cell>
          <cell r="GH30">
            <v>94</v>
          </cell>
          <cell r="GI30">
            <v>12</v>
          </cell>
          <cell r="GJ30">
            <v>19607</v>
          </cell>
          <cell r="GK30">
            <v>8211</v>
          </cell>
          <cell r="GL30">
            <v>708</v>
          </cell>
          <cell r="GM30">
            <v>28841</v>
          </cell>
          <cell r="GN30">
            <v>2210</v>
          </cell>
          <cell r="GO30">
            <v>772</v>
          </cell>
          <cell r="GP30">
            <v>0</v>
          </cell>
          <cell r="GQ30">
            <v>0</v>
          </cell>
          <cell r="GR30">
            <v>1210</v>
          </cell>
          <cell r="GS30">
            <v>245</v>
          </cell>
          <cell r="GT30">
            <v>0</v>
          </cell>
          <cell r="GU30">
            <v>1424</v>
          </cell>
          <cell r="GV30">
            <v>115</v>
          </cell>
          <cell r="GW30">
            <v>0</v>
          </cell>
          <cell r="GX30">
            <v>0</v>
          </cell>
          <cell r="GY30">
            <v>0</v>
          </cell>
          <cell r="GZ30">
            <v>0</v>
          </cell>
          <cell r="HA30">
            <v>0</v>
          </cell>
          <cell r="HB30">
            <v>0</v>
          </cell>
          <cell r="HC30">
            <v>0</v>
          </cell>
          <cell r="HD30">
            <v>0</v>
          </cell>
          <cell r="HE30">
            <v>0</v>
          </cell>
          <cell r="HF30">
            <v>2994</v>
          </cell>
          <cell r="HG30">
            <v>0</v>
          </cell>
          <cell r="HH30">
            <v>0</v>
          </cell>
          <cell r="HI30">
            <v>382</v>
          </cell>
          <cell r="HJ30">
            <v>353</v>
          </cell>
          <cell r="HK30">
            <v>0</v>
          </cell>
          <cell r="HL30">
            <v>389</v>
          </cell>
          <cell r="HM30">
            <v>100</v>
          </cell>
          <cell r="HN30">
            <v>0</v>
          </cell>
          <cell r="HO30">
            <v>0</v>
          </cell>
          <cell r="HP30">
            <v>0</v>
          </cell>
          <cell r="HQ30">
            <v>45</v>
          </cell>
          <cell r="HR30">
            <v>0</v>
          </cell>
          <cell r="HS30">
            <v>26</v>
          </cell>
          <cell r="HT30">
            <v>0</v>
          </cell>
          <cell r="HU30">
            <v>0</v>
          </cell>
          <cell r="HV30">
            <v>0</v>
          </cell>
          <cell r="HW30">
            <v>1295</v>
          </cell>
          <cell r="HX30">
            <v>0</v>
          </cell>
          <cell r="HY30">
            <v>0</v>
          </cell>
          <cell r="HZ30">
            <v>887</v>
          </cell>
          <cell r="IA30">
            <v>10450</v>
          </cell>
          <cell r="IB30">
            <v>85</v>
          </cell>
          <cell r="IC30">
            <v>1407</v>
          </cell>
          <cell r="ID30">
            <v>140</v>
          </cell>
          <cell r="IE30">
            <v>0</v>
          </cell>
          <cell r="IF30">
            <v>0</v>
          </cell>
          <cell r="IG30">
            <v>0</v>
          </cell>
          <cell r="IH30">
            <v>0</v>
          </cell>
          <cell r="II30">
            <v>50</v>
          </cell>
          <cell r="IJ30">
            <v>28</v>
          </cell>
          <cell r="IK30">
            <v>0</v>
          </cell>
          <cell r="IL30">
            <v>0</v>
          </cell>
          <cell r="IM30">
            <v>0</v>
          </cell>
          <cell r="IN30">
            <v>13047</v>
          </cell>
          <cell r="IO30" t="str">
            <v>Police and/or Ambulance co-locating in Fire Stations</v>
          </cell>
          <cell r="IP30" t="str">
            <v xml:space="preserve">4xOther Rescue Vehicles, 3xBoats, </v>
          </cell>
          <cell r="IQ30" t="str">
            <v>Shared Control Cost (North West Fire Control)</v>
          </cell>
          <cell r="IR30" t="str">
            <v>Agency &amp; Contracted</v>
          </cell>
          <cell r="IS30" t="str">
            <v>..</v>
          </cell>
          <cell r="IT30" t="str">
            <v>..</v>
          </cell>
          <cell r="IU30" t="str">
            <v>..</v>
          </cell>
          <cell r="IV30" t="str">
            <v>..</v>
          </cell>
          <cell r="IW30" t="str">
            <v>Police and/or Ambulance co-locating in Fire Stations</v>
          </cell>
        </row>
        <row r="31">
          <cell r="B31" t="str">
            <v>E6107</v>
          </cell>
          <cell r="C31" t="str">
            <v>Cleveland</v>
          </cell>
          <cell r="D31" t="str">
            <v>1</v>
          </cell>
          <cell r="E31">
            <v>6</v>
          </cell>
          <cell r="F31">
            <v>6</v>
          </cell>
          <cell r="G31">
            <v>2</v>
          </cell>
          <cell r="H31">
            <v>0</v>
          </cell>
          <cell r="I31">
            <v>14</v>
          </cell>
          <cell r="J31">
            <v>1</v>
          </cell>
          <cell r="K31">
            <v>6</v>
          </cell>
          <cell r="L31">
            <v>6</v>
          </cell>
          <cell r="M31">
            <v>2</v>
          </cell>
          <cell r="N31">
            <v>0</v>
          </cell>
          <cell r="O31">
            <v>14</v>
          </cell>
          <cell r="P31">
            <v>1</v>
          </cell>
          <cell r="Q31">
            <v>25</v>
          </cell>
          <cell r="R31">
            <v>21</v>
          </cell>
          <cell r="S31">
            <v>3</v>
          </cell>
          <cell r="T31">
            <v>7</v>
          </cell>
          <cell r="U31">
            <v>22</v>
          </cell>
          <cell r="V31">
            <v>3</v>
          </cell>
          <cell r="W31">
            <v>3</v>
          </cell>
          <cell r="X31">
            <v>59</v>
          </cell>
          <cell r="Y31">
            <v>40</v>
          </cell>
          <cell r="Z31">
            <v>4</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v>14791</v>
          </cell>
          <cell r="AV31">
            <v>896</v>
          </cell>
          <cell r="AW31">
            <v>950</v>
          </cell>
          <cell r="AX31">
            <v>3672</v>
          </cell>
          <cell r="AY31">
            <v>476</v>
          </cell>
          <cell r="AZ31">
            <v>584</v>
          </cell>
          <cell r="BA31">
            <v>21369</v>
          </cell>
          <cell r="BB31">
            <v>1982</v>
          </cell>
          <cell r="BC31">
            <v>797</v>
          </cell>
          <cell r="BD31">
            <v>2305</v>
          </cell>
          <cell r="BE31">
            <v>412</v>
          </cell>
          <cell r="BF31">
            <v>0</v>
          </cell>
          <cell r="BG31">
            <v>0</v>
          </cell>
          <cell r="BH31">
            <v>26865</v>
          </cell>
          <cell r="BI31">
            <v>0</v>
          </cell>
          <cell r="BJ31">
            <v>0</v>
          </cell>
          <cell r="BK31">
            <v>1544</v>
          </cell>
          <cell r="BL31">
            <v>1544</v>
          </cell>
          <cell r="BM31">
            <v>25321</v>
          </cell>
          <cell r="BN31">
            <v>838</v>
          </cell>
          <cell r="BO31">
            <v>4188</v>
          </cell>
          <cell r="BP31">
            <v>352</v>
          </cell>
          <cell r="BQ31">
            <v>458</v>
          </cell>
          <cell r="BR31">
            <v>2</v>
          </cell>
          <cell r="BS31">
            <v>0</v>
          </cell>
          <cell r="BT31">
            <v>64</v>
          </cell>
          <cell r="BU31">
            <v>0</v>
          </cell>
          <cell r="BV31">
            <v>0</v>
          </cell>
          <cell r="BW31">
            <v>0</v>
          </cell>
          <cell r="BX31">
            <v>0</v>
          </cell>
          <cell r="BY31">
            <v>0</v>
          </cell>
          <cell r="BZ31">
            <v>0</v>
          </cell>
          <cell r="CA31">
            <v>0</v>
          </cell>
          <cell r="CB31">
            <v>0</v>
          </cell>
          <cell r="CC31">
            <v>1619</v>
          </cell>
          <cell r="CD31">
            <v>651</v>
          </cell>
          <cell r="CE31">
            <v>1883</v>
          </cell>
          <cell r="CF31">
            <v>336</v>
          </cell>
          <cell r="CG31">
            <v>95</v>
          </cell>
          <cell r="CH31">
            <v>15338</v>
          </cell>
          <cell r="CI31">
            <v>1127</v>
          </cell>
          <cell r="CJ31">
            <v>707</v>
          </cell>
          <cell r="CK31">
            <v>4039</v>
          </cell>
          <cell r="CL31">
            <v>471</v>
          </cell>
          <cell r="CM31">
            <v>612</v>
          </cell>
          <cell r="CN31">
            <v>22294</v>
          </cell>
          <cell r="CO31">
            <v>1797</v>
          </cell>
          <cell r="CP31">
            <v>736</v>
          </cell>
          <cell r="CQ31">
            <v>1994</v>
          </cell>
          <cell r="CR31">
            <v>365</v>
          </cell>
          <cell r="CS31">
            <v>0</v>
          </cell>
          <cell r="CT31">
            <v>0</v>
          </cell>
          <cell r="CU31">
            <v>27186</v>
          </cell>
          <cell r="CV31">
            <v>0</v>
          </cell>
          <cell r="CW31">
            <v>0</v>
          </cell>
          <cell r="CX31">
            <v>1034</v>
          </cell>
          <cell r="CY31">
            <v>1034</v>
          </cell>
          <cell r="CZ31">
            <v>26152</v>
          </cell>
          <cell r="DA31">
            <v>838</v>
          </cell>
          <cell r="DB31">
            <v>4188</v>
          </cell>
          <cell r="DC31">
            <v>228</v>
          </cell>
          <cell r="DD31">
            <v>500</v>
          </cell>
          <cell r="DE31">
            <v>1</v>
          </cell>
          <cell r="DF31">
            <v>0</v>
          </cell>
          <cell r="DG31">
            <v>50</v>
          </cell>
          <cell r="DH31">
            <v>0</v>
          </cell>
          <cell r="DI31">
            <v>0</v>
          </cell>
          <cell r="DJ31">
            <v>0</v>
          </cell>
          <cell r="DK31">
            <v>0</v>
          </cell>
          <cell r="DL31">
            <v>0</v>
          </cell>
          <cell r="DM31">
            <v>0</v>
          </cell>
          <cell r="DN31">
            <v>0</v>
          </cell>
          <cell r="DO31">
            <v>0</v>
          </cell>
          <cell r="DP31">
            <v>1600</v>
          </cell>
          <cell r="DQ31">
            <v>650</v>
          </cell>
          <cell r="DR31">
            <v>1900</v>
          </cell>
          <cell r="DS31">
            <v>300</v>
          </cell>
          <cell r="DT31">
            <v>100</v>
          </cell>
          <cell r="DU31">
            <v>0</v>
          </cell>
          <cell r="DV31">
            <v>2</v>
          </cell>
          <cell r="DW31">
            <v>16.100000000000001</v>
          </cell>
          <cell r="DX31">
            <v>53</v>
          </cell>
          <cell r="DY31">
            <v>12549</v>
          </cell>
          <cell r="DZ31">
            <v>1821</v>
          </cell>
          <cell r="EA31">
            <v>11801</v>
          </cell>
          <cell r="EB31">
            <v>60</v>
          </cell>
          <cell r="EC31">
            <v>143</v>
          </cell>
          <cell r="ED31">
            <v>26374</v>
          </cell>
          <cell r="EE31">
            <v>407</v>
          </cell>
          <cell r="EF31">
            <v>3054</v>
          </cell>
          <cell r="EG31">
            <v>3461</v>
          </cell>
          <cell r="EH31">
            <v>20896</v>
          </cell>
          <cell r="EI31">
            <v>1426</v>
          </cell>
          <cell r="EJ31">
            <v>197</v>
          </cell>
          <cell r="EK31">
            <v>22519</v>
          </cell>
          <cell r="EL31">
            <v>0</v>
          </cell>
          <cell r="EM31">
            <v>179</v>
          </cell>
          <cell r="EN31">
            <v>0</v>
          </cell>
          <cell r="EO31">
            <v>26159</v>
          </cell>
          <cell r="EP31">
            <v>76</v>
          </cell>
          <cell r="EQ31">
            <v>573</v>
          </cell>
          <cell r="ER31">
            <v>649</v>
          </cell>
          <cell r="ES31">
            <v>0.1875180583646345</v>
          </cell>
          <cell r="ET31">
            <v>5873</v>
          </cell>
          <cell r="EU31">
            <v>0</v>
          </cell>
          <cell r="EV31">
            <v>55</v>
          </cell>
          <cell r="EW31">
            <v>5928</v>
          </cell>
          <cell r="EX31">
            <v>0</v>
          </cell>
          <cell r="EY31">
            <v>0</v>
          </cell>
          <cell r="EZ31">
            <v>0</v>
          </cell>
          <cell r="FA31">
            <v>6577</v>
          </cell>
          <cell r="FB31">
            <v>-1638</v>
          </cell>
          <cell r="FC31">
            <v>0</v>
          </cell>
          <cell r="FD31">
            <v>0</v>
          </cell>
          <cell r="FE31">
            <v>-1351</v>
          </cell>
          <cell r="FF31">
            <v>-22</v>
          </cell>
          <cell r="FG31">
            <v>12551</v>
          </cell>
          <cell r="FH31">
            <v>3622</v>
          </cell>
          <cell r="FI31">
            <v>0</v>
          </cell>
          <cell r="FJ31">
            <v>13162</v>
          </cell>
          <cell r="FK31">
            <v>222</v>
          </cell>
          <cell r="FL31">
            <v>15</v>
          </cell>
          <cell r="FM31">
            <v>-1526</v>
          </cell>
          <cell r="FN31">
            <v>-20</v>
          </cell>
          <cell r="FO31">
            <v>0</v>
          </cell>
          <cell r="FP31">
            <v>-1271</v>
          </cell>
          <cell r="FQ31">
            <v>-50</v>
          </cell>
          <cell r="FR31">
            <v>12844</v>
          </cell>
          <cell r="FS31">
            <v>1961</v>
          </cell>
          <cell r="FT31">
            <v>50</v>
          </cell>
          <cell r="FU31">
            <v>11988</v>
          </cell>
          <cell r="FV31">
            <v>223</v>
          </cell>
          <cell r="FW31">
            <v>0</v>
          </cell>
          <cell r="FX31">
            <v>590</v>
          </cell>
          <cell r="FY31">
            <v>620</v>
          </cell>
          <cell r="FZ31">
            <v>32</v>
          </cell>
          <cell r="GA31">
            <v>0</v>
          </cell>
          <cell r="GB31">
            <v>61</v>
          </cell>
          <cell r="GC31">
            <v>1</v>
          </cell>
          <cell r="GD31">
            <v>272</v>
          </cell>
          <cell r="GE31">
            <v>1</v>
          </cell>
          <cell r="GF31">
            <v>0</v>
          </cell>
          <cell r="GG31">
            <v>0</v>
          </cell>
          <cell r="GH31">
            <v>0</v>
          </cell>
          <cell r="GI31">
            <v>0</v>
          </cell>
          <cell r="GJ31">
            <v>8331</v>
          </cell>
          <cell r="GK31">
            <v>1552</v>
          </cell>
          <cell r="GL31">
            <v>0</v>
          </cell>
          <cell r="GM31">
            <v>9285</v>
          </cell>
          <cell r="GN31">
            <v>1552</v>
          </cell>
          <cell r="GO31">
            <v>0</v>
          </cell>
          <cell r="GP31">
            <v>0</v>
          </cell>
          <cell r="GQ31">
            <v>0</v>
          </cell>
          <cell r="GR31">
            <v>4662</v>
          </cell>
          <cell r="GS31">
            <v>952</v>
          </cell>
          <cell r="GT31">
            <v>0</v>
          </cell>
          <cell r="GU31">
            <v>520</v>
          </cell>
          <cell r="GV31">
            <v>12</v>
          </cell>
          <cell r="GW31">
            <v>0</v>
          </cell>
          <cell r="GX31">
            <v>26</v>
          </cell>
          <cell r="GY31">
            <v>0</v>
          </cell>
          <cell r="GZ31">
            <v>0</v>
          </cell>
          <cell r="HA31">
            <v>0</v>
          </cell>
          <cell r="HB31">
            <v>0</v>
          </cell>
          <cell r="HC31">
            <v>0</v>
          </cell>
          <cell r="HD31">
            <v>0</v>
          </cell>
          <cell r="HE31">
            <v>0</v>
          </cell>
          <cell r="HF31">
            <v>6172</v>
          </cell>
          <cell r="HG31">
            <v>0</v>
          </cell>
          <cell r="HH31">
            <v>0</v>
          </cell>
          <cell r="HI31">
            <v>284</v>
          </cell>
          <cell r="HJ31">
            <v>63</v>
          </cell>
          <cell r="HK31">
            <v>0</v>
          </cell>
          <cell r="HL31">
            <v>228</v>
          </cell>
          <cell r="HM31">
            <v>21</v>
          </cell>
          <cell r="HN31">
            <v>0</v>
          </cell>
          <cell r="HO31">
            <v>66</v>
          </cell>
          <cell r="HP31">
            <v>0</v>
          </cell>
          <cell r="HQ31">
            <v>0</v>
          </cell>
          <cell r="HR31">
            <v>0</v>
          </cell>
          <cell r="HS31">
            <v>0</v>
          </cell>
          <cell r="HT31">
            <v>0</v>
          </cell>
          <cell r="HU31">
            <v>0</v>
          </cell>
          <cell r="HV31">
            <v>0</v>
          </cell>
          <cell r="HW31">
            <v>662</v>
          </cell>
          <cell r="HX31">
            <v>0</v>
          </cell>
          <cell r="HY31">
            <v>0</v>
          </cell>
          <cell r="HZ31">
            <v>0</v>
          </cell>
          <cell r="IA31">
            <v>1632</v>
          </cell>
          <cell r="IB31">
            <v>742</v>
          </cell>
          <cell r="IC31">
            <v>525</v>
          </cell>
          <cell r="ID31">
            <v>60</v>
          </cell>
          <cell r="IE31">
            <v>0</v>
          </cell>
          <cell r="IF31">
            <v>50</v>
          </cell>
          <cell r="IG31">
            <v>148</v>
          </cell>
          <cell r="IH31">
            <v>0</v>
          </cell>
          <cell r="II31">
            <v>200</v>
          </cell>
          <cell r="IJ31">
            <v>125</v>
          </cell>
          <cell r="IK31">
            <v>0</v>
          </cell>
          <cell r="IL31">
            <v>0</v>
          </cell>
          <cell r="IM31">
            <v>0</v>
          </cell>
          <cell r="IN31">
            <v>3482</v>
          </cell>
          <cell r="IO31" t="str">
            <v>1 shared with Police / Others have touch down facility for Police and Ambulance plus community facilities</v>
          </cell>
          <cell r="IP31" t="str">
            <v>C4 - Unimog, B2 &amp; H2 small fire units, Hotel 4 line rescue, Lima 4 landrover, Mike 4 Ford Ranger, Echo 4 Water Rescue</v>
          </cell>
          <cell r="IQ31" t="str">
            <v>..</v>
          </cell>
          <cell r="IR31" t="str">
            <v>..</v>
          </cell>
          <cell r="IS31" t="str">
            <v>..</v>
          </cell>
          <cell r="IT31" t="str">
            <v>..</v>
          </cell>
          <cell r="IU31" t="str">
            <v>..</v>
          </cell>
          <cell r="IV31" t="str">
            <v>..</v>
          </cell>
          <cell r="IW31" t="str">
            <v xml:space="preserve">Grangetown Fire Station- Touch Down Base for Ambulance Service
Thornaby Fire station - Shared with Police
Redcar Fire Station - Coastguard Landbased Spotter Team based at station
Redcar Fire Station – Touch Down Base for Ambulance Service
</v>
          </cell>
        </row>
        <row r="32">
          <cell r="B32" t="str">
            <v>E6110</v>
          </cell>
          <cell r="C32" t="str">
            <v>Derbyshire</v>
          </cell>
          <cell r="D32" t="str">
            <v>1</v>
          </cell>
          <cell r="E32">
            <v>4</v>
          </cell>
          <cell r="F32">
            <v>19</v>
          </cell>
          <cell r="G32">
            <v>8</v>
          </cell>
          <cell r="H32">
            <v>0</v>
          </cell>
          <cell r="I32">
            <v>31</v>
          </cell>
          <cell r="J32" t="str">
            <v>..</v>
          </cell>
          <cell r="K32">
            <v>4</v>
          </cell>
          <cell r="L32">
            <v>19</v>
          </cell>
          <cell r="M32">
            <v>8</v>
          </cell>
          <cell r="N32">
            <v>0</v>
          </cell>
          <cell r="O32">
            <v>31</v>
          </cell>
          <cell r="P32" t="str">
            <v>..</v>
          </cell>
          <cell r="Q32">
            <v>41</v>
          </cell>
          <cell r="R32">
            <v>41</v>
          </cell>
          <cell r="S32">
            <v>2</v>
          </cell>
          <cell r="T32">
            <v>3</v>
          </cell>
          <cell r="U32">
            <v>39</v>
          </cell>
          <cell r="V32">
            <v>0</v>
          </cell>
          <cell r="W32">
            <v>11</v>
          </cell>
          <cell r="X32">
            <v>96</v>
          </cell>
          <cell r="Y32">
            <v>140</v>
          </cell>
          <cell r="Z32">
            <v>4</v>
          </cell>
          <cell r="AA32">
            <v>6</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v>16731</v>
          </cell>
          <cell r="AV32">
            <v>3308</v>
          </cell>
          <cell r="AW32">
            <v>1088</v>
          </cell>
          <cell r="AX32">
            <v>6524</v>
          </cell>
          <cell r="AY32">
            <v>358</v>
          </cell>
          <cell r="AZ32">
            <v>1272</v>
          </cell>
          <cell r="BA32">
            <v>29281</v>
          </cell>
          <cell r="BB32">
            <v>3272</v>
          </cell>
          <cell r="BC32">
            <v>1450</v>
          </cell>
          <cell r="BD32">
            <v>3909</v>
          </cell>
          <cell r="BE32">
            <v>58</v>
          </cell>
          <cell r="BF32">
            <v>0</v>
          </cell>
          <cell r="BG32">
            <v>0</v>
          </cell>
          <cell r="BH32">
            <v>37970</v>
          </cell>
          <cell r="BI32">
            <v>342</v>
          </cell>
          <cell r="BJ32">
            <v>0</v>
          </cell>
          <cell r="BK32">
            <v>2130</v>
          </cell>
          <cell r="BL32">
            <v>2472</v>
          </cell>
          <cell r="BM32">
            <v>35498</v>
          </cell>
          <cell r="BN32">
            <v>4877</v>
          </cell>
          <cell r="BO32">
            <v>25204</v>
          </cell>
          <cell r="BP32">
            <v>0</v>
          </cell>
          <cell r="BQ32">
            <v>679</v>
          </cell>
          <cell r="BR32">
            <v>162</v>
          </cell>
          <cell r="BS32">
            <v>432</v>
          </cell>
          <cell r="BT32">
            <v>-69</v>
          </cell>
          <cell r="BU32">
            <v>0</v>
          </cell>
          <cell r="BV32">
            <v>0</v>
          </cell>
          <cell r="BW32">
            <v>0</v>
          </cell>
          <cell r="BX32">
            <v>0</v>
          </cell>
          <cell r="BY32">
            <v>0</v>
          </cell>
          <cell r="BZ32">
            <v>0</v>
          </cell>
          <cell r="CA32">
            <v>932</v>
          </cell>
          <cell r="CB32">
            <v>932</v>
          </cell>
          <cell r="CC32" t="str">
            <v>..</v>
          </cell>
          <cell r="CD32" t="str">
            <v>..</v>
          </cell>
          <cell r="CE32" t="str">
            <v>..</v>
          </cell>
          <cell r="CF32" t="str">
            <v>..</v>
          </cell>
          <cell r="CG32">
            <v>552</v>
          </cell>
          <cell r="CH32">
            <v>19140</v>
          </cell>
          <cell r="CI32">
            <v>3874</v>
          </cell>
          <cell r="CJ32">
            <v>1037</v>
          </cell>
          <cell r="CK32">
            <v>6859</v>
          </cell>
          <cell r="CL32">
            <v>373</v>
          </cell>
          <cell r="CM32">
            <v>239</v>
          </cell>
          <cell r="CN32">
            <v>31522</v>
          </cell>
          <cell r="CO32">
            <v>3511</v>
          </cell>
          <cell r="CP32">
            <v>1327</v>
          </cell>
          <cell r="CQ32">
            <v>3590</v>
          </cell>
          <cell r="CR32">
            <v>77</v>
          </cell>
          <cell r="CS32">
            <v>0</v>
          </cell>
          <cell r="CT32">
            <v>0</v>
          </cell>
          <cell r="CU32">
            <v>40027</v>
          </cell>
          <cell r="CV32">
            <v>1785</v>
          </cell>
          <cell r="CW32">
            <v>0</v>
          </cell>
          <cell r="CX32">
            <v>778</v>
          </cell>
          <cell r="CY32">
            <v>2563</v>
          </cell>
          <cell r="CZ32">
            <v>37464</v>
          </cell>
          <cell r="DA32">
            <v>4877</v>
          </cell>
          <cell r="DB32">
            <v>25204</v>
          </cell>
          <cell r="DC32">
            <v>0</v>
          </cell>
          <cell r="DD32">
            <v>679</v>
          </cell>
          <cell r="DE32">
            <v>42</v>
          </cell>
          <cell r="DF32">
            <v>402</v>
          </cell>
          <cell r="DG32">
            <v>-40</v>
          </cell>
          <cell r="DH32">
            <v>0</v>
          </cell>
          <cell r="DI32">
            <v>0</v>
          </cell>
          <cell r="DJ32">
            <v>0</v>
          </cell>
          <cell r="DK32">
            <v>778</v>
          </cell>
          <cell r="DL32">
            <v>0</v>
          </cell>
          <cell r="DM32">
            <v>0</v>
          </cell>
          <cell r="DN32">
            <v>1</v>
          </cell>
          <cell r="DO32">
            <v>779</v>
          </cell>
          <cell r="DP32">
            <v>0</v>
          </cell>
          <cell r="DQ32">
            <v>1</v>
          </cell>
          <cell r="DR32">
            <v>1</v>
          </cell>
          <cell r="DS32">
            <v>0</v>
          </cell>
          <cell r="DT32">
            <v>390</v>
          </cell>
          <cell r="DU32">
            <v>0</v>
          </cell>
          <cell r="DV32">
            <v>0</v>
          </cell>
          <cell r="DW32">
            <v>12.8</v>
          </cell>
          <cell r="DX32">
            <v>168</v>
          </cell>
          <cell r="DY32" t="str">
            <v>..</v>
          </cell>
          <cell r="DZ32">
            <v>14457</v>
          </cell>
          <cell r="EA32">
            <v>23320</v>
          </cell>
          <cell r="EB32">
            <v>220</v>
          </cell>
          <cell r="EC32">
            <v>-132</v>
          </cell>
          <cell r="ED32">
            <v>37865</v>
          </cell>
          <cell r="EE32">
            <v>2261</v>
          </cell>
          <cell r="EF32">
            <v>4082</v>
          </cell>
          <cell r="EG32">
            <v>6343</v>
          </cell>
          <cell r="EH32">
            <v>31111</v>
          </cell>
          <cell r="EI32">
            <v>2067</v>
          </cell>
          <cell r="EJ32">
            <v>0</v>
          </cell>
          <cell r="EK32">
            <v>33178</v>
          </cell>
          <cell r="EL32">
            <v>171</v>
          </cell>
          <cell r="EM32">
            <v>683</v>
          </cell>
          <cell r="EN32">
            <v>0</v>
          </cell>
          <cell r="EO32">
            <v>40375</v>
          </cell>
          <cell r="EP32">
            <v>148</v>
          </cell>
          <cell r="EQ32">
            <v>228</v>
          </cell>
          <cell r="ER32">
            <v>376</v>
          </cell>
          <cell r="ES32">
            <v>5.9277944190446158E-2</v>
          </cell>
          <cell r="ET32">
            <v>1854</v>
          </cell>
          <cell r="EU32">
            <v>83</v>
          </cell>
          <cell r="EV32">
            <v>0</v>
          </cell>
          <cell r="EW32">
            <v>1937</v>
          </cell>
          <cell r="EX32">
            <v>11</v>
          </cell>
          <cell r="EY32">
            <v>73</v>
          </cell>
          <cell r="EZ32">
            <v>0</v>
          </cell>
          <cell r="FA32">
            <v>2397</v>
          </cell>
          <cell r="FB32">
            <v>-2234</v>
          </cell>
          <cell r="FC32">
            <v>-274</v>
          </cell>
          <cell r="FD32">
            <v>0</v>
          </cell>
          <cell r="FE32">
            <v>-1822</v>
          </cell>
          <cell r="FF32">
            <v>-12</v>
          </cell>
          <cell r="FG32">
            <v>11227</v>
          </cell>
          <cell r="FH32">
            <v>2616</v>
          </cell>
          <cell r="FI32">
            <v>166</v>
          </cell>
          <cell r="FJ32">
            <v>9667</v>
          </cell>
          <cell r="FK32">
            <v>437</v>
          </cell>
          <cell r="FL32" t="str">
            <v>..</v>
          </cell>
          <cell r="FM32">
            <v>-2180</v>
          </cell>
          <cell r="FN32">
            <v>-330</v>
          </cell>
          <cell r="FO32">
            <v>0</v>
          </cell>
          <cell r="FP32">
            <v>-1820</v>
          </cell>
          <cell r="FQ32">
            <v>0</v>
          </cell>
          <cell r="FR32">
            <v>11650</v>
          </cell>
          <cell r="FS32">
            <v>1755</v>
          </cell>
          <cell r="FT32">
            <v>0</v>
          </cell>
          <cell r="FU32">
            <v>9075</v>
          </cell>
          <cell r="FV32">
            <v>445</v>
          </cell>
          <cell r="FW32" t="str">
            <v>..</v>
          </cell>
          <cell r="FX32">
            <v>740</v>
          </cell>
          <cell r="FY32">
            <v>747</v>
          </cell>
          <cell r="FZ32">
            <v>23</v>
          </cell>
          <cell r="GA32">
            <v>0</v>
          </cell>
          <cell r="GB32">
            <v>50</v>
          </cell>
          <cell r="GC32">
            <v>6</v>
          </cell>
          <cell r="GD32">
            <v>497</v>
          </cell>
          <cell r="GE32">
            <v>10</v>
          </cell>
          <cell r="GF32">
            <v>44</v>
          </cell>
          <cell r="GG32">
            <v>193</v>
          </cell>
          <cell r="GH32">
            <v>111</v>
          </cell>
          <cell r="GI32">
            <v>39</v>
          </cell>
          <cell r="GJ32">
            <v>8308</v>
          </cell>
          <cell r="GK32">
            <v>2500</v>
          </cell>
          <cell r="GL32">
            <v>390</v>
          </cell>
          <cell r="GM32">
            <v>7131</v>
          </cell>
          <cell r="GN32">
            <v>1900</v>
          </cell>
          <cell r="GO32">
            <v>1262</v>
          </cell>
          <cell r="GP32">
            <v>0</v>
          </cell>
          <cell r="GQ32">
            <v>0</v>
          </cell>
          <cell r="GR32">
            <v>4711</v>
          </cell>
          <cell r="GS32">
            <v>0</v>
          </cell>
          <cell r="GT32">
            <v>1</v>
          </cell>
          <cell r="GU32">
            <v>1915</v>
          </cell>
          <cell r="GV32">
            <v>141</v>
          </cell>
          <cell r="GW32">
            <v>0</v>
          </cell>
          <cell r="GX32">
            <v>36</v>
          </cell>
          <cell r="GY32">
            <v>94</v>
          </cell>
          <cell r="GZ32">
            <v>354</v>
          </cell>
          <cell r="HA32">
            <v>2</v>
          </cell>
          <cell r="HB32">
            <v>0</v>
          </cell>
          <cell r="HC32">
            <v>0</v>
          </cell>
          <cell r="HD32">
            <v>0</v>
          </cell>
          <cell r="HE32">
            <v>0</v>
          </cell>
          <cell r="HF32">
            <v>7254</v>
          </cell>
          <cell r="HG32">
            <v>0</v>
          </cell>
          <cell r="HH32">
            <v>0</v>
          </cell>
          <cell r="HI32">
            <v>2686</v>
          </cell>
          <cell r="HJ32">
            <v>0</v>
          </cell>
          <cell r="HK32">
            <v>162</v>
          </cell>
          <cell r="HL32">
            <v>110</v>
          </cell>
          <cell r="HM32">
            <v>77</v>
          </cell>
          <cell r="HN32">
            <v>0</v>
          </cell>
          <cell r="HO32">
            <v>68</v>
          </cell>
          <cell r="HP32">
            <v>46</v>
          </cell>
          <cell r="HQ32">
            <v>7</v>
          </cell>
          <cell r="HR32">
            <v>162</v>
          </cell>
          <cell r="HS32">
            <v>0</v>
          </cell>
          <cell r="HT32">
            <v>0</v>
          </cell>
          <cell r="HU32">
            <v>0</v>
          </cell>
          <cell r="HV32">
            <v>0</v>
          </cell>
          <cell r="HW32">
            <v>3318</v>
          </cell>
          <cell r="HX32">
            <v>0</v>
          </cell>
          <cell r="HY32">
            <v>0</v>
          </cell>
          <cell r="HZ32">
            <v>300</v>
          </cell>
          <cell r="IA32">
            <v>0</v>
          </cell>
          <cell r="IB32">
            <v>1325</v>
          </cell>
          <cell r="IC32">
            <v>80</v>
          </cell>
          <cell r="ID32">
            <v>210</v>
          </cell>
          <cell r="IE32">
            <v>0</v>
          </cell>
          <cell r="IF32">
            <v>327</v>
          </cell>
          <cell r="IG32">
            <v>2035</v>
          </cell>
          <cell r="IH32">
            <v>1075</v>
          </cell>
          <cell r="II32">
            <v>35</v>
          </cell>
          <cell r="IJ32">
            <v>0</v>
          </cell>
          <cell r="IK32">
            <v>0</v>
          </cell>
          <cell r="IL32">
            <v>0</v>
          </cell>
          <cell r="IM32">
            <v>0</v>
          </cell>
          <cell r="IN32">
            <v>5387</v>
          </cell>
          <cell r="IO32" t="str">
            <v>..</v>
          </cell>
          <cell r="IP32" t="str">
            <v>2 x Water Rescue Units + 1 x Rescue Tender with Hiab and Palfinger Crane</v>
          </cell>
          <cell r="IQ32" t="str">
            <v>..</v>
          </cell>
          <cell r="IR32" t="str">
            <v>..</v>
          </cell>
          <cell r="IS32" t="str">
            <v>..</v>
          </cell>
          <cell r="IT32" t="str">
            <v>..</v>
          </cell>
          <cell r="IU32" t="str">
            <v>..</v>
          </cell>
          <cell r="IV32" t="str">
            <v>..</v>
          </cell>
          <cell r="IW32" t="str">
            <v>Derbyshire Police and East Midlands Ambulance Service</v>
          </cell>
        </row>
        <row r="33">
          <cell r="B33" t="str">
            <v>E6161</v>
          </cell>
          <cell r="C33" t="str">
            <v>Devon and Somerset</v>
          </cell>
          <cell r="D33" t="str">
            <v>1</v>
          </cell>
          <cell r="E33">
            <v>3</v>
          </cell>
          <cell r="F33">
            <v>71</v>
          </cell>
          <cell r="G33">
            <v>9</v>
          </cell>
          <cell r="H33">
            <v>2</v>
          </cell>
          <cell r="I33">
            <v>85</v>
          </cell>
          <cell r="J33">
            <v>10</v>
          </cell>
          <cell r="K33">
            <v>3</v>
          </cell>
          <cell r="L33">
            <v>71</v>
          </cell>
          <cell r="M33">
            <v>9</v>
          </cell>
          <cell r="N33">
            <v>2</v>
          </cell>
          <cell r="O33">
            <v>85</v>
          </cell>
          <cell r="P33">
            <v>10</v>
          </cell>
          <cell r="Q33">
            <v>121</v>
          </cell>
          <cell r="R33">
            <v>121</v>
          </cell>
          <cell r="S33">
            <v>7</v>
          </cell>
          <cell r="T33">
            <v>154</v>
          </cell>
          <cell r="U33">
            <v>80</v>
          </cell>
          <cell r="V33">
            <v>2</v>
          </cell>
          <cell r="W33">
            <v>21</v>
          </cell>
          <cell r="X33">
            <v>385</v>
          </cell>
          <cell r="Y33">
            <v>179</v>
          </cell>
          <cell r="Z33">
            <v>21</v>
          </cell>
          <cell r="AA33">
            <v>17</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v>28716</v>
          </cell>
          <cell r="AV33">
            <v>12618</v>
          </cell>
          <cell r="AW33">
            <v>1422</v>
          </cell>
          <cell r="AX33">
            <v>9661</v>
          </cell>
          <cell r="AY33">
            <v>3473</v>
          </cell>
          <cell r="AZ33">
            <v>487</v>
          </cell>
          <cell r="BA33">
            <v>56377</v>
          </cell>
          <cell r="BB33">
            <v>3933</v>
          </cell>
          <cell r="BC33">
            <v>4259</v>
          </cell>
          <cell r="BD33">
            <v>8449</v>
          </cell>
          <cell r="BE33">
            <v>768</v>
          </cell>
          <cell r="BF33">
            <v>0</v>
          </cell>
          <cell r="BG33">
            <v>0</v>
          </cell>
          <cell r="BH33">
            <v>73786</v>
          </cell>
          <cell r="BI33">
            <v>4752</v>
          </cell>
          <cell r="BJ33">
            <v>0</v>
          </cell>
          <cell r="BK33">
            <v>768</v>
          </cell>
          <cell r="BL33">
            <v>5520</v>
          </cell>
          <cell r="BM33">
            <v>68266</v>
          </cell>
          <cell r="BN33">
            <v>6930</v>
          </cell>
          <cell r="BO33">
            <v>9414</v>
          </cell>
          <cell r="BP33">
            <v>0</v>
          </cell>
          <cell r="BQ33">
            <v>2004</v>
          </cell>
          <cell r="BR33">
            <v>0</v>
          </cell>
          <cell r="BS33">
            <v>1084</v>
          </cell>
          <cell r="BT33">
            <v>345</v>
          </cell>
          <cell r="BU33">
            <v>90</v>
          </cell>
          <cell r="BV33" t="str">
            <v>..</v>
          </cell>
          <cell r="BW33" t="str">
            <v>..</v>
          </cell>
          <cell r="BX33" t="str">
            <v>..</v>
          </cell>
          <cell r="BY33" t="str">
            <v>..</v>
          </cell>
          <cell r="BZ33" t="str">
            <v>..</v>
          </cell>
          <cell r="CA33" t="str">
            <v>..</v>
          </cell>
          <cell r="CB33" t="str">
            <v>..</v>
          </cell>
          <cell r="CC33" t="str">
            <v>..</v>
          </cell>
          <cell r="CD33" t="str">
            <v>..</v>
          </cell>
          <cell r="CE33">
            <v>31</v>
          </cell>
          <cell r="CF33" t="str">
            <v>..</v>
          </cell>
          <cell r="CG33">
            <v>64</v>
          </cell>
          <cell r="CH33">
            <v>30647</v>
          </cell>
          <cell r="CI33">
            <v>15135</v>
          </cell>
          <cell r="CJ33">
            <v>1419</v>
          </cell>
          <cell r="CK33">
            <v>10040</v>
          </cell>
          <cell r="CL33">
            <v>3761</v>
          </cell>
          <cell r="CM33">
            <v>307</v>
          </cell>
          <cell r="CN33">
            <v>61309</v>
          </cell>
          <cell r="CO33">
            <v>3941</v>
          </cell>
          <cell r="CP33">
            <v>4155</v>
          </cell>
          <cell r="CQ33">
            <v>7047</v>
          </cell>
          <cell r="CR33">
            <v>655</v>
          </cell>
          <cell r="CS33">
            <v>0</v>
          </cell>
          <cell r="CT33">
            <v>0</v>
          </cell>
          <cell r="CU33">
            <v>77107</v>
          </cell>
          <cell r="CV33">
            <v>7252</v>
          </cell>
          <cell r="CW33">
            <v>0</v>
          </cell>
          <cell r="CX33">
            <v>564</v>
          </cell>
          <cell r="CY33">
            <v>7816</v>
          </cell>
          <cell r="CZ33">
            <v>69291</v>
          </cell>
          <cell r="DA33">
            <v>6456</v>
          </cell>
          <cell r="DB33">
            <v>9326</v>
          </cell>
          <cell r="DC33">
            <v>0</v>
          </cell>
          <cell r="DD33">
            <v>2054</v>
          </cell>
          <cell r="DE33">
            <v>0</v>
          </cell>
          <cell r="DF33">
            <v>1081</v>
          </cell>
          <cell r="DG33">
            <v>201</v>
          </cell>
          <cell r="DH33">
            <v>98</v>
          </cell>
          <cell r="DI33" t="str">
            <v>..</v>
          </cell>
          <cell r="DJ33" t="str">
            <v>..</v>
          </cell>
          <cell r="DK33" t="str">
            <v>..</v>
          </cell>
          <cell r="DL33" t="str">
            <v>..</v>
          </cell>
          <cell r="DM33" t="str">
            <v>..</v>
          </cell>
          <cell r="DN33" t="str">
            <v>..</v>
          </cell>
          <cell r="DO33" t="str">
            <v>..</v>
          </cell>
          <cell r="DP33" t="str">
            <v>..</v>
          </cell>
          <cell r="DQ33" t="str">
            <v>..</v>
          </cell>
          <cell r="DR33">
            <v>56</v>
          </cell>
          <cell r="DS33" t="str">
            <v>..</v>
          </cell>
          <cell r="DT33">
            <v>60</v>
          </cell>
          <cell r="DU33">
            <v>0</v>
          </cell>
          <cell r="DV33">
            <v>64</v>
          </cell>
          <cell r="DW33">
            <v>19.600000000000001</v>
          </cell>
          <cell r="DX33" t="str">
            <v>..</v>
          </cell>
          <cell r="DY33">
            <v>16672</v>
          </cell>
          <cell r="DZ33">
            <v>5341</v>
          </cell>
          <cell r="EA33">
            <v>52554</v>
          </cell>
          <cell r="EB33">
            <v>684</v>
          </cell>
          <cell r="EC33">
            <v>-110</v>
          </cell>
          <cell r="ED33">
            <v>75141</v>
          </cell>
          <cell r="EE33" t="str">
            <v>..</v>
          </cell>
          <cell r="EF33" t="str">
            <v>..</v>
          </cell>
          <cell r="EG33">
            <v>4081</v>
          </cell>
          <cell r="EH33" t="str">
            <v>..</v>
          </cell>
          <cell r="EI33" t="str">
            <v>..</v>
          </cell>
          <cell r="EJ33" t="str">
            <v>..</v>
          </cell>
          <cell r="EK33">
            <v>69662</v>
          </cell>
          <cell r="EL33">
            <v>337</v>
          </cell>
          <cell r="EM33">
            <v>1116</v>
          </cell>
          <cell r="EN33">
            <v>0</v>
          </cell>
          <cell r="EO33">
            <v>75196</v>
          </cell>
          <cell r="EP33" t="str">
            <v>..</v>
          </cell>
          <cell r="EQ33" t="str">
            <v>..</v>
          </cell>
          <cell r="ER33">
            <v>1164</v>
          </cell>
          <cell r="ES33">
            <v>0.28522420975251161</v>
          </cell>
          <cell r="ET33" t="str">
            <v>..</v>
          </cell>
          <cell r="EU33" t="str">
            <v>..</v>
          </cell>
          <cell r="EV33" t="str">
            <v>..</v>
          </cell>
          <cell r="EW33">
            <v>20222</v>
          </cell>
          <cell r="EX33">
            <v>106</v>
          </cell>
          <cell r="EY33">
            <v>457</v>
          </cell>
          <cell r="EZ33">
            <v>0</v>
          </cell>
          <cell r="FA33">
            <v>21949</v>
          </cell>
          <cell r="FB33">
            <v>-4470</v>
          </cell>
          <cell r="FC33">
            <v>-281</v>
          </cell>
          <cell r="FD33">
            <v>0</v>
          </cell>
          <cell r="FE33">
            <v>-3810</v>
          </cell>
          <cell r="FF33">
            <v>-19</v>
          </cell>
          <cell r="FG33">
            <v>17480</v>
          </cell>
          <cell r="FH33">
            <v>4070</v>
          </cell>
          <cell r="FI33">
            <v>0</v>
          </cell>
          <cell r="FJ33">
            <v>12970</v>
          </cell>
          <cell r="FK33">
            <v>2380</v>
          </cell>
          <cell r="FL33">
            <v>237</v>
          </cell>
          <cell r="FM33">
            <v>-4558</v>
          </cell>
          <cell r="FN33">
            <v>-124</v>
          </cell>
          <cell r="FO33">
            <v>0</v>
          </cell>
          <cell r="FP33">
            <v>-4012</v>
          </cell>
          <cell r="FQ33">
            <v>0</v>
          </cell>
          <cell r="FR33">
            <v>17604</v>
          </cell>
          <cell r="FS33">
            <v>3246</v>
          </cell>
          <cell r="FT33">
            <v>0</v>
          </cell>
          <cell r="FU33">
            <v>12156</v>
          </cell>
          <cell r="FV33">
            <v>2320</v>
          </cell>
          <cell r="FW33">
            <v>0</v>
          </cell>
          <cell r="FX33">
            <v>1257</v>
          </cell>
          <cell r="FY33">
            <v>1283</v>
          </cell>
          <cell r="FZ33">
            <v>26</v>
          </cell>
          <cell r="GA33">
            <v>4</v>
          </cell>
          <cell r="GB33">
            <v>117</v>
          </cell>
          <cell r="GC33">
            <v>56</v>
          </cell>
          <cell r="GD33">
            <v>1302</v>
          </cell>
          <cell r="GE33">
            <v>63</v>
          </cell>
          <cell r="GF33">
            <v>64</v>
          </cell>
          <cell r="GG33">
            <v>607</v>
          </cell>
          <cell r="GH33">
            <v>281</v>
          </cell>
          <cell r="GI33">
            <v>98</v>
          </cell>
          <cell r="GJ33">
            <v>31994</v>
          </cell>
          <cell r="GK33">
            <v>5316</v>
          </cell>
          <cell r="GL33">
            <v>1167</v>
          </cell>
          <cell r="GM33">
            <v>33561</v>
          </cell>
          <cell r="GN33">
            <v>5316</v>
          </cell>
          <cell r="GO33">
            <v>1611</v>
          </cell>
          <cell r="GP33">
            <v>0</v>
          </cell>
          <cell r="GQ33">
            <v>0</v>
          </cell>
          <cell r="GR33">
            <v>0</v>
          </cell>
          <cell r="GS33">
            <v>1297</v>
          </cell>
          <cell r="GT33">
            <v>524</v>
          </cell>
          <cell r="GU33">
            <v>665</v>
          </cell>
          <cell r="GV33">
            <v>6</v>
          </cell>
          <cell r="GW33">
            <v>0</v>
          </cell>
          <cell r="GX33">
            <v>0</v>
          </cell>
          <cell r="GY33">
            <v>0</v>
          </cell>
          <cell r="GZ33">
            <v>0</v>
          </cell>
          <cell r="HA33">
            <v>0</v>
          </cell>
          <cell r="HB33">
            <v>15</v>
          </cell>
          <cell r="HC33">
            <v>0</v>
          </cell>
          <cell r="HD33">
            <v>0</v>
          </cell>
          <cell r="HE33">
            <v>381</v>
          </cell>
          <cell r="HF33">
            <v>2888</v>
          </cell>
          <cell r="HG33">
            <v>0</v>
          </cell>
          <cell r="HH33">
            <v>0</v>
          </cell>
          <cell r="HI33">
            <v>83</v>
          </cell>
          <cell r="HJ33">
            <v>148</v>
          </cell>
          <cell r="HK33">
            <v>581</v>
          </cell>
          <cell r="HL33">
            <v>1584</v>
          </cell>
          <cell r="HM33">
            <v>0</v>
          </cell>
          <cell r="HN33">
            <v>30</v>
          </cell>
          <cell r="HO33">
            <v>0</v>
          </cell>
          <cell r="HP33">
            <v>74</v>
          </cell>
          <cell r="HQ33">
            <v>0</v>
          </cell>
          <cell r="HR33">
            <v>0</v>
          </cell>
          <cell r="HS33">
            <v>236</v>
          </cell>
          <cell r="HT33">
            <v>0</v>
          </cell>
          <cell r="HU33">
            <v>0</v>
          </cell>
          <cell r="HV33">
            <v>142</v>
          </cell>
          <cell r="HW33">
            <v>2878</v>
          </cell>
          <cell r="HX33">
            <v>0</v>
          </cell>
          <cell r="HY33">
            <v>0</v>
          </cell>
          <cell r="HZ33">
            <v>1202</v>
          </cell>
          <cell r="IA33">
            <v>2233</v>
          </cell>
          <cell r="IB33">
            <v>1584</v>
          </cell>
          <cell r="IC33">
            <v>2785</v>
          </cell>
          <cell r="ID33">
            <v>199</v>
          </cell>
          <cell r="IE33">
            <v>0</v>
          </cell>
          <cell r="IF33">
            <v>0</v>
          </cell>
          <cell r="IG33">
            <v>92</v>
          </cell>
          <cell r="IH33">
            <v>176</v>
          </cell>
          <cell r="II33">
            <v>0</v>
          </cell>
          <cell r="IJ33">
            <v>543</v>
          </cell>
          <cell r="IK33">
            <v>0</v>
          </cell>
          <cell r="IL33">
            <v>0</v>
          </cell>
          <cell r="IM33">
            <v>0</v>
          </cell>
          <cell r="IN33">
            <v>8814</v>
          </cell>
          <cell r="IO33" t="str">
            <v>Avon &amp; Somerset Police 1, Devon &amp; Cornwall Police 3, South Western Ambulance Service NHS Foundation Trust 6,</v>
          </cell>
          <cell r="IP33" t="str">
            <v>HRT x 4, Water Carrier x 6, Specialist Rescue x 5, Prime Movers x 4, Light 4 x 4 - x 45, Trailed units x 58, Pods x 14, Marine Craft x 18</v>
          </cell>
          <cell r="IQ33" t="str">
            <v>..</v>
          </cell>
          <cell r="IR33" t="str">
            <v>..</v>
          </cell>
          <cell r="IS33" t="str">
            <v>..</v>
          </cell>
          <cell r="IT33" t="str">
            <v>..</v>
          </cell>
          <cell r="IU33" t="str">
            <v>..</v>
          </cell>
          <cell r="IV33" t="str">
            <v>..</v>
          </cell>
          <cell r="IW33" t="str">
            <v>Avon &amp; Somerset Police 1, Devon &amp; Cornwall Police 3, South Western Ambulance Service NHS Foundation Trust 7,</v>
          </cell>
        </row>
        <row r="34">
          <cell r="B34" t="str">
            <v>E6162</v>
          </cell>
          <cell r="C34" t="str">
            <v>Dorset and Wiltshire</v>
          </cell>
          <cell r="D34" t="str">
            <v>1</v>
          </cell>
          <cell r="E34">
            <v>3</v>
          </cell>
          <cell r="F34">
            <v>37</v>
          </cell>
          <cell r="G34">
            <v>10</v>
          </cell>
          <cell r="H34">
            <v>0</v>
          </cell>
          <cell r="I34">
            <v>50</v>
          </cell>
          <cell r="J34">
            <v>6</v>
          </cell>
          <cell r="K34">
            <v>3</v>
          </cell>
          <cell r="L34">
            <v>37</v>
          </cell>
          <cell r="M34">
            <v>10</v>
          </cell>
          <cell r="N34">
            <v>0</v>
          </cell>
          <cell r="O34">
            <v>50</v>
          </cell>
          <cell r="P34">
            <v>6</v>
          </cell>
          <cell r="Q34">
            <v>74</v>
          </cell>
          <cell r="R34">
            <v>74</v>
          </cell>
          <cell r="S34">
            <v>4</v>
          </cell>
          <cell r="T34">
            <v>58</v>
          </cell>
          <cell r="U34">
            <v>50</v>
          </cell>
          <cell r="V34">
            <v>4</v>
          </cell>
          <cell r="W34">
            <v>3</v>
          </cell>
          <cell r="X34">
            <v>193</v>
          </cell>
          <cell r="Y34">
            <v>195</v>
          </cell>
          <cell r="Z34">
            <v>8</v>
          </cell>
          <cell r="AA34">
            <v>7</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v>23568</v>
          </cell>
          <cell r="AV34">
            <v>7267</v>
          </cell>
          <cell r="AW34">
            <v>1430</v>
          </cell>
          <cell r="AX34">
            <v>9719</v>
          </cell>
          <cell r="AY34">
            <v>520</v>
          </cell>
          <cell r="AZ34">
            <v>1358</v>
          </cell>
          <cell r="BA34">
            <v>43862</v>
          </cell>
          <cell r="BB34">
            <v>3781</v>
          </cell>
          <cell r="BC34">
            <v>1410</v>
          </cell>
          <cell r="BD34">
            <v>5145</v>
          </cell>
          <cell r="BE34">
            <v>1727</v>
          </cell>
          <cell r="BF34">
            <v>0</v>
          </cell>
          <cell r="BG34">
            <v>0</v>
          </cell>
          <cell r="BH34">
            <v>55925</v>
          </cell>
          <cell r="BI34">
            <v>2164</v>
          </cell>
          <cell r="BJ34">
            <v>0</v>
          </cell>
          <cell r="BK34">
            <v>1460</v>
          </cell>
          <cell r="BL34">
            <v>3624</v>
          </cell>
          <cell r="BM34">
            <v>52301</v>
          </cell>
          <cell r="BN34">
            <v>4013</v>
          </cell>
          <cell r="BO34">
            <v>5815</v>
          </cell>
          <cell r="BP34">
            <v>1103</v>
          </cell>
          <cell r="BQ34">
            <v>1406</v>
          </cell>
          <cell r="BR34">
            <v>110</v>
          </cell>
          <cell r="BS34">
            <v>434</v>
          </cell>
          <cell r="BT34">
            <v>-53</v>
          </cell>
          <cell r="BU34">
            <v>840</v>
          </cell>
          <cell r="BV34">
            <v>0</v>
          </cell>
          <cell r="BW34">
            <v>0</v>
          </cell>
          <cell r="BX34">
            <v>1430</v>
          </cell>
          <cell r="BY34">
            <v>353</v>
          </cell>
          <cell r="BZ34">
            <v>2</v>
          </cell>
          <cell r="CA34">
            <v>4</v>
          </cell>
          <cell r="CB34">
            <v>1789</v>
          </cell>
          <cell r="CC34">
            <v>0</v>
          </cell>
          <cell r="CD34">
            <v>6</v>
          </cell>
          <cell r="CE34">
            <v>702</v>
          </cell>
          <cell r="CF34">
            <v>57</v>
          </cell>
          <cell r="CG34">
            <v>584</v>
          </cell>
          <cell r="CH34">
            <v>24611</v>
          </cell>
          <cell r="CI34">
            <v>8235</v>
          </cell>
          <cell r="CJ34">
            <v>1513</v>
          </cell>
          <cell r="CK34">
            <v>10664</v>
          </cell>
          <cell r="CL34">
            <v>679</v>
          </cell>
          <cell r="CM34">
            <v>879</v>
          </cell>
          <cell r="CN34">
            <v>46581</v>
          </cell>
          <cell r="CO34">
            <v>3884</v>
          </cell>
          <cell r="CP34">
            <v>1455</v>
          </cell>
          <cell r="CQ34">
            <v>4987</v>
          </cell>
          <cell r="CR34">
            <v>1677</v>
          </cell>
          <cell r="CS34">
            <v>0</v>
          </cell>
          <cell r="CT34">
            <v>0</v>
          </cell>
          <cell r="CU34">
            <v>58584</v>
          </cell>
          <cell r="CV34">
            <v>5231</v>
          </cell>
          <cell r="CW34">
            <v>0</v>
          </cell>
          <cell r="CX34">
            <v>1004</v>
          </cell>
          <cell r="CY34">
            <v>6235</v>
          </cell>
          <cell r="CZ34">
            <v>52349</v>
          </cell>
          <cell r="DA34">
            <v>0</v>
          </cell>
          <cell r="DB34">
            <v>0</v>
          </cell>
          <cell r="DC34">
            <v>0</v>
          </cell>
          <cell r="DD34">
            <v>1503</v>
          </cell>
          <cell r="DE34">
            <v>0</v>
          </cell>
          <cell r="DF34">
            <v>709</v>
          </cell>
          <cell r="DG34">
            <v>-60</v>
          </cell>
          <cell r="DH34">
            <v>858</v>
          </cell>
          <cell r="DI34">
            <v>0</v>
          </cell>
          <cell r="DJ34">
            <v>0</v>
          </cell>
          <cell r="DK34">
            <v>1513</v>
          </cell>
          <cell r="DL34">
            <v>381</v>
          </cell>
          <cell r="DM34">
            <v>5</v>
          </cell>
          <cell r="DN34">
            <v>4</v>
          </cell>
          <cell r="DO34">
            <v>1903</v>
          </cell>
          <cell r="DP34">
            <v>0</v>
          </cell>
          <cell r="DQ34">
            <v>8</v>
          </cell>
          <cell r="DR34">
            <v>631</v>
          </cell>
          <cell r="DS34">
            <v>87</v>
          </cell>
          <cell r="DT34">
            <v>464</v>
          </cell>
          <cell r="DU34">
            <v>0</v>
          </cell>
          <cell r="DV34">
            <v>21</v>
          </cell>
          <cell r="DW34">
            <v>18.8</v>
          </cell>
          <cell r="DX34">
            <v>232</v>
          </cell>
          <cell r="DY34">
            <v>9085</v>
          </cell>
          <cell r="DZ34">
            <v>4996</v>
          </cell>
          <cell r="EA34">
            <v>41763</v>
          </cell>
          <cell r="EB34" t="str">
            <v>..</v>
          </cell>
          <cell r="EC34">
            <v>0</v>
          </cell>
          <cell r="ED34">
            <v>55844</v>
          </cell>
          <cell r="EE34" t="str">
            <v>..</v>
          </cell>
          <cell r="EF34" t="str">
            <v>..</v>
          </cell>
          <cell r="EG34">
            <v>9309</v>
          </cell>
          <cell r="EH34" t="str">
            <v>..</v>
          </cell>
          <cell r="EI34" t="str">
            <v>..</v>
          </cell>
          <cell r="EJ34" t="str">
            <v>..</v>
          </cell>
          <cell r="EK34">
            <v>44635</v>
          </cell>
          <cell r="EL34">
            <v>79</v>
          </cell>
          <cell r="EM34">
            <v>552</v>
          </cell>
          <cell r="EN34">
            <v>1739</v>
          </cell>
          <cell r="EO34">
            <v>56314</v>
          </cell>
          <cell r="EP34" t="str">
            <v>..</v>
          </cell>
          <cell r="EQ34" t="str">
            <v>..</v>
          </cell>
          <cell r="ER34" t="str">
            <v>..</v>
          </cell>
          <cell r="ES34" t="e">
            <v>#VALUE!</v>
          </cell>
          <cell r="ET34" t="str">
            <v>..</v>
          </cell>
          <cell r="EU34" t="str">
            <v>..</v>
          </cell>
          <cell r="EV34" t="str">
            <v>..</v>
          </cell>
          <cell r="EW34" t="str">
            <v>..</v>
          </cell>
          <cell r="EX34" t="str">
            <v>..</v>
          </cell>
          <cell r="EY34" t="str">
            <v>..</v>
          </cell>
          <cell r="EZ34" t="str">
            <v>..</v>
          </cell>
          <cell r="FA34" t="str">
            <v>..</v>
          </cell>
          <cell r="FB34">
            <v>-3265</v>
          </cell>
          <cell r="FC34">
            <v>-31</v>
          </cell>
          <cell r="FD34">
            <v>0</v>
          </cell>
          <cell r="FE34">
            <v>-2813</v>
          </cell>
          <cell r="FF34">
            <v>0</v>
          </cell>
          <cell r="FG34">
            <v>12313</v>
          </cell>
          <cell r="FH34">
            <v>2493</v>
          </cell>
          <cell r="FI34">
            <v>0</v>
          </cell>
          <cell r="FJ34">
            <v>8697</v>
          </cell>
          <cell r="FK34">
            <v>1313</v>
          </cell>
          <cell r="FL34">
            <v>13</v>
          </cell>
          <cell r="FM34">
            <v>-3225</v>
          </cell>
          <cell r="FN34">
            <v>-45</v>
          </cell>
          <cell r="FO34">
            <v>0</v>
          </cell>
          <cell r="FP34">
            <v>-2782</v>
          </cell>
          <cell r="FQ34">
            <v>0</v>
          </cell>
          <cell r="FR34">
            <v>13068</v>
          </cell>
          <cell r="FS34">
            <v>3658</v>
          </cell>
          <cell r="FT34">
            <v>0</v>
          </cell>
          <cell r="FU34">
            <v>10674</v>
          </cell>
          <cell r="FV34">
            <v>1409</v>
          </cell>
          <cell r="FW34">
            <v>0</v>
          </cell>
          <cell r="FX34">
            <v>883</v>
          </cell>
          <cell r="FY34">
            <v>900</v>
          </cell>
          <cell r="FZ34">
            <v>34</v>
          </cell>
          <cell r="GA34">
            <v>7</v>
          </cell>
          <cell r="GB34">
            <v>80</v>
          </cell>
          <cell r="GC34">
            <v>73</v>
          </cell>
          <cell r="GD34">
            <v>846</v>
          </cell>
          <cell r="GE34">
            <v>59</v>
          </cell>
          <cell r="GF34">
            <v>47</v>
          </cell>
          <cell r="GG34">
            <v>277</v>
          </cell>
          <cell r="GH34">
            <v>172</v>
          </cell>
          <cell r="GI34">
            <v>57</v>
          </cell>
          <cell r="GJ34">
            <v>15611</v>
          </cell>
          <cell r="GK34">
            <v>6686</v>
          </cell>
          <cell r="GL34">
            <v>638</v>
          </cell>
          <cell r="GM34">
            <v>15131</v>
          </cell>
          <cell r="GN34">
            <v>2726</v>
          </cell>
          <cell r="GO34">
            <v>813</v>
          </cell>
          <cell r="GP34">
            <v>0</v>
          </cell>
          <cell r="GQ34">
            <v>0</v>
          </cell>
          <cell r="GR34">
            <v>0</v>
          </cell>
          <cell r="GS34">
            <v>552</v>
          </cell>
          <cell r="GT34">
            <v>0</v>
          </cell>
          <cell r="GU34">
            <v>3046</v>
          </cell>
          <cell r="GV34">
            <v>674</v>
          </cell>
          <cell r="GW34">
            <v>0</v>
          </cell>
          <cell r="GX34">
            <v>21</v>
          </cell>
          <cell r="GY34">
            <v>754</v>
          </cell>
          <cell r="GZ34">
            <v>150</v>
          </cell>
          <cell r="HA34">
            <v>527</v>
          </cell>
          <cell r="HB34">
            <v>271</v>
          </cell>
          <cell r="HC34">
            <v>0</v>
          </cell>
          <cell r="HD34">
            <v>0</v>
          </cell>
          <cell r="HE34">
            <v>0</v>
          </cell>
          <cell r="HF34">
            <v>5995</v>
          </cell>
          <cell r="HG34">
            <v>593</v>
          </cell>
          <cell r="HH34">
            <v>0</v>
          </cell>
          <cell r="HI34">
            <v>0</v>
          </cell>
          <cell r="HJ34">
            <v>924</v>
          </cell>
          <cell r="HK34">
            <v>0</v>
          </cell>
          <cell r="HL34">
            <v>3267</v>
          </cell>
          <cell r="HM34">
            <v>509</v>
          </cell>
          <cell r="HN34">
            <v>0</v>
          </cell>
          <cell r="HO34">
            <v>3</v>
          </cell>
          <cell r="HP34">
            <v>324</v>
          </cell>
          <cell r="HQ34">
            <v>14</v>
          </cell>
          <cell r="HR34">
            <v>335</v>
          </cell>
          <cell r="HS34">
            <v>97</v>
          </cell>
          <cell r="HT34">
            <v>0</v>
          </cell>
          <cell r="HU34">
            <v>0</v>
          </cell>
          <cell r="HV34">
            <v>0</v>
          </cell>
          <cell r="HW34">
            <v>6066</v>
          </cell>
          <cell r="HX34">
            <v>813</v>
          </cell>
          <cell r="HY34">
            <v>0</v>
          </cell>
          <cell r="HZ34">
            <v>0</v>
          </cell>
          <cell r="IA34">
            <v>1329</v>
          </cell>
          <cell r="IB34">
            <v>0</v>
          </cell>
          <cell r="IC34">
            <v>5017</v>
          </cell>
          <cell r="ID34">
            <v>591</v>
          </cell>
          <cell r="IE34">
            <v>0</v>
          </cell>
          <cell r="IF34">
            <v>0</v>
          </cell>
          <cell r="IG34">
            <v>267</v>
          </cell>
          <cell r="IH34">
            <v>0</v>
          </cell>
          <cell r="II34">
            <v>282</v>
          </cell>
          <cell r="IJ34">
            <v>105</v>
          </cell>
          <cell r="IK34">
            <v>0</v>
          </cell>
          <cell r="IL34">
            <v>0</v>
          </cell>
          <cell r="IM34">
            <v>0</v>
          </cell>
          <cell r="IN34">
            <v>8404</v>
          </cell>
          <cell r="IO34" t="str">
            <v>Mere, Bradford On Avon, Lyme Regis, Beaminster, Portland, Christchurch</v>
          </cell>
          <cell r="IP34" t="str">
            <v>4x4s, Water Carriers, Tech Rescue, Ops Supp Unit, Control Units, Trailers</v>
          </cell>
          <cell r="IQ34" t="str">
            <v>..</v>
          </cell>
          <cell r="IR34" t="str">
            <v>..</v>
          </cell>
          <cell r="IS34" t="str">
            <v>..</v>
          </cell>
          <cell r="IT34" t="str">
            <v>..</v>
          </cell>
          <cell r="IU34" t="str">
            <v>..</v>
          </cell>
          <cell r="IV34" t="str">
            <v>..</v>
          </cell>
          <cell r="IW34" t="str">
            <v>Mere, Bradford On Avon, Lyme Regis, Beaminster, Portland, Christchurch</v>
          </cell>
        </row>
        <row r="35">
          <cell r="B35" t="str">
            <v>E6113</v>
          </cell>
          <cell r="C35" t="str">
            <v>Durham</v>
          </cell>
          <cell r="D35" t="str">
            <v>1</v>
          </cell>
          <cell r="E35">
            <v>2</v>
          </cell>
          <cell r="F35">
            <v>6</v>
          </cell>
          <cell r="G35">
            <v>7</v>
          </cell>
          <cell r="H35">
            <v>0</v>
          </cell>
          <cell r="I35">
            <v>15</v>
          </cell>
          <cell r="J35">
            <v>4</v>
          </cell>
          <cell r="K35">
            <v>2</v>
          </cell>
          <cell r="L35">
            <v>6</v>
          </cell>
          <cell r="M35">
            <v>7</v>
          </cell>
          <cell r="N35">
            <v>0</v>
          </cell>
          <cell r="O35">
            <v>15</v>
          </cell>
          <cell r="P35">
            <v>4</v>
          </cell>
          <cell r="Q35">
            <v>27</v>
          </cell>
          <cell r="R35">
            <v>26</v>
          </cell>
          <cell r="S35">
            <v>2</v>
          </cell>
          <cell r="T35">
            <v>15</v>
          </cell>
          <cell r="U35">
            <v>34</v>
          </cell>
          <cell r="V35">
            <v>3</v>
          </cell>
          <cell r="W35">
            <v>3</v>
          </cell>
          <cell r="X35">
            <v>83</v>
          </cell>
          <cell r="Y35">
            <v>38</v>
          </cell>
          <cell r="Z35">
            <v>6</v>
          </cell>
          <cell r="AA35">
            <v>4</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v>17750</v>
          </cell>
          <cell r="AV35">
            <v>2111</v>
          </cell>
          <cell r="AW35">
            <v>844</v>
          </cell>
          <cell r="AX35">
            <v>3264</v>
          </cell>
          <cell r="AY35">
            <v>428</v>
          </cell>
          <cell r="AZ35">
            <v>232</v>
          </cell>
          <cell r="BA35">
            <v>24629</v>
          </cell>
          <cell r="BB35">
            <v>2677</v>
          </cell>
          <cell r="BC35">
            <v>640</v>
          </cell>
          <cell r="BD35">
            <v>3736</v>
          </cell>
          <cell r="BE35">
            <v>370</v>
          </cell>
          <cell r="BF35">
            <v>0</v>
          </cell>
          <cell r="BG35">
            <v>0</v>
          </cell>
          <cell r="BH35">
            <v>32052</v>
          </cell>
          <cell r="BI35">
            <v>1702</v>
          </cell>
          <cell r="BJ35">
            <v>0</v>
          </cell>
          <cell r="BK35">
            <v>838</v>
          </cell>
          <cell r="BL35">
            <v>2540</v>
          </cell>
          <cell r="BM35">
            <v>29512</v>
          </cell>
          <cell r="BN35">
            <v>2920</v>
          </cell>
          <cell r="BO35">
            <v>3083</v>
          </cell>
          <cell r="BP35">
            <v>0</v>
          </cell>
          <cell r="BQ35">
            <v>1305</v>
          </cell>
          <cell r="BR35">
            <v>0</v>
          </cell>
          <cell r="BS35">
            <v>136</v>
          </cell>
          <cell r="BT35">
            <v>-56</v>
          </cell>
          <cell r="BU35">
            <v>905</v>
          </cell>
          <cell r="BV35">
            <v>0</v>
          </cell>
          <cell r="BW35">
            <v>0</v>
          </cell>
          <cell r="BX35">
            <v>0</v>
          </cell>
          <cell r="BY35">
            <v>0</v>
          </cell>
          <cell r="BZ35">
            <v>0</v>
          </cell>
          <cell r="CA35">
            <v>0</v>
          </cell>
          <cell r="CB35">
            <v>0</v>
          </cell>
          <cell r="CC35">
            <v>0</v>
          </cell>
          <cell r="CD35">
            <v>0</v>
          </cell>
          <cell r="CE35">
            <v>0</v>
          </cell>
          <cell r="CF35">
            <v>0</v>
          </cell>
          <cell r="CG35">
            <v>0</v>
          </cell>
          <cell r="CH35">
            <v>19380</v>
          </cell>
          <cell r="CI35">
            <v>1840</v>
          </cell>
          <cell r="CJ35">
            <v>947</v>
          </cell>
          <cell r="CK35">
            <v>3392</v>
          </cell>
          <cell r="CL35">
            <v>366</v>
          </cell>
          <cell r="CM35">
            <v>270</v>
          </cell>
          <cell r="CN35">
            <v>26195</v>
          </cell>
          <cell r="CO35">
            <v>2730</v>
          </cell>
          <cell r="CP35">
            <v>617</v>
          </cell>
          <cell r="CQ35">
            <v>3878</v>
          </cell>
          <cell r="CR35">
            <v>383</v>
          </cell>
          <cell r="CS35">
            <v>0</v>
          </cell>
          <cell r="CT35">
            <v>418</v>
          </cell>
          <cell r="CU35">
            <v>34221</v>
          </cell>
          <cell r="CV35">
            <v>3366</v>
          </cell>
          <cell r="CW35">
            <v>0</v>
          </cell>
          <cell r="CX35">
            <v>547</v>
          </cell>
          <cell r="CY35">
            <v>3913</v>
          </cell>
          <cell r="CZ35">
            <v>30308</v>
          </cell>
          <cell r="DA35">
            <v>2800</v>
          </cell>
          <cell r="DB35">
            <v>3100</v>
          </cell>
          <cell r="DC35">
            <v>0</v>
          </cell>
          <cell r="DD35">
            <v>274</v>
          </cell>
          <cell r="DE35">
            <v>0</v>
          </cell>
          <cell r="DF35">
            <v>48</v>
          </cell>
          <cell r="DG35">
            <v>-20</v>
          </cell>
          <cell r="DH35">
            <v>899</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16.600000000000001</v>
          </cell>
          <cell r="DX35">
            <v>82</v>
          </cell>
          <cell r="DY35">
            <v>9024</v>
          </cell>
          <cell r="DZ35">
            <v>1409</v>
          </cell>
          <cell r="EA35">
            <v>17865</v>
          </cell>
          <cell r="EB35">
            <v>96</v>
          </cell>
          <cell r="EC35">
            <v>15</v>
          </cell>
          <cell r="ED35">
            <v>28409</v>
          </cell>
          <cell r="EE35" t="str">
            <v>..</v>
          </cell>
          <cell r="EF35" t="str">
            <v>..</v>
          </cell>
          <cell r="EG35">
            <v>6633</v>
          </cell>
          <cell r="EH35" t="str">
            <v>..</v>
          </cell>
          <cell r="EI35" t="str">
            <v>..</v>
          </cell>
          <cell r="EJ35" t="str">
            <v>..</v>
          </cell>
          <cell r="EK35">
            <v>25587</v>
          </cell>
          <cell r="EL35">
            <v>0</v>
          </cell>
          <cell r="EM35">
            <v>212</v>
          </cell>
          <cell r="EN35">
            <v>0</v>
          </cell>
          <cell r="EO35">
            <v>32432</v>
          </cell>
          <cell r="EP35" t="str">
            <v>..</v>
          </cell>
          <cell r="EQ35" t="str">
            <v>..</v>
          </cell>
          <cell r="ER35">
            <v>212</v>
          </cell>
          <cell r="ES35">
            <v>3.1961405095733454E-2</v>
          </cell>
          <cell r="ET35" t="str">
            <v>..</v>
          </cell>
          <cell r="EU35" t="str">
            <v>..</v>
          </cell>
          <cell r="EV35" t="str">
            <v>..</v>
          </cell>
          <cell r="EW35">
            <v>12691</v>
          </cell>
          <cell r="EX35">
            <v>0</v>
          </cell>
          <cell r="EY35">
            <v>0</v>
          </cell>
          <cell r="EZ35">
            <v>0</v>
          </cell>
          <cell r="FA35">
            <v>12903</v>
          </cell>
          <cell r="FB35">
            <v>-1831</v>
          </cell>
          <cell r="FC35">
            <v>-165</v>
          </cell>
          <cell r="FD35">
            <v>0</v>
          </cell>
          <cell r="FE35">
            <v>-1555</v>
          </cell>
          <cell r="FF35">
            <v>0</v>
          </cell>
          <cell r="FG35">
            <v>8929</v>
          </cell>
          <cell r="FH35">
            <v>1563</v>
          </cell>
          <cell r="FI35">
            <v>0</v>
          </cell>
          <cell r="FJ35">
            <v>6941</v>
          </cell>
          <cell r="FK35">
            <v>470</v>
          </cell>
          <cell r="FL35">
            <v>0</v>
          </cell>
          <cell r="FM35">
            <v>-1751</v>
          </cell>
          <cell r="FN35">
            <v>-65</v>
          </cell>
          <cell r="FO35">
            <v>-9</v>
          </cell>
          <cell r="FP35">
            <v>-1569</v>
          </cell>
          <cell r="FQ35">
            <v>-12</v>
          </cell>
          <cell r="FR35">
            <v>9717</v>
          </cell>
          <cell r="FS35">
            <v>3005</v>
          </cell>
          <cell r="FT35">
            <v>0</v>
          </cell>
          <cell r="FU35">
            <v>9316</v>
          </cell>
          <cell r="FV35">
            <v>433</v>
          </cell>
          <cell r="FW35">
            <v>0</v>
          </cell>
          <cell r="FX35">
            <v>596</v>
          </cell>
          <cell r="FY35">
            <v>614</v>
          </cell>
          <cell r="FZ35">
            <v>14</v>
          </cell>
          <cell r="GA35">
            <v>0</v>
          </cell>
          <cell r="GB35">
            <v>43</v>
          </cell>
          <cell r="GC35">
            <v>3</v>
          </cell>
          <cell r="GD35">
            <v>384</v>
          </cell>
          <cell r="GE35">
            <v>8</v>
          </cell>
          <cell r="GF35">
            <v>29</v>
          </cell>
          <cell r="GG35">
            <v>128</v>
          </cell>
          <cell r="GH35">
            <v>72</v>
          </cell>
          <cell r="GI35">
            <v>12</v>
          </cell>
          <cell r="GJ35">
            <v>5929</v>
          </cell>
          <cell r="GK35">
            <v>1388</v>
          </cell>
          <cell r="GL35">
            <v>384</v>
          </cell>
          <cell r="GM35">
            <v>5865</v>
          </cell>
          <cell r="GN35">
            <v>1425</v>
          </cell>
          <cell r="GO35">
            <v>431</v>
          </cell>
          <cell r="GP35">
            <v>0</v>
          </cell>
          <cell r="GQ35">
            <v>0</v>
          </cell>
          <cell r="GR35">
            <v>97</v>
          </cell>
          <cell r="GS35">
            <v>73</v>
          </cell>
          <cell r="GT35">
            <v>0</v>
          </cell>
          <cell r="GU35">
            <v>59</v>
          </cell>
          <cell r="GV35">
            <v>18</v>
          </cell>
          <cell r="GW35">
            <v>0</v>
          </cell>
          <cell r="GX35">
            <v>41</v>
          </cell>
          <cell r="GY35">
            <v>8</v>
          </cell>
          <cell r="GZ35">
            <v>2</v>
          </cell>
          <cell r="HA35">
            <v>3</v>
          </cell>
          <cell r="HB35">
            <v>57</v>
          </cell>
          <cell r="HC35">
            <v>0</v>
          </cell>
          <cell r="HD35">
            <v>0</v>
          </cell>
          <cell r="HE35">
            <v>32</v>
          </cell>
          <cell r="HF35">
            <v>390</v>
          </cell>
          <cell r="HG35">
            <v>0</v>
          </cell>
          <cell r="HH35">
            <v>0</v>
          </cell>
          <cell r="HI35">
            <v>668</v>
          </cell>
          <cell r="HJ35">
            <v>39</v>
          </cell>
          <cell r="HK35">
            <v>0</v>
          </cell>
          <cell r="HL35">
            <v>0</v>
          </cell>
          <cell r="HM35">
            <v>79</v>
          </cell>
          <cell r="HN35">
            <v>0</v>
          </cell>
          <cell r="HO35">
            <v>21</v>
          </cell>
          <cell r="HP35">
            <v>0</v>
          </cell>
          <cell r="HQ35">
            <v>136</v>
          </cell>
          <cell r="HR35">
            <v>0</v>
          </cell>
          <cell r="HS35">
            <v>63</v>
          </cell>
          <cell r="HT35">
            <v>0</v>
          </cell>
          <cell r="HU35">
            <v>0</v>
          </cell>
          <cell r="HV35">
            <v>54</v>
          </cell>
          <cell r="HW35">
            <v>1060</v>
          </cell>
          <cell r="HX35">
            <v>0</v>
          </cell>
          <cell r="HY35">
            <v>0</v>
          </cell>
          <cell r="HZ35">
            <v>4000</v>
          </cell>
          <cell r="IA35">
            <v>250</v>
          </cell>
          <cell r="IB35">
            <v>0</v>
          </cell>
          <cell r="IC35">
            <v>1202</v>
          </cell>
          <cell r="ID35">
            <v>0</v>
          </cell>
          <cell r="IE35">
            <v>0</v>
          </cell>
          <cell r="IF35">
            <v>0</v>
          </cell>
          <cell r="IG35">
            <v>0</v>
          </cell>
          <cell r="IH35">
            <v>100</v>
          </cell>
          <cell r="II35">
            <v>0</v>
          </cell>
          <cell r="IJ35">
            <v>103</v>
          </cell>
          <cell r="IK35">
            <v>0</v>
          </cell>
          <cell r="IL35">
            <v>0</v>
          </cell>
          <cell r="IM35">
            <v>4</v>
          </cell>
          <cell r="IN35">
            <v>5659</v>
          </cell>
          <cell r="IO35" t="str">
            <v>Police, Ambulance &amp; Mountain Rescue</v>
          </cell>
          <cell r="IP35" t="str">
            <v>Boats x 2, TRV's x 5 &amp; Specials x 8</v>
          </cell>
          <cell r="IQ35" t="str">
            <v>..</v>
          </cell>
          <cell r="IR35" t="str">
            <v>Contingencies</v>
          </cell>
          <cell r="IS35" t="str">
            <v>..</v>
          </cell>
          <cell r="IT35" t="str">
            <v>..</v>
          </cell>
          <cell r="IU35" t="str">
            <v>..</v>
          </cell>
          <cell r="IV35" t="str">
            <v>..</v>
          </cell>
          <cell r="IW35" t="str">
            <v>Police, ambulance &amp; moutain rescue</v>
          </cell>
        </row>
        <row r="36">
          <cell r="B36" t="str">
            <v>E6114</v>
          </cell>
          <cell r="C36" t="str">
            <v>East Sussex</v>
          </cell>
          <cell r="D36" t="str">
            <v>1</v>
          </cell>
          <cell r="E36">
            <v>6</v>
          </cell>
          <cell r="F36">
            <v>12</v>
          </cell>
          <cell r="G36">
            <v>6</v>
          </cell>
          <cell r="H36">
            <v>0</v>
          </cell>
          <cell r="I36">
            <v>24</v>
          </cell>
          <cell r="J36">
            <v>3</v>
          </cell>
          <cell r="K36">
            <v>6</v>
          </cell>
          <cell r="L36">
            <v>12</v>
          </cell>
          <cell r="M36">
            <v>6</v>
          </cell>
          <cell r="N36">
            <v>0</v>
          </cell>
          <cell r="O36">
            <v>24</v>
          </cell>
          <cell r="P36">
            <v>3</v>
          </cell>
          <cell r="Q36">
            <v>41</v>
          </cell>
          <cell r="R36">
            <v>41</v>
          </cell>
          <cell r="S36">
            <v>3</v>
          </cell>
          <cell r="T36">
            <v>5</v>
          </cell>
          <cell r="U36">
            <v>38</v>
          </cell>
          <cell r="V36">
            <v>10</v>
          </cell>
          <cell r="W36">
            <v>48</v>
          </cell>
          <cell r="X36">
            <v>145</v>
          </cell>
          <cell r="Y36">
            <v>69</v>
          </cell>
          <cell r="Z36">
            <v>6</v>
          </cell>
          <cell r="AA36">
            <v>2</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v>16533.080859999998</v>
          </cell>
          <cell r="AV36">
            <v>2133.9435800000001</v>
          </cell>
          <cell r="AW36">
            <v>1955.5976999999998</v>
          </cell>
          <cell r="AX36">
            <v>5871.8395100000007</v>
          </cell>
          <cell r="AY36">
            <v>811.03707999999995</v>
          </cell>
          <cell r="AZ36">
            <v>1039.7499199999997</v>
          </cell>
          <cell r="BA36">
            <v>28345.248649999994</v>
          </cell>
          <cell r="BB36">
            <v>2347.9080700000009</v>
          </cell>
          <cell r="BC36">
            <v>1181.6636199999998</v>
          </cell>
          <cell r="BD36">
            <v>6846.3233599999994</v>
          </cell>
          <cell r="BE36">
            <v>947.67369999999994</v>
          </cell>
          <cell r="BF36">
            <v>0</v>
          </cell>
          <cell r="BG36">
            <v>2289.6102999999998</v>
          </cell>
          <cell r="BH36">
            <v>41958.427699999993</v>
          </cell>
          <cell r="BI36">
            <v>932.53217999999993</v>
          </cell>
          <cell r="BJ36">
            <v>1373.36617</v>
          </cell>
          <cell r="BK36">
            <v>1099.2051000000004</v>
          </cell>
          <cell r="BL36">
            <v>3405.1034500000005</v>
          </cell>
          <cell r="BM36">
            <v>38553</v>
          </cell>
          <cell r="BN36">
            <v>2966</v>
          </cell>
          <cell r="BO36" t="str">
            <v>..</v>
          </cell>
          <cell r="BP36" t="str">
            <v>..</v>
          </cell>
          <cell r="BQ36">
            <v>431</v>
          </cell>
          <cell r="BR36" t="str">
            <v>..</v>
          </cell>
          <cell r="BS36">
            <v>496</v>
          </cell>
          <cell r="BT36">
            <v>-206</v>
          </cell>
          <cell r="BU36" t="str">
            <v>..</v>
          </cell>
          <cell r="BV36">
            <v>79.123709999999988</v>
          </cell>
          <cell r="BW36">
            <v>0</v>
          </cell>
          <cell r="BX36">
            <v>1812.70526</v>
          </cell>
          <cell r="BY36">
            <v>0</v>
          </cell>
          <cell r="BZ36">
            <v>0.245</v>
          </cell>
          <cell r="CA36">
            <v>6.8811900000000001</v>
          </cell>
          <cell r="CB36">
            <v>1898.95516</v>
          </cell>
          <cell r="CC36">
            <v>17.566330000000001</v>
          </cell>
          <cell r="CD36">
            <v>0.62008000000000008</v>
          </cell>
          <cell r="CE36">
            <v>111.43139000000001</v>
          </cell>
          <cell r="CF36">
            <v>357.01476000000002</v>
          </cell>
          <cell r="CG36">
            <v>1373.36617</v>
          </cell>
          <cell r="CH36">
            <v>18222.900000000001</v>
          </cell>
          <cell r="CI36">
            <v>2407.1999999999998</v>
          </cell>
          <cell r="CJ36">
            <v>1977.4</v>
          </cell>
          <cell r="CK36">
            <v>6336.3</v>
          </cell>
          <cell r="CL36">
            <v>545.20000000000005</v>
          </cell>
          <cell r="CM36">
            <v>752.3</v>
          </cell>
          <cell r="CN36">
            <v>30241.300000000003</v>
          </cell>
          <cell r="CO36">
            <v>2348.1999999999998</v>
          </cell>
          <cell r="CP36">
            <v>1139.0999999999999</v>
          </cell>
          <cell r="CQ36">
            <v>5752.6</v>
          </cell>
          <cell r="CR36">
            <v>743.5</v>
          </cell>
          <cell r="CS36">
            <v>0</v>
          </cell>
          <cell r="CT36">
            <v>2114.1999999999998</v>
          </cell>
          <cell r="CU36">
            <v>42338.9</v>
          </cell>
          <cell r="CV36">
            <v>1691.8</v>
          </cell>
          <cell r="CW36">
            <v>1414</v>
          </cell>
          <cell r="CX36">
            <v>692.5</v>
          </cell>
          <cell r="CY36">
            <v>3798.3</v>
          </cell>
          <cell r="CZ36">
            <v>38540.6</v>
          </cell>
          <cell r="DA36">
            <v>496</v>
          </cell>
          <cell r="DB36" t="str">
            <v>..</v>
          </cell>
          <cell r="DC36" t="str">
            <v>..</v>
          </cell>
          <cell r="DD36">
            <v>431</v>
          </cell>
          <cell r="DE36" t="str">
            <v>..</v>
          </cell>
          <cell r="DF36">
            <v>496</v>
          </cell>
          <cell r="DG36">
            <v>-230</v>
          </cell>
          <cell r="DH36" t="str">
            <v>..</v>
          </cell>
          <cell r="DI36">
            <v>0</v>
          </cell>
          <cell r="DJ36">
            <v>0</v>
          </cell>
          <cell r="DK36">
            <v>1977.4</v>
          </cell>
          <cell r="DL36">
            <v>0</v>
          </cell>
          <cell r="DM36">
            <v>25.8</v>
          </cell>
          <cell r="DN36">
            <v>8.1999999999999993</v>
          </cell>
          <cell r="DO36">
            <v>2011.4</v>
          </cell>
          <cell r="DP36">
            <v>52.8</v>
          </cell>
          <cell r="DQ36">
            <v>1.4</v>
          </cell>
          <cell r="DR36">
            <v>32.9</v>
          </cell>
          <cell r="DS36">
            <v>286.89999999999998</v>
          </cell>
          <cell r="DT36">
            <v>1414</v>
          </cell>
          <cell r="DU36" t="str">
            <v>..</v>
          </cell>
          <cell r="DV36">
            <v>0</v>
          </cell>
          <cell r="DW36" t="str">
            <v>..</v>
          </cell>
          <cell r="DX36" t="str">
            <v>..</v>
          </cell>
          <cell r="DY36">
            <v>-4284.9950000000008</v>
          </cell>
          <cell r="DZ36">
            <v>-7435.7049999999999</v>
          </cell>
          <cell r="EA36">
            <v>-27214.9</v>
          </cell>
          <cell r="EB36">
            <v>-170</v>
          </cell>
          <cell r="EC36">
            <v>69</v>
          </cell>
          <cell r="ED36">
            <v>-39036.600000000006</v>
          </cell>
          <cell r="EE36">
            <v>1002.3714699999999</v>
          </cell>
          <cell r="EF36">
            <v>1073.3096699999999</v>
          </cell>
          <cell r="EG36">
            <v>2076</v>
          </cell>
          <cell r="EH36">
            <v>21391.744912000002</v>
          </cell>
          <cell r="EI36">
            <v>1757.61203</v>
          </cell>
          <cell r="EJ36">
            <v>173.2997</v>
          </cell>
          <cell r="EK36">
            <v>23323</v>
          </cell>
          <cell r="EL36">
            <v>41</v>
          </cell>
          <cell r="EM36">
            <v>850</v>
          </cell>
          <cell r="EN36">
            <v>15229</v>
          </cell>
          <cell r="EO36">
            <v>41519</v>
          </cell>
          <cell r="EP36" t="str">
            <v>..</v>
          </cell>
          <cell r="EQ36" t="str">
            <v>..</v>
          </cell>
          <cell r="ER36" t="str">
            <v>..</v>
          </cell>
          <cell r="ES36" t="e">
            <v>#VALUE!</v>
          </cell>
          <cell r="ET36" t="str">
            <v>..</v>
          </cell>
          <cell r="EU36" t="str">
            <v>..</v>
          </cell>
          <cell r="EV36" t="str">
            <v>..</v>
          </cell>
          <cell r="EW36" t="str">
            <v>..</v>
          </cell>
          <cell r="EX36" t="str">
            <v>..</v>
          </cell>
          <cell r="EY36" t="str">
            <v>..</v>
          </cell>
          <cell r="EZ36" t="str">
            <v>..</v>
          </cell>
          <cell r="FA36" t="str">
            <v>..</v>
          </cell>
          <cell r="FB36">
            <v>-2248</v>
          </cell>
          <cell r="FC36">
            <v>-31</v>
          </cell>
          <cell r="FD36">
            <v>0</v>
          </cell>
          <cell r="FE36">
            <v>-1829</v>
          </cell>
          <cell r="FF36">
            <v>0</v>
          </cell>
          <cell r="FG36">
            <v>9528</v>
          </cell>
          <cell r="FH36">
            <v>2471</v>
          </cell>
          <cell r="FI36">
            <v>61</v>
          </cell>
          <cell r="FJ36">
            <v>7952</v>
          </cell>
          <cell r="FK36">
            <v>0</v>
          </cell>
          <cell r="FL36" t="str">
            <v>..</v>
          </cell>
          <cell r="FM36">
            <v>-3694</v>
          </cell>
          <cell r="FN36">
            <v>-83</v>
          </cell>
          <cell r="FO36">
            <v>0</v>
          </cell>
          <cell r="FP36">
            <v>-1627</v>
          </cell>
          <cell r="FQ36">
            <v>0</v>
          </cell>
          <cell r="FR36">
            <v>9622</v>
          </cell>
          <cell r="FS36">
            <v>992</v>
          </cell>
          <cell r="FT36">
            <v>0</v>
          </cell>
          <cell r="FU36">
            <v>5210</v>
          </cell>
          <cell r="FV36">
            <v>0</v>
          </cell>
          <cell r="FW36" t="str">
            <v>..</v>
          </cell>
          <cell r="FX36" t="str">
            <v>..</v>
          </cell>
          <cell r="FY36" t="str">
            <v>..</v>
          </cell>
          <cell r="FZ36" t="str">
            <v>..</v>
          </cell>
          <cell r="GA36" t="str">
            <v>..</v>
          </cell>
          <cell r="GB36" t="str">
            <v>..</v>
          </cell>
          <cell r="GC36" t="str">
            <v>..</v>
          </cell>
          <cell r="GD36" t="str">
            <v>..</v>
          </cell>
          <cell r="GE36" t="str">
            <v>..</v>
          </cell>
          <cell r="GF36" t="str">
            <v>..</v>
          </cell>
          <cell r="GG36" t="str">
            <v>..</v>
          </cell>
          <cell r="GH36" t="str">
            <v>..</v>
          </cell>
          <cell r="GI36" t="str">
            <v>..</v>
          </cell>
          <cell r="GJ36">
            <v>10096</v>
          </cell>
          <cell r="GK36">
            <v>3142</v>
          </cell>
          <cell r="GL36">
            <v>319</v>
          </cell>
          <cell r="GM36">
            <v>9944</v>
          </cell>
          <cell r="GN36">
            <v>2417</v>
          </cell>
          <cell r="GO36">
            <v>187</v>
          </cell>
          <cell r="GP36">
            <v>0</v>
          </cell>
          <cell r="GQ36">
            <v>0</v>
          </cell>
          <cell r="GR36">
            <v>0</v>
          </cell>
          <cell r="GS36">
            <v>931</v>
          </cell>
          <cell r="GT36">
            <v>0</v>
          </cell>
          <cell r="GU36">
            <v>281</v>
          </cell>
          <cell r="GV36">
            <v>0</v>
          </cell>
          <cell r="GW36">
            <v>0</v>
          </cell>
          <cell r="GX36">
            <v>0</v>
          </cell>
          <cell r="GY36">
            <v>123</v>
          </cell>
          <cell r="GZ36">
            <v>0</v>
          </cell>
          <cell r="HA36">
            <v>0</v>
          </cell>
          <cell r="HB36">
            <v>681</v>
          </cell>
          <cell r="HC36">
            <v>0</v>
          </cell>
          <cell r="HD36">
            <v>0</v>
          </cell>
          <cell r="HE36">
            <v>0</v>
          </cell>
          <cell r="HF36">
            <v>2016</v>
          </cell>
          <cell r="HG36">
            <v>0</v>
          </cell>
          <cell r="HH36">
            <v>0</v>
          </cell>
          <cell r="HI36">
            <v>0</v>
          </cell>
          <cell r="HJ36">
            <v>317</v>
          </cell>
          <cell r="HK36">
            <v>0</v>
          </cell>
          <cell r="HL36">
            <v>680</v>
          </cell>
          <cell r="HM36">
            <v>0</v>
          </cell>
          <cell r="HN36">
            <v>0</v>
          </cell>
          <cell r="HO36">
            <v>0</v>
          </cell>
          <cell r="HP36">
            <v>13</v>
          </cell>
          <cell r="HQ36">
            <v>0</v>
          </cell>
          <cell r="HR36">
            <v>0</v>
          </cell>
          <cell r="HS36">
            <v>0</v>
          </cell>
          <cell r="HT36">
            <v>0</v>
          </cell>
          <cell r="HU36">
            <v>0</v>
          </cell>
          <cell r="HV36">
            <v>0</v>
          </cell>
          <cell r="HW36">
            <v>1010</v>
          </cell>
          <cell r="HX36">
            <v>0</v>
          </cell>
          <cell r="HY36">
            <v>0</v>
          </cell>
          <cell r="HZ36">
            <v>0</v>
          </cell>
          <cell r="IA36">
            <v>3375</v>
          </cell>
          <cell r="IB36">
            <v>0</v>
          </cell>
          <cell r="IC36">
            <v>3353</v>
          </cell>
          <cell r="ID36">
            <v>0</v>
          </cell>
          <cell r="IE36">
            <v>0</v>
          </cell>
          <cell r="IF36">
            <v>0</v>
          </cell>
          <cell r="IG36">
            <v>0</v>
          </cell>
          <cell r="IH36">
            <v>0</v>
          </cell>
          <cell r="II36">
            <v>0</v>
          </cell>
          <cell r="IJ36">
            <v>0</v>
          </cell>
          <cell r="IK36">
            <v>0</v>
          </cell>
          <cell r="IL36">
            <v>0</v>
          </cell>
          <cell r="IM36">
            <v>0</v>
          </cell>
          <cell r="IN36">
            <v>6728</v>
          </cell>
          <cell r="IO36" t="str">
            <v>Sussex Police / SECAmb</v>
          </cell>
          <cell r="IP36" t="str">
            <v>Landrover defenders</v>
          </cell>
          <cell r="IQ36" t="str">
            <v>..</v>
          </cell>
          <cell r="IR36" t="str">
            <v>CERA, Transfers to Reserves and MRP</v>
          </cell>
          <cell r="IS36" t="str">
            <v>..</v>
          </cell>
          <cell r="IT36" t="str">
            <v>..</v>
          </cell>
          <cell r="IU36" t="str">
            <v>..</v>
          </cell>
          <cell r="IV36" t="str">
            <v>..</v>
          </cell>
          <cell r="IW36" t="str">
            <v>Sussex Police / SECAmb</v>
          </cell>
        </row>
        <row r="37">
          <cell r="B37" t="str">
            <v>E6115</v>
          </cell>
          <cell r="C37" t="str">
            <v>Essex</v>
          </cell>
          <cell r="D37" t="str">
            <v>1</v>
          </cell>
          <cell r="E37">
            <v>13</v>
          </cell>
          <cell r="F37">
            <v>34</v>
          </cell>
          <cell r="G37">
            <v>3</v>
          </cell>
          <cell r="H37">
            <v>0</v>
          </cell>
          <cell r="I37">
            <v>50</v>
          </cell>
          <cell r="J37">
            <v>19</v>
          </cell>
          <cell r="K37">
            <v>13</v>
          </cell>
          <cell r="L37">
            <v>34</v>
          </cell>
          <cell r="M37">
            <v>3</v>
          </cell>
          <cell r="N37">
            <v>0</v>
          </cell>
          <cell r="O37">
            <v>50</v>
          </cell>
          <cell r="P37">
            <v>29</v>
          </cell>
          <cell r="Q37">
            <v>75</v>
          </cell>
          <cell r="R37">
            <v>69</v>
          </cell>
          <cell r="S37">
            <v>4</v>
          </cell>
          <cell r="T37">
            <v>26</v>
          </cell>
          <cell r="U37">
            <v>49</v>
          </cell>
          <cell r="V37">
            <v>0</v>
          </cell>
          <cell r="W37">
            <v>13</v>
          </cell>
          <cell r="X37">
            <v>161</v>
          </cell>
          <cell r="Y37">
            <v>129</v>
          </cell>
          <cell r="Z37">
            <v>14</v>
          </cell>
          <cell r="AA37">
            <v>6</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v>30993</v>
          </cell>
          <cell r="AV37">
            <v>5634</v>
          </cell>
          <cell r="AW37">
            <v>1423</v>
          </cell>
          <cell r="AX37">
            <v>12995</v>
          </cell>
          <cell r="AY37">
            <v>2194</v>
          </cell>
          <cell r="AZ37">
            <v>669</v>
          </cell>
          <cell r="BA37">
            <v>53908</v>
          </cell>
          <cell r="BB37">
            <v>4314</v>
          </cell>
          <cell r="BC37">
            <v>1752</v>
          </cell>
          <cell r="BD37">
            <v>7667</v>
          </cell>
          <cell r="BE37">
            <v>568</v>
          </cell>
          <cell r="BF37">
            <v>0</v>
          </cell>
          <cell r="BG37">
            <v>1911</v>
          </cell>
          <cell r="BH37">
            <v>70120</v>
          </cell>
          <cell r="BI37">
            <v>2690</v>
          </cell>
          <cell r="BJ37">
            <v>0</v>
          </cell>
          <cell r="BK37">
            <v>1552</v>
          </cell>
          <cell r="BL37">
            <v>4242</v>
          </cell>
          <cell r="BM37">
            <v>65878</v>
          </cell>
          <cell r="BN37">
            <v>4489</v>
          </cell>
          <cell r="BO37">
            <v>7685</v>
          </cell>
          <cell r="BP37">
            <v>0</v>
          </cell>
          <cell r="BQ37">
            <v>4973</v>
          </cell>
          <cell r="BR37">
            <v>0</v>
          </cell>
          <cell r="BS37">
            <v>1301</v>
          </cell>
          <cell r="BT37">
            <v>-83</v>
          </cell>
          <cell r="BU37">
            <v>0</v>
          </cell>
          <cell r="BV37">
            <v>0</v>
          </cell>
          <cell r="BW37">
            <v>0</v>
          </cell>
          <cell r="BX37">
            <v>0</v>
          </cell>
          <cell r="BY37">
            <v>0</v>
          </cell>
          <cell r="BZ37">
            <v>0</v>
          </cell>
          <cell r="CA37">
            <v>0</v>
          </cell>
          <cell r="CB37">
            <v>0</v>
          </cell>
          <cell r="CC37">
            <v>0</v>
          </cell>
          <cell r="CD37">
            <v>0</v>
          </cell>
          <cell r="CE37">
            <v>214</v>
          </cell>
          <cell r="CF37">
            <v>0</v>
          </cell>
          <cell r="CG37">
            <v>512</v>
          </cell>
          <cell r="CH37">
            <v>32267</v>
          </cell>
          <cell r="CI37">
            <v>6078</v>
          </cell>
          <cell r="CJ37">
            <v>1438</v>
          </cell>
          <cell r="CK37">
            <v>13610</v>
          </cell>
          <cell r="CL37">
            <v>2242</v>
          </cell>
          <cell r="CM37">
            <v>635</v>
          </cell>
          <cell r="CN37">
            <v>56270</v>
          </cell>
          <cell r="CO37">
            <v>4242</v>
          </cell>
          <cell r="CP37">
            <v>1956</v>
          </cell>
          <cell r="CQ37">
            <v>8026</v>
          </cell>
          <cell r="CR37">
            <v>637</v>
          </cell>
          <cell r="CS37">
            <v>0</v>
          </cell>
          <cell r="CT37">
            <v>6454</v>
          </cell>
          <cell r="CU37">
            <v>77585</v>
          </cell>
          <cell r="CV37">
            <v>2402</v>
          </cell>
          <cell r="CW37">
            <v>0</v>
          </cell>
          <cell r="CX37">
            <v>1386</v>
          </cell>
          <cell r="CY37">
            <v>3788</v>
          </cell>
          <cell r="CZ37">
            <v>73797</v>
          </cell>
          <cell r="DA37">
            <v>0</v>
          </cell>
          <cell r="DB37">
            <v>0</v>
          </cell>
          <cell r="DC37">
            <v>0</v>
          </cell>
          <cell r="DD37">
            <v>5100</v>
          </cell>
          <cell r="DE37">
            <v>0</v>
          </cell>
          <cell r="DF37">
            <v>1243</v>
          </cell>
          <cell r="DG37">
            <v>-40</v>
          </cell>
          <cell r="DH37">
            <v>0</v>
          </cell>
          <cell r="DI37">
            <v>0</v>
          </cell>
          <cell r="DJ37">
            <v>0</v>
          </cell>
          <cell r="DK37">
            <v>0</v>
          </cell>
          <cell r="DL37">
            <v>0</v>
          </cell>
          <cell r="DM37">
            <v>0</v>
          </cell>
          <cell r="DN37">
            <v>0</v>
          </cell>
          <cell r="DO37">
            <v>0</v>
          </cell>
          <cell r="DP37">
            <v>0</v>
          </cell>
          <cell r="DQ37">
            <v>0</v>
          </cell>
          <cell r="DR37">
            <v>145</v>
          </cell>
          <cell r="DS37">
            <v>0</v>
          </cell>
          <cell r="DT37">
            <v>242</v>
          </cell>
          <cell r="DU37">
            <v>70367</v>
          </cell>
          <cell r="DV37">
            <v>0</v>
          </cell>
          <cell r="DW37">
            <v>16.2</v>
          </cell>
          <cell r="DX37">
            <v>0</v>
          </cell>
          <cell r="DY37">
            <v>8337</v>
          </cell>
          <cell r="DZ37">
            <v>18584</v>
          </cell>
          <cell r="EA37">
            <v>46233</v>
          </cell>
          <cell r="EB37">
            <v>643</v>
          </cell>
          <cell r="EC37">
            <v>0</v>
          </cell>
          <cell r="ED37">
            <v>73797</v>
          </cell>
          <cell r="EE37">
            <v>4683</v>
          </cell>
          <cell r="EF37">
            <v>7683</v>
          </cell>
          <cell r="EG37">
            <v>12366</v>
          </cell>
          <cell r="EH37">
            <v>48502</v>
          </cell>
          <cell r="EI37">
            <v>6221</v>
          </cell>
          <cell r="EJ37">
            <v>719</v>
          </cell>
          <cell r="EK37">
            <v>55442</v>
          </cell>
          <cell r="EL37">
            <v>1053</v>
          </cell>
          <cell r="EM37">
            <v>991</v>
          </cell>
          <cell r="EN37">
            <v>515</v>
          </cell>
          <cell r="EO37">
            <v>70367</v>
          </cell>
          <cell r="EP37">
            <v>2</v>
          </cell>
          <cell r="EQ37">
            <v>2</v>
          </cell>
          <cell r="ER37">
            <v>4</v>
          </cell>
          <cell r="ES37">
            <v>3.2346757237586933E-4</v>
          </cell>
          <cell r="ET37">
            <v>5</v>
          </cell>
          <cell r="EU37">
            <v>2</v>
          </cell>
          <cell r="EV37">
            <v>1</v>
          </cell>
          <cell r="EW37">
            <v>8</v>
          </cell>
          <cell r="EX37">
            <v>0</v>
          </cell>
          <cell r="EY37">
            <v>0</v>
          </cell>
          <cell r="EZ37">
            <v>0</v>
          </cell>
          <cell r="FA37">
            <v>12</v>
          </cell>
          <cell r="FB37">
            <v>-3903</v>
          </cell>
          <cell r="FC37">
            <v>-241</v>
          </cell>
          <cell r="FD37">
            <v>0</v>
          </cell>
          <cell r="FE37">
            <v>-3178</v>
          </cell>
          <cell r="FF37">
            <v>-8</v>
          </cell>
          <cell r="FG37">
            <v>18359</v>
          </cell>
          <cell r="FH37">
            <v>3919</v>
          </cell>
          <cell r="FI37">
            <v>325</v>
          </cell>
          <cell r="FJ37">
            <v>15273</v>
          </cell>
          <cell r="FK37">
            <v>2079</v>
          </cell>
          <cell r="FL37">
            <v>0</v>
          </cell>
          <cell r="FM37">
            <v>-4000</v>
          </cell>
          <cell r="FN37">
            <v>-250</v>
          </cell>
          <cell r="FO37">
            <v>0</v>
          </cell>
          <cell r="FP37">
            <v>-3000</v>
          </cell>
          <cell r="FQ37">
            <v>0</v>
          </cell>
          <cell r="FR37">
            <v>18500</v>
          </cell>
          <cell r="FS37">
            <v>4000</v>
          </cell>
          <cell r="FT37">
            <v>0</v>
          </cell>
          <cell r="FU37">
            <v>15250</v>
          </cell>
          <cell r="FV37">
            <v>2100</v>
          </cell>
          <cell r="FW37">
            <v>0</v>
          </cell>
          <cell r="FX37">
            <v>1292</v>
          </cell>
          <cell r="FY37">
            <v>1300</v>
          </cell>
          <cell r="FZ37">
            <v>46</v>
          </cell>
          <cell r="GA37">
            <v>2</v>
          </cell>
          <cell r="GB37">
            <v>145</v>
          </cell>
          <cell r="GC37">
            <v>14</v>
          </cell>
          <cell r="GD37">
            <v>747</v>
          </cell>
          <cell r="GE37">
            <v>34</v>
          </cell>
          <cell r="GF37">
            <v>92</v>
          </cell>
          <cell r="GG37">
            <v>151</v>
          </cell>
          <cell r="GH37">
            <v>115</v>
          </cell>
          <cell r="GI37">
            <v>17</v>
          </cell>
          <cell r="GJ37">
            <v>5761</v>
          </cell>
          <cell r="GK37">
            <v>6823</v>
          </cell>
          <cell r="GL37">
            <v>1046</v>
          </cell>
          <cell r="GM37">
            <v>5653</v>
          </cell>
          <cell r="GN37">
            <v>7935</v>
          </cell>
          <cell r="GO37">
            <v>850</v>
          </cell>
          <cell r="GP37">
            <v>0</v>
          </cell>
          <cell r="GQ37">
            <v>0</v>
          </cell>
          <cell r="GR37">
            <v>0</v>
          </cell>
          <cell r="GS37">
            <v>1002</v>
          </cell>
          <cell r="GT37">
            <v>0</v>
          </cell>
          <cell r="GU37">
            <v>2301</v>
          </cell>
          <cell r="GV37">
            <v>187</v>
          </cell>
          <cell r="GW37">
            <v>0</v>
          </cell>
          <cell r="GX37">
            <v>0</v>
          </cell>
          <cell r="GY37">
            <v>173</v>
          </cell>
          <cell r="GZ37">
            <v>93</v>
          </cell>
          <cell r="HA37">
            <v>94</v>
          </cell>
          <cell r="HB37">
            <v>42</v>
          </cell>
          <cell r="HC37">
            <v>0</v>
          </cell>
          <cell r="HD37">
            <v>0</v>
          </cell>
          <cell r="HE37">
            <v>0</v>
          </cell>
          <cell r="HF37">
            <v>3892</v>
          </cell>
          <cell r="HG37">
            <v>0</v>
          </cell>
          <cell r="HH37">
            <v>0</v>
          </cell>
          <cell r="HI37">
            <v>0</v>
          </cell>
          <cell r="HJ37">
            <v>1404</v>
          </cell>
          <cell r="HK37">
            <v>185</v>
          </cell>
          <cell r="HL37">
            <v>419</v>
          </cell>
          <cell r="HM37">
            <v>621</v>
          </cell>
          <cell r="HN37">
            <v>27</v>
          </cell>
          <cell r="HO37">
            <v>0</v>
          </cell>
          <cell r="HP37">
            <v>424</v>
          </cell>
          <cell r="HQ37">
            <v>0</v>
          </cell>
          <cell r="HR37">
            <v>243</v>
          </cell>
          <cell r="HS37">
            <v>210</v>
          </cell>
          <cell r="HT37">
            <v>0</v>
          </cell>
          <cell r="HU37">
            <v>0</v>
          </cell>
          <cell r="HV37">
            <v>0</v>
          </cell>
          <cell r="HW37">
            <v>3533</v>
          </cell>
          <cell r="HX37">
            <v>0</v>
          </cell>
          <cell r="HY37">
            <v>0</v>
          </cell>
          <cell r="HZ37">
            <v>100</v>
          </cell>
          <cell r="IA37">
            <v>2500</v>
          </cell>
          <cell r="IB37">
            <v>0</v>
          </cell>
          <cell r="IC37">
            <v>0</v>
          </cell>
          <cell r="ID37">
            <v>890</v>
          </cell>
          <cell r="IE37">
            <v>50</v>
          </cell>
          <cell r="IF37">
            <v>100</v>
          </cell>
          <cell r="IG37">
            <v>800</v>
          </cell>
          <cell r="IH37">
            <v>375</v>
          </cell>
          <cell r="II37">
            <v>150</v>
          </cell>
          <cell r="IJ37">
            <v>360</v>
          </cell>
          <cell r="IK37">
            <v>0</v>
          </cell>
          <cell r="IL37">
            <v>0</v>
          </cell>
          <cell r="IM37">
            <v>0</v>
          </cell>
          <cell r="IN37">
            <v>5325</v>
          </cell>
          <cell r="IO37" t="str">
            <v>Essex Police and East of England Ambulance Service</v>
          </cell>
          <cell r="IP37" t="str">
            <v>ARU, Hooklifts, Mercedes sprinters, Rangers, Water Bowsers, HLL, Foam Modules, Fireboat, Curtainsider</v>
          </cell>
          <cell r="IQ37" t="str">
            <v>..</v>
          </cell>
          <cell r="IR37" t="str">
            <v>Financing items</v>
          </cell>
          <cell r="IS37" t="str">
            <v>..</v>
          </cell>
          <cell r="IT37" t="str">
            <v>..</v>
          </cell>
          <cell r="IU37" t="str">
            <v>..</v>
          </cell>
          <cell r="IV37" t="str">
            <v>..</v>
          </cell>
          <cell r="IW37" t="str">
            <v>East of England Ambulance Service</v>
          </cell>
        </row>
        <row r="38">
          <cell r="B38" t="str">
            <v>E6117</v>
          </cell>
          <cell r="C38" t="str">
            <v>Hampshire</v>
          </cell>
          <cell r="D38" t="str">
            <v>1</v>
          </cell>
          <cell r="E38">
            <v>5</v>
          </cell>
          <cell r="F38">
            <v>38</v>
          </cell>
          <cell r="G38">
            <v>8</v>
          </cell>
          <cell r="H38">
            <v>0</v>
          </cell>
          <cell r="I38">
            <v>51</v>
          </cell>
          <cell r="J38">
            <v>17</v>
          </cell>
          <cell r="K38">
            <v>5</v>
          </cell>
          <cell r="L38">
            <v>38</v>
          </cell>
          <cell r="M38">
            <v>8</v>
          </cell>
          <cell r="N38">
            <v>0</v>
          </cell>
          <cell r="O38">
            <v>51</v>
          </cell>
          <cell r="P38">
            <v>17</v>
          </cell>
          <cell r="Q38">
            <v>74</v>
          </cell>
          <cell r="R38">
            <v>74</v>
          </cell>
          <cell r="S38">
            <v>3</v>
          </cell>
          <cell r="T38">
            <v>27</v>
          </cell>
          <cell r="U38">
            <v>61</v>
          </cell>
          <cell r="V38">
            <v>22</v>
          </cell>
          <cell r="W38">
            <v>22</v>
          </cell>
          <cell r="X38">
            <v>209</v>
          </cell>
          <cell r="Y38">
            <v>165</v>
          </cell>
          <cell r="Z38">
            <v>11</v>
          </cell>
          <cell r="AA38">
            <v>12</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v>30093</v>
          </cell>
          <cell r="AV38">
            <v>6819</v>
          </cell>
          <cell r="AW38">
            <v>1370</v>
          </cell>
          <cell r="AX38">
            <v>8902</v>
          </cell>
          <cell r="AY38">
            <v>490</v>
          </cell>
          <cell r="AZ38">
            <v>2144</v>
          </cell>
          <cell r="BA38">
            <v>49818</v>
          </cell>
          <cell r="BB38">
            <v>5626</v>
          </cell>
          <cell r="BC38">
            <v>2053</v>
          </cell>
          <cell r="BD38">
            <v>7272</v>
          </cell>
          <cell r="BE38">
            <v>2411</v>
          </cell>
          <cell r="BF38">
            <v>0</v>
          </cell>
          <cell r="BG38">
            <v>0</v>
          </cell>
          <cell r="BH38">
            <v>67180</v>
          </cell>
          <cell r="BI38">
            <v>0</v>
          </cell>
          <cell r="BJ38">
            <v>1595</v>
          </cell>
          <cell r="BK38">
            <v>0</v>
          </cell>
          <cell r="BL38">
            <v>1595</v>
          </cell>
          <cell r="BM38">
            <v>65585</v>
          </cell>
          <cell r="BN38">
            <v>5214</v>
          </cell>
          <cell r="BO38">
            <v>8519</v>
          </cell>
          <cell r="BP38">
            <v>0</v>
          </cell>
          <cell r="BQ38">
            <v>465</v>
          </cell>
          <cell r="BR38">
            <v>0</v>
          </cell>
          <cell r="BS38">
            <v>393</v>
          </cell>
          <cell r="BT38">
            <v>378</v>
          </cell>
          <cell r="BU38">
            <v>0</v>
          </cell>
          <cell r="BV38">
            <v>0</v>
          </cell>
          <cell r="BW38">
            <v>0</v>
          </cell>
          <cell r="BX38">
            <v>0</v>
          </cell>
          <cell r="BY38">
            <v>0</v>
          </cell>
          <cell r="BZ38">
            <v>0</v>
          </cell>
          <cell r="CA38">
            <v>0</v>
          </cell>
          <cell r="CB38">
            <v>0</v>
          </cell>
          <cell r="CC38">
            <v>0</v>
          </cell>
          <cell r="CD38">
            <v>0</v>
          </cell>
          <cell r="CE38">
            <v>0</v>
          </cell>
          <cell r="CF38">
            <v>2411</v>
          </cell>
          <cell r="CG38">
            <v>0</v>
          </cell>
          <cell r="CH38">
            <v>33116</v>
          </cell>
          <cell r="CI38">
            <v>6914</v>
          </cell>
          <cell r="CJ38">
            <v>1413</v>
          </cell>
          <cell r="CK38">
            <v>9943</v>
          </cell>
          <cell r="CL38">
            <v>528</v>
          </cell>
          <cell r="CM38">
            <v>2073</v>
          </cell>
          <cell r="CN38">
            <v>53987</v>
          </cell>
          <cell r="CO38">
            <v>5717</v>
          </cell>
          <cell r="CP38">
            <v>1513</v>
          </cell>
          <cell r="CQ38">
            <v>8421</v>
          </cell>
          <cell r="CR38">
            <v>2855</v>
          </cell>
          <cell r="CS38">
            <v>0</v>
          </cell>
          <cell r="CT38">
            <v>0</v>
          </cell>
          <cell r="CU38">
            <v>72493</v>
          </cell>
          <cell r="CV38">
            <v>0</v>
          </cell>
          <cell r="CW38">
            <v>3705</v>
          </cell>
          <cell r="CX38">
            <v>0</v>
          </cell>
          <cell r="CY38">
            <v>3705</v>
          </cell>
          <cell r="CZ38">
            <v>68788</v>
          </cell>
          <cell r="DA38">
            <v>5214</v>
          </cell>
          <cell r="DB38">
            <v>8519</v>
          </cell>
          <cell r="DC38">
            <v>0</v>
          </cell>
          <cell r="DD38">
            <v>395</v>
          </cell>
          <cell r="DE38">
            <v>0</v>
          </cell>
          <cell r="DF38">
            <v>393</v>
          </cell>
          <cell r="DG38">
            <v>210</v>
          </cell>
          <cell r="DH38">
            <v>0</v>
          </cell>
          <cell r="DI38">
            <v>0</v>
          </cell>
          <cell r="DJ38">
            <v>0</v>
          </cell>
          <cell r="DK38">
            <v>0</v>
          </cell>
          <cell r="DL38">
            <v>0</v>
          </cell>
          <cell r="DM38">
            <v>0</v>
          </cell>
          <cell r="DN38">
            <v>0</v>
          </cell>
          <cell r="DO38">
            <v>0</v>
          </cell>
          <cell r="DP38">
            <v>0</v>
          </cell>
          <cell r="DQ38">
            <v>0</v>
          </cell>
          <cell r="DR38">
            <v>0</v>
          </cell>
          <cell r="DS38">
            <v>2855</v>
          </cell>
          <cell r="DT38">
            <v>0</v>
          </cell>
          <cell r="DU38">
            <v>0</v>
          </cell>
          <cell r="DV38">
            <v>271</v>
          </cell>
          <cell r="DW38">
            <v>16.100000000000001</v>
          </cell>
          <cell r="DX38">
            <v>763</v>
          </cell>
          <cell r="DY38">
            <v>20083</v>
          </cell>
          <cell r="DZ38">
            <v>7057</v>
          </cell>
          <cell r="EA38">
            <v>43070</v>
          </cell>
          <cell r="EB38">
            <v>374</v>
          </cell>
          <cell r="EC38">
            <v>27</v>
          </cell>
          <cell r="ED38">
            <v>70611</v>
          </cell>
          <cell r="EE38" t="str">
            <v>..</v>
          </cell>
          <cell r="EF38" t="str">
            <v>..</v>
          </cell>
          <cell r="EG38">
            <v>3938</v>
          </cell>
          <cell r="EH38" t="str">
            <v>..</v>
          </cell>
          <cell r="EI38" t="str">
            <v>..</v>
          </cell>
          <cell r="EJ38" t="str">
            <v>..</v>
          </cell>
          <cell r="EK38">
            <v>66861</v>
          </cell>
          <cell r="EL38">
            <v>0</v>
          </cell>
          <cell r="EM38">
            <v>0</v>
          </cell>
          <cell r="EN38">
            <v>0</v>
          </cell>
          <cell r="EO38">
            <v>70799</v>
          </cell>
          <cell r="EP38">
            <v>0</v>
          </cell>
          <cell r="EQ38">
            <v>0</v>
          </cell>
          <cell r="ER38">
            <v>485</v>
          </cell>
          <cell r="ES38">
            <v>0.12315896394108684</v>
          </cell>
          <cell r="ET38" t="str">
            <v>..</v>
          </cell>
          <cell r="EU38" t="str">
            <v>..</v>
          </cell>
          <cell r="EV38" t="str">
            <v>..</v>
          </cell>
          <cell r="EW38">
            <v>8242</v>
          </cell>
          <cell r="EX38">
            <v>0</v>
          </cell>
          <cell r="EY38">
            <v>0</v>
          </cell>
          <cell r="EZ38">
            <v>0</v>
          </cell>
          <cell r="FA38">
            <v>8727</v>
          </cell>
          <cell r="FB38">
            <v>-3975</v>
          </cell>
          <cell r="FC38">
            <v>-142</v>
          </cell>
          <cell r="FD38">
            <v>0</v>
          </cell>
          <cell r="FE38">
            <v>-3338</v>
          </cell>
          <cell r="FF38">
            <v>-51</v>
          </cell>
          <cell r="FG38">
            <v>16007</v>
          </cell>
          <cell r="FH38">
            <v>3637</v>
          </cell>
          <cell r="FI38">
            <v>0</v>
          </cell>
          <cell r="FJ38">
            <v>12138</v>
          </cell>
          <cell r="FK38">
            <v>935</v>
          </cell>
          <cell r="FL38">
            <v>0</v>
          </cell>
          <cell r="FM38">
            <v>-3972</v>
          </cell>
          <cell r="FN38">
            <v>-61</v>
          </cell>
          <cell r="FO38">
            <v>0</v>
          </cell>
          <cell r="FP38">
            <v>-3307</v>
          </cell>
          <cell r="FQ38">
            <v>-109</v>
          </cell>
          <cell r="FR38">
            <v>16582</v>
          </cell>
          <cell r="FS38">
            <v>1719</v>
          </cell>
          <cell r="FT38">
            <v>205</v>
          </cell>
          <cell r="FU38">
            <v>11057</v>
          </cell>
          <cell r="FV38">
            <v>878</v>
          </cell>
          <cell r="FW38">
            <v>0</v>
          </cell>
          <cell r="FX38">
            <v>1083</v>
          </cell>
          <cell r="FY38">
            <v>1063</v>
          </cell>
          <cell r="FZ38">
            <v>41</v>
          </cell>
          <cell r="GA38">
            <v>2</v>
          </cell>
          <cell r="GB38">
            <v>110</v>
          </cell>
          <cell r="GC38">
            <v>30</v>
          </cell>
          <cell r="GD38">
            <v>1056</v>
          </cell>
          <cell r="GE38">
            <v>27</v>
          </cell>
          <cell r="GF38">
            <v>81</v>
          </cell>
          <cell r="GG38">
            <v>421</v>
          </cell>
          <cell r="GH38">
            <v>358</v>
          </cell>
          <cell r="GI38">
            <v>42</v>
          </cell>
          <cell r="GJ38">
            <v>27833</v>
          </cell>
          <cell r="GK38">
            <v>2500</v>
          </cell>
          <cell r="GL38">
            <v>1263</v>
          </cell>
          <cell r="GM38">
            <v>27879</v>
          </cell>
          <cell r="GN38">
            <v>2500</v>
          </cell>
          <cell r="GO38">
            <v>1318</v>
          </cell>
          <cell r="GP38" t="str">
            <v>..</v>
          </cell>
          <cell r="GQ38" t="str">
            <v>..</v>
          </cell>
          <cell r="GR38">
            <v>2528</v>
          </cell>
          <cell r="GS38" t="str">
            <v>..</v>
          </cell>
          <cell r="GT38">
            <v>40</v>
          </cell>
          <cell r="GU38">
            <v>449</v>
          </cell>
          <cell r="GV38">
            <v>24</v>
          </cell>
          <cell r="GW38" t="str">
            <v>..</v>
          </cell>
          <cell r="GX38" t="str">
            <v>..</v>
          </cell>
          <cell r="GY38" t="str">
            <v>..</v>
          </cell>
          <cell r="GZ38">
            <v>46</v>
          </cell>
          <cell r="HA38" t="str">
            <v>..</v>
          </cell>
          <cell r="HB38">
            <v>185</v>
          </cell>
          <cell r="HC38" t="str">
            <v>..</v>
          </cell>
          <cell r="HD38" t="str">
            <v>..</v>
          </cell>
          <cell r="HE38" t="str">
            <v>..</v>
          </cell>
          <cell r="HF38">
            <v>3272</v>
          </cell>
          <cell r="HG38">
            <v>0</v>
          </cell>
          <cell r="HH38">
            <v>0</v>
          </cell>
          <cell r="HI38">
            <v>2741</v>
          </cell>
          <cell r="HJ38">
            <v>20</v>
          </cell>
          <cell r="HK38">
            <v>445</v>
          </cell>
          <cell r="HL38">
            <v>1166</v>
          </cell>
          <cell r="HM38">
            <v>39</v>
          </cell>
          <cell r="HN38">
            <v>56</v>
          </cell>
          <cell r="HO38" t="str">
            <v>..</v>
          </cell>
          <cell r="HP38" t="str">
            <v>..</v>
          </cell>
          <cell r="HQ38" t="str">
            <v>..</v>
          </cell>
          <cell r="HR38" t="str">
            <v>..</v>
          </cell>
          <cell r="HS38">
            <v>233</v>
          </cell>
          <cell r="HT38" t="str">
            <v>..</v>
          </cell>
          <cell r="HU38" t="str">
            <v>..</v>
          </cell>
          <cell r="HV38" t="str">
            <v>..</v>
          </cell>
          <cell r="HW38">
            <v>4700</v>
          </cell>
          <cell r="HX38">
            <v>0</v>
          </cell>
          <cell r="HY38">
            <v>0</v>
          </cell>
          <cell r="HZ38">
            <v>253</v>
          </cell>
          <cell r="IA38">
            <v>17</v>
          </cell>
          <cell r="IB38">
            <v>0</v>
          </cell>
          <cell r="IC38">
            <v>4800</v>
          </cell>
          <cell r="ID38" t="str">
            <v>..</v>
          </cell>
          <cell r="IE38" t="str">
            <v>..</v>
          </cell>
          <cell r="IF38" t="str">
            <v>..</v>
          </cell>
          <cell r="IG38" t="str">
            <v>..</v>
          </cell>
          <cell r="IH38" t="str">
            <v>..</v>
          </cell>
          <cell r="II38" t="str">
            <v>..</v>
          </cell>
          <cell r="IJ38">
            <v>271</v>
          </cell>
          <cell r="IK38" t="str">
            <v>..</v>
          </cell>
          <cell r="IL38" t="str">
            <v>..</v>
          </cell>
          <cell r="IM38" t="str">
            <v>..</v>
          </cell>
          <cell r="IN38">
            <v>5341</v>
          </cell>
          <cell r="IO38" t="str">
            <v>Ambulance, Police and RNLI</v>
          </cell>
          <cell r="IP38" t="str">
            <v>Water Carriers (WRC) Call sign W1 – 6
• Response Support Vehicles (RSV) - 4
• Land Rovers (L4P) – 7
• Land Rovers (L4T) – 10 (2 of which are reserves)</v>
          </cell>
          <cell r="IQ38" t="str">
            <v>N/A</v>
          </cell>
          <cell r="IR38" t="str">
            <v>N/A</v>
          </cell>
          <cell r="IS38" t="str">
            <v xml:space="preserve">Fees and charges/rental income/sales income </v>
          </cell>
          <cell r="IT38">
            <v>0</v>
          </cell>
          <cell r="IU38" t="str">
            <v>..</v>
          </cell>
          <cell r="IV38" t="str">
            <v>..</v>
          </cell>
          <cell r="IW38" t="str">
            <v>South Central Ambulance Service, Hampshire Police, Firefighters charity, South East Coast Ambulance, Maritme &amp; Coastguard, Blue Lamp Trust, Southern England Forestry Commission, Southern Health</v>
          </cell>
        </row>
        <row r="39">
          <cell r="B39" t="str">
            <v>E6118</v>
          </cell>
          <cell r="C39" t="str">
            <v>Hereford and Worcester</v>
          </cell>
          <cell r="D39" t="str">
            <v>1</v>
          </cell>
          <cell r="E39">
            <v>0</v>
          </cell>
          <cell r="F39">
            <v>19</v>
          </cell>
          <cell r="G39">
            <v>8</v>
          </cell>
          <cell r="H39">
            <v>0</v>
          </cell>
          <cell r="I39">
            <v>27</v>
          </cell>
          <cell r="J39">
            <v>1</v>
          </cell>
          <cell r="K39">
            <v>0</v>
          </cell>
          <cell r="L39">
            <v>17</v>
          </cell>
          <cell r="M39">
            <v>8</v>
          </cell>
          <cell r="N39">
            <v>0</v>
          </cell>
          <cell r="O39">
            <v>25</v>
          </cell>
          <cell r="P39">
            <v>2</v>
          </cell>
          <cell r="Q39">
            <v>41</v>
          </cell>
          <cell r="R39">
            <v>41</v>
          </cell>
          <cell r="S39">
            <v>2</v>
          </cell>
          <cell r="T39">
            <v>19</v>
          </cell>
          <cell r="U39">
            <v>36</v>
          </cell>
          <cell r="V39">
            <v>0</v>
          </cell>
          <cell r="W39">
            <v>7</v>
          </cell>
          <cell r="X39">
            <v>105</v>
          </cell>
          <cell r="Y39">
            <v>56</v>
          </cell>
          <cell r="Z39">
            <v>5</v>
          </cell>
          <cell r="AA39">
            <v>3</v>
          </cell>
          <cell r="AB39">
            <v>3</v>
          </cell>
          <cell r="AC39">
            <v>2</v>
          </cell>
          <cell r="AD39">
            <v>10</v>
          </cell>
          <cell r="AE39">
            <v>15</v>
          </cell>
          <cell r="AF39">
            <v>42</v>
          </cell>
          <cell r="AG39">
            <v>27</v>
          </cell>
          <cell r="AH39">
            <v>131</v>
          </cell>
          <cell r="AI39">
            <v>230</v>
          </cell>
          <cell r="AJ39">
            <v>230</v>
          </cell>
          <cell r="AK39">
            <v>0</v>
          </cell>
          <cell r="AL39">
            <v>0</v>
          </cell>
          <cell r="AM39">
            <v>15.38</v>
          </cell>
          <cell r="AN39">
            <v>32.83</v>
          </cell>
          <cell r="AO39">
            <v>174.17</v>
          </cell>
          <cell r="AP39">
            <v>222.38</v>
          </cell>
          <cell r="AQ39">
            <v>222.4</v>
          </cell>
          <cell r="AR39">
            <v>19.25</v>
          </cell>
          <cell r="AS39">
            <v>103.17</v>
          </cell>
          <cell r="AT39">
            <v>574.79999999999995</v>
          </cell>
          <cell r="AU39">
            <v>12526</v>
          </cell>
          <cell r="AV39">
            <v>3393</v>
          </cell>
          <cell r="AW39">
            <v>789</v>
          </cell>
          <cell r="AX39">
            <v>3745</v>
          </cell>
          <cell r="AY39">
            <v>503</v>
          </cell>
          <cell r="AZ39">
            <v>73</v>
          </cell>
          <cell r="BA39">
            <v>21029</v>
          </cell>
          <cell r="BB39">
            <v>2405</v>
          </cell>
          <cell r="BC39">
            <v>786</v>
          </cell>
          <cell r="BD39">
            <v>4548</v>
          </cell>
          <cell r="BE39">
            <v>0</v>
          </cell>
          <cell r="BF39">
            <v>0</v>
          </cell>
          <cell r="BG39">
            <v>1033</v>
          </cell>
          <cell r="BH39">
            <v>29801</v>
          </cell>
          <cell r="BI39">
            <v>1184</v>
          </cell>
          <cell r="BJ39">
            <v>4</v>
          </cell>
          <cell r="BK39">
            <v>411</v>
          </cell>
          <cell r="BL39">
            <v>1599</v>
          </cell>
          <cell r="BM39">
            <v>28202</v>
          </cell>
          <cell r="BN39">
            <v>4252</v>
          </cell>
          <cell r="BO39">
            <v>3874</v>
          </cell>
          <cell r="BP39">
            <v>1370</v>
          </cell>
          <cell r="BQ39">
            <v>1365</v>
          </cell>
          <cell r="BR39">
            <v>270</v>
          </cell>
          <cell r="BS39">
            <v>486</v>
          </cell>
          <cell r="BT39">
            <v>54</v>
          </cell>
          <cell r="BU39">
            <v>0</v>
          </cell>
          <cell r="BV39">
            <v>257</v>
          </cell>
          <cell r="BW39" t="str">
            <v>..</v>
          </cell>
          <cell r="BX39" t="str">
            <v>..</v>
          </cell>
          <cell r="BY39">
            <v>72</v>
          </cell>
          <cell r="BZ39" t="str">
            <v>..</v>
          </cell>
          <cell r="CA39" t="str">
            <v>..</v>
          </cell>
          <cell r="CB39" t="str">
            <v>..</v>
          </cell>
          <cell r="CC39">
            <v>1641</v>
          </cell>
          <cell r="CD39" t="str">
            <v>..</v>
          </cell>
          <cell r="CE39">
            <v>326</v>
          </cell>
          <cell r="CF39" t="str">
            <v>..</v>
          </cell>
          <cell r="CG39" t="str">
            <v>..</v>
          </cell>
          <cell r="CH39">
            <v>13485</v>
          </cell>
          <cell r="CI39">
            <v>3845</v>
          </cell>
          <cell r="CJ39">
            <v>753</v>
          </cell>
          <cell r="CK39">
            <v>3712</v>
          </cell>
          <cell r="CL39">
            <v>563</v>
          </cell>
          <cell r="CM39">
            <v>120</v>
          </cell>
          <cell r="CN39">
            <v>22478</v>
          </cell>
          <cell r="CO39">
            <v>2289</v>
          </cell>
          <cell r="CP39">
            <v>506</v>
          </cell>
          <cell r="CQ39">
            <v>4623</v>
          </cell>
          <cell r="CR39">
            <v>0</v>
          </cell>
          <cell r="CS39">
            <v>0</v>
          </cell>
          <cell r="CT39">
            <v>1055</v>
          </cell>
          <cell r="CU39">
            <v>30951</v>
          </cell>
          <cell r="CV39">
            <v>1025</v>
          </cell>
          <cell r="CW39">
            <v>0</v>
          </cell>
          <cell r="CX39">
            <v>0</v>
          </cell>
          <cell r="CY39">
            <v>1025</v>
          </cell>
          <cell r="CZ39">
            <v>29926</v>
          </cell>
          <cell r="DA39">
            <v>3204</v>
          </cell>
          <cell r="DB39">
            <v>0</v>
          </cell>
          <cell r="DC39">
            <v>0</v>
          </cell>
          <cell r="DD39">
            <v>910</v>
          </cell>
          <cell r="DE39">
            <v>314</v>
          </cell>
          <cell r="DF39">
            <v>810</v>
          </cell>
          <cell r="DG39">
            <v>50</v>
          </cell>
          <cell r="DH39">
            <v>0</v>
          </cell>
          <cell r="DI39">
            <v>285</v>
          </cell>
          <cell r="DJ39" t="str">
            <v>..</v>
          </cell>
          <cell r="DK39" t="str">
            <v>..</v>
          </cell>
          <cell r="DL39">
            <v>79</v>
          </cell>
          <cell r="DM39" t="str">
            <v>..</v>
          </cell>
          <cell r="DN39" t="str">
            <v>..</v>
          </cell>
          <cell r="DO39" t="str">
            <v>..</v>
          </cell>
          <cell r="DP39">
            <v>2289</v>
          </cell>
          <cell r="DQ39" t="str">
            <v>..</v>
          </cell>
          <cell r="DR39">
            <v>347</v>
          </cell>
          <cell r="DS39" t="str">
            <v>..</v>
          </cell>
          <cell r="DT39" t="str">
            <v>..</v>
          </cell>
          <cell r="DU39">
            <v>0</v>
          </cell>
          <cell r="DV39">
            <v>0</v>
          </cell>
          <cell r="DW39">
            <v>14.8</v>
          </cell>
          <cell r="DX39">
            <v>300</v>
          </cell>
          <cell r="DY39">
            <v>6807</v>
          </cell>
          <cell r="DZ39">
            <v>2661</v>
          </cell>
          <cell r="EA39">
            <v>23494</v>
          </cell>
          <cell r="EB39">
            <v>141</v>
          </cell>
          <cell r="EC39">
            <v>0</v>
          </cell>
          <cell r="ED39">
            <v>33103</v>
          </cell>
          <cell r="EE39">
            <v>1705</v>
          </cell>
          <cell r="EF39">
            <v>1822</v>
          </cell>
          <cell r="EG39">
            <v>3527</v>
          </cell>
          <cell r="EH39">
            <v>26399</v>
          </cell>
          <cell r="EI39">
            <v>1523</v>
          </cell>
          <cell r="EJ39">
            <v>125</v>
          </cell>
          <cell r="EK39">
            <v>28047</v>
          </cell>
          <cell r="EL39">
            <v>60</v>
          </cell>
          <cell r="EM39">
            <v>820</v>
          </cell>
          <cell r="EN39">
            <v>0</v>
          </cell>
          <cell r="EO39">
            <v>32454</v>
          </cell>
          <cell r="EP39">
            <v>630</v>
          </cell>
          <cell r="EQ39">
            <v>674</v>
          </cell>
          <cell r="ER39">
            <v>1304</v>
          </cell>
          <cell r="ES39">
            <v>0.36971930819393251</v>
          </cell>
          <cell r="ET39">
            <v>12731</v>
          </cell>
          <cell r="EU39">
            <v>735</v>
          </cell>
          <cell r="EV39">
            <v>125</v>
          </cell>
          <cell r="EW39">
            <v>13591</v>
          </cell>
          <cell r="EX39">
            <v>60</v>
          </cell>
          <cell r="EY39">
            <v>395</v>
          </cell>
          <cell r="EZ39">
            <v>0</v>
          </cell>
          <cell r="FA39">
            <v>15350</v>
          </cell>
          <cell r="FB39">
            <v>-1834</v>
          </cell>
          <cell r="FC39">
            <v>-5</v>
          </cell>
          <cell r="FD39">
            <v>-4</v>
          </cell>
          <cell r="FE39">
            <v>-1507</v>
          </cell>
          <cell r="FF39">
            <v>-104</v>
          </cell>
          <cell r="FG39">
            <v>7597</v>
          </cell>
          <cell r="FH39">
            <v>2427</v>
          </cell>
          <cell r="FI39">
            <v>5</v>
          </cell>
          <cell r="FJ39">
            <v>6575</v>
          </cell>
          <cell r="FK39">
            <v>725</v>
          </cell>
          <cell r="FL39">
            <v>0</v>
          </cell>
          <cell r="FM39">
            <v>-1858</v>
          </cell>
          <cell r="FN39">
            <v>-5</v>
          </cell>
          <cell r="FO39">
            <v>-4</v>
          </cell>
          <cell r="FP39">
            <v>-1503</v>
          </cell>
          <cell r="FQ39">
            <v>0</v>
          </cell>
          <cell r="FR39">
            <v>7833</v>
          </cell>
          <cell r="FS39">
            <v>1808</v>
          </cell>
          <cell r="FT39">
            <v>0</v>
          </cell>
          <cell r="FU39">
            <v>6271</v>
          </cell>
          <cell r="FV39">
            <v>715</v>
          </cell>
          <cell r="FW39">
            <v>0</v>
          </cell>
          <cell r="FX39">
            <v>450</v>
          </cell>
          <cell r="FY39">
            <v>456</v>
          </cell>
          <cell r="FZ39">
            <v>24</v>
          </cell>
          <cell r="GA39">
            <v>0</v>
          </cell>
          <cell r="GB39">
            <v>38</v>
          </cell>
          <cell r="GC39">
            <v>19</v>
          </cell>
          <cell r="GD39">
            <v>513</v>
          </cell>
          <cell r="GE39">
            <v>22</v>
          </cell>
          <cell r="GF39">
            <v>38</v>
          </cell>
          <cell r="GG39">
            <v>127</v>
          </cell>
          <cell r="GH39">
            <v>116</v>
          </cell>
          <cell r="GI39">
            <v>10</v>
          </cell>
          <cell r="GJ39">
            <v>12348</v>
          </cell>
          <cell r="GK39">
            <v>1838</v>
          </cell>
          <cell r="GL39">
            <v>308</v>
          </cell>
          <cell r="GM39">
            <v>12768</v>
          </cell>
          <cell r="GN39">
            <v>1838</v>
          </cell>
          <cell r="GO39">
            <v>393</v>
          </cell>
          <cell r="GP39">
            <v>0</v>
          </cell>
          <cell r="GQ39">
            <v>0</v>
          </cell>
          <cell r="GR39">
            <v>923</v>
          </cell>
          <cell r="GS39">
            <v>391</v>
          </cell>
          <cell r="GT39">
            <v>7</v>
          </cell>
          <cell r="GU39">
            <v>550</v>
          </cell>
          <cell r="GV39">
            <v>21</v>
          </cell>
          <cell r="GW39">
            <v>0</v>
          </cell>
          <cell r="GX39">
            <v>110</v>
          </cell>
          <cell r="GY39">
            <v>37</v>
          </cell>
          <cell r="GZ39">
            <v>235</v>
          </cell>
          <cell r="HA39">
            <v>293</v>
          </cell>
          <cell r="HB39">
            <v>0</v>
          </cell>
          <cell r="HC39">
            <v>0</v>
          </cell>
          <cell r="HD39">
            <v>0</v>
          </cell>
          <cell r="HE39">
            <v>0</v>
          </cell>
          <cell r="HF39">
            <v>2567</v>
          </cell>
          <cell r="HG39">
            <v>0</v>
          </cell>
          <cell r="HH39">
            <v>0</v>
          </cell>
          <cell r="HI39">
            <v>2050</v>
          </cell>
          <cell r="HJ39">
            <v>485</v>
          </cell>
          <cell r="HK39">
            <v>0</v>
          </cell>
          <cell r="HL39">
            <v>3001</v>
          </cell>
          <cell r="HM39">
            <v>459</v>
          </cell>
          <cell r="HN39">
            <v>0</v>
          </cell>
          <cell r="HO39">
            <v>0</v>
          </cell>
          <cell r="HP39">
            <v>264</v>
          </cell>
          <cell r="HQ39">
            <v>5</v>
          </cell>
          <cell r="HR39">
            <v>325</v>
          </cell>
          <cell r="HS39">
            <v>591</v>
          </cell>
          <cell r="HT39">
            <v>1370</v>
          </cell>
          <cell r="HU39">
            <v>0</v>
          </cell>
          <cell r="HV39">
            <v>0</v>
          </cell>
          <cell r="HW39">
            <v>8550</v>
          </cell>
          <cell r="HX39">
            <v>0</v>
          </cell>
          <cell r="HY39">
            <v>0</v>
          </cell>
          <cell r="HZ39">
            <v>5026</v>
          </cell>
          <cell r="IA39">
            <v>1241</v>
          </cell>
          <cell r="IB39">
            <v>0</v>
          </cell>
          <cell r="IC39">
            <v>3853</v>
          </cell>
          <cell r="ID39">
            <v>147</v>
          </cell>
          <cell r="IE39">
            <v>0</v>
          </cell>
          <cell r="IF39">
            <v>347</v>
          </cell>
          <cell r="IG39">
            <v>24</v>
          </cell>
          <cell r="IH39">
            <v>264</v>
          </cell>
          <cell r="II39">
            <v>257</v>
          </cell>
          <cell r="IJ39">
            <v>18</v>
          </cell>
          <cell r="IK39">
            <v>0</v>
          </cell>
          <cell r="IL39">
            <v>0</v>
          </cell>
          <cell r="IM39">
            <v>0</v>
          </cell>
          <cell r="IN39">
            <v>11177</v>
          </cell>
          <cell r="IO39" t="str">
            <v>Bromsgrove Police &amp; Fire stn, and by 03/2020 Wyre Forest Emergency Services Hub</v>
          </cell>
          <cell r="IP39" t="str">
            <v>ISV, Argocat, Off Road x 3, EPU, Line Rescue, RAV x2, Water Rescue x4 YFA x2 Water Carrier x 3, CSU</v>
          </cell>
          <cell r="IQ39" t="str">
            <v>..</v>
          </cell>
          <cell r="IR39" t="str">
            <v>Injury scheme and ill health charges and back funding of LGPS deficit</v>
          </cell>
          <cell r="IS39" t="str">
            <v>Rental Income</v>
          </cell>
          <cell r="IT39" t="str">
            <v>Sale of Assets, incident recovery costs and sale of assets</v>
          </cell>
          <cell r="IU39" t="str">
            <v>..</v>
          </cell>
          <cell r="IV39" t="str">
            <v>..</v>
          </cell>
          <cell r="IW39" t="str">
            <v>Bromsgrove, Hereford &amp; Peter Church.  A Joint Emergancy hub in Herefordshire &amp; Wyre Forest are being built at present and our Head office &amp; control are moving into West Mercia Police in August 2018</v>
          </cell>
        </row>
        <row r="40">
          <cell r="B40" t="str">
            <v>E6120</v>
          </cell>
          <cell r="C40" t="str">
            <v>Humberside</v>
          </cell>
          <cell r="D40" t="str">
            <v>1</v>
          </cell>
          <cell r="E40">
            <v>9</v>
          </cell>
          <cell r="F40">
            <v>19</v>
          </cell>
          <cell r="G40">
            <v>3</v>
          </cell>
          <cell r="H40">
            <v>0</v>
          </cell>
          <cell r="I40">
            <v>31</v>
          </cell>
          <cell r="J40">
            <v>1</v>
          </cell>
          <cell r="K40">
            <v>9</v>
          </cell>
          <cell r="L40">
            <v>19</v>
          </cell>
          <cell r="M40">
            <v>3</v>
          </cell>
          <cell r="N40">
            <v>0</v>
          </cell>
          <cell r="O40">
            <v>31</v>
          </cell>
          <cell r="P40">
            <v>3</v>
          </cell>
          <cell r="Q40">
            <v>43</v>
          </cell>
          <cell r="R40">
            <v>44</v>
          </cell>
          <cell r="S40">
            <v>4</v>
          </cell>
          <cell r="T40">
            <v>4</v>
          </cell>
          <cell r="U40">
            <v>36</v>
          </cell>
          <cell r="V40">
            <v>0</v>
          </cell>
          <cell r="W40">
            <v>6</v>
          </cell>
          <cell r="X40">
            <v>94</v>
          </cell>
          <cell r="Y40">
            <v>109</v>
          </cell>
          <cell r="Z40">
            <v>6</v>
          </cell>
          <cell r="AA40">
            <v>4</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v>26131</v>
          </cell>
          <cell r="AV40">
            <v>4262</v>
          </cell>
          <cell r="AW40">
            <v>1085</v>
          </cell>
          <cell r="AX40">
            <v>3715</v>
          </cell>
          <cell r="AY40">
            <v>533</v>
          </cell>
          <cell r="AZ40">
            <v>1482</v>
          </cell>
          <cell r="BA40">
            <v>37208</v>
          </cell>
          <cell r="BB40">
            <v>1723</v>
          </cell>
          <cell r="BC40">
            <v>865</v>
          </cell>
          <cell r="BD40">
            <v>3299</v>
          </cell>
          <cell r="BE40">
            <v>187</v>
          </cell>
          <cell r="BF40">
            <v>0</v>
          </cell>
          <cell r="BG40">
            <v>0</v>
          </cell>
          <cell r="BH40">
            <v>43282</v>
          </cell>
          <cell r="BI40">
            <v>721</v>
          </cell>
          <cell r="BJ40">
            <v>0</v>
          </cell>
          <cell r="BK40">
            <v>1915</v>
          </cell>
          <cell r="BL40">
            <v>2636</v>
          </cell>
          <cell r="BM40">
            <v>40646</v>
          </cell>
          <cell r="BN40">
            <v>3401</v>
          </cell>
          <cell r="BO40">
            <v>7203</v>
          </cell>
          <cell r="BP40">
            <v>0</v>
          </cell>
          <cell r="BQ40">
            <v>1079</v>
          </cell>
          <cell r="BR40">
            <v>0</v>
          </cell>
          <cell r="BS40">
            <v>683</v>
          </cell>
          <cell r="BT40">
            <v>56</v>
          </cell>
          <cell r="BU40">
            <v>0</v>
          </cell>
          <cell r="BV40">
            <v>402</v>
          </cell>
          <cell r="BW40">
            <v>39</v>
          </cell>
          <cell r="BX40">
            <v>0</v>
          </cell>
          <cell r="BY40">
            <v>752</v>
          </cell>
          <cell r="BZ40">
            <v>0</v>
          </cell>
          <cell r="CA40">
            <v>194</v>
          </cell>
          <cell r="CB40">
            <v>1387</v>
          </cell>
          <cell r="CC40">
            <v>1571</v>
          </cell>
          <cell r="CD40">
            <v>829</v>
          </cell>
          <cell r="CE40">
            <v>1535</v>
          </cell>
          <cell r="CF40">
            <v>38</v>
          </cell>
          <cell r="CG40">
            <v>338</v>
          </cell>
          <cell r="CH40">
            <v>24571</v>
          </cell>
          <cell r="CI40">
            <v>4642</v>
          </cell>
          <cell r="CJ40">
            <v>1227</v>
          </cell>
          <cell r="CK40">
            <v>6239</v>
          </cell>
          <cell r="CL40">
            <v>422</v>
          </cell>
          <cell r="CM40">
            <v>1113</v>
          </cell>
          <cell r="CN40">
            <v>38214</v>
          </cell>
          <cell r="CO40">
            <v>2661</v>
          </cell>
          <cell r="CP40">
            <v>1664</v>
          </cell>
          <cell r="CQ40">
            <v>3370</v>
          </cell>
          <cell r="CR40">
            <v>204</v>
          </cell>
          <cell r="CS40">
            <v>0</v>
          </cell>
          <cell r="CT40">
            <v>0</v>
          </cell>
          <cell r="CU40">
            <v>46113</v>
          </cell>
          <cell r="CV40">
            <v>2543</v>
          </cell>
          <cell r="CW40">
            <v>0</v>
          </cell>
          <cell r="CX40">
            <v>1958</v>
          </cell>
          <cell r="CY40">
            <v>4501</v>
          </cell>
          <cell r="CZ40">
            <v>41612</v>
          </cell>
          <cell r="DA40">
            <v>1958</v>
          </cell>
          <cell r="DB40">
            <v>7500</v>
          </cell>
          <cell r="DC40">
            <v>0</v>
          </cell>
          <cell r="DD40">
            <v>1177</v>
          </cell>
          <cell r="DE40">
            <v>0</v>
          </cell>
          <cell r="DF40">
            <v>635</v>
          </cell>
          <cell r="DG40">
            <v>50</v>
          </cell>
          <cell r="DH40">
            <v>0</v>
          </cell>
          <cell r="DI40">
            <v>400</v>
          </cell>
          <cell r="DJ40">
            <v>50</v>
          </cell>
          <cell r="DK40">
            <v>0</v>
          </cell>
          <cell r="DL40">
            <v>750</v>
          </cell>
          <cell r="DM40">
            <v>0</v>
          </cell>
          <cell r="DN40">
            <v>200</v>
          </cell>
          <cell r="DO40">
            <v>1400</v>
          </cell>
          <cell r="DP40">
            <v>1600</v>
          </cell>
          <cell r="DQ40">
            <v>850</v>
          </cell>
          <cell r="DR40">
            <v>1500</v>
          </cell>
          <cell r="DS40">
            <v>50</v>
          </cell>
          <cell r="DT40">
            <v>350</v>
          </cell>
          <cell r="DU40">
            <v>0</v>
          </cell>
          <cell r="DV40">
            <v>337</v>
          </cell>
          <cell r="DW40">
            <v>16.8</v>
          </cell>
          <cell r="DX40">
            <v>94</v>
          </cell>
          <cell r="DY40">
            <v>16830</v>
          </cell>
          <cell r="DZ40">
            <v>3549</v>
          </cell>
          <cell r="EA40">
            <v>22993</v>
          </cell>
          <cell r="EB40">
            <v>277</v>
          </cell>
          <cell r="EC40">
            <v>-74</v>
          </cell>
          <cell r="ED40">
            <v>43575</v>
          </cell>
          <cell r="EE40" t="str">
            <v>..</v>
          </cell>
          <cell r="EF40" t="str">
            <v>..</v>
          </cell>
          <cell r="EG40">
            <v>4697</v>
          </cell>
          <cell r="EH40" t="str">
            <v>..</v>
          </cell>
          <cell r="EI40" t="str">
            <v>..</v>
          </cell>
          <cell r="EJ40" t="str">
            <v>..</v>
          </cell>
          <cell r="EK40">
            <v>39171</v>
          </cell>
          <cell r="EL40">
            <v>0</v>
          </cell>
          <cell r="EM40">
            <v>179</v>
          </cell>
          <cell r="EN40">
            <v>0</v>
          </cell>
          <cell r="EO40">
            <v>44047</v>
          </cell>
          <cell r="EP40" t="str">
            <v>..</v>
          </cell>
          <cell r="EQ40" t="str">
            <v>..</v>
          </cell>
          <cell r="ER40">
            <v>1606</v>
          </cell>
          <cell r="ES40">
            <v>0.34192037470725994</v>
          </cell>
          <cell r="ET40" t="str">
            <v>..</v>
          </cell>
          <cell r="EU40" t="str">
            <v>..</v>
          </cell>
          <cell r="EV40" t="str">
            <v>..</v>
          </cell>
          <cell r="EW40">
            <v>12450</v>
          </cell>
          <cell r="EX40">
            <v>0</v>
          </cell>
          <cell r="EY40">
            <v>0</v>
          </cell>
          <cell r="EZ40">
            <v>0</v>
          </cell>
          <cell r="FA40">
            <v>14056</v>
          </cell>
          <cell r="FB40">
            <v>-2982</v>
          </cell>
          <cell r="FC40">
            <v>-251</v>
          </cell>
          <cell r="FD40">
            <v>-10</v>
          </cell>
          <cell r="FE40">
            <v>-2573</v>
          </cell>
          <cell r="FF40">
            <v>-126</v>
          </cell>
          <cell r="FG40">
            <v>15273</v>
          </cell>
          <cell r="FH40">
            <v>3955</v>
          </cell>
          <cell r="FI40">
            <v>8</v>
          </cell>
          <cell r="FJ40">
            <v>13294</v>
          </cell>
          <cell r="FK40">
            <v>467</v>
          </cell>
          <cell r="FL40">
            <v>0</v>
          </cell>
          <cell r="FM40">
            <v>-5794</v>
          </cell>
          <cell r="FN40">
            <v>-120</v>
          </cell>
          <cell r="FO40">
            <v>0</v>
          </cell>
          <cell r="FP40">
            <v>-2511</v>
          </cell>
          <cell r="FQ40">
            <v>-100</v>
          </cell>
          <cell r="FR40">
            <v>16192</v>
          </cell>
          <cell r="FS40">
            <v>2791</v>
          </cell>
          <cell r="FT40">
            <v>0</v>
          </cell>
          <cell r="FU40">
            <v>10458</v>
          </cell>
          <cell r="FV40">
            <v>482</v>
          </cell>
          <cell r="FW40">
            <v>0</v>
          </cell>
          <cell r="FX40">
            <v>1025</v>
          </cell>
          <cell r="FY40">
            <v>1053</v>
          </cell>
          <cell r="FZ40">
            <v>28</v>
          </cell>
          <cell r="GA40">
            <v>3</v>
          </cell>
          <cell r="GB40">
            <v>89</v>
          </cell>
          <cell r="GC40">
            <v>8</v>
          </cell>
          <cell r="GD40">
            <v>623</v>
          </cell>
          <cell r="GE40">
            <v>42</v>
          </cell>
          <cell r="GF40">
            <v>49</v>
          </cell>
          <cell r="GG40">
            <v>115</v>
          </cell>
          <cell r="GH40">
            <v>74</v>
          </cell>
          <cell r="GI40">
            <v>13</v>
          </cell>
          <cell r="GJ40">
            <v>4600</v>
          </cell>
          <cell r="GK40">
            <v>5270</v>
          </cell>
          <cell r="GL40">
            <v>197</v>
          </cell>
          <cell r="GM40">
            <v>4938</v>
          </cell>
          <cell r="GN40">
            <v>5251</v>
          </cell>
          <cell r="GO40">
            <v>0</v>
          </cell>
          <cell r="GP40">
            <v>0</v>
          </cell>
          <cell r="GQ40">
            <v>0</v>
          </cell>
          <cell r="GR40">
            <v>0</v>
          </cell>
          <cell r="GS40">
            <v>804</v>
          </cell>
          <cell r="GT40">
            <v>0</v>
          </cell>
          <cell r="GU40">
            <v>1565</v>
          </cell>
          <cell r="GV40">
            <v>263</v>
          </cell>
          <cell r="GW40">
            <v>0</v>
          </cell>
          <cell r="GX40">
            <v>0</v>
          </cell>
          <cell r="GY40">
            <v>0</v>
          </cell>
          <cell r="GZ40">
            <v>15</v>
          </cell>
          <cell r="HA40">
            <v>425</v>
          </cell>
          <cell r="HB40">
            <v>250</v>
          </cell>
          <cell r="HC40">
            <v>0</v>
          </cell>
          <cell r="HD40">
            <v>0</v>
          </cell>
          <cell r="HE40">
            <v>0</v>
          </cell>
          <cell r="HF40">
            <v>3322</v>
          </cell>
          <cell r="HG40">
            <v>0</v>
          </cell>
          <cell r="HH40">
            <v>0</v>
          </cell>
          <cell r="HI40">
            <v>0</v>
          </cell>
          <cell r="HJ40">
            <v>595</v>
          </cell>
          <cell r="HK40">
            <v>0</v>
          </cell>
          <cell r="HL40">
            <v>1556</v>
          </cell>
          <cell r="HM40">
            <v>200</v>
          </cell>
          <cell r="HN40">
            <v>0</v>
          </cell>
          <cell r="HO40">
            <v>0</v>
          </cell>
          <cell r="HP40">
            <v>0</v>
          </cell>
          <cell r="HQ40">
            <v>37</v>
          </cell>
          <cell r="HR40">
            <v>297</v>
          </cell>
          <cell r="HS40">
            <v>286</v>
          </cell>
          <cell r="HT40">
            <v>0</v>
          </cell>
          <cell r="HU40">
            <v>0</v>
          </cell>
          <cell r="HV40">
            <v>0</v>
          </cell>
          <cell r="HW40">
            <v>2971</v>
          </cell>
          <cell r="HX40">
            <v>1000</v>
          </cell>
          <cell r="HY40">
            <v>0</v>
          </cell>
          <cell r="HZ40">
            <v>0</v>
          </cell>
          <cell r="IA40">
            <v>3664</v>
          </cell>
          <cell r="IB40">
            <v>0</v>
          </cell>
          <cell r="IC40">
            <v>450</v>
          </cell>
          <cell r="ID40">
            <v>499</v>
          </cell>
          <cell r="IE40">
            <v>0</v>
          </cell>
          <cell r="IF40">
            <v>0</v>
          </cell>
          <cell r="IG40">
            <v>0</v>
          </cell>
          <cell r="IH40">
            <v>0</v>
          </cell>
          <cell r="II40">
            <v>926</v>
          </cell>
          <cell r="IJ40">
            <v>69</v>
          </cell>
          <cell r="IK40">
            <v>0</v>
          </cell>
          <cell r="IL40">
            <v>0</v>
          </cell>
          <cell r="IM40">
            <v>0</v>
          </cell>
          <cell r="IN40">
            <v>6608</v>
          </cell>
          <cell r="IO40" t="str">
            <v>One of our stations is currently attached to a newly built Integrates Care Centre within Hull which we lease from health. Going forward we are looking at co-location with the Police and Ambulance services at two other fire stations</v>
          </cell>
          <cell r="IP40" t="str">
            <v>2x TRV's, 2x Rescue Support Units</v>
          </cell>
          <cell r="IQ40" t="str">
            <v>..</v>
          </cell>
          <cell r="IR40" t="str">
            <v>..</v>
          </cell>
          <cell r="IS40" t="str">
            <v>..</v>
          </cell>
          <cell r="IT40" t="str">
            <v>Staff secondments / Aerial Rentals / Extingusiher Maintenance / Collaboration re. Falls Team</v>
          </cell>
          <cell r="IU40" t="str">
            <v>..</v>
          </cell>
          <cell r="IV40" t="str">
            <v>..</v>
          </cell>
          <cell r="IW40" t="str">
            <v>..</v>
          </cell>
        </row>
        <row r="41">
          <cell r="B41" t="str">
            <v>E6122</v>
          </cell>
          <cell r="C41" t="str">
            <v>Kent</v>
          </cell>
          <cell r="D41" t="str">
            <v>1</v>
          </cell>
          <cell r="E41">
            <v>8</v>
          </cell>
          <cell r="F41">
            <v>34</v>
          </cell>
          <cell r="G41">
            <v>15</v>
          </cell>
          <cell r="H41">
            <v>0</v>
          </cell>
          <cell r="I41">
            <v>57</v>
          </cell>
          <cell r="J41">
            <v>0</v>
          </cell>
          <cell r="K41">
            <v>8</v>
          </cell>
          <cell r="L41">
            <v>34</v>
          </cell>
          <cell r="M41">
            <v>15</v>
          </cell>
          <cell r="N41">
            <v>0</v>
          </cell>
          <cell r="O41">
            <v>57</v>
          </cell>
          <cell r="P41">
            <v>0</v>
          </cell>
          <cell r="Q41">
            <v>75</v>
          </cell>
          <cell r="R41">
            <v>75</v>
          </cell>
          <cell r="S41">
            <v>3</v>
          </cell>
          <cell r="T41">
            <v>32</v>
          </cell>
          <cell r="U41">
            <v>82</v>
          </cell>
          <cell r="V41">
            <v>0</v>
          </cell>
          <cell r="W41">
            <v>12</v>
          </cell>
          <cell r="X41">
            <v>204</v>
          </cell>
          <cell r="Y41">
            <v>181</v>
          </cell>
          <cell r="Z41">
            <v>13</v>
          </cell>
          <cell r="AA41">
            <v>11</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v>32961</v>
          </cell>
          <cell r="AV41">
            <v>4715</v>
          </cell>
          <cell r="AW41">
            <v>1533</v>
          </cell>
          <cell r="AX41">
            <v>3174</v>
          </cell>
          <cell r="AY41">
            <v>4037</v>
          </cell>
          <cell r="AZ41">
            <v>1214</v>
          </cell>
          <cell r="BA41">
            <v>47634</v>
          </cell>
          <cell r="BB41">
            <v>4524</v>
          </cell>
          <cell r="BC41">
            <v>2626</v>
          </cell>
          <cell r="BD41">
            <v>6871</v>
          </cell>
          <cell r="BE41">
            <v>7100</v>
          </cell>
          <cell r="BF41">
            <v>197</v>
          </cell>
          <cell r="BG41">
            <v>59</v>
          </cell>
          <cell r="BH41">
            <v>69011</v>
          </cell>
          <cell r="BI41">
            <v>3037</v>
          </cell>
          <cell r="BJ41">
            <v>0</v>
          </cell>
          <cell r="BK41">
            <v>2399</v>
          </cell>
          <cell r="BL41">
            <v>5436</v>
          </cell>
          <cell r="BM41">
            <v>63575</v>
          </cell>
          <cell r="BN41">
            <v>4727</v>
          </cell>
          <cell r="BO41">
            <v>25460</v>
          </cell>
          <cell r="BP41">
            <v>0</v>
          </cell>
          <cell r="BQ41">
            <v>969</v>
          </cell>
          <cell r="BR41">
            <v>0</v>
          </cell>
          <cell r="BS41">
            <v>126</v>
          </cell>
          <cell r="BT41">
            <v>-278</v>
          </cell>
          <cell r="BU41">
            <v>0</v>
          </cell>
          <cell r="BV41">
            <v>0</v>
          </cell>
          <cell r="BW41">
            <v>0</v>
          </cell>
          <cell r="BX41">
            <v>0</v>
          </cell>
          <cell r="BY41">
            <v>0</v>
          </cell>
          <cell r="BZ41">
            <v>0</v>
          </cell>
          <cell r="CA41">
            <v>0</v>
          </cell>
          <cell r="CB41">
            <v>0</v>
          </cell>
          <cell r="CC41">
            <v>0</v>
          </cell>
          <cell r="CD41">
            <v>0</v>
          </cell>
          <cell r="CE41">
            <v>0</v>
          </cell>
          <cell r="CF41">
            <v>0</v>
          </cell>
          <cell r="CG41">
            <v>0</v>
          </cell>
          <cell r="CH41">
            <v>35388</v>
          </cell>
          <cell r="CI41">
            <v>6144</v>
          </cell>
          <cell r="CJ41">
            <v>1705</v>
          </cell>
          <cell r="CK41">
            <v>3483</v>
          </cell>
          <cell r="CL41">
            <v>5071</v>
          </cell>
          <cell r="CM41">
            <v>1284</v>
          </cell>
          <cell r="CN41">
            <v>53075</v>
          </cell>
          <cell r="CO41">
            <v>5419</v>
          </cell>
          <cell r="CP41">
            <v>3247</v>
          </cell>
          <cell r="CQ41">
            <v>9493</v>
          </cell>
          <cell r="CR41">
            <v>7799</v>
          </cell>
          <cell r="CS41">
            <v>220</v>
          </cell>
          <cell r="CT41">
            <v>399</v>
          </cell>
          <cell r="CU41">
            <v>79652</v>
          </cell>
          <cell r="CV41">
            <v>6385</v>
          </cell>
          <cell r="CW41">
            <v>0</v>
          </cell>
          <cell r="CX41">
            <v>2538</v>
          </cell>
          <cell r="CY41">
            <v>8923</v>
          </cell>
          <cell r="CZ41">
            <v>70729</v>
          </cell>
          <cell r="DA41">
            <v>6822</v>
          </cell>
          <cell r="DB41">
            <v>0</v>
          </cell>
          <cell r="DC41">
            <v>0</v>
          </cell>
          <cell r="DD41">
            <v>969</v>
          </cell>
          <cell r="DE41">
            <v>0</v>
          </cell>
          <cell r="DF41">
            <v>108</v>
          </cell>
          <cell r="DG41">
            <v>-236</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12.5</v>
          </cell>
          <cell r="DX41">
            <v>0</v>
          </cell>
          <cell r="DY41">
            <v>14697</v>
          </cell>
          <cell r="DZ41">
            <v>6463</v>
          </cell>
          <cell r="EA41">
            <v>49061</v>
          </cell>
          <cell r="EB41">
            <v>542</v>
          </cell>
          <cell r="EC41">
            <v>-12</v>
          </cell>
          <cell r="ED41">
            <v>70751</v>
          </cell>
          <cell r="EE41" t="str">
            <v>..</v>
          </cell>
          <cell r="EF41" t="str">
            <v>..</v>
          </cell>
          <cell r="EG41">
            <v>11187</v>
          </cell>
          <cell r="EH41" t="str">
            <v>..</v>
          </cell>
          <cell r="EI41" t="str">
            <v>..</v>
          </cell>
          <cell r="EJ41" t="str">
            <v>..</v>
          </cell>
          <cell r="EK41">
            <v>55235</v>
          </cell>
          <cell r="EL41">
            <v>463</v>
          </cell>
          <cell r="EM41">
            <v>1417</v>
          </cell>
          <cell r="EN41">
            <v>0</v>
          </cell>
          <cell r="EO41">
            <v>68302</v>
          </cell>
          <cell r="EP41">
            <v>0</v>
          </cell>
          <cell r="EQ41">
            <v>0</v>
          </cell>
          <cell r="ER41">
            <v>1506</v>
          </cell>
          <cell r="ES41">
            <v>0.13462054170018772</v>
          </cell>
          <cell r="ET41">
            <v>0</v>
          </cell>
          <cell r="EU41">
            <v>0</v>
          </cell>
          <cell r="EV41">
            <v>0</v>
          </cell>
          <cell r="EW41">
            <v>6113</v>
          </cell>
          <cell r="EX41">
            <v>288</v>
          </cell>
          <cell r="EY41">
            <v>1273</v>
          </cell>
          <cell r="EZ41">
            <v>0</v>
          </cell>
          <cell r="FA41">
            <v>9180</v>
          </cell>
          <cell r="FB41">
            <v>-4151</v>
          </cell>
          <cell r="FC41">
            <v>-270</v>
          </cell>
          <cell r="FD41">
            <v>-216</v>
          </cell>
          <cell r="FE41">
            <v>-3497</v>
          </cell>
          <cell r="FF41">
            <v>-58</v>
          </cell>
          <cell r="FG41">
            <v>18598</v>
          </cell>
          <cell r="FH41">
            <v>6985</v>
          </cell>
          <cell r="FI41">
            <v>0</v>
          </cell>
          <cell r="FJ41">
            <v>17391</v>
          </cell>
          <cell r="FK41">
            <v>1543</v>
          </cell>
          <cell r="FL41">
            <v>0</v>
          </cell>
          <cell r="FM41">
            <v>-7718</v>
          </cell>
          <cell r="FN41">
            <v>-212</v>
          </cell>
          <cell r="FO41">
            <v>0</v>
          </cell>
          <cell r="FP41">
            <v>-3373</v>
          </cell>
          <cell r="FQ41">
            <v>0</v>
          </cell>
          <cell r="FR41">
            <v>19539</v>
          </cell>
          <cell r="FS41">
            <v>5559</v>
          </cell>
          <cell r="FT41">
            <v>0</v>
          </cell>
          <cell r="FU41">
            <v>13795</v>
          </cell>
          <cell r="FV41">
            <v>1448</v>
          </cell>
          <cell r="FW41">
            <v>0</v>
          </cell>
          <cell r="FX41">
            <v>1286</v>
          </cell>
          <cell r="FY41">
            <v>1326</v>
          </cell>
          <cell r="FZ41">
            <v>62</v>
          </cell>
          <cell r="GA41">
            <v>7</v>
          </cell>
          <cell r="GB41">
            <v>129</v>
          </cell>
          <cell r="GC41">
            <v>17</v>
          </cell>
          <cell r="GD41">
            <v>849</v>
          </cell>
          <cell r="GE41">
            <v>13</v>
          </cell>
          <cell r="GF41">
            <v>108</v>
          </cell>
          <cell r="GG41">
            <v>460</v>
          </cell>
          <cell r="GH41">
            <v>148</v>
          </cell>
          <cell r="GI41">
            <v>0</v>
          </cell>
          <cell r="GJ41">
            <v>28615</v>
          </cell>
          <cell r="GK41">
            <v>4060</v>
          </cell>
          <cell r="GL41">
            <v>1102</v>
          </cell>
          <cell r="GM41">
            <v>29360</v>
          </cell>
          <cell r="GN41">
            <v>4060</v>
          </cell>
          <cell r="GO41">
            <v>1136</v>
          </cell>
          <cell r="GP41">
            <v>0</v>
          </cell>
          <cell r="GQ41">
            <v>0</v>
          </cell>
          <cell r="GR41">
            <v>5355</v>
          </cell>
          <cell r="GS41">
            <v>82</v>
          </cell>
          <cell r="GT41">
            <v>27</v>
          </cell>
          <cell r="GU41">
            <v>47</v>
          </cell>
          <cell r="GV41">
            <v>0</v>
          </cell>
          <cell r="GW41">
            <v>0</v>
          </cell>
          <cell r="GX41">
            <v>0</v>
          </cell>
          <cell r="GY41">
            <v>35</v>
          </cell>
          <cell r="GZ41">
            <v>0</v>
          </cell>
          <cell r="HA41">
            <v>0</v>
          </cell>
          <cell r="HB41">
            <v>0</v>
          </cell>
          <cell r="HC41">
            <v>0</v>
          </cell>
          <cell r="HD41">
            <v>0</v>
          </cell>
          <cell r="HE41">
            <v>0</v>
          </cell>
          <cell r="HF41">
            <v>5546</v>
          </cell>
          <cell r="HG41">
            <v>0</v>
          </cell>
          <cell r="HH41">
            <v>0</v>
          </cell>
          <cell r="HI41">
            <v>3339</v>
          </cell>
          <cell r="HJ41">
            <v>204</v>
          </cell>
          <cell r="HK41">
            <v>294</v>
          </cell>
          <cell r="HL41">
            <v>451</v>
          </cell>
          <cell r="HM41">
            <v>314</v>
          </cell>
          <cell r="HN41">
            <v>0</v>
          </cell>
          <cell r="HO41">
            <v>0</v>
          </cell>
          <cell r="HP41">
            <v>83</v>
          </cell>
          <cell r="HQ41">
            <v>0</v>
          </cell>
          <cell r="HR41">
            <v>0</v>
          </cell>
          <cell r="HS41">
            <v>0</v>
          </cell>
          <cell r="HT41">
            <v>0</v>
          </cell>
          <cell r="HU41">
            <v>0</v>
          </cell>
          <cell r="HV41">
            <v>0</v>
          </cell>
          <cell r="HW41">
            <v>4685</v>
          </cell>
          <cell r="HX41">
            <v>0</v>
          </cell>
          <cell r="HY41">
            <v>0</v>
          </cell>
          <cell r="HZ41">
            <v>575</v>
          </cell>
          <cell r="IA41">
            <v>247</v>
          </cell>
          <cell r="IB41">
            <v>554</v>
          </cell>
          <cell r="IC41">
            <v>3678</v>
          </cell>
          <cell r="ID41">
            <v>1195</v>
          </cell>
          <cell r="IE41">
            <v>0</v>
          </cell>
          <cell r="IF41">
            <v>0</v>
          </cell>
          <cell r="IG41">
            <v>1200</v>
          </cell>
          <cell r="IH41">
            <v>0</v>
          </cell>
          <cell r="II41">
            <v>0</v>
          </cell>
          <cell r="IJ41">
            <v>0</v>
          </cell>
          <cell r="IK41">
            <v>0</v>
          </cell>
          <cell r="IL41">
            <v>0</v>
          </cell>
          <cell r="IM41">
            <v>0</v>
          </cell>
          <cell r="IN41">
            <v>7449</v>
          </cell>
          <cell r="IO41" t="str">
            <v>N/A</v>
          </cell>
          <cell r="IP41" t="str">
            <v>Includes: Land Rovers, forward control units, 4X4's, Argocats, Prime Mover, Bulker Water Carriers, Boats</v>
          </cell>
          <cell r="IQ41" t="str">
            <v xml:space="preserve">Joined/ shared Control cost with kent police </v>
          </cell>
          <cell r="IR41" t="str">
            <v xml:space="preserve">Collaboration costs </v>
          </cell>
          <cell r="IS41">
            <v>0</v>
          </cell>
          <cell r="IT41" t="str">
            <v xml:space="preserve">Includes Eurotunnel Income and channel tunnel grant </v>
          </cell>
          <cell r="IU41">
            <v>0</v>
          </cell>
          <cell r="IV41" t="str">
            <v>..</v>
          </cell>
          <cell r="IW41">
            <v>0</v>
          </cell>
        </row>
        <row r="42">
          <cell r="B42" t="str">
            <v>E6123</v>
          </cell>
          <cell r="C42" t="str">
            <v>Lancashire</v>
          </cell>
          <cell r="D42" t="str">
            <v>1</v>
          </cell>
          <cell r="E42">
            <v>9</v>
          </cell>
          <cell r="F42">
            <v>18</v>
          </cell>
          <cell r="G42">
            <v>12</v>
          </cell>
          <cell r="H42">
            <v>0</v>
          </cell>
          <cell r="I42">
            <v>39</v>
          </cell>
          <cell r="J42">
            <v>6</v>
          </cell>
          <cell r="K42">
            <v>9</v>
          </cell>
          <cell r="L42">
            <v>18</v>
          </cell>
          <cell r="M42">
            <v>12</v>
          </cell>
          <cell r="N42">
            <v>0</v>
          </cell>
          <cell r="O42">
            <v>39</v>
          </cell>
          <cell r="P42">
            <v>6</v>
          </cell>
          <cell r="Q42">
            <v>59</v>
          </cell>
          <cell r="R42">
            <v>59</v>
          </cell>
          <cell r="S42">
            <v>4</v>
          </cell>
          <cell r="T42">
            <v>17</v>
          </cell>
          <cell r="U42">
            <v>25</v>
          </cell>
          <cell r="V42">
            <v>28</v>
          </cell>
          <cell r="W42">
            <v>14</v>
          </cell>
          <cell r="X42">
            <v>147</v>
          </cell>
          <cell r="Y42">
            <v>84</v>
          </cell>
          <cell r="Z42">
            <v>7</v>
          </cell>
          <cell r="AA42">
            <v>7</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v>29560</v>
          </cell>
          <cell r="AV42">
            <v>4411</v>
          </cell>
          <cell r="AW42">
            <v>24</v>
          </cell>
          <cell r="AX42">
            <v>6407</v>
          </cell>
          <cell r="AY42">
            <v>865</v>
          </cell>
          <cell r="AZ42">
            <v>514</v>
          </cell>
          <cell r="BA42">
            <v>41781</v>
          </cell>
          <cell r="BB42">
            <v>3873</v>
          </cell>
          <cell r="BC42">
            <v>2027</v>
          </cell>
          <cell r="BD42">
            <v>6509</v>
          </cell>
          <cell r="BE42">
            <v>321</v>
          </cell>
          <cell r="BF42">
            <v>1179</v>
          </cell>
          <cell r="BG42">
            <v>0</v>
          </cell>
          <cell r="BH42">
            <v>55690</v>
          </cell>
          <cell r="BI42">
            <v>2811</v>
          </cell>
          <cell r="BJ42">
            <v>0</v>
          </cell>
          <cell r="BK42">
            <v>2857</v>
          </cell>
          <cell r="BL42">
            <v>5668</v>
          </cell>
          <cell r="BM42">
            <v>50022</v>
          </cell>
          <cell r="BN42">
            <v>4290</v>
          </cell>
          <cell r="BO42">
            <v>-11337</v>
          </cell>
          <cell r="BP42">
            <v>0</v>
          </cell>
          <cell r="BQ42">
            <v>10</v>
          </cell>
          <cell r="BR42">
            <v>13</v>
          </cell>
          <cell r="BS42">
            <v>89</v>
          </cell>
          <cell r="BT42">
            <v>-358</v>
          </cell>
          <cell r="BU42">
            <v>1704</v>
          </cell>
          <cell r="BV42">
            <v>0</v>
          </cell>
          <cell r="BW42">
            <v>0</v>
          </cell>
          <cell r="BX42">
            <v>0</v>
          </cell>
          <cell r="BY42">
            <v>66</v>
          </cell>
          <cell r="BZ42">
            <v>0</v>
          </cell>
          <cell r="CA42">
            <v>0</v>
          </cell>
          <cell r="CB42">
            <v>66</v>
          </cell>
          <cell r="CC42">
            <v>0</v>
          </cell>
          <cell r="CD42">
            <v>0</v>
          </cell>
          <cell r="CE42">
            <v>0</v>
          </cell>
          <cell r="CF42">
            <v>0</v>
          </cell>
          <cell r="CG42">
            <v>45</v>
          </cell>
          <cell r="CH42">
            <v>32616</v>
          </cell>
          <cell r="CI42">
            <v>4702</v>
          </cell>
          <cell r="CJ42">
            <v>43</v>
          </cell>
          <cell r="CK42">
            <v>6862</v>
          </cell>
          <cell r="CL42">
            <v>496</v>
          </cell>
          <cell r="CM42">
            <v>604</v>
          </cell>
          <cell r="CN42">
            <v>45323</v>
          </cell>
          <cell r="CO42">
            <v>5611</v>
          </cell>
          <cell r="CP42">
            <v>1913</v>
          </cell>
          <cell r="CQ42">
            <v>5936</v>
          </cell>
          <cell r="CR42">
            <v>372</v>
          </cell>
          <cell r="CS42">
            <v>1201</v>
          </cell>
          <cell r="CT42">
            <v>0</v>
          </cell>
          <cell r="CU42">
            <v>60356</v>
          </cell>
          <cell r="CV42">
            <v>2749</v>
          </cell>
          <cell r="CW42">
            <v>0</v>
          </cell>
          <cell r="CX42">
            <v>3736</v>
          </cell>
          <cell r="CY42">
            <v>6485</v>
          </cell>
          <cell r="CZ42">
            <v>53871</v>
          </cell>
          <cell r="DA42">
            <v>5006</v>
          </cell>
          <cell r="DB42">
            <v>-11832</v>
          </cell>
          <cell r="DC42">
            <v>0</v>
          </cell>
          <cell r="DD42">
            <v>10</v>
          </cell>
          <cell r="DE42">
            <v>13</v>
          </cell>
          <cell r="DF42">
            <v>90</v>
          </cell>
          <cell r="DG42">
            <v>-352</v>
          </cell>
          <cell r="DH42">
            <v>1704</v>
          </cell>
          <cell r="DI42">
            <v>0</v>
          </cell>
          <cell r="DJ42">
            <v>0</v>
          </cell>
          <cell r="DK42">
            <v>0</v>
          </cell>
          <cell r="DL42">
            <v>45</v>
          </cell>
          <cell r="DM42">
            <v>0</v>
          </cell>
          <cell r="DN42">
            <v>0</v>
          </cell>
          <cell r="DO42">
            <v>45</v>
          </cell>
          <cell r="DP42">
            <v>0</v>
          </cell>
          <cell r="DQ42">
            <v>0</v>
          </cell>
          <cell r="DR42">
            <v>0</v>
          </cell>
          <cell r="DS42">
            <v>0</v>
          </cell>
          <cell r="DT42">
            <v>45</v>
          </cell>
          <cell r="DU42">
            <v>0</v>
          </cell>
          <cell r="DV42">
            <v>0</v>
          </cell>
          <cell r="DW42">
            <v>14.7</v>
          </cell>
          <cell r="DX42">
            <v>0</v>
          </cell>
          <cell r="DY42" t="str">
            <v>..</v>
          </cell>
          <cell r="DZ42">
            <v>25290</v>
          </cell>
          <cell r="EA42">
            <v>30442</v>
          </cell>
          <cell r="EB42">
            <v>311</v>
          </cell>
          <cell r="EC42">
            <v>8</v>
          </cell>
          <cell r="ED42">
            <v>56051</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e">
            <v>#VALUE!</v>
          </cell>
          <cell r="ET42" t="str">
            <v>..</v>
          </cell>
          <cell r="EU42" t="str">
            <v>..</v>
          </cell>
          <cell r="EV42" t="str">
            <v>..</v>
          </cell>
          <cell r="EW42" t="str">
            <v>..</v>
          </cell>
          <cell r="EX42" t="str">
            <v>..</v>
          </cell>
          <cell r="EY42" t="str">
            <v>..</v>
          </cell>
          <cell r="EZ42" t="str">
            <v>..</v>
          </cell>
          <cell r="FA42" t="str">
            <v>..</v>
          </cell>
          <cell r="FB42">
            <v>-3699</v>
          </cell>
          <cell r="FC42">
            <v>-266</v>
          </cell>
          <cell r="FD42">
            <v>0</v>
          </cell>
          <cell r="FE42">
            <v>-3074</v>
          </cell>
          <cell r="FF42">
            <v>-168</v>
          </cell>
          <cell r="FG42">
            <v>19297</v>
          </cell>
          <cell r="FH42">
            <v>4418</v>
          </cell>
          <cell r="FI42">
            <v>3</v>
          </cell>
          <cell r="FJ42">
            <v>16511</v>
          </cell>
          <cell r="FK42">
            <v>968</v>
          </cell>
          <cell r="FL42">
            <v>0</v>
          </cell>
          <cell r="FM42">
            <v>-3600</v>
          </cell>
          <cell r="FN42">
            <v>-326</v>
          </cell>
          <cell r="FO42">
            <v>0</v>
          </cell>
          <cell r="FP42">
            <v>-3022</v>
          </cell>
          <cell r="FQ42">
            <v>0</v>
          </cell>
          <cell r="FR42">
            <v>20015</v>
          </cell>
          <cell r="FS42">
            <v>2910</v>
          </cell>
          <cell r="FT42">
            <v>0</v>
          </cell>
          <cell r="FU42">
            <v>15977</v>
          </cell>
          <cell r="FV42">
            <v>988</v>
          </cell>
          <cell r="FW42">
            <v>0</v>
          </cell>
          <cell r="FX42">
            <v>1169</v>
          </cell>
          <cell r="FY42">
            <v>1158</v>
          </cell>
          <cell r="FZ42">
            <v>44</v>
          </cell>
          <cell r="GA42">
            <v>3</v>
          </cell>
          <cell r="GB42">
            <v>143</v>
          </cell>
          <cell r="GC42">
            <v>8</v>
          </cell>
          <cell r="GD42">
            <v>779</v>
          </cell>
          <cell r="GE42">
            <v>19</v>
          </cell>
          <cell r="GF42">
            <v>95</v>
          </cell>
          <cell r="GG42">
            <v>306</v>
          </cell>
          <cell r="GH42">
            <v>176</v>
          </cell>
          <cell r="GI42">
            <v>34</v>
          </cell>
          <cell r="GJ42">
            <v>7884</v>
          </cell>
          <cell r="GK42">
            <v>7899</v>
          </cell>
          <cell r="GL42">
            <v>1084</v>
          </cell>
          <cell r="GM42">
            <v>8020</v>
          </cell>
          <cell r="GN42">
            <v>8350</v>
          </cell>
          <cell r="GO42">
            <v>1282</v>
          </cell>
          <cell r="GP42">
            <v>0</v>
          </cell>
          <cell r="GQ42">
            <v>0</v>
          </cell>
          <cell r="GR42">
            <v>1498</v>
          </cell>
          <cell r="GS42">
            <v>0</v>
          </cell>
          <cell r="GT42">
            <v>151</v>
          </cell>
          <cell r="GU42">
            <v>1750</v>
          </cell>
          <cell r="GV42">
            <v>688</v>
          </cell>
          <cell r="GW42">
            <v>0</v>
          </cell>
          <cell r="GX42">
            <v>0</v>
          </cell>
          <cell r="GY42">
            <v>0</v>
          </cell>
          <cell r="GZ42">
            <v>0</v>
          </cell>
          <cell r="HA42">
            <v>0</v>
          </cell>
          <cell r="HB42">
            <v>0</v>
          </cell>
          <cell r="HC42">
            <v>0</v>
          </cell>
          <cell r="HD42">
            <v>0</v>
          </cell>
          <cell r="HE42">
            <v>0</v>
          </cell>
          <cell r="HF42">
            <v>4087</v>
          </cell>
          <cell r="HG42">
            <v>0</v>
          </cell>
          <cell r="HH42">
            <v>0</v>
          </cell>
          <cell r="HI42">
            <v>635</v>
          </cell>
          <cell r="HJ42">
            <v>136</v>
          </cell>
          <cell r="HK42">
            <v>0</v>
          </cell>
          <cell r="HL42">
            <v>996</v>
          </cell>
          <cell r="HM42">
            <v>211</v>
          </cell>
          <cell r="HN42">
            <v>0</v>
          </cell>
          <cell r="HO42">
            <v>0</v>
          </cell>
          <cell r="HP42">
            <v>0</v>
          </cell>
          <cell r="HQ42">
            <v>0</v>
          </cell>
          <cell r="HR42">
            <v>0</v>
          </cell>
          <cell r="HS42">
            <v>0</v>
          </cell>
          <cell r="HT42">
            <v>0</v>
          </cell>
          <cell r="HU42">
            <v>0</v>
          </cell>
          <cell r="HV42">
            <v>0</v>
          </cell>
          <cell r="HW42">
            <v>1978</v>
          </cell>
          <cell r="HX42">
            <v>0</v>
          </cell>
          <cell r="HY42">
            <v>0</v>
          </cell>
          <cell r="HZ42">
            <v>1370</v>
          </cell>
          <cell r="IA42">
            <v>1145</v>
          </cell>
          <cell r="IB42">
            <v>0</v>
          </cell>
          <cell r="IC42">
            <v>2145</v>
          </cell>
          <cell r="ID42">
            <v>497</v>
          </cell>
          <cell r="IE42">
            <v>100</v>
          </cell>
          <cell r="IF42">
            <v>0</v>
          </cell>
          <cell r="IG42">
            <v>1398</v>
          </cell>
          <cell r="IH42">
            <v>720</v>
          </cell>
          <cell r="II42">
            <v>0</v>
          </cell>
          <cell r="IJ42">
            <v>82</v>
          </cell>
          <cell r="IK42">
            <v>0</v>
          </cell>
          <cell r="IL42">
            <v>0</v>
          </cell>
          <cell r="IM42">
            <v>0</v>
          </cell>
          <cell r="IN42">
            <v>7457</v>
          </cell>
          <cell r="IO42" t="str">
            <v>3 Lancs Police; 3 North West Ambulance Service</v>
          </cell>
          <cell r="IP42" t="str">
            <v>Wildfire Units, Fire Boats, Foam Units, BA Unit, Prime Movers, 4x4</v>
          </cell>
          <cell r="IQ42">
            <v>0</v>
          </cell>
          <cell r="IR42">
            <v>0</v>
          </cell>
          <cell r="IS42">
            <v>0</v>
          </cell>
          <cell r="IT42">
            <v>0</v>
          </cell>
          <cell r="IU42">
            <v>0</v>
          </cell>
          <cell r="IV42" t="str">
            <v>..</v>
          </cell>
          <cell r="IW42" t="str">
            <v>3 - Ambulance Service (+2 by 31/3/19); 1 - Police</v>
          </cell>
        </row>
        <row r="43">
          <cell r="B43" t="str">
            <v>E6124</v>
          </cell>
          <cell r="C43" t="str">
            <v>Leicestershire</v>
          </cell>
          <cell r="D43" t="str">
            <v>1</v>
          </cell>
          <cell r="E43">
            <v>7</v>
          </cell>
          <cell r="F43">
            <v>6</v>
          </cell>
          <cell r="G43">
            <v>7</v>
          </cell>
          <cell r="H43">
            <v>0</v>
          </cell>
          <cell r="I43">
            <v>20</v>
          </cell>
          <cell r="J43">
            <v>2</v>
          </cell>
          <cell r="K43">
            <v>7</v>
          </cell>
          <cell r="L43">
            <v>6</v>
          </cell>
          <cell r="M43">
            <v>7</v>
          </cell>
          <cell r="N43">
            <v>0</v>
          </cell>
          <cell r="O43">
            <v>20</v>
          </cell>
          <cell r="P43">
            <v>3</v>
          </cell>
          <cell r="Q43">
            <v>30</v>
          </cell>
          <cell r="R43">
            <v>32</v>
          </cell>
          <cell r="S43">
            <v>2</v>
          </cell>
          <cell r="T43">
            <v>18</v>
          </cell>
          <cell r="U43">
            <v>33</v>
          </cell>
          <cell r="V43">
            <v>0</v>
          </cell>
          <cell r="W43">
            <v>10</v>
          </cell>
          <cell r="X43">
            <v>95</v>
          </cell>
          <cell r="Y43">
            <v>69</v>
          </cell>
          <cell r="Z43">
            <v>3</v>
          </cell>
          <cell r="AA43">
            <v>5</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v>17180</v>
          </cell>
          <cell r="AV43">
            <v>1802</v>
          </cell>
          <cell r="AW43">
            <v>1148</v>
          </cell>
          <cell r="AX43">
            <v>4505</v>
          </cell>
          <cell r="AY43">
            <v>370</v>
          </cell>
          <cell r="AZ43">
            <v>635</v>
          </cell>
          <cell r="BA43">
            <v>25640</v>
          </cell>
          <cell r="BB43">
            <v>2399</v>
          </cell>
          <cell r="BC43">
            <v>952</v>
          </cell>
          <cell r="BD43">
            <v>3441</v>
          </cell>
          <cell r="BE43">
            <v>159</v>
          </cell>
          <cell r="BF43">
            <v>0</v>
          </cell>
          <cell r="BG43">
            <v>0</v>
          </cell>
          <cell r="BH43">
            <v>32591</v>
          </cell>
          <cell r="BI43">
            <v>2104</v>
          </cell>
          <cell r="BJ43">
            <v>0</v>
          </cell>
          <cell r="BK43">
            <v>701</v>
          </cell>
          <cell r="BL43">
            <v>2805</v>
          </cell>
          <cell r="BM43">
            <v>29786</v>
          </cell>
          <cell r="BN43">
            <v>2404</v>
          </cell>
          <cell r="BO43">
            <v>27014</v>
          </cell>
          <cell r="BP43">
            <v>0</v>
          </cell>
          <cell r="BQ43">
            <v>1316</v>
          </cell>
          <cell r="BR43">
            <v>90</v>
          </cell>
          <cell r="BS43">
            <v>574</v>
          </cell>
          <cell r="BT43">
            <v>115</v>
          </cell>
          <cell r="BU43">
            <v>0</v>
          </cell>
          <cell r="BV43">
            <v>0</v>
          </cell>
          <cell r="BW43">
            <v>0</v>
          </cell>
          <cell r="BX43">
            <v>0</v>
          </cell>
          <cell r="BY43">
            <v>0</v>
          </cell>
          <cell r="BZ43">
            <v>0</v>
          </cell>
          <cell r="CA43">
            <v>144</v>
          </cell>
          <cell r="CB43">
            <v>144</v>
          </cell>
          <cell r="CC43">
            <v>23</v>
          </cell>
          <cell r="CD43">
            <v>135</v>
          </cell>
          <cell r="CE43">
            <v>267</v>
          </cell>
          <cell r="CF43">
            <v>183</v>
          </cell>
          <cell r="CG43">
            <v>222</v>
          </cell>
          <cell r="CH43">
            <v>19395</v>
          </cell>
          <cell r="CI43">
            <v>2341</v>
          </cell>
          <cell r="CJ43">
            <v>1062</v>
          </cell>
          <cell r="CK43">
            <v>4772</v>
          </cell>
          <cell r="CL43">
            <v>318</v>
          </cell>
          <cell r="CM43">
            <v>348</v>
          </cell>
          <cell r="CN43">
            <v>28236</v>
          </cell>
          <cell r="CO43">
            <v>2348</v>
          </cell>
          <cell r="CP43">
            <v>983</v>
          </cell>
          <cell r="CQ43">
            <v>3109</v>
          </cell>
          <cell r="CR43">
            <v>179</v>
          </cell>
          <cell r="CS43">
            <v>0</v>
          </cell>
          <cell r="CT43">
            <v>0</v>
          </cell>
          <cell r="CU43">
            <v>34855</v>
          </cell>
          <cell r="CV43">
            <v>3282</v>
          </cell>
          <cell r="CW43">
            <v>0</v>
          </cell>
          <cell r="CX43">
            <v>395</v>
          </cell>
          <cell r="CY43">
            <v>3677</v>
          </cell>
          <cell r="CZ43">
            <v>31178</v>
          </cell>
          <cell r="DA43">
            <v>2400</v>
          </cell>
          <cell r="DB43">
            <v>27000</v>
          </cell>
          <cell r="DC43">
            <v>0</v>
          </cell>
          <cell r="DD43">
            <v>1136</v>
          </cell>
          <cell r="DE43">
            <v>163</v>
          </cell>
          <cell r="DF43">
            <v>474</v>
          </cell>
          <cell r="DG43">
            <v>162</v>
          </cell>
          <cell r="DH43">
            <v>0</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v>0</v>
          </cell>
          <cell r="DV43">
            <v>0</v>
          </cell>
          <cell r="DW43">
            <v>22.5</v>
          </cell>
          <cell r="DX43">
            <v>0</v>
          </cell>
          <cell r="DY43" t="str">
            <v>..</v>
          </cell>
          <cell r="DZ43">
            <v>13358</v>
          </cell>
          <cell r="EA43">
            <v>21512</v>
          </cell>
          <cell r="EB43">
            <v>145</v>
          </cell>
          <cell r="EC43">
            <v>0</v>
          </cell>
          <cell r="ED43">
            <v>35015</v>
          </cell>
          <cell r="EE43" t="str">
            <v>..</v>
          </cell>
          <cell r="EF43" t="str">
            <v>..</v>
          </cell>
          <cell r="EG43">
            <v>3627</v>
          </cell>
          <cell r="EH43" t="str">
            <v>..</v>
          </cell>
          <cell r="EI43" t="str">
            <v>..</v>
          </cell>
          <cell r="EJ43" t="str">
            <v>..</v>
          </cell>
          <cell r="EK43">
            <v>27269</v>
          </cell>
          <cell r="EL43">
            <v>535</v>
          </cell>
          <cell r="EM43">
            <v>759</v>
          </cell>
          <cell r="EN43">
            <v>0</v>
          </cell>
          <cell r="EO43">
            <v>32190</v>
          </cell>
          <cell r="EP43" t="str">
            <v>..</v>
          </cell>
          <cell r="EQ43" t="str">
            <v>..</v>
          </cell>
          <cell r="ER43" t="str">
            <v>..</v>
          </cell>
          <cell r="ES43" t="e">
            <v>#VALUE!</v>
          </cell>
          <cell r="ET43" t="str">
            <v>..</v>
          </cell>
          <cell r="EU43" t="str">
            <v>..</v>
          </cell>
          <cell r="EV43" t="str">
            <v>..</v>
          </cell>
          <cell r="EW43" t="str">
            <v>..</v>
          </cell>
          <cell r="EX43" t="str">
            <v>..</v>
          </cell>
          <cell r="EY43" t="str">
            <v>..</v>
          </cell>
          <cell r="EZ43" t="str">
            <v>..</v>
          </cell>
          <cell r="FA43" t="str">
            <v>..</v>
          </cell>
          <cell r="FB43">
            <v>-2212</v>
          </cell>
          <cell r="FC43">
            <v>-37</v>
          </cell>
          <cell r="FD43">
            <v>0</v>
          </cell>
          <cell r="FE43">
            <v>-1799</v>
          </cell>
          <cell r="FF43">
            <v>0</v>
          </cell>
          <cell r="FG43">
            <v>10700</v>
          </cell>
          <cell r="FH43">
            <v>2158</v>
          </cell>
          <cell r="FI43">
            <v>150</v>
          </cell>
          <cell r="FJ43">
            <v>8960</v>
          </cell>
          <cell r="FK43">
            <v>117</v>
          </cell>
          <cell r="FL43">
            <v>0</v>
          </cell>
          <cell r="FM43">
            <v>-2020</v>
          </cell>
          <cell r="FN43">
            <v>-56</v>
          </cell>
          <cell r="FO43">
            <v>0</v>
          </cell>
          <cell r="FP43">
            <v>-1720</v>
          </cell>
          <cell r="FQ43">
            <v>0</v>
          </cell>
          <cell r="FR43">
            <v>11442</v>
          </cell>
          <cell r="FS43">
            <v>655</v>
          </cell>
          <cell r="FT43">
            <v>0</v>
          </cell>
          <cell r="FU43">
            <v>8301</v>
          </cell>
          <cell r="FV43">
            <v>112</v>
          </cell>
          <cell r="FW43">
            <v>0</v>
          </cell>
          <cell r="FX43">
            <v>658</v>
          </cell>
          <cell r="FY43">
            <v>661</v>
          </cell>
          <cell r="FZ43">
            <v>23</v>
          </cell>
          <cell r="GA43">
            <v>1</v>
          </cell>
          <cell r="GB43">
            <v>83</v>
          </cell>
          <cell r="GC43">
            <v>10</v>
          </cell>
          <cell r="GD43">
            <v>405</v>
          </cell>
          <cell r="GE43">
            <v>10</v>
          </cell>
          <cell r="GF43">
            <v>44</v>
          </cell>
          <cell r="GG43">
            <v>206</v>
          </cell>
          <cell r="GH43">
            <v>70</v>
          </cell>
          <cell r="GI43">
            <v>21</v>
          </cell>
          <cell r="GJ43">
            <v>11599</v>
          </cell>
          <cell r="GK43">
            <v>2247</v>
          </cell>
          <cell r="GL43">
            <v>375</v>
          </cell>
          <cell r="GM43">
            <v>12449</v>
          </cell>
          <cell r="GN43">
            <v>2610</v>
          </cell>
          <cell r="GO43">
            <v>475</v>
          </cell>
          <cell r="GP43">
            <v>0</v>
          </cell>
          <cell r="GQ43">
            <v>0</v>
          </cell>
          <cell r="GR43">
            <v>16</v>
          </cell>
          <cell r="GS43">
            <v>1367</v>
          </cell>
          <cell r="GT43">
            <v>0</v>
          </cell>
          <cell r="GU43">
            <v>585</v>
          </cell>
          <cell r="GV43">
            <v>407</v>
          </cell>
          <cell r="GW43">
            <v>0</v>
          </cell>
          <cell r="GX43">
            <v>0</v>
          </cell>
          <cell r="GY43">
            <v>0</v>
          </cell>
          <cell r="GZ43">
            <v>69</v>
          </cell>
          <cell r="HA43">
            <v>0</v>
          </cell>
          <cell r="HB43">
            <v>305</v>
          </cell>
          <cell r="HC43">
            <v>0</v>
          </cell>
          <cell r="HD43">
            <v>0</v>
          </cell>
          <cell r="HE43">
            <v>0</v>
          </cell>
          <cell r="HF43">
            <v>2749</v>
          </cell>
          <cell r="HG43">
            <v>0</v>
          </cell>
          <cell r="HH43">
            <v>0</v>
          </cell>
          <cell r="HI43">
            <v>0</v>
          </cell>
          <cell r="HJ43">
            <v>1175</v>
          </cell>
          <cell r="HK43">
            <v>0</v>
          </cell>
          <cell r="HL43">
            <v>296</v>
          </cell>
          <cell r="HM43">
            <v>30</v>
          </cell>
          <cell r="HN43">
            <v>0</v>
          </cell>
          <cell r="HO43">
            <v>66</v>
          </cell>
          <cell r="HP43">
            <v>0</v>
          </cell>
          <cell r="HQ43">
            <v>95</v>
          </cell>
          <cell r="HR43">
            <v>0</v>
          </cell>
          <cell r="HS43">
            <v>108</v>
          </cell>
          <cell r="HT43">
            <v>0</v>
          </cell>
          <cell r="HU43">
            <v>0</v>
          </cell>
          <cell r="HV43">
            <v>0</v>
          </cell>
          <cell r="HW43">
            <v>1770</v>
          </cell>
          <cell r="HX43">
            <v>0</v>
          </cell>
          <cell r="HY43">
            <v>0</v>
          </cell>
          <cell r="HZ43">
            <v>0</v>
          </cell>
          <cell r="IA43">
            <v>347</v>
          </cell>
          <cell r="IB43">
            <v>0</v>
          </cell>
          <cell r="IC43">
            <v>1594</v>
          </cell>
          <cell r="ID43">
            <v>0</v>
          </cell>
          <cell r="IE43">
            <v>0</v>
          </cell>
          <cell r="IF43">
            <v>0</v>
          </cell>
          <cell r="IG43">
            <v>0</v>
          </cell>
          <cell r="IH43">
            <v>793</v>
          </cell>
          <cell r="II43">
            <v>0</v>
          </cell>
          <cell r="IJ43">
            <v>793</v>
          </cell>
          <cell r="IK43">
            <v>0</v>
          </cell>
          <cell r="IL43">
            <v>0</v>
          </cell>
          <cell r="IM43">
            <v>0</v>
          </cell>
          <cell r="IN43">
            <v>3527</v>
          </cell>
          <cell r="IO43" t="str">
            <v>Police/Emas</v>
          </cell>
          <cell r="IP43" t="str">
            <v>To advise later</v>
          </cell>
          <cell r="IQ43" t="str">
            <v>..</v>
          </cell>
          <cell r="IR43">
            <v>0</v>
          </cell>
          <cell r="IS43" t="str">
            <v>..</v>
          </cell>
          <cell r="IT43" t="str">
            <v>..</v>
          </cell>
          <cell r="IU43" t="str">
            <v>..</v>
          </cell>
          <cell r="IV43" t="str">
            <v>..</v>
          </cell>
          <cell r="IW43" t="str">
            <v>Police/EMAS</v>
          </cell>
        </row>
        <row r="44">
          <cell r="B44" t="str">
            <v>E6127</v>
          </cell>
          <cell r="C44" t="str">
            <v>North Yorkshire</v>
          </cell>
          <cell r="D44" t="str">
            <v>1</v>
          </cell>
          <cell r="E44">
            <v>5</v>
          </cell>
          <cell r="F44">
            <v>24</v>
          </cell>
          <cell r="G44">
            <v>7</v>
          </cell>
          <cell r="H44">
            <v>2</v>
          </cell>
          <cell r="I44">
            <v>38</v>
          </cell>
          <cell r="J44">
            <v>2</v>
          </cell>
          <cell r="K44">
            <v>5</v>
          </cell>
          <cell r="L44">
            <v>24</v>
          </cell>
          <cell r="M44">
            <v>7</v>
          </cell>
          <cell r="N44">
            <v>2</v>
          </cell>
          <cell r="O44">
            <v>38</v>
          </cell>
          <cell r="P44">
            <v>2</v>
          </cell>
          <cell r="Q44">
            <v>46</v>
          </cell>
          <cell r="R44">
            <v>46</v>
          </cell>
          <cell r="S44">
            <v>3</v>
          </cell>
          <cell r="T44">
            <v>8</v>
          </cell>
          <cell r="U44">
            <v>47</v>
          </cell>
          <cell r="V44">
            <v>0</v>
          </cell>
          <cell r="W44">
            <v>8</v>
          </cell>
          <cell r="X44">
            <v>112</v>
          </cell>
          <cell r="Y44">
            <v>71</v>
          </cell>
          <cell r="Z44">
            <v>4</v>
          </cell>
          <cell r="AA44">
            <v>3</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v>14781</v>
          </cell>
          <cell r="AV44">
            <v>2968</v>
          </cell>
          <cell r="AW44">
            <v>701</v>
          </cell>
          <cell r="AX44">
            <v>3077</v>
          </cell>
          <cell r="AY44">
            <v>1108</v>
          </cell>
          <cell r="AZ44">
            <v>134</v>
          </cell>
          <cell r="BA44">
            <v>22769</v>
          </cell>
          <cell r="BB44">
            <v>2889</v>
          </cell>
          <cell r="BC44">
            <v>1321</v>
          </cell>
          <cell r="BD44">
            <v>3150</v>
          </cell>
          <cell r="BE44">
            <v>228</v>
          </cell>
          <cell r="BF44">
            <v>0</v>
          </cell>
          <cell r="BG44">
            <v>0</v>
          </cell>
          <cell r="BH44">
            <v>30357</v>
          </cell>
          <cell r="BI44">
            <v>1245</v>
          </cell>
          <cell r="BJ44">
            <v>0</v>
          </cell>
          <cell r="BK44">
            <v>575</v>
          </cell>
          <cell r="BL44">
            <v>1820</v>
          </cell>
          <cell r="BM44">
            <v>28537</v>
          </cell>
          <cell r="BN44">
            <v>2995</v>
          </cell>
          <cell r="BO44">
            <v>3459</v>
          </cell>
          <cell r="BP44">
            <v>0</v>
          </cell>
          <cell r="BQ44">
            <v>1454</v>
          </cell>
          <cell r="BR44">
            <v>0</v>
          </cell>
          <cell r="BS44">
            <v>1019</v>
          </cell>
          <cell r="BT44">
            <v>0</v>
          </cell>
          <cell r="BU44">
            <v>660</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v>0</v>
          </cell>
          <cell r="CH44">
            <v>16657</v>
          </cell>
          <cell r="CI44">
            <v>3164</v>
          </cell>
          <cell r="CJ44">
            <v>790</v>
          </cell>
          <cell r="CK44">
            <v>3378</v>
          </cell>
          <cell r="CL44">
            <v>768</v>
          </cell>
          <cell r="CM44">
            <v>429</v>
          </cell>
          <cell r="CN44">
            <v>25186</v>
          </cell>
          <cell r="CO44">
            <v>3545</v>
          </cell>
          <cell r="CP44">
            <v>1115</v>
          </cell>
          <cell r="CQ44">
            <v>3059</v>
          </cell>
          <cell r="CR44">
            <v>185</v>
          </cell>
          <cell r="CS44">
            <v>0</v>
          </cell>
          <cell r="CT44">
            <v>0</v>
          </cell>
          <cell r="CU44">
            <v>33090</v>
          </cell>
          <cell r="CV44">
            <v>1290</v>
          </cell>
          <cell r="CW44">
            <v>0</v>
          </cell>
          <cell r="CX44">
            <v>490</v>
          </cell>
          <cell r="CY44">
            <v>1780</v>
          </cell>
          <cell r="CZ44">
            <v>31310</v>
          </cell>
          <cell r="DA44">
            <v>2098</v>
          </cell>
          <cell r="DB44">
            <v>0</v>
          </cell>
          <cell r="DC44">
            <v>0</v>
          </cell>
          <cell r="DD44">
            <v>1093</v>
          </cell>
          <cell r="DE44">
            <v>0</v>
          </cell>
          <cell r="DF44">
            <v>613</v>
          </cell>
          <cell r="DG44">
            <v>0</v>
          </cell>
          <cell r="DH44">
            <v>565</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v>0</v>
          </cell>
          <cell r="DU44">
            <v>0</v>
          </cell>
          <cell r="DV44">
            <v>0</v>
          </cell>
          <cell r="DW44">
            <v>16.899999999999999</v>
          </cell>
          <cell r="DX44">
            <v>98</v>
          </cell>
          <cell r="DY44">
            <v>7418</v>
          </cell>
          <cell r="DZ44">
            <v>3011</v>
          </cell>
          <cell r="EA44">
            <v>21450</v>
          </cell>
          <cell r="EB44">
            <v>94</v>
          </cell>
          <cell r="EC44">
            <v>-5</v>
          </cell>
          <cell r="ED44">
            <v>31968</v>
          </cell>
          <cell r="EE44" t="str">
            <v>..</v>
          </cell>
          <cell r="EF44" t="str">
            <v>..</v>
          </cell>
          <cell r="EG44">
            <v>2595</v>
          </cell>
          <cell r="EH44" t="str">
            <v>..</v>
          </cell>
          <cell r="EI44" t="str">
            <v>..</v>
          </cell>
          <cell r="EJ44" t="str">
            <v>..</v>
          </cell>
          <cell r="EK44">
            <v>27805</v>
          </cell>
          <cell r="EL44">
            <v>158</v>
          </cell>
          <cell r="EM44">
            <v>974</v>
          </cell>
          <cell r="EN44">
            <v>0</v>
          </cell>
          <cell r="EO44">
            <v>31532</v>
          </cell>
          <cell r="EP44" t="str">
            <v>..</v>
          </cell>
          <cell r="EQ44" t="str">
            <v>..</v>
          </cell>
          <cell r="ER44">
            <v>585</v>
          </cell>
          <cell r="ES44">
            <v>0.22543352601156069</v>
          </cell>
          <cell r="ET44" t="str">
            <v>..</v>
          </cell>
          <cell r="EU44" t="str">
            <v>..</v>
          </cell>
          <cell r="EV44" t="str">
            <v>..</v>
          </cell>
          <cell r="EW44">
            <v>6267</v>
          </cell>
          <cell r="EX44">
            <v>36</v>
          </cell>
          <cell r="EY44">
            <v>220</v>
          </cell>
          <cell r="EZ44">
            <v>0</v>
          </cell>
          <cell r="FA44">
            <v>7108</v>
          </cell>
          <cell r="FB44">
            <v>-2051</v>
          </cell>
          <cell r="FC44">
            <v>-105</v>
          </cell>
          <cell r="FD44">
            <v>0</v>
          </cell>
          <cell r="FE44">
            <v>-1761</v>
          </cell>
          <cell r="FF44">
            <v>-194</v>
          </cell>
          <cell r="FG44">
            <v>8649</v>
          </cell>
          <cell r="FH44">
            <v>3194</v>
          </cell>
          <cell r="FI44">
            <v>0</v>
          </cell>
          <cell r="FJ44">
            <v>7732</v>
          </cell>
          <cell r="FK44">
            <v>746</v>
          </cell>
          <cell r="FL44">
            <v>0</v>
          </cell>
          <cell r="FM44">
            <v>-2117</v>
          </cell>
          <cell r="FN44">
            <v>-146</v>
          </cell>
          <cell r="FO44">
            <v>0</v>
          </cell>
          <cell r="FP44">
            <v>-1657</v>
          </cell>
          <cell r="FQ44">
            <v>0</v>
          </cell>
          <cell r="FR44">
            <v>8897</v>
          </cell>
          <cell r="FS44">
            <v>1145</v>
          </cell>
          <cell r="FT44">
            <v>0</v>
          </cell>
          <cell r="FU44">
            <v>6122</v>
          </cell>
          <cell r="FV44">
            <v>777</v>
          </cell>
          <cell r="FW44">
            <v>0</v>
          </cell>
          <cell r="FX44">
            <v>592</v>
          </cell>
          <cell r="FY44">
            <v>630</v>
          </cell>
          <cell r="FZ44">
            <v>27</v>
          </cell>
          <cell r="GA44">
            <v>2</v>
          </cell>
          <cell r="GB44">
            <v>92</v>
          </cell>
          <cell r="GC44">
            <v>30</v>
          </cell>
          <cell r="GD44">
            <v>541</v>
          </cell>
          <cell r="GE44">
            <v>18</v>
          </cell>
          <cell r="GF44">
            <v>29</v>
          </cell>
          <cell r="GG44">
            <v>173</v>
          </cell>
          <cell r="GH44">
            <v>133</v>
          </cell>
          <cell r="GI44">
            <v>30</v>
          </cell>
          <cell r="GJ44">
            <v>3972</v>
          </cell>
          <cell r="GK44">
            <v>3838</v>
          </cell>
          <cell r="GL44">
            <v>296</v>
          </cell>
          <cell r="GM44">
            <v>5163</v>
          </cell>
          <cell r="GN44">
            <v>1789</v>
          </cell>
          <cell r="GO44">
            <v>144</v>
          </cell>
          <cell r="GP44">
            <v>0</v>
          </cell>
          <cell r="GQ44">
            <v>0</v>
          </cell>
          <cell r="GR44">
            <v>897</v>
          </cell>
          <cell r="GS44">
            <v>0</v>
          </cell>
          <cell r="GT44">
            <v>168</v>
          </cell>
          <cell r="GU44">
            <v>385</v>
          </cell>
          <cell r="GV44">
            <v>123</v>
          </cell>
          <cell r="GW44">
            <v>13</v>
          </cell>
          <cell r="GX44">
            <v>71</v>
          </cell>
          <cell r="GY44">
            <v>0</v>
          </cell>
          <cell r="GZ44">
            <v>246</v>
          </cell>
          <cell r="HA44">
            <v>0</v>
          </cell>
          <cell r="HB44">
            <v>0</v>
          </cell>
          <cell r="HC44">
            <v>0</v>
          </cell>
          <cell r="HD44">
            <v>0</v>
          </cell>
          <cell r="HE44">
            <v>10</v>
          </cell>
          <cell r="HF44">
            <v>1913</v>
          </cell>
          <cell r="HG44">
            <v>0</v>
          </cell>
          <cell r="HH44">
            <v>0</v>
          </cell>
          <cell r="HI44">
            <v>76</v>
          </cell>
          <cell r="HJ44">
            <v>0</v>
          </cell>
          <cell r="HK44">
            <v>509</v>
          </cell>
          <cell r="HL44">
            <v>919</v>
          </cell>
          <cell r="HM44">
            <v>7</v>
          </cell>
          <cell r="HN44">
            <v>12</v>
          </cell>
          <cell r="HO44">
            <v>40</v>
          </cell>
          <cell r="HP44">
            <v>0</v>
          </cell>
          <cell r="HQ44">
            <v>261</v>
          </cell>
          <cell r="HR44">
            <v>96</v>
          </cell>
          <cell r="HS44">
            <v>0</v>
          </cell>
          <cell r="HT44">
            <v>0</v>
          </cell>
          <cell r="HU44">
            <v>0</v>
          </cell>
          <cell r="HV44">
            <v>0</v>
          </cell>
          <cell r="HW44">
            <v>1920</v>
          </cell>
          <cell r="HX44">
            <v>0</v>
          </cell>
          <cell r="HY44">
            <v>0</v>
          </cell>
          <cell r="HZ44">
            <v>0</v>
          </cell>
          <cell r="IA44">
            <v>0</v>
          </cell>
          <cell r="IB44">
            <v>487</v>
          </cell>
          <cell r="IC44">
            <v>1307</v>
          </cell>
          <cell r="ID44">
            <v>392</v>
          </cell>
          <cell r="IE44">
            <v>0</v>
          </cell>
          <cell r="IF44">
            <v>229</v>
          </cell>
          <cell r="IG44">
            <v>0</v>
          </cell>
          <cell r="IH44">
            <v>229</v>
          </cell>
          <cell r="II44">
            <v>484</v>
          </cell>
          <cell r="IJ44">
            <v>0</v>
          </cell>
          <cell r="IK44">
            <v>0</v>
          </cell>
          <cell r="IL44">
            <v>0</v>
          </cell>
          <cell r="IM44">
            <v>528</v>
          </cell>
          <cell r="IN44">
            <v>3656</v>
          </cell>
          <cell r="IO44" t="str">
            <v>Ripon &amp; Bedale shared with North Yorkshire Police</v>
          </cell>
          <cell r="IP44" t="str">
            <v>6 TRVs &amp; 2 Boats</v>
          </cell>
          <cell r="IQ44" t="str">
            <v>..</v>
          </cell>
          <cell r="IR44" t="str">
            <v>..</v>
          </cell>
          <cell r="IS44" t="str">
            <v>..</v>
          </cell>
          <cell r="IT44" t="str">
            <v>..</v>
          </cell>
          <cell r="IU44" t="str">
            <v>..</v>
          </cell>
          <cell r="IV44" t="str">
            <v>..</v>
          </cell>
          <cell r="IW44" t="str">
            <v>2 x mixed Wholetime/Retained shared with North Yorkshire Police.</v>
          </cell>
        </row>
        <row r="45">
          <cell r="B45" t="str">
            <v>E6128</v>
          </cell>
          <cell r="C45" t="str">
            <v>Northamptonshire</v>
          </cell>
          <cell r="D45" t="str">
            <v>1</v>
          </cell>
          <cell r="E45">
            <v>3</v>
          </cell>
          <cell r="F45">
            <v>14</v>
          </cell>
          <cell r="G45">
            <v>5</v>
          </cell>
          <cell r="H45">
            <v>0</v>
          </cell>
          <cell r="I45">
            <v>22</v>
          </cell>
          <cell r="J45">
            <v>3</v>
          </cell>
          <cell r="K45">
            <v>3</v>
          </cell>
          <cell r="L45">
            <v>14</v>
          </cell>
          <cell r="M45">
            <v>5</v>
          </cell>
          <cell r="N45">
            <v>0</v>
          </cell>
          <cell r="O45">
            <v>22</v>
          </cell>
          <cell r="P45">
            <v>3</v>
          </cell>
          <cell r="Q45">
            <v>26</v>
          </cell>
          <cell r="R45">
            <v>26</v>
          </cell>
          <cell r="S45">
            <v>2</v>
          </cell>
          <cell r="T45">
            <v>28</v>
          </cell>
          <cell r="U45">
            <v>36</v>
          </cell>
          <cell r="V45">
            <v>0</v>
          </cell>
          <cell r="W45">
            <v>6</v>
          </cell>
          <cell r="X45">
            <v>98</v>
          </cell>
          <cell r="Y45">
            <v>50</v>
          </cell>
          <cell r="Z45">
            <v>4</v>
          </cell>
          <cell r="AA45">
            <v>3</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v>11737.170290000002</v>
          </cell>
          <cell r="AV45">
            <v>1779.70732</v>
          </cell>
          <cell r="AW45">
            <v>723.07609000000014</v>
          </cell>
          <cell r="AX45">
            <v>2078.4061499999998</v>
          </cell>
          <cell r="AY45">
            <v>356.11381999999998</v>
          </cell>
          <cell r="AZ45">
            <v>82.515959999999993</v>
          </cell>
          <cell r="BA45">
            <v>16756.98963</v>
          </cell>
          <cell r="BB45">
            <v>1571.71165</v>
          </cell>
          <cell r="BC45">
            <v>700.33970999999997</v>
          </cell>
          <cell r="BD45">
            <v>3359.1512700000003</v>
          </cell>
          <cell r="BE45">
            <v>2026.0975975137474</v>
          </cell>
          <cell r="BF45">
            <v>0</v>
          </cell>
          <cell r="BG45">
            <v>0</v>
          </cell>
          <cell r="BH45">
            <v>24414.289857513751</v>
          </cell>
          <cell r="BI45">
            <v>-662.51016000000004</v>
          </cell>
          <cell r="BJ45">
            <v>0</v>
          </cell>
          <cell r="BK45">
            <v>-360.38259000000011</v>
          </cell>
          <cell r="BL45">
            <v>-1022.8927500000002</v>
          </cell>
          <cell r="BM45">
            <v>25437.182607513751</v>
          </cell>
          <cell r="BN45">
            <v>4694.7294099999999</v>
          </cell>
          <cell r="BO45">
            <v>0</v>
          </cell>
          <cell r="BP45">
            <v>0</v>
          </cell>
          <cell r="BQ45">
            <v>0</v>
          </cell>
          <cell r="BR45">
            <v>0</v>
          </cell>
          <cell r="BS45">
            <v>0</v>
          </cell>
          <cell r="BT45">
            <v>0</v>
          </cell>
          <cell r="BU45">
            <v>0</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v>13597.815000000001</v>
          </cell>
          <cell r="CI45">
            <v>2124.9969999999998</v>
          </cell>
          <cell r="CJ45">
            <v>722.97900000000004</v>
          </cell>
          <cell r="CK45">
            <v>2476.3359999999998</v>
          </cell>
          <cell r="CL45">
            <v>367.86200000000002</v>
          </cell>
          <cell r="CM45">
            <v>67.766000000000005</v>
          </cell>
          <cell r="CN45">
            <v>19357.755000000001</v>
          </cell>
          <cell r="CO45">
            <v>1289.0930000000001</v>
          </cell>
          <cell r="CP45">
            <v>614.74400000000003</v>
          </cell>
          <cell r="CQ45">
            <v>3916.3649999999998</v>
          </cell>
          <cell r="CR45">
            <v>0</v>
          </cell>
          <cell r="CS45">
            <v>0</v>
          </cell>
          <cell r="CT45">
            <v>0</v>
          </cell>
          <cell r="CU45">
            <v>25177.957000000002</v>
          </cell>
          <cell r="CV45">
            <v>442.21800000000002</v>
          </cell>
          <cell r="CW45">
            <v>0</v>
          </cell>
          <cell r="CX45">
            <v>392.73899999999998</v>
          </cell>
          <cell r="CY45">
            <v>-834.95699999999999</v>
          </cell>
          <cell r="CZ45">
            <v>26012.914000000001</v>
          </cell>
          <cell r="DA45">
            <v>275</v>
          </cell>
          <cell r="DB45">
            <v>0</v>
          </cell>
          <cell r="DC45">
            <v>0</v>
          </cell>
          <cell r="DD45">
            <v>0</v>
          </cell>
          <cell r="DE45">
            <v>0</v>
          </cell>
          <cell r="DF45">
            <v>0</v>
          </cell>
          <cell r="DG45">
            <v>0</v>
          </cell>
          <cell r="DH45">
            <v>0</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v>0</v>
          </cell>
          <cell r="DV45">
            <v>0</v>
          </cell>
          <cell r="DW45" t="str">
            <v>..</v>
          </cell>
          <cell r="DX45" t="str">
            <v>..</v>
          </cell>
          <cell r="DY45">
            <v>6374.0000000000009</v>
          </cell>
          <cell r="DZ45">
            <v>2955</v>
          </cell>
          <cell r="EA45">
            <v>14910</v>
          </cell>
          <cell r="EB45">
            <v>379</v>
          </cell>
          <cell r="EC45">
            <v>0</v>
          </cell>
          <cell r="ED45">
            <v>24618</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e">
            <v>#VALUE!</v>
          </cell>
          <cell r="ET45" t="str">
            <v>..</v>
          </cell>
          <cell r="EU45" t="str">
            <v>..</v>
          </cell>
          <cell r="EV45" t="str">
            <v>..</v>
          </cell>
          <cell r="EW45" t="str">
            <v>..</v>
          </cell>
          <cell r="EX45" t="str">
            <v>..</v>
          </cell>
          <cell r="EY45" t="str">
            <v>..</v>
          </cell>
          <cell r="EZ45" t="str">
            <v>..</v>
          </cell>
          <cell r="FA45" t="str">
            <v>..</v>
          </cell>
          <cell r="FB45">
            <v>-1357</v>
          </cell>
          <cell r="FC45">
            <v>0</v>
          </cell>
          <cell r="FD45">
            <v>0</v>
          </cell>
          <cell r="FE45">
            <v>-933</v>
          </cell>
          <cell r="FF45">
            <v>0</v>
          </cell>
          <cell r="FG45">
            <v>6368</v>
          </cell>
          <cell r="FH45">
            <v>1585</v>
          </cell>
          <cell r="FI45">
            <v>0</v>
          </cell>
          <cell r="FJ45">
            <v>5663</v>
          </cell>
          <cell r="FK45">
            <v>0</v>
          </cell>
          <cell r="FL45">
            <v>0</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v>416</v>
          </cell>
          <cell r="FY45" t="str">
            <v>..</v>
          </cell>
          <cell r="FZ45">
            <v>14</v>
          </cell>
          <cell r="GA45">
            <v>0</v>
          </cell>
          <cell r="GB45">
            <v>33</v>
          </cell>
          <cell r="GC45">
            <v>11</v>
          </cell>
          <cell r="GD45">
            <v>345</v>
          </cell>
          <cell r="GE45">
            <v>14</v>
          </cell>
          <cell r="GF45">
            <v>24</v>
          </cell>
          <cell r="GG45">
            <v>130</v>
          </cell>
          <cell r="GH45">
            <v>55</v>
          </cell>
          <cell r="GI45">
            <v>11</v>
          </cell>
          <cell r="GJ45">
            <v>0</v>
          </cell>
          <cell r="GK45">
            <v>0</v>
          </cell>
          <cell r="GL45">
            <v>0</v>
          </cell>
          <cell r="GM45">
            <v>-1289</v>
          </cell>
          <cell r="GN45">
            <v>-688</v>
          </cell>
          <cell r="GO45">
            <v>0</v>
          </cell>
          <cell r="GP45" t="str">
            <v>..</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t="str">
            <v>..</v>
          </cell>
          <cell r="HD45" t="str">
            <v>..</v>
          </cell>
          <cell r="HE45" t="str">
            <v>..</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t="str">
            <v>..</v>
          </cell>
          <cell r="HS45" t="str">
            <v>..</v>
          </cell>
          <cell r="HT45" t="str">
            <v>..</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t="str">
            <v>..</v>
          </cell>
          <cell r="IH45" t="str">
            <v>..</v>
          </cell>
          <cell r="II45" t="str">
            <v>..</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t="str">
            <v>..</v>
          </cell>
          <cell r="IW45" t="str">
            <v>..</v>
          </cell>
        </row>
        <row r="46">
          <cell r="B46" t="str">
            <v>E6130</v>
          </cell>
          <cell r="C46" t="str">
            <v>Nottinghamshire</v>
          </cell>
          <cell r="D46" t="str">
            <v>1</v>
          </cell>
          <cell r="E46">
            <v>8</v>
          </cell>
          <cell r="F46">
            <v>12</v>
          </cell>
          <cell r="G46">
            <v>4</v>
          </cell>
          <cell r="H46">
            <v>0</v>
          </cell>
          <cell r="I46">
            <v>24</v>
          </cell>
          <cell r="J46">
            <v>3</v>
          </cell>
          <cell r="K46">
            <v>8</v>
          </cell>
          <cell r="L46">
            <v>12</v>
          </cell>
          <cell r="M46">
            <v>4</v>
          </cell>
          <cell r="N46">
            <v>0</v>
          </cell>
          <cell r="O46">
            <v>24</v>
          </cell>
          <cell r="P46">
            <v>4</v>
          </cell>
          <cell r="Q46">
            <v>30</v>
          </cell>
          <cell r="R46">
            <v>30</v>
          </cell>
          <cell r="S46">
            <v>2</v>
          </cell>
          <cell r="T46">
            <v>7</v>
          </cell>
          <cell r="U46">
            <v>8</v>
          </cell>
          <cell r="V46">
            <v>30</v>
          </cell>
          <cell r="W46">
            <v>3</v>
          </cell>
          <cell r="X46">
            <v>80</v>
          </cell>
          <cell r="Y46">
            <v>82</v>
          </cell>
          <cell r="Z46">
            <v>6</v>
          </cell>
          <cell r="AA46">
            <v>3</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v>21868</v>
          </cell>
          <cell r="AV46">
            <v>3052</v>
          </cell>
          <cell r="AW46">
            <v>1205</v>
          </cell>
          <cell r="AX46">
            <v>6086</v>
          </cell>
          <cell r="AY46">
            <v>399</v>
          </cell>
          <cell r="AZ46">
            <v>1747</v>
          </cell>
          <cell r="BA46">
            <v>34357</v>
          </cell>
          <cell r="BB46">
            <v>2530</v>
          </cell>
          <cell r="BC46">
            <v>1965</v>
          </cell>
          <cell r="BD46">
            <v>3462</v>
          </cell>
          <cell r="BE46">
            <v>172</v>
          </cell>
          <cell r="BF46">
            <v>35</v>
          </cell>
          <cell r="BG46">
            <v>0</v>
          </cell>
          <cell r="BH46">
            <v>42521</v>
          </cell>
          <cell r="BI46">
            <v>562</v>
          </cell>
          <cell r="BJ46">
            <v>0</v>
          </cell>
          <cell r="BK46">
            <v>754</v>
          </cell>
          <cell r="BL46">
            <v>1316</v>
          </cell>
          <cell r="BM46">
            <v>41205</v>
          </cell>
          <cell r="BN46">
            <v>3325</v>
          </cell>
          <cell r="BO46">
            <v>8852</v>
          </cell>
          <cell r="BP46">
            <v>0</v>
          </cell>
          <cell r="BQ46">
            <v>1436</v>
          </cell>
          <cell r="BR46">
            <v>0</v>
          </cell>
          <cell r="BS46">
            <v>793</v>
          </cell>
          <cell r="BT46">
            <v>-81</v>
          </cell>
          <cell r="BU46">
            <v>0</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v>23516</v>
          </cell>
          <cell r="CI46">
            <v>3450</v>
          </cell>
          <cell r="CJ46">
            <v>930</v>
          </cell>
          <cell r="CK46">
            <v>6198</v>
          </cell>
          <cell r="CL46">
            <v>455</v>
          </cell>
          <cell r="CM46">
            <v>1084</v>
          </cell>
          <cell r="CN46">
            <v>35633</v>
          </cell>
          <cell r="CO46">
            <v>2515</v>
          </cell>
          <cell r="CP46">
            <v>1681</v>
          </cell>
          <cell r="CQ46">
            <v>3562</v>
          </cell>
          <cell r="CR46">
            <v>191</v>
          </cell>
          <cell r="CS46">
            <v>58</v>
          </cell>
          <cell r="CT46">
            <v>0</v>
          </cell>
          <cell r="CU46">
            <v>43640</v>
          </cell>
          <cell r="CV46">
            <v>339</v>
          </cell>
          <cell r="CW46">
            <v>102</v>
          </cell>
          <cell r="CX46">
            <v>60</v>
          </cell>
          <cell r="CY46">
            <v>501</v>
          </cell>
          <cell r="CZ46">
            <v>43139</v>
          </cell>
          <cell r="DA46" t="str">
            <v>..</v>
          </cell>
          <cell r="DB46" t="str">
            <v>..</v>
          </cell>
          <cell r="DC46">
            <v>0</v>
          </cell>
          <cell r="DD46">
            <v>1541</v>
          </cell>
          <cell r="DE46">
            <v>0</v>
          </cell>
          <cell r="DF46">
            <v>35</v>
          </cell>
          <cell r="DG46">
            <v>-30</v>
          </cell>
          <cell r="DH46">
            <v>0</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v>0</v>
          </cell>
          <cell r="DV46">
            <v>0</v>
          </cell>
          <cell r="DW46">
            <v>14.8</v>
          </cell>
          <cell r="DX46">
            <v>201</v>
          </cell>
          <cell r="DY46">
            <v>13168</v>
          </cell>
          <cell r="DZ46">
            <v>3668</v>
          </cell>
          <cell r="EA46">
            <v>25293</v>
          </cell>
          <cell r="EB46">
            <v>66</v>
          </cell>
          <cell r="EC46">
            <v>0</v>
          </cell>
          <cell r="ED46">
            <v>42195</v>
          </cell>
          <cell r="EE46" t="str">
            <v>..</v>
          </cell>
          <cell r="EF46" t="str">
            <v>..</v>
          </cell>
          <cell r="EG46">
            <v>4517</v>
          </cell>
          <cell r="EH46" t="str">
            <v>..</v>
          </cell>
          <cell r="EI46" t="str">
            <v>..</v>
          </cell>
          <cell r="EJ46" t="str">
            <v>..</v>
          </cell>
          <cell r="EK46">
            <v>37706</v>
          </cell>
          <cell r="EL46">
            <v>422</v>
          </cell>
          <cell r="EM46">
            <v>1885</v>
          </cell>
          <cell r="EN46">
            <v>0</v>
          </cell>
          <cell r="EO46">
            <v>44530</v>
          </cell>
          <cell r="EP46" t="str">
            <v>..</v>
          </cell>
          <cell r="EQ46" t="str">
            <v>..</v>
          </cell>
          <cell r="ER46">
            <v>1170</v>
          </cell>
          <cell r="ES46">
            <v>0.2590214744299314</v>
          </cell>
          <cell r="ET46" t="str">
            <v>..</v>
          </cell>
          <cell r="EU46" t="str">
            <v>..</v>
          </cell>
          <cell r="EV46" t="str">
            <v>..</v>
          </cell>
          <cell r="EW46">
            <v>9811</v>
          </cell>
          <cell r="EX46">
            <v>99</v>
          </cell>
          <cell r="EY46">
            <v>169</v>
          </cell>
          <cell r="EZ46">
            <v>0</v>
          </cell>
          <cell r="FA46">
            <v>11249</v>
          </cell>
          <cell r="FB46">
            <v>-2774</v>
          </cell>
          <cell r="FC46">
            <v>-115</v>
          </cell>
          <cell r="FD46">
            <v>0</v>
          </cell>
          <cell r="FE46">
            <v>-2327</v>
          </cell>
          <cell r="FF46">
            <v>-13</v>
          </cell>
          <cell r="FG46">
            <v>12966</v>
          </cell>
          <cell r="FH46">
            <v>3490</v>
          </cell>
          <cell r="FI46">
            <v>0</v>
          </cell>
          <cell r="FJ46">
            <v>11227</v>
          </cell>
          <cell r="FK46">
            <v>720</v>
          </cell>
          <cell r="FL46">
            <v>8</v>
          </cell>
          <cell r="FM46">
            <v>-5180</v>
          </cell>
          <cell r="FN46">
            <v>-74</v>
          </cell>
          <cell r="FO46">
            <v>0</v>
          </cell>
          <cell r="FP46">
            <v>-2287</v>
          </cell>
          <cell r="FQ46">
            <v>-10</v>
          </cell>
          <cell r="FR46">
            <v>13541</v>
          </cell>
          <cell r="FS46">
            <v>2640</v>
          </cell>
          <cell r="FT46">
            <v>0</v>
          </cell>
          <cell r="FU46">
            <v>8630</v>
          </cell>
          <cell r="FV46">
            <v>723</v>
          </cell>
          <cell r="FW46">
            <v>4</v>
          </cell>
          <cell r="FX46">
            <v>879</v>
          </cell>
          <cell r="FY46">
            <v>878</v>
          </cell>
          <cell r="FZ46">
            <v>28</v>
          </cell>
          <cell r="GA46">
            <v>1</v>
          </cell>
          <cell r="GB46">
            <v>84</v>
          </cell>
          <cell r="GC46">
            <v>17</v>
          </cell>
          <cell r="GD46">
            <v>523</v>
          </cell>
          <cell r="GE46">
            <v>21</v>
          </cell>
          <cell r="GF46">
            <v>197</v>
          </cell>
          <cell r="GG46">
            <v>454</v>
          </cell>
          <cell r="GH46">
            <v>105</v>
          </cell>
          <cell r="GI46">
            <v>54</v>
          </cell>
          <cell r="GJ46">
            <v>5156</v>
          </cell>
          <cell r="GK46">
            <v>6953</v>
          </cell>
          <cell r="GL46">
            <v>599</v>
          </cell>
          <cell r="GM46">
            <v>4763</v>
          </cell>
          <cell r="GN46">
            <v>5576</v>
          </cell>
          <cell r="GO46">
            <v>1314</v>
          </cell>
          <cell r="GP46">
            <v>0</v>
          </cell>
          <cell r="GQ46">
            <v>0</v>
          </cell>
          <cell r="GR46">
            <v>2305</v>
          </cell>
          <cell r="GS46">
            <v>22</v>
          </cell>
          <cell r="GT46">
            <v>0</v>
          </cell>
          <cell r="GU46">
            <v>8</v>
          </cell>
          <cell r="GV46">
            <v>566</v>
          </cell>
          <cell r="GW46">
            <v>0</v>
          </cell>
          <cell r="GX46">
            <v>21</v>
          </cell>
          <cell r="GY46">
            <v>473</v>
          </cell>
          <cell r="GZ46">
            <v>126</v>
          </cell>
          <cell r="HA46">
            <v>0</v>
          </cell>
          <cell r="HB46">
            <v>539</v>
          </cell>
          <cell r="HC46">
            <v>0</v>
          </cell>
          <cell r="HD46">
            <v>0</v>
          </cell>
          <cell r="HE46">
            <v>0</v>
          </cell>
          <cell r="HF46">
            <v>4060</v>
          </cell>
          <cell r="HG46">
            <v>0</v>
          </cell>
          <cell r="HH46">
            <v>0</v>
          </cell>
          <cell r="HI46">
            <v>497</v>
          </cell>
          <cell r="HJ46">
            <v>69</v>
          </cell>
          <cell r="HK46">
            <v>0</v>
          </cell>
          <cell r="HL46">
            <v>0</v>
          </cell>
          <cell r="HM46">
            <v>0</v>
          </cell>
          <cell r="HN46">
            <v>69</v>
          </cell>
          <cell r="HO46">
            <v>0</v>
          </cell>
          <cell r="HP46">
            <v>20</v>
          </cell>
          <cell r="HQ46">
            <v>306</v>
          </cell>
          <cell r="HR46">
            <v>0</v>
          </cell>
          <cell r="HS46">
            <v>114</v>
          </cell>
          <cell r="HT46">
            <v>0</v>
          </cell>
          <cell r="HU46">
            <v>0</v>
          </cell>
          <cell r="HV46">
            <v>0</v>
          </cell>
          <cell r="HW46">
            <v>1075</v>
          </cell>
          <cell r="HX46">
            <v>1030</v>
          </cell>
          <cell r="HY46">
            <v>0</v>
          </cell>
          <cell r="HZ46">
            <v>3785</v>
          </cell>
          <cell r="IA46">
            <v>110</v>
          </cell>
          <cell r="IB46">
            <v>0</v>
          </cell>
          <cell r="IC46">
            <v>150</v>
          </cell>
          <cell r="ID46">
            <v>388</v>
          </cell>
          <cell r="IE46">
            <v>0</v>
          </cell>
          <cell r="IF46">
            <v>30</v>
          </cell>
          <cell r="IG46">
            <v>212</v>
          </cell>
          <cell r="IH46">
            <v>479</v>
          </cell>
          <cell r="II46">
            <v>0</v>
          </cell>
          <cell r="IJ46">
            <v>443</v>
          </cell>
          <cell r="IK46">
            <v>0</v>
          </cell>
          <cell r="IL46">
            <v>0</v>
          </cell>
          <cell r="IM46">
            <v>0</v>
          </cell>
          <cell r="IN46">
            <v>6627</v>
          </cell>
          <cell r="IO46" t="str">
            <v>2 Stations Police utilise the front desk.  1 Station Ambulance Service can park vehicles and Police have an Office.</v>
          </cell>
          <cell r="IP46" t="str">
            <v>2 x Heavy Rescue units, 2 x Animal rescue units 1 x water foam carrier, 1 x command Control unit, 1 x welfare unit</v>
          </cell>
          <cell r="IQ46" t="str">
            <v>..</v>
          </cell>
          <cell r="IR46" t="str">
            <v>..</v>
          </cell>
          <cell r="IS46" t="str">
            <v>..</v>
          </cell>
          <cell r="IT46" t="str">
            <v>..</v>
          </cell>
          <cell r="IU46" t="str">
            <v>..</v>
          </cell>
          <cell r="IV46" t="str">
            <v>NFRS are involved ina  number of collaboration stream where expentidure and income would takle place. However at this point in time we do not identify these costs</v>
          </cell>
          <cell r="IW46" t="str">
            <v>..</v>
          </cell>
        </row>
        <row r="47">
          <cell r="B47" t="str">
            <v>E6132</v>
          </cell>
          <cell r="C47" t="str">
            <v>Shropshire</v>
          </cell>
          <cell r="D47" t="str">
            <v>1</v>
          </cell>
          <cell r="E47">
            <v>1</v>
          </cell>
          <cell r="F47">
            <v>20</v>
          </cell>
          <cell r="G47">
            <v>2</v>
          </cell>
          <cell r="H47">
            <v>0</v>
          </cell>
          <cell r="I47">
            <v>23</v>
          </cell>
          <cell r="J47">
            <v>23</v>
          </cell>
          <cell r="K47">
            <v>1</v>
          </cell>
          <cell r="L47">
            <v>20</v>
          </cell>
          <cell r="M47">
            <v>2</v>
          </cell>
          <cell r="N47">
            <v>0</v>
          </cell>
          <cell r="O47">
            <v>23</v>
          </cell>
          <cell r="P47">
            <v>23</v>
          </cell>
          <cell r="Q47" t="str">
            <v>..</v>
          </cell>
          <cell r="R47">
            <v>28</v>
          </cell>
          <cell r="S47">
            <v>2</v>
          </cell>
          <cell r="T47">
            <v>19</v>
          </cell>
          <cell r="U47">
            <v>10</v>
          </cell>
          <cell r="V47">
            <v>14</v>
          </cell>
          <cell r="W47">
            <v>2</v>
          </cell>
          <cell r="X47">
            <v>75</v>
          </cell>
          <cell r="Y47">
            <v>33</v>
          </cell>
          <cell r="Z47">
            <v>5</v>
          </cell>
          <cell r="AA47">
            <v>2</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v>8677</v>
          </cell>
          <cell r="AV47">
            <v>3501</v>
          </cell>
          <cell r="AW47">
            <v>715</v>
          </cell>
          <cell r="AX47">
            <v>2538</v>
          </cell>
          <cell r="AY47">
            <v>491</v>
          </cell>
          <cell r="AZ47">
            <v>209</v>
          </cell>
          <cell r="BA47">
            <v>16131</v>
          </cell>
          <cell r="BB47">
            <v>1057</v>
          </cell>
          <cell r="BC47">
            <v>720</v>
          </cell>
          <cell r="BD47">
            <v>2321</v>
          </cell>
          <cell r="BE47">
            <v>317</v>
          </cell>
          <cell r="BF47">
            <v>0</v>
          </cell>
          <cell r="BG47">
            <v>0</v>
          </cell>
          <cell r="BH47">
            <v>20546</v>
          </cell>
          <cell r="BI47">
            <v>86</v>
          </cell>
          <cell r="BJ47">
            <v>0</v>
          </cell>
          <cell r="BK47">
            <v>190</v>
          </cell>
          <cell r="BL47">
            <v>276</v>
          </cell>
          <cell r="BM47">
            <v>20270</v>
          </cell>
          <cell r="BN47">
            <v>2796</v>
          </cell>
          <cell r="BO47">
            <v>94</v>
          </cell>
          <cell r="BP47">
            <v>0</v>
          </cell>
          <cell r="BQ47">
            <v>259</v>
          </cell>
          <cell r="BR47">
            <v>8</v>
          </cell>
          <cell r="BS47">
            <v>256</v>
          </cell>
          <cell r="BT47">
            <v>-130</v>
          </cell>
          <cell r="BU47">
            <v>0</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v>0</v>
          </cell>
          <cell r="CH47">
            <v>10562</v>
          </cell>
          <cell r="CI47">
            <v>3378</v>
          </cell>
          <cell r="CJ47">
            <v>724</v>
          </cell>
          <cell r="CK47">
            <v>2776</v>
          </cell>
          <cell r="CL47">
            <v>310</v>
          </cell>
          <cell r="CM47">
            <v>180</v>
          </cell>
          <cell r="CN47">
            <v>17930</v>
          </cell>
          <cell r="CO47">
            <v>1067</v>
          </cell>
          <cell r="CP47">
            <v>595</v>
          </cell>
          <cell r="CQ47">
            <v>2097</v>
          </cell>
          <cell r="CR47">
            <v>231</v>
          </cell>
          <cell r="CS47">
            <v>0</v>
          </cell>
          <cell r="CT47">
            <v>0</v>
          </cell>
          <cell r="CU47">
            <v>21920</v>
          </cell>
          <cell r="CV47">
            <v>1150</v>
          </cell>
          <cell r="CW47">
            <v>0</v>
          </cell>
          <cell r="CX47">
            <v>85</v>
          </cell>
          <cell r="CY47">
            <v>1235</v>
          </cell>
          <cell r="CZ47">
            <v>20685</v>
          </cell>
          <cell r="DA47">
            <v>2100</v>
          </cell>
          <cell r="DB47">
            <v>94</v>
          </cell>
          <cell r="DC47">
            <v>0</v>
          </cell>
          <cell r="DD47">
            <v>417</v>
          </cell>
          <cell r="DE47">
            <v>17</v>
          </cell>
          <cell r="DF47">
            <v>22</v>
          </cell>
          <cell r="DG47">
            <v>-50</v>
          </cell>
          <cell r="DH47">
            <v>0</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v>0</v>
          </cell>
          <cell r="DU47">
            <v>0</v>
          </cell>
          <cell r="DV47">
            <v>0</v>
          </cell>
          <cell r="DW47">
            <v>13.9</v>
          </cell>
          <cell r="DX47">
            <v>103.9</v>
          </cell>
          <cell r="DY47">
            <v>4195</v>
          </cell>
          <cell r="DZ47">
            <v>1530</v>
          </cell>
          <cell r="EA47">
            <v>16228</v>
          </cell>
          <cell r="EB47">
            <v>336</v>
          </cell>
          <cell r="EC47">
            <v>-1</v>
          </cell>
          <cell r="ED47">
            <v>22288</v>
          </cell>
          <cell r="EE47" t="str">
            <v>..</v>
          </cell>
          <cell r="EF47" t="str">
            <v>..</v>
          </cell>
          <cell r="EG47">
            <v>1384</v>
          </cell>
          <cell r="EH47" t="str">
            <v>..</v>
          </cell>
          <cell r="EI47" t="str">
            <v>..</v>
          </cell>
          <cell r="EJ47" t="str">
            <v>..</v>
          </cell>
          <cell r="EK47">
            <v>21119</v>
          </cell>
          <cell r="EL47">
            <v>70</v>
          </cell>
          <cell r="EM47">
            <v>470</v>
          </cell>
          <cell r="EN47">
            <v>23</v>
          </cell>
          <cell r="EO47">
            <v>23066</v>
          </cell>
          <cell r="EP47" t="str">
            <v>..</v>
          </cell>
          <cell r="EQ47" t="str">
            <v>..</v>
          </cell>
          <cell r="ER47">
            <v>0</v>
          </cell>
          <cell r="ES47">
            <v>0</v>
          </cell>
          <cell r="ET47" t="str">
            <v>..</v>
          </cell>
          <cell r="EU47" t="str">
            <v>..</v>
          </cell>
          <cell r="EV47" t="str">
            <v>..</v>
          </cell>
          <cell r="EW47">
            <v>0</v>
          </cell>
          <cell r="EX47">
            <v>0</v>
          </cell>
          <cell r="EY47">
            <v>0</v>
          </cell>
          <cell r="EZ47">
            <v>0</v>
          </cell>
          <cell r="FA47">
            <v>0</v>
          </cell>
          <cell r="FB47">
            <v>-1268</v>
          </cell>
          <cell r="FC47">
            <v>-86</v>
          </cell>
          <cell r="FD47">
            <v>0</v>
          </cell>
          <cell r="FE47">
            <v>-1161</v>
          </cell>
          <cell r="FF47">
            <v>-84</v>
          </cell>
          <cell r="FG47">
            <v>4704</v>
          </cell>
          <cell r="FH47">
            <v>740</v>
          </cell>
          <cell r="FI47">
            <v>0</v>
          </cell>
          <cell r="FJ47">
            <v>2845</v>
          </cell>
          <cell r="FK47">
            <v>315</v>
          </cell>
          <cell r="FL47">
            <v>0</v>
          </cell>
          <cell r="FM47">
            <v>-1278</v>
          </cell>
          <cell r="FN47">
            <v>-120</v>
          </cell>
          <cell r="FO47">
            <v>0</v>
          </cell>
          <cell r="FP47">
            <v>-1070</v>
          </cell>
          <cell r="FQ47">
            <v>0</v>
          </cell>
          <cell r="FR47">
            <v>4860</v>
          </cell>
          <cell r="FS47">
            <v>1429</v>
          </cell>
          <cell r="FT47">
            <v>0</v>
          </cell>
          <cell r="FU47">
            <v>3821</v>
          </cell>
          <cell r="FV47">
            <v>253</v>
          </cell>
          <cell r="FW47">
            <v>0</v>
          </cell>
          <cell r="FX47">
            <v>337</v>
          </cell>
          <cell r="FY47">
            <v>340</v>
          </cell>
          <cell r="FZ47">
            <v>12</v>
          </cell>
          <cell r="GA47">
            <v>1</v>
          </cell>
          <cell r="GB47">
            <v>29</v>
          </cell>
          <cell r="GC47">
            <v>12</v>
          </cell>
          <cell r="GD47">
            <v>417</v>
          </cell>
          <cell r="GE47">
            <v>15</v>
          </cell>
          <cell r="GF47">
            <v>22</v>
          </cell>
          <cell r="GG47">
            <v>217</v>
          </cell>
          <cell r="GH47">
            <v>60</v>
          </cell>
          <cell r="GI47">
            <v>20</v>
          </cell>
          <cell r="GJ47">
            <v>15029</v>
          </cell>
          <cell r="GK47">
            <v>1105</v>
          </cell>
          <cell r="GL47">
            <v>0</v>
          </cell>
          <cell r="GM47">
            <v>14445</v>
          </cell>
          <cell r="GN47">
            <v>1152</v>
          </cell>
          <cell r="GO47">
            <v>0</v>
          </cell>
          <cell r="GP47">
            <v>0</v>
          </cell>
          <cell r="GQ47">
            <v>0</v>
          </cell>
          <cell r="GR47">
            <v>0</v>
          </cell>
          <cell r="GS47">
            <v>222</v>
          </cell>
          <cell r="GT47">
            <v>0</v>
          </cell>
          <cell r="GU47">
            <v>31</v>
          </cell>
          <cell r="GV47">
            <v>0</v>
          </cell>
          <cell r="GW47">
            <v>0</v>
          </cell>
          <cell r="GX47">
            <v>104</v>
          </cell>
          <cell r="GY47">
            <v>0</v>
          </cell>
          <cell r="GZ47">
            <v>0</v>
          </cell>
          <cell r="HA47">
            <v>272</v>
          </cell>
          <cell r="HB47">
            <v>0</v>
          </cell>
          <cell r="HC47">
            <v>0</v>
          </cell>
          <cell r="HD47">
            <v>0</v>
          </cell>
          <cell r="HE47">
            <v>0</v>
          </cell>
          <cell r="HF47">
            <v>629</v>
          </cell>
          <cell r="HG47">
            <v>0</v>
          </cell>
          <cell r="HH47">
            <v>0</v>
          </cell>
          <cell r="HI47">
            <v>0</v>
          </cell>
          <cell r="HJ47">
            <v>1136</v>
          </cell>
          <cell r="HK47">
            <v>0</v>
          </cell>
          <cell r="HL47">
            <v>1555</v>
          </cell>
          <cell r="HM47">
            <v>0</v>
          </cell>
          <cell r="HN47">
            <v>0</v>
          </cell>
          <cell r="HO47">
            <v>167</v>
          </cell>
          <cell r="HP47">
            <v>152</v>
          </cell>
          <cell r="HQ47">
            <v>66</v>
          </cell>
          <cell r="HR47">
            <v>0</v>
          </cell>
          <cell r="HS47">
            <v>17</v>
          </cell>
          <cell r="HT47">
            <v>0</v>
          </cell>
          <cell r="HU47">
            <v>0</v>
          </cell>
          <cell r="HV47">
            <v>0</v>
          </cell>
          <cell r="HW47">
            <v>3093</v>
          </cell>
          <cell r="HX47">
            <v>0</v>
          </cell>
          <cell r="HY47">
            <v>0</v>
          </cell>
          <cell r="HZ47">
            <v>0</v>
          </cell>
          <cell r="IA47">
            <v>4706</v>
          </cell>
          <cell r="IB47">
            <v>60</v>
          </cell>
          <cell r="IC47">
            <v>1756</v>
          </cell>
          <cell r="ID47">
            <v>100</v>
          </cell>
          <cell r="IE47">
            <v>0</v>
          </cell>
          <cell r="IF47">
            <v>626</v>
          </cell>
          <cell r="IG47">
            <v>0</v>
          </cell>
          <cell r="IH47">
            <v>371</v>
          </cell>
          <cell r="II47">
            <v>0</v>
          </cell>
          <cell r="IJ47">
            <v>128</v>
          </cell>
          <cell r="IK47">
            <v>0</v>
          </cell>
          <cell r="IL47">
            <v>0</v>
          </cell>
          <cell r="IM47">
            <v>0</v>
          </cell>
          <cell r="IN47">
            <v>7747</v>
          </cell>
          <cell r="IO47" t="str">
            <v xml:space="preserve">Police </v>
          </cell>
          <cell r="IP47" t="str">
            <v>2 pumping units, 1 L6P, 1 Water Carrier, 2 Incident Command Unit, 1 WRU, 12 Incident Support Units.</v>
          </cell>
          <cell r="IQ47" t="str">
            <v>..</v>
          </cell>
          <cell r="IR47" t="str">
            <v>..</v>
          </cell>
          <cell r="IS47" t="str">
            <v>..</v>
          </cell>
          <cell r="IT47" t="str">
            <v>..</v>
          </cell>
          <cell r="IU47" t="str">
            <v>..</v>
          </cell>
          <cell r="IV47" t="str">
            <v>..</v>
          </cell>
          <cell r="IW47" t="str">
            <v>..</v>
          </cell>
        </row>
        <row r="48">
          <cell r="B48" t="str">
            <v>E6134</v>
          </cell>
          <cell r="C48" t="str">
            <v>Staffordshire</v>
          </cell>
          <cell r="D48" t="str">
            <v>1</v>
          </cell>
          <cell r="E48">
            <v>8</v>
          </cell>
          <cell r="F48">
            <v>23</v>
          </cell>
          <cell r="G48">
            <v>2</v>
          </cell>
          <cell r="H48">
            <v>0</v>
          </cell>
          <cell r="I48">
            <v>33</v>
          </cell>
          <cell r="J48">
            <v>0</v>
          </cell>
          <cell r="K48">
            <v>8</v>
          </cell>
          <cell r="L48">
            <v>23</v>
          </cell>
          <cell r="M48">
            <v>2</v>
          </cell>
          <cell r="N48">
            <v>0</v>
          </cell>
          <cell r="O48">
            <v>33</v>
          </cell>
          <cell r="P48">
            <v>0</v>
          </cell>
          <cell r="Q48">
            <v>41</v>
          </cell>
          <cell r="R48">
            <v>41</v>
          </cell>
          <cell r="S48">
            <v>2</v>
          </cell>
          <cell r="T48">
            <v>11</v>
          </cell>
          <cell r="U48">
            <v>42</v>
          </cell>
          <cell r="V48">
            <v>0</v>
          </cell>
          <cell r="W48">
            <v>7</v>
          </cell>
          <cell r="X48">
            <v>103</v>
          </cell>
          <cell r="Y48">
            <v>70</v>
          </cell>
          <cell r="Z48">
            <v>8</v>
          </cell>
          <cell r="AA48">
            <v>3</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v>16625</v>
          </cell>
          <cell r="AV48">
            <v>4585</v>
          </cell>
          <cell r="AW48">
            <v>0</v>
          </cell>
          <cell r="AX48">
            <v>7502</v>
          </cell>
          <cell r="AY48">
            <v>385</v>
          </cell>
          <cell r="AZ48">
            <v>539</v>
          </cell>
          <cell r="BA48">
            <v>29636</v>
          </cell>
          <cell r="BB48">
            <v>3144</v>
          </cell>
          <cell r="BC48">
            <v>910</v>
          </cell>
          <cell r="BD48">
            <v>7552</v>
          </cell>
          <cell r="BE48">
            <v>251</v>
          </cell>
          <cell r="BF48">
            <v>136</v>
          </cell>
          <cell r="BG48">
            <v>0</v>
          </cell>
          <cell r="BH48">
            <v>41629</v>
          </cell>
          <cell r="BI48">
            <v>4002</v>
          </cell>
          <cell r="BJ48">
            <v>50</v>
          </cell>
          <cell r="BK48">
            <v>1999</v>
          </cell>
          <cell r="BL48">
            <v>6051</v>
          </cell>
          <cell r="BM48">
            <v>35578</v>
          </cell>
          <cell r="BN48">
            <v>3883</v>
          </cell>
          <cell r="BO48">
            <v>4173</v>
          </cell>
          <cell r="BP48">
            <v>0</v>
          </cell>
          <cell r="BQ48">
            <v>0</v>
          </cell>
          <cell r="BR48">
            <v>0</v>
          </cell>
          <cell r="BS48">
            <v>0</v>
          </cell>
          <cell r="BT48">
            <v>0</v>
          </cell>
          <cell r="BU48">
            <v>0</v>
          </cell>
          <cell r="BV48">
            <v>0</v>
          </cell>
          <cell r="BW48">
            <v>0</v>
          </cell>
          <cell r="BX48">
            <v>0</v>
          </cell>
          <cell r="BY48">
            <v>187</v>
          </cell>
          <cell r="BZ48">
            <v>0</v>
          </cell>
          <cell r="CA48">
            <v>0</v>
          </cell>
          <cell r="CB48">
            <v>187</v>
          </cell>
          <cell r="CC48">
            <v>103</v>
          </cell>
          <cell r="CD48">
            <v>0</v>
          </cell>
          <cell r="CE48">
            <v>1356</v>
          </cell>
          <cell r="CF48">
            <v>0</v>
          </cell>
          <cell r="CG48">
            <v>297</v>
          </cell>
          <cell r="CH48">
            <v>18164</v>
          </cell>
          <cell r="CI48">
            <v>5005</v>
          </cell>
          <cell r="CJ48">
            <v>0</v>
          </cell>
          <cell r="CK48">
            <v>7012</v>
          </cell>
          <cell r="CL48">
            <v>414</v>
          </cell>
          <cell r="CM48">
            <v>622</v>
          </cell>
          <cell r="CN48">
            <v>31217</v>
          </cell>
          <cell r="CO48">
            <v>3221</v>
          </cell>
          <cell r="CP48">
            <v>796</v>
          </cell>
          <cell r="CQ48">
            <v>7929</v>
          </cell>
          <cell r="CR48">
            <v>250</v>
          </cell>
          <cell r="CS48">
            <v>95</v>
          </cell>
          <cell r="CT48">
            <v>0</v>
          </cell>
          <cell r="CU48">
            <v>43508</v>
          </cell>
          <cell r="CV48">
            <v>5995</v>
          </cell>
          <cell r="CW48">
            <v>0</v>
          </cell>
          <cell r="CX48">
            <v>1251</v>
          </cell>
          <cell r="CY48">
            <v>7246</v>
          </cell>
          <cell r="CZ48">
            <v>36262</v>
          </cell>
          <cell r="DA48">
            <v>2297</v>
          </cell>
          <cell r="DB48">
            <v>0</v>
          </cell>
          <cell r="DC48">
            <v>0</v>
          </cell>
          <cell r="DD48">
            <v>0</v>
          </cell>
          <cell r="DE48">
            <v>0</v>
          </cell>
          <cell r="DF48">
            <v>0</v>
          </cell>
          <cell r="DG48">
            <v>0</v>
          </cell>
          <cell r="DH48">
            <v>0</v>
          </cell>
          <cell r="DI48">
            <v>0</v>
          </cell>
          <cell r="DJ48">
            <v>0</v>
          </cell>
          <cell r="DK48">
            <v>0</v>
          </cell>
          <cell r="DL48">
            <v>132</v>
          </cell>
          <cell r="DM48">
            <v>0</v>
          </cell>
          <cell r="DN48">
            <v>0</v>
          </cell>
          <cell r="DO48">
            <v>132</v>
          </cell>
          <cell r="DP48">
            <v>108</v>
          </cell>
          <cell r="DQ48">
            <v>0</v>
          </cell>
          <cell r="DR48">
            <v>1358</v>
          </cell>
          <cell r="DS48">
            <v>0</v>
          </cell>
          <cell r="DT48">
            <v>266</v>
          </cell>
          <cell r="DU48">
            <v>0</v>
          </cell>
          <cell r="DV48">
            <v>0</v>
          </cell>
          <cell r="DW48">
            <v>16.7</v>
          </cell>
          <cell r="DX48">
            <v>315</v>
          </cell>
          <cell r="DY48">
            <v>10637</v>
          </cell>
          <cell r="DZ48">
            <v>3655</v>
          </cell>
          <cell r="EA48">
            <v>26247</v>
          </cell>
          <cell r="EB48">
            <v>385</v>
          </cell>
          <cell r="EC48">
            <v>13</v>
          </cell>
          <cell r="ED48">
            <v>40937</v>
          </cell>
          <cell r="EE48">
            <v>0</v>
          </cell>
          <cell r="EF48">
            <v>4282</v>
          </cell>
          <cell r="EG48">
            <v>4282</v>
          </cell>
          <cell r="EH48">
            <v>31399</v>
          </cell>
          <cell r="EI48">
            <v>2502</v>
          </cell>
          <cell r="EJ48">
            <v>29</v>
          </cell>
          <cell r="EK48">
            <v>33930</v>
          </cell>
          <cell r="EL48">
            <v>-41</v>
          </cell>
          <cell r="EM48">
            <v>1290</v>
          </cell>
          <cell r="EN48">
            <v>0</v>
          </cell>
          <cell r="EO48">
            <v>39461</v>
          </cell>
          <cell r="EP48">
            <v>0</v>
          </cell>
          <cell r="EQ48">
            <v>651</v>
          </cell>
          <cell r="ER48">
            <v>651</v>
          </cell>
          <cell r="ES48">
            <v>0.1520317608594115</v>
          </cell>
          <cell r="ET48">
            <v>4731</v>
          </cell>
          <cell r="EU48">
            <v>356</v>
          </cell>
          <cell r="EV48">
            <v>0</v>
          </cell>
          <cell r="EW48">
            <v>5087</v>
          </cell>
          <cell r="EX48">
            <v>0</v>
          </cell>
          <cell r="EY48">
            <v>177</v>
          </cell>
          <cell r="EZ48">
            <v>0</v>
          </cell>
          <cell r="FA48">
            <v>5915</v>
          </cell>
          <cell r="FB48">
            <v>-2180</v>
          </cell>
          <cell r="FC48">
            <v>-120</v>
          </cell>
          <cell r="FD48">
            <v>0</v>
          </cell>
          <cell r="FE48">
            <v>-1892</v>
          </cell>
          <cell r="FF48">
            <v>0</v>
          </cell>
          <cell r="FG48">
            <v>10864</v>
          </cell>
          <cell r="FH48">
            <v>1738</v>
          </cell>
          <cell r="FI48">
            <v>0</v>
          </cell>
          <cell r="FJ48">
            <v>8410</v>
          </cell>
          <cell r="FK48">
            <v>1052</v>
          </cell>
          <cell r="FL48">
            <v>0</v>
          </cell>
          <cell r="FM48">
            <v>-1923</v>
          </cell>
          <cell r="FN48">
            <v>-206</v>
          </cell>
          <cell r="FO48">
            <v>0</v>
          </cell>
          <cell r="FP48">
            <v>-1653</v>
          </cell>
          <cell r="FQ48">
            <v>-50</v>
          </cell>
          <cell r="FR48">
            <v>11474</v>
          </cell>
          <cell r="FS48">
            <v>2578</v>
          </cell>
          <cell r="FT48">
            <v>50</v>
          </cell>
          <cell r="FU48">
            <v>10270</v>
          </cell>
          <cell r="FV48">
            <v>1080</v>
          </cell>
          <cell r="FW48">
            <v>0</v>
          </cell>
          <cell r="FX48">
            <v>736</v>
          </cell>
          <cell r="FY48">
            <v>766</v>
          </cell>
          <cell r="FZ48">
            <v>20</v>
          </cell>
          <cell r="GA48">
            <v>1</v>
          </cell>
          <cell r="GB48">
            <v>51</v>
          </cell>
          <cell r="GC48">
            <v>145</v>
          </cell>
          <cell r="GD48">
            <v>506</v>
          </cell>
          <cell r="GE48">
            <v>26</v>
          </cell>
          <cell r="GF48">
            <v>26</v>
          </cell>
          <cell r="GG48">
            <v>317</v>
          </cell>
          <cell r="GH48">
            <v>193</v>
          </cell>
          <cell r="GI48">
            <v>38</v>
          </cell>
          <cell r="GJ48">
            <v>15311</v>
          </cell>
          <cell r="GK48">
            <v>1906</v>
          </cell>
          <cell r="GL48">
            <v>0</v>
          </cell>
          <cell r="GM48">
            <v>14225</v>
          </cell>
          <cell r="GN48">
            <v>1906</v>
          </cell>
          <cell r="GO48">
            <v>0</v>
          </cell>
          <cell r="GP48">
            <v>0</v>
          </cell>
          <cell r="GQ48">
            <v>0</v>
          </cell>
          <cell r="GR48">
            <v>0</v>
          </cell>
          <cell r="GS48">
            <v>794</v>
          </cell>
          <cell r="GT48">
            <v>0</v>
          </cell>
          <cell r="GU48">
            <v>469</v>
          </cell>
          <cell r="GV48">
            <v>125</v>
          </cell>
          <cell r="GW48">
            <v>16</v>
          </cell>
          <cell r="GX48">
            <v>192</v>
          </cell>
          <cell r="GY48">
            <v>0</v>
          </cell>
          <cell r="GZ48">
            <v>105</v>
          </cell>
          <cell r="HA48">
            <v>161</v>
          </cell>
          <cell r="HB48">
            <v>436</v>
          </cell>
          <cell r="HC48">
            <v>0</v>
          </cell>
          <cell r="HD48">
            <v>0</v>
          </cell>
          <cell r="HE48">
            <v>0</v>
          </cell>
          <cell r="HF48">
            <v>2298</v>
          </cell>
          <cell r="HG48">
            <v>0</v>
          </cell>
          <cell r="HH48">
            <v>0</v>
          </cell>
          <cell r="HI48">
            <v>0</v>
          </cell>
          <cell r="HJ48">
            <v>54</v>
          </cell>
          <cell r="HK48">
            <v>36</v>
          </cell>
          <cell r="HL48">
            <v>1546</v>
          </cell>
          <cell r="HM48">
            <v>26</v>
          </cell>
          <cell r="HN48">
            <v>133</v>
          </cell>
          <cell r="HO48">
            <v>23</v>
          </cell>
          <cell r="HP48">
            <v>339</v>
          </cell>
          <cell r="HQ48">
            <v>2</v>
          </cell>
          <cell r="HR48">
            <v>72</v>
          </cell>
          <cell r="HS48">
            <v>347</v>
          </cell>
          <cell r="HT48">
            <v>0</v>
          </cell>
          <cell r="HU48">
            <v>0</v>
          </cell>
          <cell r="HV48">
            <v>0</v>
          </cell>
          <cell r="HW48">
            <v>2578</v>
          </cell>
          <cell r="HX48">
            <v>50</v>
          </cell>
          <cell r="HY48">
            <v>0</v>
          </cell>
          <cell r="HZ48">
            <v>0</v>
          </cell>
          <cell r="IA48">
            <v>2408</v>
          </cell>
          <cell r="IB48">
            <v>85</v>
          </cell>
          <cell r="IC48">
            <v>1815</v>
          </cell>
          <cell r="ID48">
            <v>98</v>
          </cell>
          <cell r="IE48">
            <v>952</v>
          </cell>
          <cell r="IF48">
            <v>600</v>
          </cell>
          <cell r="IG48">
            <v>26</v>
          </cell>
          <cell r="IH48">
            <v>40</v>
          </cell>
          <cell r="II48">
            <v>304</v>
          </cell>
          <cell r="IJ48">
            <v>523</v>
          </cell>
          <cell r="IK48">
            <v>0</v>
          </cell>
          <cell r="IL48">
            <v>0</v>
          </cell>
          <cell r="IM48">
            <v>0</v>
          </cell>
          <cell r="IN48">
            <v>6901</v>
          </cell>
          <cell r="IO48" t="str">
            <v>..</v>
          </cell>
          <cell r="IP48" t="str">
            <v>2 x TRV, 2 x Environmental Pod, 2 x Water Carriers, Unimog, 2 x WRU, Ford Ranger Pump, Welfare Support</v>
          </cell>
          <cell r="IQ48" t="str">
            <v>..</v>
          </cell>
          <cell r="IR48" t="str">
            <v>..</v>
          </cell>
          <cell r="IS48" t="str">
            <v>..</v>
          </cell>
          <cell r="IT48" t="str">
            <v>..</v>
          </cell>
          <cell r="IU48" t="str">
            <v>..</v>
          </cell>
          <cell r="IV48" t="str">
            <v>..</v>
          </cell>
          <cell r="IW48" t="str">
            <v>..</v>
          </cell>
        </row>
        <row r="49">
          <cell r="B49" t="str">
            <v>E6142</v>
          </cell>
          <cell r="C49" t="str">
            <v>Greater Manchester</v>
          </cell>
          <cell r="D49" t="str">
            <v>1</v>
          </cell>
          <cell r="E49">
            <v>35</v>
          </cell>
          <cell r="F49">
            <v>0</v>
          </cell>
          <cell r="G49">
            <v>6</v>
          </cell>
          <cell r="H49">
            <v>0</v>
          </cell>
          <cell r="I49">
            <v>41</v>
          </cell>
          <cell r="J49">
            <v>7</v>
          </cell>
          <cell r="K49">
            <v>35</v>
          </cell>
          <cell r="L49">
            <v>0</v>
          </cell>
          <cell r="M49">
            <v>6</v>
          </cell>
          <cell r="N49">
            <v>0</v>
          </cell>
          <cell r="O49">
            <v>41</v>
          </cell>
          <cell r="P49" t="str">
            <v>..</v>
          </cell>
          <cell r="Q49">
            <v>54</v>
          </cell>
          <cell r="R49">
            <v>54</v>
          </cell>
          <cell r="S49">
            <v>6</v>
          </cell>
          <cell r="T49">
            <v>11</v>
          </cell>
          <cell r="U49">
            <v>0</v>
          </cell>
          <cell r="V49">
            <v>65</v>
          </cell>
          <cell r="W49">
            <v>7</v>
          </cell>
          <cell r="X49">
            <v>143</v>
          </cell>
          <cell r="Y49">
            <v>129</v>
          </cell>
          <cell r="Z49">
            <v>12</v>
          </cell>
          <cell r="AA49">
            <v>2</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v>65809</v>
          </cell>
          <cell r="AV49">
            <v>0</v>
          </cell>
          <cell r="AW49">
            <v>0</v>
          </cell>
          <cell r="AX49">
            <v>10597</v>
          </cell>
          <cell r="AY49">
            <v>864</v>
          </cell>
          <cell r="AZ49">
            <v>1012</v>
          </cell>
          <cell r="BA49">
            <v>78282</v>
          </cell>
          <cell r="BB49">
            <v>4955</v>
          </cell>
          <cell r="BC49">
            <v>2604</v>
          </cell>
          <cell r="BD49">
            <v>6272</v>
          </cell>
          <cell r="BE49">
            <v>6977</v>
          </cell>
          <cell r="BF49">
            <v>2237</v>
          </cell>
          <cell r="BG49">
            <v>0</v>
          </cell>
          <cell r="BH49">
            <v>101327</v>
          </cell>
          <cell r="BI49">
            <v>2048</v>
          </cell>
          <cell r="BJ49">
            <v>0</v>
          </cell>
          <cell r="BK49">
            <v>2140</v>
          </cell>
          <cell r="BL49">
            <v>4188</v>
          </cell>
          <cell r="BM49">
            <v>97139</v>
          </cell>
          <cell r="BN49">
            <v>6061</v>
          </cell>
          <cell r="BO49">
            <v>-27990</v>
          </cell>
          <cell r="BP49">
            <v>0</v>
          </cell>
          <cell r="BQ49">
            <v>1619</v>
          </cell>
          <cell r="BR49">
            <v>0</v>
          </cell>
          <cell r="BS49">
            <v>150</v>
          </cell>
          <cell r="BT49">
            <v>0</v>
          </cell>
          <cell r="BU49">
            <v>0</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v>72435</v>
          </cell>
          <cell r="CI49">
            <v>0</v>
          </cell>
          <cell r="CJ49">
            <v>0</v>
          </cell>
          <cell r="CK49">
            <v>10452</v>
          </cell>
          <cell r="CL49">
            <v>804</v>
          </cell>
          <cell r="CM49">
            <v>1018</v>
          </cell>
          <cell r="CN49">
            <v>84709</v>
          </cell>
          <cell r="CO49">
            <v>4569</v>
          </cell>
          <cell r="CP49">
            <v>2356</v>
          </cell>
          <cell r="CQ49">
            <v>4935</v>
          </cell>
          <cell r="CR49">
            <v>6658</v>
          </cell>
          <cell r="CS49">
            <v>2265</v>
          </cell>
          <cell r="CT49">
            <v>0</v>
          </cell>
          <cell r="CU49">
            <v>105492</v>
          </cell>
          <cell r="CV49">
            <v>743</v>
          </cell>
          <cell r="CW49">
            <v>0</v>
          </cell>
          <cell r="CX49">
            <v>1508</v>
          </cell>
          <cell r="CY49">
            <v>2251</v>
          </cell>
          <cell r="CZ49">
            <v>103241</v>
          </cell>
          <cell r="DA49">
            <v>6400</v>
          </cell>
          <cell r="DB49">
            <v>0</v>
          </cell>
          <cell r="DC49">
            <v>0</v>
          </cell>
          <cell r="DD49">
            <v>1541</v>
          </cell>
          <cell r="DE49">
            <v>0</v>
          </cell>
          <cell r="DF49">
            <v>139</v>
          </cell>
          <cell r="DG49">
            <v>0</v>
          </cell>
          <cell r="DH49">
            <v>0</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v>0</v>
          </cell>
          <cell r="DV49">
            <v>0</v>
          </cell>
          <cell r="DW49">
            <v>21.2</v>
          </cell>
          <cell r="DX49">
            <v>65</v>
          </cell>
          <cell r="DY49">
            <v>45766</v>
          </cell>
          <cell r="DZ49">
            <v>10311</v>
          </cell>
          <cell r="EA49">
            <v>44975</v>
          </cell>
          <cell r="EB49">
            <v>289</v>
          </cell>
          <cell r="EC49">
            <v>0</v>
          </cell>
          <cell r="ED49">
            <v>101341</v>
          </cell>
          <cell r="EE49" t="str">
            <v>..</v>
          </cell>
          <cell r="EF49" t="str">
            <v>..</v>
          </cell>
          <cell r="EG49">
            <v>16787</v>
          </cell>
          <cell r="EH49">
            <v>82736</v>
          </cell>
          <cell r="EI49">
            <v>2237</v>
          </cell>
          <cell r="EJ49">
            <v>379</v>
          </cell>
          <cell r="EK49">
            <v>85352</v>
          </cell>
          <cell r="EL49">
            <v>996</v>
          </cell>
          <cell r="EM49">
            <v>0</v>
          </cell>
          <cell r="EN49">
            <v>65</v>
          </cell>
          <cell r="EO49">
            <v>103200</v>
          </cell>
          <cell r="EP49" t="str">
            <v>..</v>
          </cell>
          <cell r="EQ49" t="str">
            <v>..</v>
          </cell>
          <cell r="ER49">
            <v>2398</v>
          </cell>
          <cell r="ES49">
            <v>0.14284863287067373</v>
          </cell>
          <cell r="ET49">
            <v>16605</v>
          </cell>
          <cell r="EU49">
            <v>0</v>
          </cell>
          <cell r="EV49">
            <v>70</v>
          </cell>
          <cell r="EW49">
            <v>16675</v>
          </cell>
          <cell r="EX49">
            <v>127</v>
          </cell>
          <cell r="EY49">
            <v>0</v>
          </cell>
          <cell r="EZ49">
            <v>0</v>
          </cell>
          <cell r="FA49">
            <v>19200</v>
          </cell>
          <cell r="FB49">
            <v>-6476.8050000000003</v>
          </cell>
          <cell r="FC49">
            <v>-430.73500000000001</v>
          </cell>
          <cell r="FD49">
            <v>0</v>
          </cell>
          <cell r="FE49">
            <v>-5405.5450000000001</v>
          </cell>
          <cell r="FF49">
            <v>-281.48099999999999</v>
          </cell>
          <cell r="FG49">
            <v>43536.288999999997</v>
          </cell>
          <cell r="FH49">
            <v>8036.9189999999999</v>
          </cell>
          <cell r="FI49">
            <v>110.298</v>
          </cell>
          <cell r="FJ49">
            <v>39088.94</v>
          </cell>
          <cell r="FK49">
            <v>2079.8220000000001</v>
          </cell>
          <cell r="FL49">
            <v>0</v>
          </cell>
          <cell r="FM49">
            <v>-10938.56</v>
          </cell>
          <cell r="FN49">
            <v>-404.07600000000002</v>
          </cell>
          <cell r="FO49">
            <v>0</v>
          </cell>
          <cell r="FP49">
            <v>-5319.0870000000004</v>
          </cell>
          <cell r="FQ49">
            <v>-100</v>
          </cell>
          <cell r="FR49">
            <v>44985.540999999997</v>
          </cell>
          <cell r="FS49">
            <v>9172.8940000000002</v>
          </cell>
          <cell r="FT49">
            <v>0</v>
          </cell>
          <cell r="FU49">
            <v>37396.712</v>
          </cell>
          <cell r="FV49">
            <v>2119.9380000000001</v>
          </cell>
          <cell r="FW49">
            <v>0</v>
          </cell>
          <cell r="FX49">
            <v>2768</v>
          </cell>
          <cell r="FY49">
            <v>2812</v>
          </cell>
          <cell r="FZ49">
            <v>66</v>
          </cell>
          <cell r="GA49">
            <v>4</v>
          </cell>
          <cell r="GB49">
            <v>206</v>
          </cell>
          <cell r="GC49">
            <v>1</v>
          </cell>
          <cell r="GD49">
            <v>1099</v>
          </cell>
          <cell r="GE49">
            <v>0</v>
          </cell>
          <cell r="GF49">
            <v>160</v>
          </cell>
          <cell r="GG49">
            <v>147</v>
          </cell>
          <cell r="GH49">
            <v>90</v>
          </cell>
          <cell r="GI49">
            <v>3</v>
          </cell>
          <cell r="GJ49">
            <v>27541</v>
          </cell>
          <cell r="GK49">
            <v>15173</v>
          </cell>
          <cell r="GL49">
            <v>975</v>
          </cell>
          <cell r="GM49">
            <v>22776</v>
          </cell>
          <cell r="GN49">
            <v>11664</v>
          </cell>
          <cell r="GO49">
            <v>2351</v>
          </cell>
          <cell r="GP49">
            <v>0</v>
          </cell>
          <cell r="GQ49">
            <v>0</v>
          </cell>
          <cell r="GR49">
            <v>926.79100000000005</v>
          </cell>
          <cell r="GS49">
            <v>1132.9580000000001</v>
          </cell>
          <cell r="GT49">
            <v>31.920999999999999</v>
          </cell>
          <cell r="GU49">
            <v>1203.8610000000001</v>
          </cell>
          <cell r="GV49">
            <v>0</v>
          </cell>
          <cell r="GW49">
            <v>0</v>
          </cell>
          <cell r="GX49">
            <v>0</v>
          </cell>
          <cell r="GY49">
            <v>0</v>
          </cell>
          <cell r="GZ49">
            <v>285.78199999999998</v>
          </cell>
          <cell r="HA49">
            <v>0</v>
          </cell>
          <cell r="HB49">
            <v>656.64599999999996</v>
          </cell>
          <cell r="HC49">
            <v>0</v>
          </cell>
          <cell r="HD49">
            <v>0</v>
          </cell>
          <cell r="HE49">
            <v>0</v>
          </cell>
          <cell r="HF49">
            <v>4237.9589999999998</v>
          </cell>
          <cell r="HG49">
            <v>0</v>
          </cell>
          <cell r="HH49">
            <v>0</v>
          </cell>
          <cell r="HI49">
            <v>0</v>
          </cell>
          <cell r="HJ49">
            <v>358.86200000000002</v>
          </cell>
          <cell r="HK49">
            <v>0</v>
          </cell>
          <cell r="HL49">
            <v>4088.4430000000002</v>
          </cell>
          <cell r="HM49">
            <v>0</v>
          </cell>
          <cell r="HN49">
            <v>0</v>
          </cell>
          <cell r="HO49">
            <v>0</v>
          </cell>
          <cell r="HP49">
            <v>0</v>
          </cell>
          <cell r="HQ49">
            <v>173.542</v>
          </cell>
          <cell r="HR49">
            <v>0</v>
          </cell>
          <cell r="HS49">
            <v>345.505</v>
          </cell>
          <cell r="HT49">
            <v>0</v>
          </cell>
          <cell r="HU49">
            <v>0</v>
          </cell>
          <cell r="HV49">
            <v>0</v>
          </cell>
          <cell r="HW49">
            <v>4966.3520000000008</v>
          </cell>
          <cell r="HX49">
            <v>0</v>
          </cell>
          <cell r="HY49">
            <v>0</v>
          </cell>
          <cell r="HZ49">
            <v>0</v>
          </cell>
          <cell r="IA49">
            <v>1346.229</v>
          </cell>
          <cell r="IB49">
            <v>150</v>
          </cell>
          <cell r="IC49">
            <v>3176.9679999999998</v>
          </cell>
          <cell r="ID49">
            <v>234</v>
          </cell>
          <cell r="IE49">
            <v>0</v>
          </cell>
          <cell r="IF49">
            <v>0</v>
          </cell>
          <cell r="IG49">
            <v>0</v>
          </cell>
          <cell r="IH49">
            <v>200</v>
          </cell>
          <cell r="II49">
            <v>0</v>
          </cell>
          <cell r="IJ49">
            <v>639.88300000000004</v>
          </cell>
          <cell r="IK49">
            <v>0</v>
          </cell>
          <cell r="IL49">
            <v>0</v>
          </cell>
          <cell r="IM49">
            <v>55</v>
          </cell>
          <cell r="IN49">
            <v>5802.08</v>
          </cell>
          <cell r="IO49" t="str">
            <v>Ambulance - Atherton, Irlam , Hindley, Whitefield,Leigh, Phillips Park, Wigan</v>
          </cell>
          <cell r="IP49" t="str">
            <v>4 x TRU vehicles plus 1 x spare TRU. 6 x Mercedes Sprinter Van Appliances used for TRU support and Wildfire Applications.</v>
          </cell>
          <cell r="IQ49" t="str">
            <v xml:space="preserve">North West Fire Control </v>
          </cell>
          <cell r="IR49">
            <v>0</v>
          </cell>
          <cell r="IS49">
            <v>0</v>
          </cell>
          <cell r="IT49" t="str">
            <v>..</v>
          </cell>
          <cell r="IU49" t="str">
            <v>..</v>
          </cell>
          <cell r="IV49" t="str">
            <v>..</v>
          </cell>
          <cell r="IW49" t="str">
            <v>Atherton-Hindley-Irlam-Leigh-Philips Park-Whitefield- Wigan= shared with NWAS</v>
          </cell>
        </row>
        <row r="50">
          <cell r="B50" t="str">
            <v>E6143</v>
          </cell>
          <cell r="C50" t="str">
            <v>Merseyside</v>
          </cell>
          <cell r="D50" t="str">
            <v>1</v>
          </cell>
          <cell r="E50">
            <v>12</v>
          </cell>
          <cell r="F50">
            <v>0</v>
          </cell>
          <cell r="G50">
            <v>11</v>
          </cell>
          <cell r="H50">
            <v>0</v>
          </cell>
          <cell r="I50">
            <v>23</v>
          </cell>
          <cell r="J50">
            <v>7</v>
          </cell>
          <cell r="K50">
            <v>12</v>
          </cell>
          <cell r="L50">
            <v>0</v>
          </cell>
          <cell r="M50">
            <v>11</v>
          </cell>
          <cell r="N50">
            <v>0</v>
          </cell>
          <cell r="O50">
            <v>23</v>
          </cell>
          <cell r="P50">
            <v>7</v>
          </cell>
          <cell r="Q50">
            <v>30</v>
          </cell>
          <cell r="R50">
            <v>29</v>
          </cell>
          <cell r="S50">
            <v>4</v>
          </cell>
          <cell r="T50">
            <v>31</v>
          </cell>
          <cell r="U50">
            <v>46</v>
          </cell>
          <cell r="V50">
            <v>0</v>
          </cell>
          <cell r="W50">
            <v>16</v>
          </cell>
          <cell r="X50">
            <v>126</v>
          </cell>
          <cell r="Y50">
            <v>117</v>
          </cell>
          <cell r="Z50">
            <v>9</v>
          </cell>
          <cell r="AA50">
            <v>6</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v>30809</v>
          </cell>
          <cell r="AV50">
            <v>710</v>
          </cell>
          <cell r="AW50">
            <v>1281</v>
          </cell>
          <cell r="AX50">
            <v>9680</v>
          </cell>
          <cell r="AY50">
            <v>1609</v>
          </cell>
          <cell r="AZ50">
            <v>731</v>
          </cell>
          <cell r="BA50">
            <v>44820</v>
          </cell>
          <cell r="BB50">
            <v>4075</v>
          </cell>
          <cell r="BC50">
            <v>7682</v>
          </cell>
          <cell r="BD50">
            <v>5305</v>
          </cell>
          <cell r="BE50">
            <v>645</v>
          </cell>
          <cell r="BF50">
            <v>0</v>
          </cell>
          <cell r="BG50">
            <v>3143</v>
          </cell>
          <cell r="BH50">
            <v>65670</v>
          </cell>
          <cell r="BI50">
            <v>14882</v>
          </cell>
          <cell r="BJ50">
            <v>907</v>
          </cell>
          <cell r="BK50">
            <v>2546</v>
          </cell>
          <cell r="BL50">
            <v>18335</v>
          </cell>
          <cell r="BM50">
            <v>47335</v>
          </cell>
          <cell r="BN50">
            <v>11444</v>
          </cell>
          <cell r="BO50">
            <v>5156</v>
          </cell>
          <cell r="BP50">
            <v>1665</v>
          </cell>
          <cell r="BQ50">
            <v>7830</v>
          </cell>
          <cell r="BR50">
            <v>0</v>
          </cell>
          <cell r="BS50">
            <v>1985</v>
          </cell>
          <cell r="BT50">
            <v>266</v>
          </cell>
          <cell r="BU50">
            <v>363</v>
          </cell>
          <cell r="BV50">
            <v>0</v>
          </cell>
          <cell r="BW50">
            <v>0</v>
          </cell>
          <cell r="BX50">
            <v>0</v>
          </cell>
          <cell r="BY50">
            <v>0</v>
          </cell>
          <cell r="BZ50">
            <v>0</v>
          </cell>
          <cell r="CA50">
            <v>0</v>
          </cell>
          <cell r="CB50">
            <v>0</v>
          </cell>
          <cell r="CC50">
            <v>907</v>
          </cell>
          <cell r="CD50">
            <v>0</v>
          </cell>
          <cell r="CE50">
            <v>0</v>
          </cell>
          <cell r="CF50">
            <v>0</v>
          </cell>
          <cell r="CG50">
            <v>907</v>
          </cell>
          <cell r="CH50">
            <v>34875</v>
          </cell>
          <cell r="CI50">
            <v>1160</v>
          </cell>
          <cell r="CJ50">
            <v>1386</v>
          </cell>
          <cell r="CK50">
            <v>10067</v>
          </cell>
          <cell r="CL50">
            <v>1801</v>
          </cell>
          <cell r="CM50">
            <v>471</v>
          </cell>
          <cell r="CN50">
            <v>49760</v>
          </cell>
          <cell r="CO50">
            <v>3883</v>
          </cell>
          <cell r="CP50">
            <v>7930</v>
          </cell>
          <cell r="CQ50">
            <v>5170</v>
          </cell>
          <cell r="CR50">
            <v>613</v>
          </cell>
          <cell r="CS50">
            <v>0</v>
          </cell>
          <cell r="CT50">
            <v>3214</v>
          </cell>
          <cell r="CU50">
            <v>70570</v>
          </cell>
          <cell r="CV50">
            <v>16998</v>
          </cell>
          <cell r="CW50">
            <v>868</v>
          </cell>
          <cell r="CX50">
            <v>2083</v>
          </cell>
          <cell r="CY50">
            <v>19949</v>
          </cell>
          <cell r="CZ50">
            <v>50621</v>
          </cell>
          <cell r="DA50">
            <v>6000</v>
          </cell>
          <cell r="DB50">
            <v>5000</v>
          </cell>
          <cell r="DC50">
            <v>1875</v>
          </cell>
          <cell r="DD50">
            <v>4640</v>
          </cell>
          <cell r="DE50">
            <v>0</v>
          </cell>
          <cell r="DF50">
            <v>2076</v>
          </cell>
          <cell r="DG50">
            <v>172</v>
          </cell>
          <cell r="DH50">
            <v>394</v>
          </cell>
          <cell r="DI50">
            <v>0</v>
          </cell>
          <cell r="DJ50">
            <v>0</v>
          </cell>
          <cell r="DK50">
            <v>0</v>
          </cell>
          <cell r="DL50">
            <v>0</v>
          </cell>
          <cell r="DM50">
            <v>0</v>
          </cell>
          <cell r="DN50">
            <v>0</v>
          </cell>
          <cell r="DO50">
            <v>0</v>
          </cell>
          <cell r="DP50">
            <v>868</v>
          </cell>
          <cell r="DQ50">
            <v>0</v>
          </cell>
          <cell r="DR50">
            <v>0</v>
          </cell>
          <cell r="DS50">
            <v>0</v>
          </cell>
          <cell r="DT50">
            <v>868</v>
          </cell>
          <cell r="DU50">
            <v>0</v>
          </cell>
          <cell r="DV50">
            <v>8</v>
          </cell>
          <cell r="DW50">
            <v>15.2</v>
          </cell>
          <cell r="DX50">
            <v>0</v>
          </cell>
          <cell r="DY50">
            <v>26586</v>
          </cell>
          <cell r="DZ50">
            <v>4227</v>
          </cell>
          <cell r="EA50">
            <v>29224</v>
          </cell>
          <cell r="EB50">
            <v>166</v>
          </cell>
          <cell r="EC50">
            <v>79</v>
          </cell>
          <cell r="ED50">
            <v>60282</v>
          </cell>
          <cell r="EE50" t="str">
            <v>..</v>
          </cell>
          <cell r="EF50" t="str">
            <v>..</v>
          </cell>
          <cell r="EG50">
            <v>7012</v>
          </cell>
          <cell r="EH50" t="str">
            <v>..</v>
          </cell>
          <cell r="EI50" t="str">
            <v>..</v>
          </cell>
          <cell r="EJ50" t="str">
            <v>..</v>
          </cell>
          <cell r="EK50">
            <v>50717</v>
          </cell>
          <cell r="EL50">
            <v>0</v>
          </cell>
          <cell r="EM50">
            <v>1050</v>
          </cell>
          <cell r="EN50">
            <v>0</v>
          </cell>
          <cell r="EO50">
            <v>58779</v>
          </cell>
          <cell r="EP50">
            <v>0</v>
          </cell>
          <cell r="EQ50">
            <v>0</v>
          </cell>
          <cell r="ER50">
            <v>2000</v>
          </cell>
          <cell r="ES50">
            <v>0.2852253280091272</v>
          </cell>
          <cell r="ET50">
            <v>0</v>
          </cell>
          <cell r="EU50">
            <v>0</v>
          </cell>
          <cell r="EV50">
            <v>0</v>
          </cell>
          <cell r="EW50">
            <v>14000</v>
          </cell>
          <cell r="EX50">
            <v>0</v>
          </cell>
          <cell r="EY50">
            <v>500</v>
          </cell>
          <cell r="EZ50">
            <v>0</v>
          </cell>
          <cell r="FA50">
            <v>16500</v>
          </cell>
          <cell r="FB50">
            <v>-3537</v>
          </cell>
          <cell r="FC50">
            <v>-314</v>
          </cell>
          <cell r="FD50">
            <v>0</v>
          </cell>
          <cell r="FE50">
            <v>-2773</v>
          </cell>
          <cell r="FF50">
            <v>-118</v>
          </cell>
          <cell r="FG50">
            <v>30117</v>
          </cell>
          <cell r="FH50">
            <v>7811</v>
          </cell>
          <cell r="FI50">
            <v>0</v>
          </cell>
          <cell r="FJ50">
            <v>31186</v>
          </cell>
          <cell r="FK50">
            <v>1751</v>
          </cell>
          <cell r="FL50">
            <v>0</v>
          </cell>
          <cell r="FM50">
            <v>-6487</v>
          </cell>
          <cell r="FN50">
            <v>-332</v>
          </cell>
          <cell r="FO50">
            <v>0</v>
          </cell>
          <cell r="FP50">
            <v>-2755</v>
          </cell>
          <cell r="FQ50">
            <v>-121</v>
          </cell>
          <cell r="FR50">
            <v>31485</v>
          </cell>
          <cell r="FS50">
            <v>5363</v>
          </cell>
          <cell r="FT50">
            <v>0</v>
          </cell>
          <cell r="FU50">
            <v>27153</v>
          </cell>
          <cell r="FV50">
            <v>1755</v>
          </cell>
          <cell r="FW50">
            <v>0</v>
          </cell>
          <cell r="FX50">
            <v>1983</v>
          </cell>
          <cell r="FY50">
            <v>1986</v>
          </cell>
          <cell r="FZ50">
            <v>61</v>
          </cell>
          <cell r="GA50">
            <v>2</v>
          </cell>
          <cell r="GB50">
            <v>194</v>
          </cell>
          <cell r="GC50">
            <v>2</v>
          </cell>
          <cell r="GD50">
            <v>607</v>
          </cell>
          <cell r="GE50">
            <v>0</v>
          </cell>
          <cell r="GF50">
            <v>83</v>
          </cell>
          <cell r="GG50">
            <v>55</v>
          </cell>
          <cell r="GH50">
            <v>14</v>
          </cell>
          <cell r="GI50">
            <v>1</v>
          </cell>
          <cell r="GJ50">
            <v>25715</v>
          </cell>
          <cell r="GK50">
            <v>2000</v>
          </cell>
          <cell r="GL50">
            <v>948</v>
          </cell>
          <cell r="GM50">
            <v>23064</v>
          </cell>
          <cell r="GN50">
            <v>2000</v>
          </cell>
          <cell r="GO50">
            <v>1155</v>
          </cell>
          <cell r="GP50">
            <v>0</v>
          </cell>
          <cell r="GQ50">
            <v>0</v>
          </cell>
          <cell r="GR50">
            <v>5271</v>
          </cell>
          <cell r="GS50">
            <v>785</v>
          </cell>
          <cell r="GT50">
            <v>0</v>
          </cell>
          <cell r="GU50">
            <v>2047</v>
          </cell>
          <cell r="GV50">
            <v>244</v>
          </cell>
          <cell r="GW50">
            <v>0</v>
          </cell>
          <cell r="GX50">
            <v>0</v>
          </cell>
          <cell r="GY50">
            <v>205</v>
          </cell>
          <cell r="GZ50">
            <v>324</v>
          </cell>
          <cell r="HA50">
            <v>374</v>
          </cell>
          <cell r="HB50">
            <v>251</v>
          </cell>
          <cell r="HC50">
            <v>658</v>
          </cell>
          <cell r="HD50">
            <v>0</v>
          </cell>
          <cell r="HE50">
            <v>0</v>
          </cell>
          <cell r="HF50">
            <v>10159</v>
          </cell>
          <cell r="HG50">
            <v>0</v>
          </cell>
          <cell r="HH50">
            <v>0</v>
          </cell>
          <cell r="HI50">
            <v>5163</v>
          </cell>
          <cell r="HJ50">
            <v>733</v>
          </cell>
          <cell r="HK50">
            <v>0</v>
          </cell>
          <cell r="HL50">
            <v>1047</v>
          </cell>
          <cell r="HM50">
            <v>227</v>
          </cell>
          <cell r="HN50">
            <v>84</v>
          </cell>
          <cell r="HO50">
            <v>0</v>
          </cell>
          <cell r="HP50">
            <v>243</v>
          </cell>
          <cell r="HQ50">
            <v>700</v>
          </cell>
          <cell r="HR50">
            <v>198</v>
          </cell>
          <cell r="HS50">
            <v>473</v>
          </cell>
          <cell r="HT50">
            <v>829</v>
          </cell>
          <cell r="HU50">
            <v>0</v>
          </cell>
          <cell r="HV50">
            <v>0</v>
          </cell>
          <cell r="HW50">
            <v>9697</v>
          </cell>
          <cell r="HX50">
            <v>0</v>
          </cell>
          <cell r="HY50">
            <v>0</v>
          </cell>
          <cell r="HZ50">
            <v>7878</v>
          </cell>
          <cell r="IA50">
            <v>4369</v>
          </cell>
          <cell r="IB50">
            <v>0</v>
          </cell>
          <cell r="IC50">
            <v>2823</v>
          </cell>
          <cell r="ID50">
            <v>831</v>
          </cell>
          <cell r="IE50">
            <v>21</v>
          </cell>
          <cell r="IF50">
            <v>0</v>
          </cell>
          <cell r="IG50">
            <v>1119</v>
          </cell>
          <cell r="IH50">
            <v>881</v>
          </cell>
          <cell r="II50">
            <v>265</v>
          </cell>
          <cell r="IJ50">
            <v>898</v>
          </cell>
          <cell r="IK50">
            <v>2417</v>
          </cell>
          <cell r="IL50">
            <v>0</v>
          </cell>
          <cell r="IM50">
            <v>0</v>
          </cell>
          <cell r="IN50">
            <v>21502</v>
          </cell>
          <cell r="IO50" t="str">
            <v>North West Ambulance Service, Merseyside Police</v>
          </cell>
          <cell r="IP50" t="str">
            <v>7 prime movers, 1 crane lorry, 1 MTFA, 2 wildfire, 2 rescue boats, 1 hovercraft, 2 water rescue vehicles, 1 CSU, 14 PODS</v>
          </cell>
          <cell r="IQ50" t="str">
            <v>..</v>
          </cell>
          <cell r="IR50" t="str">
            <v>ICT £1869   PFI £680  Pensions £119  Mgmt £475</v>
          </cell>
          <cell r="IS50" t="str">
            <v>Shared accommodation with Police, Ambulance, etc.</v>
          </cell>
          <cell r="IT50" t="str">
            <v>..</v>
          </cell>
          <cell r="IU50" t="str">
            <v>..</v>
          </cell>
          <cell r="IV50" t="str">
            <v>..</v>
          </cell>
          <cell r="IW50" t="str">
            <v>North West Ambulance Service, Merseyside Police</v>
          </cell>
        </row>
        <row r="51">
          <cell r="B51" t="str">
            <v>E6144</v>
          </cell>
          <cell r="C51" t="str">
            <v>South Yorkshire</v>
          </cell>
          <cell r="D51">
            <v>1</v>
          </cell>
          <cell r="E51">
            <v>14</v>
          </cell>
          <cell r="F51">
            <v>4</v>
          </cell>
          <cell r="G51">
            <v>3</v>
          </cell>
          <cell r="H51">
            <v>0</v>
          </cell>
          <cell r="I51">
            <v>21</v>
          </cell>
          <cell r="J51">
            <v>1</v>
          </cell>
          <cell r="K51">
            <v>14</v>
          </cell>
          <cell r="L51">
            <v>4</v>
          </cell>
          <cell r="M51">
            <v>3</v>
          </cell>
          <cell r="N51">
            <v>0</v>
          </cell>
          <cell r="O51">
            <v>21</v>
          </cell>
          <cell r="P51">
            <v>1</v>
          </cell>
          <cell r="Q51">
            <v>27</v>
          </cell>
          <cell r="R51">
            <v>27</v>
          </cell>
          <cell r="S51">
            <v>2</v>
          </cell>
          <cell r="T51">
            <v>9</v>
          </cell>
          <cell r="U51">
            <v>39</v>
          </cell>
          <cell r="V51">
            <v>0</v>
          </cell>
          <cell r="W51">
            <v>4</v>
          </cell>
          <cell r="X51">
            <v>81</v>
          </cell>
          <cell r="Y51">
            <v>101</v>
          </cell>
          <cell r="Z51">
            <v>4</v>
          </cell>
          <cell r="AA51">
            <v>3</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v>27683</v>
          </cell>
          <cell r="AV51">
            <v>1346</v>
          </cell>
          <cell r="AW51">
            <v>1241</v>
          </cell>
          <cell r="AX51">
            <v>7137</v>
          </cell>
          <cell r="AY51">
            <v>466</v>
          </cell>
          <cell r="AZ51">
            <v>1245</v>
          </cell>
          <cell r="BA51">
            <v>39118</v>
          </cell>
          <cell r="BB51">
            <v>3280</v>
          </cell>
          <cell r="BC51">
            <v>1036</v>
          </cell>
          <cell r="BD51">
            <v>5470</v>
          </cell>
          <cell r="BE51">
            <v>121</v>
          </cell>
          <cell r="BF51">
            <v>374</v>
          </cell>
          <cell r="BG51">
            <v>0</v>
          </cell>
          <cell r="BH51">
            <v>49399</v>
          </cell>
          <cell r="BI51">
            <v>411</v>
          </cell>
          <cell r="BJ51">
            <v>0</v>
          </cell>
          <cell r="BK51">
            <v>1102</v>
          </cell>
          <cell r="BL51">
            <v>1513</v>
          </cell>
          <cell r="BM51">
            <v>47886</v>
          </cell>
          <cell r="BN51">
            <v>4299</v>
          </cell>
          <cell r="BO51">
            <v>40512</v>
          </cell>
          <cell r="BP51">
            <v>0</v>
          </cell>
          <cell r="BQ51">
            <v>959</v>
          </cell>
          <cell r="BR51">
            <v>266</v>
          </cell>
          <cell r="BS51">
            <v>1067</v>
          </cell>
          <cell r="BT51">
            <v>-91</v>
          </cell>
          <cell r="BU51">
            <v>0</v>
          </cell>
          <cell r="BV51">
            <v>376</v>
          </cell>
          <cell r="BW51">
            <v>0</v>
          </cell>
          <cell r="BX51">
            <v>0</v>
          </cell>
          <cell r="BY51">
            <v>1630</v>
          </cell>
          <cell r="BZ51">
            <v>0</v>
          </cell>
          <cell r="CA51">
            <v>1</v>
          </cell>
          <cell r="CB51">
            <v>2007</v>
          </cell>
          <cell r="CC51">
            <v>21</v>
          </cell>
          <cell r="CD51">
            <v>329</v>
          </cell>
          <cell r="CE51">
            <v>584</v>
          </cell>
          <cell r="CF51">
            <v>0</v>
          </cell>
          <cell r="CG51">
            <v>159</v>
          </cell>
          <cell r="CH51">
            <v>31633</v>
          </cell>
          <cell r="CI51">
            <v>1533</v>
          </cell>
          <cell r="CJ51">
            <v>1236</v>
          </cell>
          <cell r="CK51">
            <v>7529</v>
          </cell>
          <cell r="CL51">
            <v>475</v>
          </cell>
          <cell r="CM51">
            <v>1167</v>
          </cell>
          <cell r="CN51">
            <v>43573</v>
          </cell>
          <cell r="CO51">
            <v>2963</v>
          </cell>
          <cell r="CP51">
            <v>945</v>
          </cell>
          <cell r="CQ51">
            <v>4131</v>
          </cell>
          <cell r="CR51">
            <v>132</v>
          </cell>
          <cell r="CS51">
            <v>326</v>
          </cell>
          <cell r="CT51">
            <v>0</v>
          </cell>
          <cell r="CU51">
            <v>52070</v>
          </cell>
          <cell r="CV51">
            <v>246</v>
          </cell>
          <cell r="CW51">
            <v>0</v>
          </cell>
          <cell r="CX51">
            <v>1026</v>
          </cell>
          <cell r="CY51">
            <v>1272</v>
          </cell>
          <cell r="CZ51">
            <v>50798</v>
          </cell>
          <cell r="DA51">
            <v>2766</v>
          </cell>
          <cell r="DB51">
            <v>40512</v>
          </cell>
          <cell r="DC51">
            <v>0</v>
          </cell>
          <cell r="DD51">
            <v>1035</v>
          </cell>
          <cell r="DE51">
            <v>158</v>
          </cell>
          <cell r="DF51">
            <v>1013</v>
          </cell>
          <cell r="DG51">
            <v>-91</v>
          </cell>
          <cell r="DH51">
            <v>0</v>
          </cell>
          <cell r="DI51">
            <v>456</v>
          </cell>
          <cell r="DJ51">
            <v>0</v>
          </cell>
          <cell r="DK51">
            <v>0</v>
          </cell>
          <cell r="DL51">
            <v>2115</v>
          </cell>
          <cell r="DM51">
            <v>0</v>
          </cell>
          <cell r="DN51">
            <v>1</v>
          </cell>
          <cell r="DO51">
            <v>2572</v>
          </cell>
          <cell r="DP51">
            <v>79</v>
          </cell>
          <cell r="DQ51">
            <v>261</v>
          </cell>
          <cell r="DR51">
            <v>829</v>
          </cell>
          <cell r="DS51">
            <v>0</v>
          </cell>
          <cell r="DT51">
            <v>244</v>
          </cell>
          <cell r="DU51">
            <v>0</v>
          </cell>
          <cell r="DV51">
            <v>0</v>
          </cell>
          <cell r="DW51">
            <v>13.9</v>
          </cell>
          <cell r="DX51">
            <v>555</v>
          </cell>
          <cell r="DY51">
            <v>11575</v>
          </cell>
          <cell r="DZ51">
            <v>15622</v>
          </cell>
          <cell r="EA51">
            <v>26027</v>
          </cell>
          <cell r="EB51">
            <v>762</v>
          </cell>
          <cell r="EC51">
            <v>236</v>
          </cell>
          <cell r="ED51">
            <v>54222</v>
          </cell>
          <cell r="EE51">
            <v>1491</v>
          </cell>
          <cell r="EF51">
            <v>2782</v>
          </cell>
          <cell r="EG51">
            <v>4273</v>
          </cell>
          <cell r="EH51">
            <v>37654</v>
          </cell>
          <cell r="EI51">
            <v>2797</v>
          </cell>
          <cell r="EJ51">
            <v>484</v>
          </cell>
          <cell r="EK51">
            <v>40935</v>
          </cell>
          <cell r="EL51">
            <v>377</v>
          </cell>
          <cell r="EM51">
            <v>273</v>
          </cell>
          <cell r="EN51">
            <v>6327</v>
          </cell>
          <cell r="EO51">
            <v>52185</v>
          </cell>
          <cell r="EP51">
            <v>431</v>
          </cell>
          <cell r="EQ51">
            <v>862</v>
          </cell>
          <cell r="ER51">
            <v>1293</v>
          </cell>
          <cell r="ES51">
            <v>0.30259770652937046</v>
          </cell>
          <cell r="ET51">
            <v>11787</v>
          </cell>
          <cell r="EU51">
            <v>862</v>
          </cell>
          <cell r="EV51">
            <v>144</v>
          </cell>
          <cell r="EW51">
            <v>12793</v>
          </cell>
          <cell r="EX51">
            <v>144</v>
          </cell>
          <cell r="EY51">
            <v>144</v>
          </cell>
          <cell r="EZ51">
            <v>0</v>
          </cell>
          <cell r="FA51">
            <v>14374</v>
          </cell>
          <cell r="FB51">
            <v>-3222</v>
          </cell>
          <cell r="FC51">
            <v>-60</v>
          </cell>
          <cell r="FD51">
            <v>0</v>
          </cell>
          <cell r="FE51">
            <v>-2642</v>
          </cell>
          <cell r="FF51">
            <v>-196</v>
          </cell>
          <cell r="FG51">
            <v>20715</v>
          </cell>
          <cell r="FH51">
            <v>4314</v>
          </cell>
          <cell r="FI51">
            <v>0</v>
          </cell>
          <cell r="FJ51">
            <v>18909</v>
          </cell>
          <cell r="FK51">
            <v>669</v>
          </cell>
          <cell r="FL51">
            <v>0</v>
          </cell>
          <cell r="FM51">
            <v>-6061</v>
          </cell>
          <cell r="FN51">
            <v>-20</v>
          </cell>
          <cell r="FO51">
            <v>0</v>
          </cell>
          <cell r="FP51">
            <v>-2726</v>
          </cell>
          <cell r="FQ51">
            <v>0</v>
          </cell>
          <cell r="FR51">
            <v>21829</v>
          </cell>
          <cell r="FS51">
            <v>4925</v>
          </cell>
          <cell r="FT51">
            <v>0</v>
          </cell>
          <cell r="FU51">
            <v>17947</v>
          </cell>
          <cell r="FV51">
            <v>726</v>
          </cell>
          <cell r="FW51">
            <v>0</v>
          </cell>
          <cell r="FX51">
            <v>1286</v>
          </cell>
          <cell r="FY51">
            <v>1334</v>
          </cell>
          <cell r="FZ51">
            <v>28</v>
          </cell>
          <cell r="GA51">
            <v>0</v>
          </cell>
          <cell r="GB51">
            <v>113</v>
          </cell>
          <cell r="GC51">
            <v>0</v>
          </cell>
          <cell r="GD51">
            <v>504</v>
          </cell>
          <cell r="GE51">
            <v>5</v>
          </cell>
          <cell r="GF51">
            <v>52</v>
          </cell>
          <cell r="GG51">
            <v>36</v>
          </cell>
          <cell r="GH51">
            <v>7</v>
          </cell>
          <cell r="GI51">
            <v>5</v>
          </cell>
          <cell r="GJ51">
            <v>17400</v>
          </cell>
          <cell r="GK51">
            <v>7117</v>
          </cell>
          <cell r="GL51">
            <v>196</v>
          </cell>
          <cell r="GM51">
            <v>17289</v>
          </cell>
          <cell r="GN51">
            <v>5604</v>
          </cell>
          <cell r="GO51">
            <v>410</v>
          </cell>
          <cell r="GP51">
            <v>44</v>
          </cell>
          <cell r="GQ51">
            <v>0</v>
          </cell>
          <cell r="GR51">
            <v>599</v>
          </cell>
          <cell r="GS51">
            <v>1175</v>
          </cell>
          <cell r="GT51">
            <v>0</v>
          </cell>
          <cell r="GU51">
            <v>378</v>
          </cell>
          <cell r="GV51">
            <v>97</v>
          </cell>
          <cell r="GW51">
            <v>0</v>
          </cell>
          <cell r="GX51">
            <v>171</v>
          </cell>
          <cell r="GY51">
            <v>58</v>
          </cell>
          <cell r="GZ51">
            <v>241</v>
          </cell>
          <cell r="HA51">
            <v>136</v>
          </cell>
          <cell r="HB51">
            <v>219</v>
          </cell>
          <cell r="HC51">
            <v>0</v>
          </cell>
          <cell r="HD51">
            <v>0</v>
          </cell>
          <cell r="HE51">
            <v>0</v>
          </cell>
          <cell r="HF51">
            <v>3118</v>
          </cell>
          <cell r="HG51">
            <v>18</v>
          </cell>
          <cell r="HH51">
            <v>0</v>
          </cell>
          <cell r="HI51">
            <v>130</v>
          </cell>
          <cell r="HJ51">
            <v>555</v>
          </cell>
          <cell r="HK51">
            <v>29</v>
          </cell>
          <cell r="HL51">
            <v>163</v>
          </cell>
          <cell r="HM51">
            <v>32</v>
          </cell>
          <cell r="HN51">
            <v>0</v>
          </cell>
          <cell r="HO51">
            <v>33</v>
          </cell>
          <cell r="HP51">
            <v>225</v>
          </cell>
          <cell r="HQ51">
            <v>376</v>
          </cell>
          <cell r="HR51">
            <v>0</v>
          </cell>
          <cell r="HS51">
            <v>498</v>
          </cell>
          <cell r="HT51">
            <v>0</v>
          </cell>
          <cell r="HU51">
            <v>0</v>
          </cell>
          <cell r="HV51">
            <v>0</v>
          </cell>
          <cell r="HW51">
            <v>2059</v>
          </cell>
          <cell r="HX51">
            <v>115</v>
          </cell>
          <cell r="HY51">
            <v>0</v>
          </cell>
          <cell r="HZ51">
            <v>2895</v>
          </cell>
          <cell r="IA51">
            <v>2609</v>
          </cell>
          <cell r="IB51">
            <v>11</v>
          </cell>
          <cell r="IC51">
            <v>1401</v>
          </cell>
          <cell r="ID51">
            <v>406</v>
          </cell>
          <cell r="IE51">
            <v>0</v>
          </cell>
          <cell r="IF51">
            <v>0</v>
          </cell>
          <cell r="IG51">
            <v>341</v>
          </cell>
          <cell r="IH51">
            <v>752</v>
          </cell>
          <cell r="II51">
            <v>0</v>
          </cell>
          <cell r="IJ51">
            <v>522</v>
          </cell>
          <cell r="IK51">
            <v>0</v>
          </cell>
          <cell r="IL51">
            <v>0</v>
          </cell>
          <cell r="IM51">
            <v>0</v>
          </cell>
          <cell r="IN51">
            <v>9052</v>
          </cell>
          <cell r="IO51" t="str">
            <v>Maltby Fire Station is a shared building with South Yorkshire Police</v>
          </cell>
          <cell r="IP51" t="str">
            <v>..</v>
          </cell>
          <cell r="IQ51" t="str">
            <v>..</v>
          </cell>
          <cell r="IR51" t="str">
            <v>..</v>
          </cell>
          <cell r="IS51" t="str">
            <v>..</v>
          </cell>
          <cell r="IT51" t="str">
            <v>..</v>
          </cell>
          <cell r="IU51" t="str">
            <v>..</v>
          </cell>
          <cell r="IV51" t="str">
            <v>..</v>
          </cell>
          <cell r="IW51" t="str">
            <v>Maltby Fire Station is a shared building with South Yorkshire Police</v>
          </cell>
        </row>
        <row r="52">
          <cell r="B52" t="str">
            <v>E6145</v>
          </cell>
          <cell r="C52" t="str">
            <v>Tyne and Wear</v>
          </cell>
          <cell r="D52" t="str">
            <v>1</v>
          </cell>
          <cell r="E52">
            <v>16</v>
          </cell>
          <cell r="F52">
            <v>1</v>
          </cell>
          <cell r="G52">
            <v>0</v>
          </cell>
          <cell r="H52">
            <v>0</v>
          </cell>
          <cell r="I52">
            <v>17</v>
          </cell>
          <cell r="J52">
            <v>10</v>
          </cell>
          <cell r="K52">
            <v>16</v>
          </cell>
          <cell r="L52">
            <v>1</v>
          </cell>
          <cell r="M52">
            <v>0</v>
          </cell>
          <cell r="N52">
            <v>0</v>
          </cell>
          <cell r="O52">
            <v>17</v>
          </cell>
          <cell r="P52">
            <v>10</v>
          </cell>
          <cell r="Q52">
            <v>24</v>
          </cell>
          <cell r="R52">
            <v>24</v>
          </cell>
          <cell r="S52">
            <v>3</v>
          </cell>
          <cell r="T52">
            <v>10</v>
          </cell>
          <cell r="U52">
            <v>3</v>
          </cell>
          <cell r="V52">
            <v>0</v>
          </cell>
          <cell r="W52">
            <v>10</v>
          </cell>
          <cell r="X52">
            <v>50</v>
          </cell>
          <cell r="Y52">
            <v>83</v>
          </cell>
          <cell r="Z52">
            <v>6</v>
          </cell>
          <cell r="AA52">
            <v>11</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v>29840</v>
          </cell>
          <cell r="AV52">
            <v>46</v>
          </cell>
          <cell r="AW52">
            <v>1216</v>
          </cell>
          <cell r="AX52">
            <v>6134</v>
          </cell>
          <cell r="AY52">
            <v>227</v>
          </cell>
          <cell r="AZ52">
            <v>362</v>
          </cell>
          <cell r="BA52">
            <v>37825</v>
          </cell>
          <cell r="BB52">
            <v>2418</v>
          </cell>
          <cell r="BC52">
            <v>1012</v>
          </cell>
          <cell r="BD52">
            <v>5881</v>
          </cell>
          <cell r="BE52">
            <v>293</v>
          </cell>
          <cell r="BF52">
            <v>0</v>
          </cell>
          <cell r="BG52">
            <v>1110</v>
          </cell>
          <cell r="BH52">
            <v>48539</v>
          </cell>
          <cell r="BI52">
            <v>4908</v>
          </cell>
          <cell r="BJ52">
            <v>0</v>
          </cell>
          <cell r="BK52">
            <v>2339</v>
          </cell>
          <cell r="BL52">
            <v>7247</v>
          </cell>
          <cell r="BM52">
            <v>41292</v>
          </cell>
          <cell r="BN52">
            <v>3436</v>
          </cell>
          <cell r="BO52">
            <v>-13207</v>
          </cell>
          <cell r="BP52">
            <v>0</v>
          </cell>
          <cell r="BQ52">
            <v>1091</v>
          </cell>
          <cell r="BR52">
            <v>1</v>
          </cell>
          <cell r="BS52">
            <v>374</v>
          </cell>
          <cell r="BT52">
            <v>-221</v>
          </cell>
          <cell r="BU52">
            <v>0</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v>32482</v>
          </cell>
          <cell r="CI52">
            <v>51</v>
          </cell>
          <cell r="CJ52">
            <v>1303</v>
          </cell>
          <cell r="CK52">
            <v>6710</v>
          </cell>
          <cell r="CL52">
            <v>478</v>
          </cell>
          <cell r="CM52">
            <v>288</v>
          </cell>
          <cell r="CN52">
            <v>41312</v>
          </cell>
          <cell r="CO52">
            <v>2442</v>
          </cell>
          <cell r="CP52">
            <v>1163</v>
          </cell>
          <cell r="CQ52">
            <v>11191</v>
          </cell>
          <cell r="CR52">
            <v>332</v>
          </cell>
          <cell r="CS52">
            <v>0</v>
          </cell>
          <cell r="CT52">
            <v>750</v>
          </cell>
          <cell r="CU52">
            <v>57190</v>
          </cell>
          <cell r="CV52">
            <v>7275</v>
          </cell>
          <cell r="CW52">
            <v>0</v>
          </cell>
          <cell r="CX52">
            <v>1756</v>
          </cell>
          <cell r="CY52">
            <v>9031</v>
          </cell>
          <cell r="CZ52">
            <v>48159</v>
          </cell>
          <cell r="DA52">
            <v>1007</v>
          </cell>
          <cell r="DB52">
            <v>0</v>
          </cell>
          <cell r="DC52">
            <v>0</v>
          </cell>
          <cell r="DD52">
            <v>575</v>
          </cell>
          <cell r="DE52">
            <v>1</v>
          </cell>
          <cell r="DF52">
            <v>432</v>
          </cell>
          <cell r="DG52">
            <v>-135</v>
          </cell>
          <cell r="DH52">
            <v>0</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v>0</v>
          </cell>
          <cell r="DV52">
            <v>0</v>
          </cell>
          <cell r="DW52">
            <v>17.5</v>
          </cell>
          <cell r="DX52">
            <v>0</v>
          </cell>
          <cell r="DY52">
            <v>20568</v>
          </cell>
          <cell r="DZ52">
            <v>3934</v>
          </cell>
          <cell r="EA52">
            <v>23712</v>
          </cell>
          <cell r="EB52">
            <v>442</v>
          </cell>
          <cell r="EC52">
            <v>-41</v>
          </cell>
          <cell r="ED52">
            <v>48615</v>
          </cell>
          <cell r="EE52" t="str">
            <v>..</v>
          </cell>
          <cell r="EF52" t="str">
            <v>..</v>
          </cell>
          <cell r="EG52">
            <v>6412</v>
          </cell>
          <cell r="EH52" t="str">
            <v>..</v>
          </cell>
          <cell r="EI52" t="str">
            <v>..</v>
          </cell>
          <cell r="EJ52" t="str">
            <v>..</v>
          </cell>
          <cell r="EK52">
            <v>38200</v>
          </cell>
          <cell r="EL52">
            <v>0</v>
          </cell>
          <cell r="EM52">
            <v>164</v>
          </cell>
          <cell r="EN52">
            <v>-48</v>
          </cell>
          <cell r="EO52">
            <v>44728</v>
          </cell>
          <cell r="EP52">
            <v>0</v>
          </cell>
          <cell r="EQ52">
            <v>0</v>
          </cell>
          <cell r="ER52">
            <v>1902</v>
          </cell>
          <cell r="ES52">
            <v>0.29663131628197131</v>
          </cell>
          <cell r="ET52">
            <v>0</v>
          </cell>
          <cell r="EU52">
            <v>0</v>
          </cell>
          <cell r="EV52">
            <v>0</v>
          </cell>
          <cell r="EW52">
            <v>10299</v>
          </cell>
          <cell r="EX52">
            <v>0</v>
          </cell>
          <cell r="EY52">
            <v>0</v>
          </cell>
          <cell r="EZ52">
            <v>0</v>
          </cell>
          <cell r="FA52">
            <v>12201</v>
          </cell>
          <cell r="FB52">
            <v>-2979</v>
          </cell>
          <cell r="FC52">
            <v>-45</v>
          </cell>
          <cell r="FD52">
            <v>0</v>
          </cell>
          <cell r="FE52">
            <v>-2420</v>
          </cell>
          <cell r="FF52">
            <v>0</v>
          </cell>
          <cell r="FG52">
            <v>21906</v>
          </cell>
          <cell r="FH52">
            <v>5700</v>
          </cell>
          <cell r="FI52">
            <v>0</v>
          </cell>
          <cell r="FJ52">
            <v>22162</v>
          </cell>
          <cell r="FK52">
            <v>2026</v>
          </cell>
          <cell r="FL52">
            <v>45</v>
          </cell>
          <cell r="FM52">
            <v>-2864</v>
          </cell>
          <cell r="FN52">
            <v>-136</v>
          </cell>
          <cell r="FO52">
            <v>0</v>
          </cell>
          <cell r="FP52">
            <v>-2224</v>
          </cell>
          <cell r="FQ52">
            <v>0</v>
          </cell>
          <cell r="FR52">
            <v>22747</v>
          </cell>
          <cell r="FS52">
            <v>6022</v>
          </cell>
          <cell r="FT52">
            <v>0</v>
          </cell>
          <cell r="FU52">
            <v>23545</v>
          </cell>
          <cell r="FV52">
            <v>1965</v>
          </cell>
          <cell r="FW52">
            <v>136</v>
          </cell>
          <cell r="FX52">
            <v>1387</v>
          </cell>
          <cell r="FY52">
            <v>1412</v>
          </cell>
          <cell r="FZ52">
            <v>46</v>
          </cell>
          <cell r="GA52">
            <v>0</v>
          </cell>
          <cell r="GB52">
            <v>127</v>
          </cell>
          <cell r="GC52">
            <v>3</v>
          </cell>
          <cell r="GD52">
            <v>397</v>
          </cell>
          <cell r="GE52">
            <v>1</v>
          </cell>
          <cell r="GF52">
            <v>78</v>
          </cell>
          <cell r="GG52">
            <v>26</v>
          </cell>
          <cell r="GH52">
            <v>12</v>
          </cell>
          <cell r="GI52">
            <v>1</v>
          </cell>
          <cell r="GJ52">
            <v>24494</v>
          </cell>
          <cell r="GK52">
            <v>3943</v>
          </cell>
          <cell r="GL52">
            <v>628</v>
          </cell>
          <cell r="GM52">
            <v>28444</v>
          </cell>
          <cell r="GN52">
            <v>3943</v>
          </cell>
          <cell r="GO52">
            <v>709</v>
          </cell>
          <cell r="GP52">
            <v>0</v>
          </cell>
          <cell r="GQ52">
            <v>0</v>
          </cell>
          <cell r="GR52">
            <v>0</v>
          </cell>
          <cell r="GS52">
            <v>247</v>
          </cell>
          <cell r="GT52">
            <v>13</v>
          </cell>
          <cell r="GU52">
            <v>887</v>
          </cell>
          <cell r="GV52">
            <v>0</v>
          </cell>
          <cell r="GW52">
            <v>39</v>
          </cell>
          <cell r="GX52">
            <v>0</v>
          </cell>
          <cell r="GY52">
            <v>3</v>
          </cell>
          <cell r="GZ52">
            <v>81</v>
          </cell>
          <cell r="HA52">
            <v>76</v>
          </cell>
          <cell r="HB52">
            <v>122</v>
          </cell>
          <cell r="HC52">
            <v>0</v>
          </cell>
          <cell r="HD52">
            <v>0</v>
          </cell>
          <cell r="HE52">
            <v>0</v>
          </cell>
          <cell r="HF52">
            <v>1468</v>
          </cell>
          <cell r="HG52">
            <v>166</v>
          </cell>
          <cell r="HH52">
            <v>0</v>
          </cell>
          <cell r="HI52">
            <v>0</v>
          </cell>
          <cell r="HJ52">
            <v>130</v>
          </cell>
          <cell r="HK52">
            <v>24</v>
          </cell>
          <cell r="HL52">
            <v>48</v>
          </cell>
          <cell r="HM52">
            <v>0</v>
          </cell>
          <cell r="HN52">
            <v>60</v>
          </cell>
          <cell r="HO52">
            <v>0</v>
          </cell>
          <cell r="HP52">
            <v>267</v>
          </cell>
          <cell r="HQ52">
            <v>120</v>
          </cell>
          <cell r="HR52">
            <v>44</v>
          </cell>
          <cell r="HS52">
            <v>245</v>
          </cell>
          <cell r="HT52">
            <v>0</v>
          </cell>
          <cell r="HU52">
            <v>0</v>
          </cell>
          <cell r="HV52">
            <v>0</v>
          </cell>
          <cell r="HW52">
            <v>1104</v>
          </cell>
          <cell r="HX52">
            <v>83</v>
          </cell>
          <cell r="HY52">
            <v>0</v>
          </cell>
          <cell r="HZ52">
            <v>5250</v>
          </cell>
          <cell r="IA52">
            <v>270</v>
          </cell>
          <cell r="IB52">
            <v>7</v>
          </cell>
          <cell r="IC52">
            <v>3294</v>
          </cell>
          <cell r="ID52">
            <v>0</v>
          </cell>
          <cell r="IE52">
            <v>3</v>
          </cell>
          <cell r="IF52">
            <v>0</v>
          </cell>
          <cell r="IG52">
            <v>1355</v>
          </cell>
          <cell r="IH52">
            <v>83</v>
          </cell>
          <cell r="II52">
            <v>290</v>
          </cell>
          <cell r="IJ52">
            <v>449</v>
          </cell>
          <cell r="IK52">
            <v>0</v>
          </cell>
          <cell r="IL52">
            <v>0</v>
          </cell>
          <cell r="IM52">
            <v>0</v>
          </cell>
          <cell r="IN52">
            <v>11084</v>
          </cell>
          <cell r="IO52" t="str">
            <v>Northumbria Police</v>
          </cell>
          <cell r="IP52" t="str">
            <v>Fireboat, TRVs, small firefighting vehicles</v>
          </cell>
          <cell r="IQ52" t="str">
            <v>..</v>
          </cell>
          <cell r="IR52" t="str">
            <v>RCCO</v>
          </cell>
          <cell r="IS52" t="str">
            <v>..</v>
          </cell>
          <cell r="IT52" t="str">
            <v>..</v>
          </cell>
          <cell r="IU52" t="str">
            <v>..</v>
          </cell>
          <cell r="IV52" t="str">
            <v>..</v>
          </cell>
          <cell r="IW52" t="str">
            <v>Northumbria Police</v>
          </cell>
        </row>
        <row r="53">
          <cell r="B53" t="str">
            <v>E6146</v>
          </cell>
          <cell r="C53" t="str">
            <v>West Midlands</v>
          </cell>
          <cell r="D53" t="str">
            <v>1</v>
          </cell>
          <cell r="E53">
            <v>38</v>
          </cell>
          <cell r="F53">
            <v>0</v>
          </cell>
          <cell r="G53">
            <v>0</v>
          </cell>
          <cell r="H53">
            <v>0</v>
          </cell>
          <cell r="I53">
            <v>38</v>
          </cell>
          <cell r="J53">
            <v>4</v>
          </cell>
          <cell r="K53">
            <v>38</v>
          </cell>
          <cell r="L53">
            <v>0</v>
          </cell>
          <cell r="M53">
            <v>0</v>
          </cell>
          <cell r="N53">
            <v>0</v>
          </cell>
          <cell r="O53">
            <v>38</v>
          </cell>
          <cell r="P53">
            <v>5</v>
          </cell>
          <cell r="Q53">
            <v>41</v>
          </cell>
          <cell r="R53">
            <v>41</v>
          </cell>
          <cell r="S53">
            <v>4</v>
          </cell>
          <cell r="T53">
            <v>24</v>
          </cell>
          <cell r="U53">
            <v>0</v>
          </cell>
          <cell r="V53">
            <v>68</v>
          </cell>
          <cell r="W53">
            <v>10</v>
          </cell>
          <cell r="X53">
            <v>147</v>
          </cell>
          <cell r="Y53">
            <v>106</v>
          </cell>
          <cell r="Z53">
            <v>14</v>
          </cell>
          <cell r="AA53">
            <v>10</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v>63181</v>
          </cell>
          <cell r="AV53">
            <v>0</v>
          </cell>
          <cell r="AW53">
            <v>2768</v>
          </cell>
          <cell r="AX53">
            <v>13638</v>
          </cell>
          <cell r="AY53">
            <v>3402</v>
          </cell>
          <cell r="AZ53">
            <v>637</v>
          </cell>
          <cell r="BA53">
            <v>83626</v>
          </cell>
          <cell r="BB53">
            <v>4987</v>
          </cell>
          <cell r="BC53">
            <v>1480</v>
          </cell>
          <cell r="BD53">
            <v>7737</v>
          </cell>
          <cell r="BE53">
            <v>1550</v>
          </cell>
          <cell r="BF53">
            <v>0</v>
          </cell>
          <cell r="BG53">
            <v>0</v>
          </cell>
          <cell r="BH53">
            <v>99380</v>
          </cell>
          <cell r="BI53">
            <v>1481</v>
          </cell>
          <cell r="BJ53">
            <v>0</v>
          </cell>
          <cell r="BK53">
            <v>4859</v>
          </cell>
          <cell r="BL53">
            <v>6340</v>
          </cell>
          <cell r="BM53">
            <v>93040</v>
          </cell>
          <cell r="BN53">
            <v>6614</v>
          </cell>
          <cell r="BO53">
            <v>82817</v>
          </cell>
          <cell r="BP53">
            <v>0</v>
          </cell>
          <cell r="BQ53">
            <v>834</v>
          </cell>
          <cell r="BR53">
            <v>0</v>
          </cell>
          <cell r="BS53">
            <v>1969</v>
          </cell>
          <cell r="BT53">
            <v>-436</v>
          </cell>
          <cell r="BU53">
            <v>0</v>
          </cell>
          <cell r="BV53">
            <v>0</v>
          </cell>
          <cell r="BW53">
            <v>0</v>
          </cell>
          <cell r="BX53">
            <v>2365</v>
          </cell>
          <cell r="BY53">
            <v>0</v>
          </cell>
          <cell r="BZ53">
            <v>0</v>
          </cell>
          <cell r="CA53">
            <v>0</v>
          </cell>
          <cell r="CB53">
            <v>2365</v>
          </cell>
          <cell r="CC53">
            <v>1213</v>
          </cell>
          <cell r="CD53">
            <v>159</v>
          </cell>
          <cell r="CE53">
            <v>1689</v>
          </cell>
          <cell r="CF53">
            <v>1217</v>
          </cell>
          <cell r="CG53">
            <v>1115</v>
          </cell>
          <cell r="CH53">
            <v>68789</v>
          </cell>
          <cell r="CI53">
            <v>0</v>
          </cell>
          <cell r="CJ53">
            <v>2680</v>
          </cell>
          <cell r="CK53">
            <v>13555</v>
          </cell>
          <cell r="CL53">
            <v>3426</v>
          </cell>
          <cell r="CM53">
            <v>560</v>
          </cell>
          <cell r="CN53">
            <v>89010</v>
          </cell>
          <cell r="CO53">
            <v>5387</v>
          </cell>
          <cell r="CP53">
            <v>1474</v>
          </cell>
          <cell r="CQ53">
            <v>6636</v>
          </cell>
          <cell r="CR53">
            <v>1608</v>
          </cell>
          <cell r="CS53">
            <v>0</v>
          </cell>
          <cell r="CT53">
            <v>2399</v>
          </cell>
          <cell r="CU53">
            <v>106514</v>
          </cell>
          <cell r="CV53">
            <v>6921</v>
          </cell>
          <cell r="CW53">
            <v>0</v>
          </cell>
          <cell r="CX53">
            <v>2928</v>
          </cell>
          <cell r="CY53">
            <v>9849</v>
          </cell>
          <cell r="CZ53">
            <v>96665</v>
          </cell>
          <cell r="DA53">
            <v>4813</v>
          </cell>
          <cell r="DB53">
            <v>0</v>
          </cell>
          <cell r="DC53">
            <v>0</v>
          </cell>
          <cell r="DD53">
            <v>884</v>
          </cell>
          <cell r="DE53">
            <v>0</v>
          </cell>
          <cell r="DF53">
            <v>1910</v>
          </cell>
          <cell r="DG53">
            <v>-300</v>
          </cell>
          <cell r="DH53">
            <v>0</v>
          </cell>
          <cell r="DI53">
            <v>0</v>
          </cell>
          <cell r="DJ53">
            <v>0</v>
          </cell>
          <cell r="DK53">
            <v>2377</v>
          </cell>
          <cell r="DL53">
            <v>0</v>
          </cell>
          <cell r="DM53">
            <v>0</v>
          </cell>
          <cell r="DN53">
            <v>0</v>
          </cell>
          <cell r="DO53">
            <v>2377</v>
          </cell>
          <cell r="DP53">
            <v>1364</v>
          </cell>
          <cell r="DQ53">
            <v>151</v>
          </cell>
          <cell r="DR53">
            <v>1788</v>
          </cell>
          <cell r="DS53">
            <v>1253</v>
          </cell>
          <cell r="DT53">
            <v>1134</v>
          </cell>
          <cell r="DU53">
            <v>0</v>
          </cell>
          <cell r="DV53">
            <v>0</v>
          </cell>
          <cell r="DW53">
            <v>18.600000000000001</v>
          </cell>
          <cell r="DX53">
            <v>588</v>
          </cell>
          <cell r="DY53">
            <v>42360</v>
          </cell>
          <cell r="DZ53">
            <v>9604</v>
          </cell>
          <cell r="EA53">
            <v>43215</v>
          </cell>
          <cell r="EB53">
            <v>500</v>
          </cell>
          <cell r="EC53">
            <v>84</v>
          </cell>
          <cell r="ED53">
            <v>95763</v>
          </cell>
          <cell r="EE53" t="str">
            <v>..</v>
          </cell>
          <cell r="EF53" t="str">
            <v>..</v>
          </cell>
          <cell r="EG53">
            <v>13449</v>
          </cell>
          <cell r="EH53" t="str">
            <v>..</v>
          </cell>
          <cell r="EI53" t="str">
            <v>..</v>
          </cell>
          <cell r="EJ53" t="str">
            <v>..</v>
          </cell>
          <cell r="EK53">
            <v>82986</v>
          </cell>
          <cell r="EL53">
            <v>199</v>
          </cell>
          <cell r="EM53">
            <v>2554</v>
          </cell>
          <cell r="EN53">
            <v>466</v>
          </cell>
          <cell r="EO53">
            <v>99654</v>
          </cell>
          <cell r="EP53">
            <v>0</v>
          </cell>
          <cell r="EQ53">
            <v>0</v>
          </cell>
          <cell r="ER53">
            <v>0</v>
          </cell>
          <cell r="ES53">
            <v>0</v>
          </cell>
          <cell r="ET53">
            <v>0</v>
          </cell>
          <cell r="EU53">
            <v>0</v>
          </cell>
          <cell r="EV53">
            <v>0</v>
          </cell>
          <cell r="EW53">
            <v>0</v>
          </cell>
          <cell r="EX53">
            <v>0</v>
          </cell>
          <cell r="EY53">
            <v>0</v>
          </cell>
          <cell r="EZ53">
            <v>0</v>
          </cell>
          <cell r="FA53">
            <v>0</v>
          </cell>
          <cell r="FB53">
            <v>-6713</v>
          </cell>
          <cell r="FC53">
            <v>-290</v>
          </cell>
          <cell r="FD53">
            <v>0</v>
          </cell>
          <cell r="FE53">
            <v>-5531</v>
          </cell>
          <cell r="FF53">
            <v>-13</v>
          </cell>
          <cell r="FG53">
            <v>39368</v>
          </cell>
          <cell r="FH53">
            <v>8278</v>
          </cell>
          <cell r="FI53">
            <v>0</v>
          </cell>
          <cell r="FJ53">
            <v>35099</v>
          </cell>
          <cell r="FK53">
            <v>1633</v>
          </cell>
          <cell r="FL53">
            <v>0</v>
          </cell>
          <cell r="FM53">
            <v>-12637</v>
          </cell>
          <cell r="FN53">
            <v>-400</v>
          </cell>
          <cell r="FO53">
            <v>0</v>
          </cell>
          <cell r="FP53">
            <v>-5461</v>
          </cell>
          <cell r="FQ53">
            <v>-100</v>
          </cell>
          <cell r="FR53">
            <v>40883</v>
          </cell>
          <cell r="FS53">
            <v>7028</v>
          </cell>
          <cell r="FT53">
            <v>75</v>
          </cell>
          <cell r="FU53">
            <v>29388</v>
          </cell>
          <cell r="FV53">
            <v>1670</v>
          </cell>
          <cell r="FW53">
            <v>0</v>
          </cell>
          <cell r="FX53">
            <v>2579</v>
          </cell>
          <cell r="FY53">
            <v>2595</v>
          </cell>
          <cell r="FZ53">
            <v>74</v>
          </cell>
          <cell r="GA53">
            <v>4</v>
          </cell>
          <cell r="GB53">
            <v>212</v>
          </cell>
          <cell r="GC53">
            <v>5</v>
          </cell>
          <cell r="GD53">
            <v>1022</v>
          </cell>
          <cell r="GE53">
            <v>3</v>
          </cell>
          <cell r="GF53">
            <v>250</v>
          </cell>
          <cell r="GG53">
            <v>312</v>
          </cell>
          <cell r="GH53">
            <v>108</v>
          </cell>
          <cell r="GI53">
            <v>1</v>
          </cell>
          <cell r="GJ53">
            <v>38984</v>
          </cell>
          <cell r="GK53">
            <v>8390</v>
          </cell>
          <cell r="GL53">
            <v>722</v>
          </cell>
          <cell r="GM53">
            <v>33380</v>
          </cell>
          <cell r="GN53">
            <v>6914</v>
          </cell>
          <cell r="GO53">
            <v>426</v>
          </cell>
          <cell r="GP53">
            <v>0</v>
          </cell>
          <cell r="GQ53">
            <v>0</v>
          </cell>
          <cell r="GR53">
            <v>2243</v>
          </cell>
          <cell r="GS53">
            <v>977</v>
          </cell>
          <cell r="GT53">
            <v>108</v>
          </cell>
          <cell r="GU53">
            <v>649</v>
          </cell>
          <cell r="GV53">
            <v>156</v>
          </cell>
          <cell r="GW53">
            <v>0</v>
          </cell>
          <cell r="GX53">
            <v>204</v>
          </cell>
          <cell r="GY53">
            <v>116</v>
          </cell>
          <cell r="GZ53">
            <v>0</v>
          </cell>
          <cell r="HA53">
            <v>38</v>
          </cell>
          <cell r="HB53">
            <v>36</v>
          </cell>
          <cell r="HC53">
            <v>0</v>
          </cell>
          <cell r="HD53">
            <v>0</v>
          </cell>
          <cell r="HE53">
            <v>0</v>
          </cell>
          <cell r="HF53">
            <v>4527</v>
          </cell>
          <cell r="HG53">
            <v>0</v>
          </cell>
          <cell r="HH53">
            <v>0</v>
          </cell>
          <cell r="HI53">
            <v>5006</v>
          </cell>
          <cell r="HJ53">
            <v>1015</v>
          </cell>
          <cell r="HK53">
            <v>729</v>
          </cell>
          <cell r="HL53">
            <v>1617</v>
          </cell>
          <cell r="HM53">
            <v>151</v>
          </cell>
          <cell r="HN53">
            <v>0</v>
          </cell>
          <cell r="HO53">
            <v>61</v>
          </cell>
          <cell r="HP53">
            <v>230</v>
          </cell>
          <cell r="HQ53">
            <v>0</v>
          </cell>
          <cell r="HR53">
            <v>0</v>
          </cell>
          <cell r="HS53">
            <v>0</v>
          </cell>
          <cell r="HT53">
            <v>0</v>
          </cell>
          <cell r="HU53">
            <v>0</v>
          </cell>
          <cell r="HV53">
            <v>0</v>
          </cell>
          <cell r="HW53">
            <v>8809</v>
          </cell>
          <cell r="HX53">
            <v>0</v>
          </cell>
          <cell r="HY53">
            <v>0</v>
          </cell>
          <cell r="HZ53">
            <v>2159</v>
          </cell>
          <cell r="IA53">
            <v>1111</v>
          </cell>
          <cell r="IB53">
            <v>0</v>
          </cell>
          <cell r="IC53">
            <v>2883</v>
          </cell>
          <cell r="ID53">
            <v>371</v>
          </cell>
          <cell r="IE53">
            <v>0</v>
          </cell>
          <cell r="IF53">
            <v>0</v>
          </cell>
          <cell r="IG53">
            <v>0</v>
          </cell>
          <cell r="IH53">
            <v>1000</v>
          </cell>
          <cell r="II53">
            <v>0</v>
          </cell>
          <cell r="IJ53">
            <v>0</v>
          </cell>
          <cell r="IK53">
            <v>0</v>
          </cell>
          <cell r="IL53">
            <v>0</v>
          </cell>
          <cell r="IM53">
            <v>0</v>
          </cell>
          <cell r="IN53">
            <v>7524</v>
          </cell>
          <cell r="IO53" t="str">
            <v>Police</v>
          </cell>
          <cell r="IP53" t="str">
            <v>PM, BRV</v>
          </cell>
          <cell r="IQ53" t="str">
            <v>..</v>
          </cell>
          <cell r="IR53" t="str">
            <v xml:space="preserve">Contingency </v>
          </cell>
          <cell r="IS53" t="str">
            <v>..</v>
          </cell>
          <cell r="IT53" t="str">
            <v>..</v>
          </cell>
          <cell r="IU53" t="str">
            <v>..</v>
          </cell>
          <cell r="IV53" t="str">
            <v>..</v>
          </cell>
          <cell r="IW53" t="str">
            <v>Ambulance 2018; Ambulance &amp; Police 2019</v>
          </cell>
        </row>
        <row r="54">
          <cell r="B54" t="str">
            <v>E6147</v>
          </cell>
          <cell r="C54" t="str">
            <v>West Yorkshire</v>
          </cell>
          <cell r="D54" t="str">
            <v>1</v>
          </cell>
          <cell r="E54">
            <v>25</v>
          </cell>
          <cell r="F54">
            <v>8</v>
          </cell>
          <cell r="G54">
            <v>7</v>
          </cell>
          <cell r="H54">
            <v>0</v>
          </cell>
          <cell r="I54">
            <v>40</v>
          </cell>
          <cell r="J54">
            <v>11</v>
          </cell>
          <cell r="K54">
            <v>25</v>
          </cell>
          <cell r="L54">
            <v>8</v>
          </cell>
          <cell r="M54">
            <v>7</v>
          </cell>
          <cell r="N54">
            <v>0</v>
          </cell>
          <cell r="O54">
            <v>40</v>
          </cell>
          <cell r="P54">
            <v>11</v>
          </cell>
          <cell r="Q54">
            <v>43</v>
          </cell>
          <cell r="R54">
            <v>43</v>
          </cell>
          <cell r="S54">
            <v>5</v>
          </cell>
          <cell r="T54">
            <v>31</v>
          </cell>
          <cell r="U54">
            <v>66</v>
          </cell>
          <cell r="V54">
            <v>0</v>
          </cell>
          <cell r="W54">
            <v>11</v>
          </cell>
          <cell r="X54">
            <v>156</v>
          </cell>
          <cell r="Y54">
            <v>142</v>
          </cell>
          <cell r="Z54">
            <v>8</v>
          </cell>
          <cell r="AA54">
            <v>5</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v>44728</v>
          </cell>
          <cell r="AV54">
            <v>1628</v>
          </cell>
          <cell r="AW54">
            <v>1773</v>
          </cell>
          <cell r="AX54">
            <v>9365</v>
          </cell>
          <cell r="AY54">
            <v>743</v>
          </cell>
          <cell r="AZ54">
            <v>2593</v>
          </cell>
          <cell r="BA54">
            <v>60830</v>
          </cell>
          <cell r="BB54">
            <v>4234</v>
          </cell>
          <cell r="BC54">
            <v>2368</v>
          </cell>
          <cell r="BD54">
            <v>2977</v>
          </cell>
          <cell r="BE54">
            <v>2062</v>
          </cell>
          <cell r="BF54">
            <v>0</v>
          </cell>
          <cell r="BG54">
            <v>517</v>
          </cell>
          <cell r="BH54">
            <v>72988</v>
          </cell>
          <cell r="BI54">
            <v>1953</v>
          </cell>
          <cell r="BJ54">
            <v>835</v>
          </cell>
          <cell r="BK54">
            <v>0</v>
          </cell>
          <cell r="BL54">
            <v>2788</v>
          </cell>
          <cell r="BM54">
            <v>70200</v>
          </cell>
          <cell r="BN54">
            <v>11595</v>
          </cell>
          <cell r="BO54">
            <v>-24092</v>
          </cell>
          <cell r="BP54">
            <v>0</v>
          </cell>
          <cell r="BQ54">
            <v>4361</v>
          </cell>
          <cell r="BR54">
            <v>0</v>
          </cell>
          <cell r="BS54">
            <v>274</v>
          </cell>
          <cell r="BT54">
            <v>264</v>
          </cell>
          <cell r="BU54">
            <v>0</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v>48634</v>
          </cell>
          <cell r="CI54">
            <v>1847</v>
          </cell>
          <cell r="CJ54">
            <v>1806</v>
          </cell>
          <cell r="CK54">
            <v>10031</v>
          </cell>
          <cell r="CL54">
            <v>787</v>
          </cell>
          <cell r="CM54">
            <v>2390</v>
          </cell>
          <cell r="CN54">
            <v>65495</v>
          </cell>
          <cell r="CO54">
            <v>4417</v>
          </cell>
          <cell r="CP54">
            <v>2392</v>
          </cell>
          <cell r="CQ54">
            <v>2771</v>
          </cell>
          <cell r="CR54">
            <v>2425</v>
          </cell>
          <cell r="CS54">
            <v>0</v>
          </cell>
          <cell r="CT54">
            <v>2271</v>
          </cell>
          <cell r="CU54">
            <v>79771</v>
          </cell>
          <cell r="CV54">
            <v>1777</v>
          </cell>
          <cell r="CW54">
            <v>794</v>
          </cell>
          <cell r="CX54">
            <v>0</v>
          </cell>
          <cell r="CY54">
            <v>2571</v>
          </cell>
          <cell r="CZ54">
            <v>77200</v>
          </cell>
          <cell r="DA54">
            <v>7948</v>
          </cell>
          <cell r="DB54">
            <v>-24092</v>
          </cell>
          <cell r="DC54">
            <v>0</v>
          </cell>
          <cell r="DD54">
            <v>3796</v>
          </cell>
          <cell r="DE54">
            <v>0</v>
          </cell>
          <cell r="DF54">
            <v>235</v>
          </cell>
          <cell r="DG54">
            <v>264</v>
          </cell>
          <cell r="DH54">
            <v>0</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v>0</v>
          </cell>
          <cell r="DV54">
            <v>0</v>
          </cell>
          <cell r="DW54">
            <v>17.2</v>
          </cell>
          <cell r="DX54" t="str">
            <v>..</v>
          </cell>
          <cell r="DY54" t="str">
            <v>..</v>
          </cell>
          <cell r="DZ54" t="str">
            <v>..</v>
          </cell>
          <cell r="EA54" t="str">
            <v>..</v>
          </cell>
          <cell r="EB54" t="str">
            <v>..</v>
          </cell>
          <cell r="EC54" t="str">
            <v>..</v>
          </cell>
          <cell r="ED54" t="str">
            <v>..</v>
          </cell>
          <cell r="EE54" t="str">
            <v>..</v>
          </cell>
          <cell r="EF54" t="str">
            <v>..</v>
          </cell>
          <cell r="EG54">
            <v>3152</v>
          </cell>
          <cell r="EH54" t="str">
            <v>..</v>
          </cell>
          <cell r="EI54" t="str">
            <v>..</v>
          </cell>
          <cell r="EJ54" t="str">
            <v>..</v>
          </cell>
          <cell r="EK54">
            <v>77708</v>
          </cell>
          <cell r="EL54">
            <v>0</v>
          </cell>
          <cell r="EM54">
            <v>685</v>
          </cell>
          <cell r="EN54">
            <v>250</v>
          </cell>
          <cell r="EO54">
            <v>81795</v>
          </cell>
          <cell r="EP54">
            <v>0</v>
          </cell>
          <cell r="EQ54">
            <v>0</v>
          </cell>
          <cell r="ER54">
            <v>1009</v>
          </cell>
          <cell r="ES54">
            <v>0.32011421319796957</v>
          </cell>
          <cell r="ET54">
            <v>0</v>
          </cell>
          <cell r="EU54">
            <v>0</v>
          </cell>
          <cell r="EV54">
            <v>0</v>
          </cell>
          <cell r="EW54">
            <v>24865</v>
          </cell>
          <cell r="EX54">
            <v>0</v>
          </cell>
          <cell r="EY54">
            <v>0</v>
          </cell>
          <cell r="EZ54">
            <v>0</v>
          </cell>
          <cell r="FA54">
            <v>25874</v>
          </cell>
          <cell r="FB54">
            <v>-5177</v>
          </cell>
          <cell r="FC54">
            <v>-349</v>
          </cell>
          <cell r="FD54">
            <v>0</v>
          </cell>
          <cell r="FE54">
            <v>-4323</v>
          </cell>
          <cell r="FF54">
            <v>-336</v>
          </cell>
          <cell r="FG54">
            <v>36892</v>
          </cell>
          <cell r="FH54">
            <v>8471</v>
          </cell>
          <cell r="FI54">
            <v>0</v>
          </cell>
          <cell r="FJ54">
            <v>35178</v>
          </cell>
          <cell r="FK54">
            <v>1208</v>
          </cell>
          <cell r="FL54">
            <v>0</v>
          </cell>
          <cell r="FM54">
            <v>-4707</v>
          </cell>
          <cell r="FN54">
            <v>-402</v>
          </cell>
          <cell r="FO54">
            <v>0</v>
          </cell>
          <cell r="FP54">
            <v>-3919</v>
          </cell>
          <cell r="FQ54">
            <v>-99</v>
          </cell>
          <cell r="FR54">
            <v>38553</v>
          </cell>
          <cell r="FS54">
            <v>9239</v>
          </cell>
          <cell r="FT54">
            <v>0</v>
          </cell>
          <cell r="FU54">
            <v>38665</v>
          </cell>
          <cell r="FV54">
            <v>1208</v>
          </cell>
          <cell r="FW54">
            <v>0</v>
          </cell>
          <cell r="FX54">
            <v>2403</v>
          </cell>
          <cell r="FY54">
            <v>2440</v>
          </cell>
          <cell r="FZ54">
            <v>66</v>
          </cell>
          <cell r="GA54">
            <v>4</v>
          </cell>
          <cell r="GB54">
            <v>152</v>
          </cell>
          <cell r="GC54">
            <v>2</v>
          </cell>
          <cell r="GD54">
            <v>828</v>
          </cell>
          <cell r="GE54">
            <v>19</v>
          </cell>
          <cell r="GF54">
            <v>105</v>
          </cell>
          <cell r="GG54">
            <v>96</v>
          </cell>
          <cell r="GH54">
            <v>81</v>
          </cell>
          <cell r="GI54">
            <v>17</v>
          </cell>
          <cell r="GJ54">
            <v>21355</v>
          </cell>
          <cell r="GK54">
            <v>14388</v>
          </cell>
          <cell r="GL54">
            <v>493</v>
          </cell>
          <cell r="GM54">
            <v>31173</v>
          </cell>
          <cell r="GN54">
            <v>5177</v>
          </cell>
          <cell r="GO54">
            <v>768</v>
          </cell>
          <cell r="GP54">
            <v>0</v>
          </cell>
          <cell r="GQ54">
            <v>0</v>
          </cell>
          <cell r="GR54">
            <v>6</v>
          </cell>
          <cell r="GS54">
            <v>2169</v>
          </cell>
          <cell r="GT54">
            <v>0</v>
          </cell>
          <cell r="GU54">
            <v>2395</v>
          </cell>
          <cell r="GV54">
            <v>0</v>
          </cell>
          <cell r="GW54">
            <v>22</v>
          </cell>
          <cell r="GX54">
            <v>19</v>
          </cell>
          <cell r="GY54">
            <v>75</v>
          </cell>
          <cell r="GZ54">
            <v>455</v>
          </cell>
          <cell r="HA54">
            <v>0</v>
          </cell>
          <cell r="HB54">
            <v>857</v>
          </cell>
          <cell r="HC54">
            <v>462</v>
          </cell>
          <cell r="HD54">
            <v>112</v>
          </cell>
          <cell r="HE54">
            <v>0</v>
          </cell>
          <cell r="HF54">
            <v>6572</v>
          </cell>
          <cell r="HG54">
            <v>30</v>
          </cell>
          <cell r="HH54">
            <v>0</v>
          </cell>
          <cell r="HI54">
            <v>118</v>
          </cell>
          <cell r="HJ54">
            <v>1191</v>
          </cell>
          <cell r="HK54">
            <v>0</v>
          </cell>
          <cell r="HL54">
            <v>731</v>
          </cell>
          <cell r="HM54">
            <v>0</v>
          </cell>
          <cell r="HN54">
            <v>0</v>
          </cell>
          <cell r="HO54">
            <v>55</v>
          </cell>
          <cell r="HP54">
            <v>109</v>
          </cell>
          <cell r="HQ54">
            <v>139</v>
          </cell>
          <cell r="HR54">
            <v>31</v>
          </cell>
          <cell r="HS54">
            <v>1416</v>
          </cell>
          <cell r="HT54">
            <v>398</v>
          </cell>
          <cell r="HU54">
            <v>35</v>
          </cell>
          <cell r="HV54">
            <v>0</v>
          </cell>
          <cell r="HW54">
            <v>4253</v>
          </cell>
          <cell r="HX54">
            <v>1195</v>
          </cell>
          <cell r="HY54">
            <v>0</v>
          </cell>
          <cell r="HZ54">
            <v>2822</v>
          </cell>
          <cell r="IA54">
            <v>2531</v>
          </cell>
          <cell r="IB54">
            <v>0</v>
          </cell>
          <cell r="IC54">
            <v>1699</v>
          </cell>
          <cell r="ID54">
            <v>0</v>
          </cell>
          <cell r="IE54">
            <v>16</v>
          </cell>
          <cell r="IF54">
            <v>163</v>
          </cell>
          <cell r="IG54">
            <v>397</v>
          </cell>
          <cell r="IH54">
            <v>1134</v>
          </cell>
          <cell r="II54">
            <v>487</v>
          </cell>
          <cell r="IJ54">
            <v>1213</v>
          </cell>
          <cell r="IK54">
            <v>520</v>
          </cell>
          <cell r="IL54">
            <v>0</v>
          </cell>
          <cell r="IM54">
            <v>0</v>
          </cell>
          <cell r="IN54">
            <v>12177</v>
          </cell>
          <cell r="IO54" t="str">
            <v xml:space="preserve">West Yorkshire Police, Yorkshire Ambulance </v>
          </cell>
          <cell r="IP54" t="str">
            <v>..</v>
          </cell>
          <cell r="IQ54" t="str">
            <v>..</v>
          </cell>
          <cell r="IR54" t="str">
            <v>..</v>
          </cell>
          <cell r="IS54" t="str">
            <v>..</v>
          </cell>
          <cell r="IT54" t="str">
            <v>..</v>
          </cell>
          <cell r="IU54" t="str">
            <v>..</v>
          </cell>
          <cell r="IV54" t="str">
            <v>..</v>
          </cell>
          <cell r="IW54" t="str">
            <v xml:space="preserve">West Yorkshire Police, Yorkshire Ambulance </v>
          </cell>
        </row>
        <row r="55">
          <cell r="B55" t="str">
            <v>E6160</v>
          </cell>
          <cell r="C55" t="str">
            <v>London (LFC)</v>
          </cell>
          <cell r="D55" t="str">
            <v>1</v>
          </cell>
          <cell r="E55">
            <v>103</v>
          </cell>
          <cell r="F55">
            <v>0</v>
          </cell>
          <cell r="G55">
            <v>0</v>
          </cell>
          <cell r="H55">
            <v>0</v>
          </cell>
          <cell r="I55">
            <v>103</v>
          </cell>
          <cell r="J55">
            <v>5</v>
          </cell>
          <cell r="K55">
            <v>103</v>
          </cell>
          <cell r="L55">
            <v>0</v>
          </cell>
          <cell r="M55">
            <v>0</v>
          </cell>
          <cell r="N55">
            <v>0</v>
          </cell>
          <cell r="O55">
            <v>103</v>
          </cell>
          <cell r="P55">
            <v>5</v>
          </cell>
          <cell r="Q55">
            <v>143</v>
          </cell>
          <cell r="R55">
            <v>142</v>
          </cell>
          <cell r="S55">
            <v>11</v>
          </cell>
          <cell r="T55">
            <v>50</v>
          </cell>
          <cell r="U55">
            <v>57</v>
          </cell>
          <cell r="V55">
            <v>0</v>
          </cell>
          <cell r="W55">
            <v>86</v>
          </cell>
          <cell r="X55">
            <v>346</v>
          </cell>
          <cell r="Y55">
            <v>32</v>
          </cell>
          <cell r="Z55">
            <v>54</v>
          </cell>
          <cell r="AA55">
            <v>42</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v>239924</v>
          </cell>
          <cell r="AV55">
            <v>0</v>
          </cell>
          <cell r="AW55">
            <v>5676.5659999999998</v>
          </cell>
          <cell r="AX55">
            <v>48934.279000000002</v>
          </cell>
          <cell r="AY55">
            <v>17624.871999999999</v>
          </cell>
          <cell r="AZ55">
            <v>2994.5920000000001</v>
          </cell>
          <cell r="BA55">
            <v>315154.30899999995</v>
          </cell>
          <cell r="BB55">
            <v>37361.873</v>
          </cell>
          <cell r="BC55">
            <v>15449.251</v>
          </cell>
          <cell r="BD55">
            <v>30011.014999999999</v>
          </cell>
          <cell r="BE55">
            <v>34003</v>
          </cell>
          <cell r="BF55">
            <v>2206.64</v>
          </cell>
          <cell r="BG55">
            <v>0</v>
          </cell>
          <cell r="BH55">
            <v>434186.08799999999</v>
          </cell>
          <cell r="BI55">
            <v>16826.062999999998</v>
          </cell>
          <cell r="BJ55">
            <v>332.86199999999997</v>
          </cell>
          <cell r="BK55">
            <v>40100.731</v>
          </cell>
          <cell r="BL55">
            <v>57259.656000000003</v>
          </cell>
          <cell r="BM55">
            <v>376926.43199999997</v>
          </cell>
          <cell r="BN55">
            <v>45267.525080000007</v>
          </cell>
          <cell r="BO55">
            <v>344775.13199999998</v>
          </cell>
          <cell r="BP55">
            <v>0</v>
          </cell>
          <cell r="BQ55">
            <v>7262.223</v>
          </cell>
          <cell r="BR55">
            <v>3195</v>
          </cell>
          <cell r="BS55">
            <v>6238</v>
          </cell>
          <cell r="BT55">
            <v>-861</v>
          </cell>
          <cell r="BU55">
            <v>1192</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v>271327</v>
          </cell>
          <cell r="CI55">
            <v>0</v>
          </cell>
          <cell r="CJ55">
            <v>5543.5029999999997</v>
          </cell>
          <cell r="CK55">
            <v>54380.9</v>
          </cell>
          <cell r="CL55">
            <v>16216.814</v>
          </cell>
          <cell r="CM55">
            <v>3040.0650000000001</v>
          </cell>
          <cell r="CN55">
            <v>350508.28200000006</v>
          </cell>
          <cell r="CO55">
            <v>40030</v>
          </cell>
          <cell r="CP55">
            <v>18913</v>
          </cell>
          <cell r="CQ55">
            <v>29605</v>
          </cell>
          <cell r="CR55">
            <v>33411</v>
          </cell>
          <cell r="CS55">
            <v>1863</v>
          </cell>
          <cell r="CT55">
            <v>0</v>
          </cell>
          <cell r="CU55">
            <v>474330.28200000006</v>
          </cell>
          <cell r="CV55">
            <v>35308</v>
          </cell>
          <cell r="CW55">
            <v>580.19399999999996</v>
          </cell>
          <cell r="CX55">
            <v>40381.805999999997</v>
          </cell>
          <cell r="CY55">
            <v>76270</v>
          </cell>
          <cell r="CZ55">
            <v>398060.28200000006</v>
          </cell>
          <cell r="DA55">
            <v>0</v>
          </cell>
          <cell r="DB55">
            <v>0</v>
          </cell>
          <cell r="DC55">
            <v>0</v>
          </cell>
          <cell r="DD55">
            <v>7167.0079500000002</v>
          </cell>
          <cell r="DE55">
            <v>3113.2192799999998</v>
          </cell>
          <cell r="DF55">
            <v>6341</v>
          </cell>
          <cell r="DG55">
            <v>-800</v>
          </cell>
          <cell r="DH55">
            <v>1257.6269500000001</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v>392385.08199999999</v>
          </cell>
          <cell r="DZ55">
            <v>215000</v>
          </cell>
          <cell r="EA55">
            <v>147500</v>
          </cell>
          <cell r="EB55">
            <v>0</v>
          </cell>
          <cell r="EC55">
            <v>0</v>
          </cell>
          <cell r="ED55">
            <v>754885.08200000005</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cell r="ER55" t="str">
            <v>..</v>
          </cell>
          <cell r="ES55" t="e">
            <v>#VALUE!</v>
          </cell>
          <cell r="ET55" t="str">
            <v>..</v>
          </cell>
          <cell r="EU55" t="str">
            <v>..</v>
          </cell>
          <cell r="EV55" t="str">
            <v>..</v>
          </cell>
          <cell r="EW55" t="str">
            <v>..</v>
          </cell>
          <cell r="EX55" t="str">
            <v>..</v>
          </cell>
          <cell r="EY55" t="str">
            <v>..</v>
          </cell>
          <cell r="EZ55" t="str">
            <v>..</v>
          </cell>
          <cell r="FA55" t="str">
            <v>..</v>
          </cell>
          <cell r="FB55">
            <v>-25.701953</v>
          </cell>
          <cell r="FC55">
            <v>-0.68203800000000003</v>
          </cell>
          <cell r="FD55">
            <v>-0.13489799999999999</v>
          </cell>
          <cell r="FE55">
            <v>-21.449354</v>
          </cell>
          <cell r="FF55">
            <v>-0.75858500000000006</v>
          </cell>
          <cell r="FG55">
            <v>143.09029500000003</v>
          </cell>
          <cell r="FH55">
            <v>20.873952000000003</v>
          </cell>
          <cell r="FI55">
            <v>6.9096000000000005E-2</v>
          </cell>
          <cell r="FJ55">
            <v>115.30651500000002</v>
          </cell>
          <cell r="FK55">
            <v>19.720006000000001</v>
          </cell>
          <cell r="FL55">
            <v>0</v>
          </cell>
          <cell r="FM55">
            <v>-48.343205999999995</v>
          </cell>
          <cell r="FN55">
            <v>-0.94947599999999999</v>
          </cell>
          <cell r="FO55">
            <v>0</v>
          </cell>
          <cell r="FP55">
            <v>-21.229306000000001</v>
          </cell>
          <cell r="FQ55">
            <v>0</v>
          </cell>
          <cell r="FR55">
            <v>147.47502400000002</v>
          </cell>
          <cell r="FS55">
            <v>25.554722000000002</v>
          </cell>
          <cell r="FT55">
            <v>8.401900000000001E-2</v>
          </cell>
          <cell r="FU55">
            <v>102.59177700000001</v>
          </cell>
          <cell r="FV55">
            <v>19.955259999999999</v>
          </cell>
          <cell r="FW55">
            <v>0</v>
          </cell>
          <cell r="FX55">
            <v>8792</v>
          </cell>
          <cell r="FY55">
            <v>8941</v>
          </cell>
          <cell r="FZ55">
            <v>149</v>
          </cell>
          <cell r="GA55">
            <v>10</v>
          </cell>
          <cell r="GB55">
            <v>783</v>
          </cell>
          <cell r="GC55">
            <v>18</v>
          </cell>
          <cell r="GD55">
            <v>3522</v>
          </cell>
          <cell r="GE55">
            <v>0</v>
          </cell>
          <cell r="GF55">
            <v>780</v>
          </cell>
          <cell r="GG55">
            <v>396</v>
          </cell>
          <cell r="GH55">
            <v>264</v>
          </cell>
          <cell r="GI55">
            <v>0</v>
          </cell>
          <cell r="GJ55">
            <v>30201</v>
          </cell>
          <cell r="GK55">
            <v>20356</v>
          </cell>
          <cell r="GL55">
            <v>5058</v>
          </cell>
          <cell r="GM55">
            <v>52230</v>
          </cell>
          <cell r="GN55">
            <v>23204</v>
          </cell>
          <cell r="GO55">
            <v>11324</v>
          </cell>
          <cell r="GP55">
            <v>0</v>
          </cell>
          <cell r="GQ55">
            <v>0</v>
          </cell>
          <cell r="GR55">
            <v>560.83947999999998</v>
          </cell>
          <cell r="GS55">
            <v>481.66775999999987</v>
          </cell>
          <cell r="GT55">
            <v>4308.8122499999981</v>
          </cell>
          <cell r="GU55">
            <v>6003.0126800000007</v>
          </cell>
          <cell r="GV55">
            <v>7293.391880000001</v>
          </cell>
          <cell r="GW55">
            <v>0</v>
          </cell>
          <cell r="GX55">
            <v>114.89268000000001</v>
          </cell>
          <cell r="GY55">
            <v>14.689249999999999</v>
          </cell>
          <cell r="GZ55">
            <v>333.02186000000006</v>
          </cell>
          <cell r="HA55">
            <v>1020.6333500000001</v>
          </cell>
          <cell r="HB55">
            <v>885.18905000000007</v>
          </cell>
          <cell r="HC55">
            <v>0</v>
          </cell>
          <cell r="HD55">
            <v>0</v>
          </cell>
          <cell r="HE55">
            <v>0</v>
          </cell>
          <cell r="HF55">
            <v>21016.150239999999</v>
          </cell>
          <cell r="HG55">
            <v>0</v>
          </cell>
          <cell r="HH55">
            <v>0</v>
          </cell>
          <cell r="HI55">
            <v>44.809719999999999</v>
          </cell>
          <cell r="HJ55">
            <v>1013.1027600000001</v>
          </cell>
          <cell r="HK55">
            <v>2153.9017599999997</v>
          </cell>
          <cell r="HL55">
            <v>6086.7494900000002</v>
          </cell>
          <cell r="HM55">
            <v>1566.5000500000001</v>
          </cell>
          <cell r="HN55">
            <v>0</v>
          </cell>
          <cell r="HO55">
            <v>49.025640000000003</v>
          </cell>
          <cell r="HP55">
            <v>0</v>
          </cell>
          <cell r="HQ55">
            <v>392.69509000000005</v>
          </cell>
          <cell r="HR55">
            <v>140.44382000000002</v>
          </cell>
          <cell r="HS55">
            <v>1984.62508</v>
          </cell>
          <cell r="HT55">
            <v>0</v>
          </cell>
          <cell r="HU55">
            <v>0</v>
          </cell>
          <cell r="HV55">
            <v>0</v>
          </cell>
          <cell r="HW55">
            <v>13431.85341</v>
          </cell>
          <cell r="HX55">
            <v>0</v>
          </cell>
          <cell r="HY55">
            <v>0</v>
          </cell>
          <cell r="HZ55">
            <v>5049</v>
          </cell>
          <cell r="IA55">
            <v>813</v>
          </cell>
          <cell r="IB55">
            <v>5133</v>
          </cell>
          <cell r="IC55">
            <v>14710</v>
          </cell>
          <cell r="ID55">
            <v>4761</v>
          </cell>
          <cell r="IE55">
            <v>500</v>
          </cell>
          <cell r="IF55">
            <v>150</v>
          </cell>
          <cell r="IG55">
            <v>100</v>
          </cell>
          <cell r="IH55">
            <v>1189</v>
          </cell>
          <cell r="II55">
            <v>1472</v>
          </cell>
          <cell r="IJ55">
            <v>563</v>
          </cell>
          <cell r="IK55">
            <v>0</v>
          </cell>
          <cell r="IL55">
            <v>0</v>
          </cell>
          <cell r="IM55">
            <v>0</v>
          </cell>
          <cell r="IN55">
            <v>34440</v>
          </cell>
          <cell r="IO55" t="str">
            <v>London Ambulance and MOPAC</v>
          </cell>
          <cell r="IP55" t="str">
            <v>AWD, Bulk Foam Unit, Fireboat, Fire Rescue Unit,  Heavy Distribution Unit, Hose Layer, Operational Support Unit, Fire Investigation Van, Fire Investigation Dog Van, Special AWD, GP Van, Cold Cut Van, Medium Rescue Support, Panel Van</v>
          </cell>
          <cell r="IQ55" t="str">
            <v>Other Local Authorities and Agencies</v>
          </cell>
          <cell r="IR55" t="str">
            <v>..</v>
          </cell>
          <cell r="IS55" t="str">
            <v>Mutual Assistance and Shared Service Income</v>
          </cell>
          <cell r="IT55" t="str">
            <v>..</v>
          </cell>
          <cell r="IU55" t="str">
            <v>..</v>
          </cell>
          <cell r="IV55" t="str">
            <v>..</v>
          </cell>
          <cell r="IW55" t="str">
            <v>London Ambulance Service, MOPAC</v>
          </cell>
        </row>
        <row r="56">
          <cell r="B56" t="str">
            <v>W6171</v>
          </cell>
          <cell r="C56" t="str">
            <v>Mid and West Wales</v>
          </cell>
          <cell r="D56" t="str">
            <v>1</v>
          </cell>
          <cell r="E56">
            <v>4</v>
          </cell>
          <cell r="F56">
            <v>43</v>
          </cell>
          <cell r="G56">
            <v>9</v>
          </cell>
          <cell r="H56">
            <v>2</v>
          </cell>
          <cell r="I56">
            <v>58</v>
          </cell>
          <cell r="J56">
            <v>17</v>
          </cell>
          <cell r="K56">
            <v>4</v>
          </cell>
          <cell r="L56">
            <v>43</v>
          </cell>
          <cell r="M56">
            <v>9</v>
          </cell>
          <cell r="N56">
            <v>2</v>
          </cell>
          <cell r="O56">
            <v>58</v>
          </cell>
          <cell r="P56">
            <v>19</v>
          </cell>
          <cell r="Q56">
            <v>69</v>
          </cell>
          <cell r="R56">
            <v>69</v>
          </cell>
          <cell r="S56">
            <v>3</v>
          </cell>
          <cell r="T56">
            <v>55</v>
          </cell>
          <cell r="U56">
            <v>43</v>
          </cell>
          <cell r="V56">
            <v>0</v>
          </cell>
          <cell r="W56">
            <v>24</v>
          </cell>
          <cell r="X56">
            <v>194</v>
          </cell>
          <cell r="Y56">
            <v>125</v>
          </cell>
          <cell r="Z56">
            <v>14</v>
          </cell>
          <cell r="AA56">
            <v>7</v>
          </cell>
          <cell r="AB56">
            <v>3</v>
          </cell>
          <cell r="AC56">
            <v>3</v>
          </cell>
          <cell r="AD56">
            <v>18</v>
          </cell>
          <cell r="AE56">
            <v>46</v>
          </cell>
          <cell r="AF56">
            <v>107</v>
          </cell>
          <cell r="AG56">
            <v>47</v>
          </cell>
          <cell r="AH56">
            <v>160</v>
          </cell>
          <cell r="AI56">
            <v>384</v>
          </cell>
          <cell r="AJ56">
            <v>384</v>
          </cell>
          <cell r="AK56">
            <v>0</v>
          </cell>
          <cell r="AL56">
            <v>0</v>
          </cell>
          <cell r="AM56">
            <v>52</v>
          </cell>
          <cell r="AN56">
            <v>128.5</v>
          </cell>
          <cell r="AO56">
            <v>470.25</v>
          </cell>
          <cell r="AP56">
            <v>650.75</v>
          </cell>
          <cell r="AQ56">
            <v>769</v>
          </cell>
          <cell r="AR56">
            <v>26.3</v>
          </cell>
          <cell r="AS56">
            <v>197</v>
          </cell>
          <cell r="AT56">
            <v>1258.05</v>
          </cell>
          <cell r="AU56">
            <v>20842</v>
          </cell>
          <cell r="AV56">
            <v>7130</v>
          </cell>
          <cell r="AW56">
            <v>1316</v>
          </cell>
          <cell r="AX56">
            <v>5647</v>
          </cell>
          <cell r="AY56">
            <v>515</v>
          </cell>
          <cell r="AZ56">
            <v>11</v>
          </cell>
          <cell r="BA56">
            <v>35461</v>
          </cell>
          <cell r="BB56">
            <v>2239</v>
          </cell>
          <cell r="BC56">
            <v>2893</v>
          </cell>
          <cell r="BD56">
            <v>6522</v>
          </cell>
          <cell r="BE56">
            <v>1123</v>
          </cell>
          <cell r="BF56">
            <v>0</v>
          </cell>
          <cell r="BG56">
            <v>0</v>
          </cell>
          <cell r="BH56">
            <v>48238</v>
          </cell>
          <cell r="BI56">
            <v>3072</v>
          </cell>
          <cell r="BJ56">
            <v>1332</v>
          </cell>
          <cell r="BK56">
            <v>0</v>
          </cell>
          <cell r="BL56">
            <v>4404</v>
          </cell>
          <cell r="BM56">
            <v>43834</v>
          </cell>
          <cell r="BN56">
            <v>1942</v>
          </cell>
          <cell r="BO56">
            <v>883</v>
          </cell>
          <cell r="BP56">
            <v>118</v>
          </cell>
          <cell r="BQ56">
            <v>1941</v>
          </cell>
          <cell r="BR56">
            <v>729</v>
          </cell>
          <cell r="BS56">
            <v>745</v>
          </cell>
          <cell r="BT56">
            <v>42</v>
          </cell>
          <cell r="BU56">
            <v>0</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v>21345</v>
          </cell>
          <cell r="CI56">
            <v>7675</v>
          </cell>
          <cell r="CJ56">
            <v>1299</v>
          </cell>
          <cell r="CK56">
            <v>6160</v>
          </cell>
          <cell r="CL56">
            <v>497</v>
          </cell>
          <cell r="CM56">
            <v>91</v>
          </cell>
          <cell r="CN56">
            <v>37067</v>
          </cell>
          <cell r="CO56">
            <v>2308</v>
          </cell>
          <cell r="CP56">
            <v>1991</v>
          </cell>
          <cell r="CQ56">
            <v>4543</v>
          </cell>
          <cell r="CR56">
            <v>4671</v>
          </cell>
          <cell r="CS56">
            <v>0</v>
          </cell>
          <cell r="CT56">
            <v>0</v>
          </cell>
          <cell r="CU56">
            <v>50580</v>
          </cell>
          <cell r="CV56">
            <v>1879</v>
          </cell>
          <cell r="CW56">
            <v>712</v>
          </cell>
          <cell r="CX56">
            <v>0</v>
          </cell>
          <cell r="CY56">
            <v>2591</v>
          </cell>
          <cell r="CZ56">
            <v>47989</v>
          </cell>
          <cell r="DA56">
            <v>2300</v>
          </cell>
          <cell r="DB56">
            <v>900</v>
          </cell>
          <cell r="DC56">
            <v>0</v>
          </cell>
          <cell r="DD56">
            <v>2293</v>
          </cell>
          <cell r="DE56">
            <v>638</v>
          </cell>
          <cell r="DF56">
            <v>811</v>
          </cell>
          <cell r="DG56">
            <v>20000</v>
          </cell>
          <cell r="DH56">
            <v>0</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v>113976</v>
          </cell>
          <cell r="DW56" t="str">
            <v>..</v>
          </cell>
          <cell r="DX56" t="str">
            <v>..</v>
          </cell>
          <cell r="DY56" t="str">
            <v>..</v>
          </cell>
          <cell r="DZ56" t="str">
            <v>..</v>
          </cell>
          <cell r="EA56" t="str">
            <v>..</v>
          </cell>
          <cell r="EB56" t="str">
            <v>..</v>
          </cell>
          <cell r="EC56" t="str">
            <v>..</v>
          </cell>
          <cell r="ED56" t="str">
            <v>..</v>
          </cell>
          <cell r="EE56" t="str">
            <v>..</v>
          </cell>
          <cell r="EF56" t="str">
            <v>..</v>
          </cell>
          <cell r="EG56">
            <v>5416</v>
          </cell>
          <cell r="EH56" t="str">
            <v>..</v>
          </cell>
          <cell r="EI56" t="str">
            <v>..</v>
          </cell>
          <cell r="EJ56" t="str">
            <v>..</v>
          </cell>
          <cell r="EK56">
            <v>38293</v>
          </cell>
          <cell r="EL56">
            <v>236</v>
          </cell>
          <cell r="EM56">
            <v>1831</v>
          </cell>
          <cell r="EN56">
            <v>0</v>
          </cell>
          <cell r="EO56">
            <v>45776</v>
          </cell>
          <cell r="EP56" t="str">
            <v>..</v>
          </cell>
          <cell r="EQ56" t="str">
            <v>..</v>
          </cell>
          <cell r="ER56">
            <v>5416</v>
          </cell>
          <cell r="ES56">
            <v>1</v>
          </cell>
          <cell r="ET56" t="str">
            <v>..</v>
          </cell>
          <cell r="EU56" t="str">
            <v>..</v>
          </cell>
          <cell r="EV56" t="str">
            <v>..</v>
          </cell>
          <cell r="EW56">
            <v>38293</v>
          </cell>
          <cell r="EX56">
            <v>236</v>
          </cell>
          <cell r="EY56">
            <v>1831</v>
          </cell>
          <cell r="EZ56">
            <v>0</v>
          </cell>
          <cell r="FA56">
            <v>45776</v>
          </cell>
          <cell r="FB56">
            <v>-3168</v>
          </cell>
          <cell r="FC56">
            <v>-498</v>
          </cell>
          <cell r="FD56">
            <v>0</v>
          </cell>
          <cell r="FE56">
            <v>-2560</v>
          </cell>
          <cell r="FF56">
            <v>-157</v>
          </cell>
          <cell r="FG56">
            <v>11453</v>
          </cell>
          <cell r="FH56">
            <v>1955</v>
          </cell>
          <cell r="FI56">
            <v>8</v>
          </cell>
          <cell r="FJ56">
            <v>7033</v>
          </cell>
          <cell r="FK56" t="str">
            <v>..</v>
          </cell>
          <cell r="FL56" t="str">
            <v>..</v>
          </cell>
          <cell r="FM56">
            <v>-4551</v>
          </cell>
          <cell r="FN56">
            <v>-450</v>
          </cell>
          <cell r="FO56">
            <v>0</v>
          </cell>
          <cell r="FP56">
            <v>-2711</v>
          </cell>
          <cell r="FQ56">
            <v>-150</v>
          </cell>
          <cell r="FR56">
            <v>12243</v>
          </cell>
          <cell r="FS56">
            <v>2090</v>
          </cell>
          <cell r="FT56">
            <v>10</v>
          </cell>
          <cell r="FU56">
            <v>6481</v>
          </cell>
          <cell r="FV56" t="str">
            <v>..</v>
          </cell>
          <cell r="FW56" t="str">
            <v>..</v>
          </cell>
          <cell r="FX56">
            <v>736</v>
          </cell>
          <cell r="FY56">
            <v>761</v>
          </cell>
          <cell r="FZ56">
            <v>21</v>
          </cell>
          <cell r="GA56">
            <v>2</v>
          </cell>
          <cell r="GB56">
            <v>96</v>
          </cell>
          <cell r="GC56">
            <v>19</v>
          </cell>
          <cell r="GD56">
            <v>947</v>
          </cell>
          <cell r="GE56">
            <v>39</v>
          </cell>
          <cell r="GF56">
            <v>37</v>
          </cell>
          <cell r="GG56">
            <v>482</v>
          </cell>
          <cell r="GH56">
            <v>360</v>
          </cell>
          <cell r="GI56">
            <v>29</v>
          </cell>
          <cell r="GJ56">
            <v>7328</v>
          </cell>
          <cell r="GK56">
            <v>707</v>
          </cell>
          <cell r="GL56" t="str">
            <v>..</v>
          </cell>
          <cell r="GM56">
            <v>7725</v>
          </cell>
          <cell r="GN56">
            <v>880</v>
          </cell>
          <cell r="GO56" t="str">
            <v>..</v>
          </cell>
          <cell r="GP56">
            <v>373</v>
          </cell>
          <cell r="GQ56">
            <v>0</v>
          </cell>
          <cell r="GR56">
            <v>0</v>
          </cell>
          <cell r="GS56">
            <v>757</v>
          </cell>
          <cell r="GT56">
            <v>5</v>
          </cell>
          <cell r="GU56">
            <v>1493</v>
          </cell>
          <cell r="GV56">
            <v>0</v>
          </cell>
          <cell r="GW56">
            <v>0</v>
          </cell>
          <cell r="GX56">
            <v>0</v>
          </cell>
          <cell r="GY56">
            <v>0</v>
          </cell>
          <cell r="GZ56">
            <v>64</v>
          </cell>
          <cell r="HA56">
            <v>297</v>
          </cell>
          <cell r="HB56">
            <v>1385</v>
          </cell>
          <cell r="HC56">
            <v>0</v>
          </cell>
          <cell r="HD56">
            <v>0</v>
          </cell>
          <cell r="HE56">
            <v>0</v>
          </cell>
          <cell r="HF56">
            <v>4374</v>
          </cell>
          <cell r="HG56">
            <v>204</v>
          </cell>
          <cell r="HH56">
            <v>0</v>
          </cell>
          <cell r="HI56">
            <v>0</v>
          </cell>
          <cell r="HJ56">
            <v>626</v>
          </cell>
          <cell r="HK56">
            <v>22</v>
          </cell>
          <cell r="HL56">
            <v>629</v>
          </cell>
          <cell r="HM56">
            <v>0</v>
          </cell>
          <cell r="HN56">
            <v>0</v>
          </cell>
          <cell r="HO56">
            <v>300</v>
          </cell>
          <cell r="HP56">
            <v>0</v>
          </cell>
          <cell r="HQ56">
            <v>136</v>
          </cell>
          <cell r="HR56">
            <v>0</v>
          </cell>
          <cell r="HS56">
            <v>467</v>
          </cell>
          <cell r="HT56">
            <v>0</v>
          </cell>
          <cell r="HU56">
            <v>0</v>
          </cell>
          <cell r="HV56">
            <v>0</v>
          </cell>
          <cell r="HW56">
            <v>2384</v>
          </cell>
          <cell r="HX56">
            <v>1900</v>
          </cell>
          <cell r="HY56">
            <v>240</v>
          </cell>
          <cell r="HZ56">
            <v>0</v>
          </cell>
          <cell r="IA56">
            <v>3580</v>
          </cell>
          <cell r="IB56">
            <v>35</v>
          </cell>
          <cell r="IC56">
            <v>5744</v>
          </cell>
          <cell r="ID56">
            <v>0</v>
          </cell>
          <cell r="IE56">
            <v>0</v>
          </cell>
          <cell r="IF56">
            <v>0</v>
          </cell>
          <cell r="IG56">
            <v>0</v>
          </cell>
          <cell r="IH56">
            <v>75</v>
          </cell>
          <cell r="II56">
            <v>1130</v>
          </cell>
          <cell r="IJ56">
            <v>439</v>
          </cell>
          <cell r="IK56">
            <v>0</v>
          </cell>
          <cell r="IL56">
            <v>0</v>
          </cell>
          <cell r="IM56">
            <v>0</v>
          </cell>
          <cell r="IN56">
            <v>13143</v>
          </cell>
          <cell r="IO56">
            <v>0</v>
          </cell>
          <cell r="IP56" t="str">
            <v>..</v>
          </cell>
          <cell r="IQ56" t="str">
            <v>..</v>
          </cell>
          <cell r="IR56" t="str">
            <v>..</v>
          </cell>
          <cell r="IS56" t="str">
            <v>..</v>
          </cell>
          <cell r="IT56" t="str">
            <v>..</v>
          </cell>
          <cell r="IU56" t="str">
            <v>..</v>
          </cell>
          <cell r="IV56" t="str">
            <v>Could you explain why we still need to report section B using SeRCOP as it is no longer needed in the statement of accounts.</v>
          </cell>
          <cell r="IW56" t="str">
            <v>Welsh Ambulance Service x 8, South Wales Police x 1, Dyfed Powys Police x 4</v>
          </cell>
        </row>
        <row r="57">
          <cell r="B57" t="str">
            <v>W6172</v>
          </cell>
          <cell r="C57" t="str">
            <v>North Wales</v>
          </cell>
          <cell r="D57" t="str">
            <v>1</v>
          </cell>
          <cell r="E57">
            <v>0</v>
          </cell>
          <cell r="F57">
            <v>36</v>
          </cell>
          <cell r="G57">
            <v>8</v>
          </cell>
          <cell r="H57">
            <v>0</v>
          </cell>
          <cell r="I57">
            <v>44</v>
          </cell>
          <cell r="J57">
            <v>10</v>
          </cell>
          <cell r="K57">
            <v>0</v>
          </cell>
          <cell r="L57">
            <v>36</v>
          </cell>
          <cell r="M57">
            <v>8</v>
          </cell>
          <cell r="N57">
            <v>0</v>
          </cell>
          <cell r="O57">
            <v>44</v>
          </cell>
          <cell r="P57">
            <v>10</v>
          </cell>
          <cell r="Q57">
            <v>54</v>
          </cell>
          <cell r="R57">
            <v>54</v>
          </cell>
          <cell r="S57">
            <v>3</v>
          </cell>
          <cell r="T57">
            <v>32</v>
          </cell>
          <cell r="U57">
            <v>43</v>
          </cell>
          <cell r="V57">
            <v>0</v>
          </cell>
          <cell r="W57">
            <v>4</v>
          </cell>
          <cell r="X57">
            <v>136</v>
          </cell>
          <cell r="Y57">
            <v>110</v>
          </cell>
          <cell r="Z57">
            <v>12</v>
          </cell>
          <cell r="AA57">
            <v>4</v>
          </cell>
          <cell r="AB57">
            <v>4</v>
          </cell>
          <cell r="AC57">
            <v>3</v>
          </cell>
          <cell r="AD57">
            <v>11</v>
          </cell>
          <cell r="AE57">
            <v>25</v>
          </cell>
          <cell r="AF57">
            <v>42</v>
          </cell>
          <cell r="AG57">
            <v>49</v>
          </cell>
          <cell r="AH57">
            <v>111</v>
          </cell>
          <cell r="AI57">
            <v>245</v>
          </cell>
          <cell r="AJ57">
            <v>248</v>
          </cell>
          <cell r="AK57">
            <v>0</v>
          </cell>
          <cell r="AL57">
            <v>0</v>
          </cell>
          <cell r="AM57">
            <v>38.75</v>
          </cell>
          <cell r="AN57">
            <v>62.5</v>
          </cell>
          <cell r="AO57">
            <v>276.25</v>
          </cell>
          <cell r="AP57">
            <v>377.5</v>
          </cell>
          <cell r="AQ57">
            <v>456</v>
          </cell>
          <cell r="AR57">
            <v>30.25</v>
          </cell>
          <cell r="AS57">
            <v>147.32</v>
          </cell>
          <cell r="AT57">
            <v>800.06999999999994</v>
          </cell>
          <cell r="AU57">
            <v>13068</v>
          </cell>
          <cell r="AV57">
            <v>4293</v>
          </cell>
          <cell r="AW57">
            <v>1365</v>
          </cell>
          <cell r="AX57">
            <v>4377</v>
          </cell>
          <cell r="AY57">
            <v>319</v>
          </cell>
          <cell r="AZ57">
            <v>1456</v>
          </cell>
          <cell r="BA57">
            <v>24878</v>
          </cell>
          <cell r="BB57">
            <v>2126</v>
          </cell>
          <cell r="BC57">
            <v>1075</v>
          </cell>
          <cell r="BD57">
            <v>4573</v>
          </cell>
          <cell r="BE57">
            <v>438</v>
          </cell>
          <cell r="BF57">
            <v>0</v>
          </cell>
          <cell r="BG57">
            <v>0</v>
          </cell>
          <cell r="BH57">
            <v>33090</v>
          </cell>
          <cell r="BI57">
            <v>1260</v>
          </cell>
          <cell r="BJ57">
            <v>224</v>
          </cell>
          <cell r="BK57">
            <v>244</v>
          </cell>
          <cell r="BL57">
            <v>1728</v>
          </cell>
          <cell r="BM57">
            <v>31362</v>
          </cell>
          <cell r="BN57">
            <v>3149</v>
          </cell>
          <cell r="BO57">
            <v>1246</v>
          </cell>
          <cell r="BP57">
            <v>251</v>
          </cell>
          <cell r="BQ57">
            <v>2140</v>
          </cell>
          <cell r="BR57">
            <v>0</v>
          </cell>
          <cell r="BS57">
            <v>509</v>
          </cell>
          <cell r="BT57">
            <v>-12</v>
          </cell>
          <cell r="BU57">
            <v>0</v>
          </cell>
          <cell r="BV57">
            <v>0</v>
          </cell>
          <cell r="BW57">
            <v>0</v>
          </cell>
          <cell r="BX57">
            <v>0</v>
          </cell>
          <cell r="BY57">
            <v>0</v>
          </cell>
          <cell r="BZ57">
            <v>58</v>
          </cell>
          <cell r="CA57">
            <v>0</v>
          </cell>
          <cell r="CB57">
            <v>58</v>
          </cell>
          <cell r="CC57">
            <v>337</v>
          </cell>
          <cell r="CD57">
            <v>643</v>
          </cell>
          <cell r="CE57">
            <v>1170</v>
          </cell>
          <cell r="CF57">
            <v>373</v>
          </cell>
          <cell r="CG57">
            <v>0</v>
          </cell>
          <cell r="CH57">
            <v>12992</v>
          </cell>
          <cell r="CI57">
            <v>4308</v>
          </cell>
          <cell r="CJ57">
            <v>1305</v>
          </cell>
          <cell r="CK57">
            <v>5234</v>
          </cell>
          <cell r="CL57">
            <v>345</v>
          </cell>
          <cell r="CM57">
            <v>1906</v>
          </cell>
          <cell r="CN57">
            <v>26090</v>
          </cell>
          <cell r="CO57">
            <v>2146</v>
          </cell>
          <cell r="CP57">
            <v>1127</v>
          </cell>
          <cell r="CQ57">
            <v>4255</v>
          </cell>
          <cell r="CR57">
            <v>446</v>
          </cell>
          <cell r="CS57">
            <v>0</v>
          </cell>
          <cell r="CT57">
            <v>0</v>
          </cell>
          <cell r="CU57">
            <v>34064</v>
          </cell>
          <cell r="CV57">
            <v>1059</v>
          </cell>
          <cell r="CW57">
            <v>76</v>
          </cell>
          <cell r="CX57">
            <v>141</v>
          </cell>
          <cell r="CY57">
            <v>1276</v>
          </cell>
          <cell r="CZ57">
            <v>32788</v>
          </cell>
          <cell r="DA57">
            <v>3300</v>
          </cell>
          <cell r="DB57">
            <v>1300</v>
          </cell>
          <cell r="DC57">
            <v>0</v>
          </cell>
          <cell r="DD57">
            <v>2519</v>
          </cell>
          <cell r="DE57">
            <v>0</v>
          </cell>
          <cell r="DF57">
            <v>640</v>
          </cell>
          <cell r="DG57">
            <v>-10</v>
          </cell>
          <cell r="DH57">
            <v>0</v>
          </cell>
          <cell r="DI57">
            <v>0</v>
          </cell>
          <cell r="DJ57">
            <v>0</v>
          </cell>
          <cell r="DK57">
            <v>0</v>
          </cell>
          <cell r="DL57">
            <v>0</v>
          </cell>
          <cell r="DM57">
            <v>60</v>
          </cell>
          <cell r="DN57">
            <v>0</v>
          </cell>
          <cell r="DO57">
            <v>60</v>
          </cell>
          <cell r="DP57">
            <v>371</v>
          </cell>
          <cell r="DQ57">
            <v>662</v>
          </cell>
          <cell r="DR57">
            <v>1056</v>
          </cell>
          <cell r="DS57">
            <v>370</v>
          </cell>
          <cell r="DT57">
            <v>0</v>
          </cell>
          <cell r="DU57">
            <v>0</v>
          </cell>
          <cell r="DV57">
            <v>0</v>
          </cell>
          <cell r="DW57">
            <v>14.7</v>
          </cell>
          <cell r="DX57">
            <v>721</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cell r="ER57" t="str">
            <v>..</v>
          </cell>
          <cell r="ES57" t="e">
            <v>#VALUE!</v>
          </cell>
          <cell r="ET57" t="str">
            <v>..</v>
          </cell>
          <cell r="EU57" t="str">
            <v>..</v>
          </cell>
          <cell r="EV57" t="str">
            <v>..</v>
          </cell>
          <cell r="EW57" t="str">
            <v>..</v>
          </cell>
          <cell r="EX57" t="str">
            <v>..</v>
          </cell>
          <cell r="EY57" t="str">
            <v>..</v>
          </cell>
          <cell r="EZ57" t="str">
            <v>..</v>
          </cell>
          <cell r="FA57" t="str">
            <v>..</v>
          </cell>
          <cell r="FB57">
            <v>-1889</v>
          </cell>
          <cell r="FC57">
            <v>-31</v>
          </cell>
          <cell r="FD57">
            <v>0</v>
          </cell>
          <cell r="FE57">
            <v>-1549</v>
          </cell>
          <cell r="FF57">
            <v>-120</v>
          </cell>
          <cell r="FG57">
            <v>6954</v>
          </cell>
          <cell r="FH57">
            <v>1305</v>
          </cell>
          <cell r="FI57">
            <v>95</v>
          </cell>
          <cell r="FJ57">
            <v>4765</v>
          </cell>
          <cell r="FK57">
            <v>436</v>
          </cell>
          <cell r="FL57">
            <v>0</v>
          </cell>
          <cell r="FM57">
            <v>-3052</v>
          </cell>
          <cell r="FN57">
            <v>-29</v>
          </cell>
          <cell r="FO57">
            <v>0</v>
          </cell>
          <cell r="FP57">
            <v>-1524</v>
          </cell>
          <cell r="FQ57">
            <v>-180</v>
          </cell>
          <cell r="FR57">
            <v>7315</v>
          </cell>
          <cell r="FS57">
            <v>1366</v>
          </cell>
          <cell r="FT57">
            <v>0</v>
          </cell>
          <cell r="FU57">
            <v>3896</v>
          </cell>
          <cell r="FV57">
            <v>415</v>
          </cell>
          <cell r="FW57">
            <v>0</v>
          </cell>
          <cell r="FX57">
            <v>438</v>
          </cell>
          <cell r="FY57">
            <v>453</v>
          </cell>
          <cell r="FZ57">
            <v>12</v>
          </cell>
          <cell r="GA57">
            <v>1</v>
          </cell>
          <cell r="GB57">
            <v>55</v>
          </cell>
          <cell r="GC57">
            <v>5</v>
          </cell>
          <cell r="GD57">
            <v>548</v>
          </cell>
          <cell r="GE57">
            <v>19</v>
          </cell>
          <cell r="GF57">
            <v>15</v>
          </cell>
          <cell r="GG57">
            <v>47</v>
          </cell>
          <cell r="GH57">
            <v>96</v>
          </cell>
          <cell r="GI57">
            <v>83</v>
          </cell>
          <cell r="GJ57">
            <v>639</v>
          </cell>
          <cell r="GK57">
            <v>2056</v>
          </cell>
          <cell r="GL57">
            <v>180</v>
          </cell>
          <cell r="GM57">
            <v>769</v>
          </cell>
          <cell r="GN57">
            <v>1376</v>
          </cell>
          <cell r="GO57">
            <v>450</v>
          </cell>
          <cell r="GP57">
            <v>0</v>
          </cell>
          <cell r="GQ57">
            <v>0</v>
          </cell>
          <cell r="GR57">
            <v>12</v>
          </cell>
          <cell r="GS57">
            <v>781</v>
          </cell>
          <cell r="GT57">
            <v>0</v>
          </cell>
          <cell r="GU57">
            <v>1577</v>
          </cell>
          <cell r="GV57">
            <v>120</v>
          </cell>
          <cell r="GW57">
            <v>50</v>
          </cell>
          <cell r="GX57">
            <v>0</v>
          </cell>
          <cell r="GY57">
            <v>297</v>
          </cell>
          <cell r="GZ57">
            <v>131</v>
          </cell>
          <cell r="HA57">
            <v>38</v>
          </cell>
          <cell r="HB57">
            <v>723</v>
          </cell>
          <cell r="HC57">
            <v>0</v>
          </cell>
          <cell r="HD57">
            <v>0</v>
          </cell>
          <cell r="HE57">
            <v>0</v>
          </cell>
          <cell r="HF57">
            <v>3729</v>
          </cell>
          <cell r="HG57">
            <v>0</v>
          </cell>
          <cell r="HH57">
            <v>0</v>
          </cell>
          <cell r="HI57">
            <v>0</v>
          </cell>
          <cell r="HJ57">
            <v>582</v>
          </cell>
          <cell r="HK57">
            <v>0</v>
          </cell>
          <cell r="HL57">
            <v>42</v>
          </cell>
          <cell r="HM57">
            <v>269</v>
          </cell>
          <cell r="HN57">
            <v>54</v>
          </cell>
          <cell r="HO57">
            <v>86</v>
          </cell>
          <cell r="HP57">
            <v>445</v>
          </cell>
          <cell r="HQ57">
            <v>87</v>
          </cell>
          <cell r="HR57">
            <v>3</v>
          </cell>
          <cell r="HS57">
            <v>145</v>
          </cell>
          <cell r="HT57">
            <v>0</v>
          </cell>
          <cell r="HU57">
            <v>143</v>
          </cell>
          <cell r="HV57">
            <v>0</v>
          </cell>
          <cell r="HW57">
            <v>1856</v>
          </cell>
          <cell r="HX57">
            <v>0</v>
          </cell>
          <cell r="HY57">
            <v>0</v>
          </cell>
          <cell r="HZ57">
            <v>0</v>
          </cell>
          <cell r="IA57">
            <v>788</v>
          </cell>
          <cell r="IB57">
            <v>0</v>
          </cell>
          <cell r="IC57">
            <v>180</v>
          </cell>
          <cell r="ID57">
            <v>0</v>
          </cell>
          <cell r="IE57">
            <v>11</v>
          </cell>
          <cell r="IF57">
            <v>0</v>
          </cell>
          <cell r="IG57">
            <v>369</v>
          </cell>
          <cell r="IH57">
            <v>190</v>
          </cell>
          <cell r="II57">
            <v>395</v>
          </cell>
          <cell r="IJ57">
            <v>30</v>
          </cell>
          <cell r="IK57">
            <v>0</v>
          </cell>
          <cell r="IL57">
            <v>0</v>
          </cell>
          <cell r="IM57">
            <v>0</v>
          </cell>
          <cell r="IN57">
            <v>1963</v>
          </cell>
          <cell r="IO57" t="str">
            <v>Ambulance, Police and Coastguard</v>
          </cell>
          <cell r="IP57" t="str">
            <v>Boats, EPU, Foam Carrier, ICU, 6x6, 4x4, Water Carrier, TRU, EPU, Water Incident</v>
          </cell>
          <cell r="IQ57" t="str">
            <v>..</v>
          </cell>
          <cell r="IR57" t="str">
            <v>..</v>
          </cell>
          <cell r="IS57" t="str">
            <v>..</v>
          </cell>
          <cell r="IT57" t="str">
            <v>..</v>
          </cell>
          <cell r="IU57" t="str">
            <v>..</v>
          </cell>
          <cell r="IV57" t="str">
            <v>..</v>
          </cell>
          <cell r="IW57" t="str">
            <v>Bangor, Corwen, Deeside, Dolgellau, Flint, Llandudno, Mold, Nefyn, Tywyn, Wrexham</v>
          </cell>
        </row>
        <row r="58">
          <cell r="B58" t="str">
            <v>W6173</v>
          </cell>
          <cell r="C58" t="str">
            <v>South Wales</v>
          </cell>
          <cell r="D58" t="str">
            <v>1</v>
          </cell>
          <cell r="E58">
            <v>11</v>
          </cell>
          <cell r="F58">
            <v>27</v>
          </cell>
          <cell r="G58">
            <v>9</v>
          </cell>
          <cell r="H58">
            <v>0</v>
          </cell>
          <cell r="I58">
            <v>47</v>
          </cell>
          <cell r="J58">
            <v>10</v>
          </cell>
          <cell r="K58">
            <v>11</v>
          </cell>
          <cell r="L58">
            <v>27</v>
          </cell>
          <cell r="M58">
            <v>9</v>
          </cell>
          <cell r="N58">
            <v>0</v>
          </cell>
          <cell r="O58">
            <v>47</v>
          </cell>
          <cell r="P58">
            <v>10</v>
          </cell>
          <cell r="Q58">
            <v>61</v>
          </cell>
          <cell r="R58">
            <v>61</v>
          </cell>
          <cell r="S58">
            <v>3</v>
          </cell>
          <cell r="T58">
            <v>63</v>
          </cell>
          <cell r="U58">
            <v>115</v>
          </cell>
          <cell r="V58">
            <v>0</v>
          </cell>
          <cell r="W58">
            <v>10</v>
          </cell>
          <cell r="X58">
            <v>252</v>
          </cell>
          <cell r="Y58">
            <v>160</v>
          </cell>
          <cell r="Z58">
            <v>13</v>
          </cell>
          <cell r="AA58">
            <v>13</v>
          </cell>
          <cell r="AB58">
            <v>3</v>
          </cell>
          <cell r="AC58">
            <v>4</v>
          </cell>
          <cell r="AD58">
            <v>19</v>
          </cell>
          <cell r="AE58">
            <v>58</v>
          </cell>
          <cell r="AF58">
            <v>126</v>
          </cell>
          <cell r="AG58">
            <v>103</v>
          </cell>
          <cell r="AH58">
            <v>479</v>
          </cell>
          <cell r="AI58">
            <v>792</v>
          </cell>
          <cell r="AJ58">
            <v>792</v>
          </cell>
          <cell r="AK58">
            <v>0</v>
          </cell>
          <cell r="AL58">
            <v>0</v>
          </cell>
          <cell r="AM58">
            <v>26.2</v>
          </cell>
          <cell r="AN58">
            <v>97.6</v>
          </cell>
          <cell r="AO58">
            <v>222.3</v>
          </cell>
          <cell r="AP58">
            <v>346.1</v>
          </cell>
          <cell r="AQ58">
            <v>346</v>
          </cell>
          <cell r="AR58">
            <v>38.9</v>
          </cell>
          <cell r="AS58">
            <v>252.2</v>
          </cell>
          <cell r="AT58">
            <v>1429.2</v>
          </cell>
          <cell r="AU58">
            <v>37896</v>
          </cell>
          <cell r="AV58">
            <v>5559</v>
          </cell>
          <cell r="AW58">
            <v>1363</v>
          </cell>
          <cell r="AX58">
            <v>9378</v>
          </cell>
          <cell r="AY58">
            <v>1471</v>
          </cell>
          <cell r="AZ58">
            <v>736</v>
          </cell>
          <cell r="BA58">
            <v>56403</v>
          </cell>
          <cell r="BB58">
            <v>4957</v>
          </cell>
          <cell r="BC58">
            <v>1262</v>
          </cell>
          <cell r="BD58">
            <v>3827</v>
          </cell>
          <cell r="BE58">
            <v>62</v>
          </cell>
          <cell r="BF58">
            <v>0</v>
          </cell>
          <cell r="BG58">
            <v>1591</v>
          </cell>
          <cell r="BH58">
            <v>68102</v>
          </cell>
          <cell r="BI58">
            <v>0</v>
          </cell>
          <cell r="BJ58">
            <v>0</v>
          </cell>
          <cell r="BK58">
            <v>1621</v>
          </cell>
          <cell r="BL58">
            <v>1621</v>
          </cell>
          <cell r="BM58">
            <v>66481</v>
          </cell>
          <cell r="BN58">
            <v>6536</v>
          </cell>
          <cell r="BO58">
            <v>-6240</v>
          </cell>
          <cell r="BP58">
            <v>0</v>
          </cell>
          <cell r="BQ58">
            <v>0</v>
          </cell>
          <cell r="BR58">
            <v>100</v>
          </cell>
          <cell r="BS58">
            <v>1389</v>
          </cell>
          <cell r="BT58">
            <v>73</v>
          </cell>
          <cell r="BU58">
            <v>1560</v>
          </cell>
          <cell r="BV58">
            <v>0</v>
          </cell>
          <cell r="BW58">
            <v>0</v>
          </cell>
          <cell r="BX58">
            <v>1610</v>
          </cell>
          <cell r="BY58">
            <v>69</v>
          </cell>
          <cell r="BZ58">
            <v>0</v>
          </cell>
          <cell r="CA58">
            <v>42</v>
          </cell>
          <cell r="CB58">
            <v>1721</v>
          </cell>
          <cell r="CC58">
            <v>8</v>
          </cell>
          <cell r="CD58">
            <v>0</v>
          </cell>
          <cell r="CE58">
            <v>4</v>
          </cell>
          <cell r="CF58">
            <v>0</v>
          </cell>
          <cell r="CG58">
            <v>-56</v>
          </cell>
          <cell r="CH58">
            <v>38230</v>
          </cell>
          <cell r="CI58">
            <v>5925</v>
          </cell>
          <cell r="CJ58">
            <v>1394</v>
          </cell>
          <cell r="CK58">
            <v>9992</v>
          </cell>
          <cell r="CL58">
            <v>1473</v>
          </cell>
          <cell r="CM58">
            <v>754</v>
          </cell>
          <cell r="CN58">
            <v>57768</v>
          </cell>
          <cell r="CO58">
            <v>4788</v>
          </cell>
          <cell r="CP58">
            <v>1161</v>
          </cell>
          <cell r="CQ58">
            <v>3861</v>
          </cell>
          <cell r="CR58">
            <v>64</v>
          </cell>
          <cell r="CS58">
            <v>0</v>
          </cell>
          <cell r="CT58">
            <v>5255</v>
          </cell>
          <cell r="CU58">
            <v>72897</v>
          </cell>
          <cell r="CV58">
            <v>0</v>
          </cell>
          <cell r="CW58">
            <v>0</v>
          </cell>
          <cell r="CX58">
            <v>1070</v>
          </cell>
          <cell r="CY58">
            <v>1070</v>
          </cell>
          <cell r="CZ58">
            <v>71827</v>
          </cell>
          <cell r="DA58">
            <v>0</v>
          </cell>
          <cell r="DB58">
            <v>0</v>
          </cell>
          <cell r="DC58">
            <v>0</v>
          </cell>
          <cell r="DD58">
            <v>0</v>
          </cell>
          <cell r="DE58">
            <v>100</v>
          </cell>
          <cell r="DF58">
            <v>1392</v>
          </cell>
          <cell r="DG58">
            <v>73</v>
          </cell>
          <cell r="DH58">
            <v>1722</v>
          </cell>
          <cell r="DI58">
            <v>0</v>
          </cell>
          <cell r="DJ58">
            <v>0</v>
          </cell>
          <cell r="DK58">
            <v>1610</v>
          </cell>
          <cell r="DL58">
            <v>69</v>
          </cell>
          <cell r="DM58">
            <v>0</v>
          </cell>
          <cell r="DN58">
            <v>42</v>
          </cell>
          <cell r="DO58">
            <v>1721</v>
          </cell>
          <cell r="DP58">
            <v>8</v>
          </cell>
          <cell r="DQ58">
            <v>0</v>
          </cell>
          <cell r="DR58">
            <v>4</v>
          </cell>
          <cell r="DS58">
            <v>0</v>
          </cell>
          <cell r="DT58">
            <v>-56</v>
          </cell>
          <cell r="DU58">
            <v>0</v>
          </cell>
          <cell r="DV58">
            <v>0</v>
          </cell>
          <cell r="DW58">
            <v>16.3</v>
          </cell>
          <cell r="DX58">
            <v>282</v>
          </cell>
          <cell r="DY58">
            <v>0</v>
          </cell>
          <cell r="DZ58">
            <v>0</v>
          </cell>
          <cell r="EA58">
            <v>0</v>
          </cell>
          <cell r="EB58">
            <v>0</v>
          </cell>
          <cell r="EC58">
            <v>0</v>
          </cell>
          <cell r="ED58">
            <v>0</v>
          </cell>
          <cell r="EE58" t="str">
            <v>..</v>
          </cell>
          <cell r="EF58" t="str">
            <v>..</v>
          </cell>
          <cell r="EG58" t="str">
            <v>..</v>
          </cell>
          <cell r="EH58" t="str">
            <v>..</v>
          </cell>
          <cell r="EI58" t="str">
            <v>..</v>
          </cell>
          <cell r="EJ58" t="str">
            <v>..</v>
          </cell>
          <cell r="EK58">
            <v>73017</v>
          </cell>
          <cell r="EL58" t="str">
            <v>..</v>
          </cell>
          <cell r="EM58" t="str">
            <v>..</v>
          </cell>
          <cell r="EN58" t="str">
            <v>..</v>
          </cell>
          <cell r="EO58">
            <v>73017</v>
          </cell>
          <cell r="EP58">
            <v>0</v>
          </cell>
          <cell r="EQ58">
            <v>0</v>
          </cell>
          <cell r="ER58">
            <v>0</v>
          </cell>
          <cell r="ES58" t="e">
            <v>#VALUE!</v>
          </cell>
          <cell r="ET58">
            <v>0</v>
          </cell>
          <cell r="EU58">
            <v>0</v>
          </cell>
          <cell r="EV58">
            <v>0</v>
          </cell>
          <cell r="EW58">
            <v>0</v>
          </cell>
          <cell r="EX58">
            <v>0</v>
          </cell>
          <cell r="EY58">
            <v>0</v>
          </cell>
          <cell r="EZ58">
            <v>0</v>
          </cell>
          <cell r="FA58">
            <v>0</v>
          </cell>
          <cell r="FB58">
            <v>-5103</v>
          </cell>
          <cell r="FC58">
            <v>-335</v>
          </cell>
          <cell r="FD58">
            <v>-150</v>
          </cell>
          <cell r="FE58">
            <v>-3967</v>
          </cell>
          <cell r="FF58">
            <v>-499</v>
          </cell>
          <cell r="FG58">
            <v>20120</v>
          </cell>
          <cell r="FH58">
            <v>6154</v>
          </cell>
          <cell r="FI58">
            <v>182</v>
          </cell>
          <cell r="FJ58">
            <v>16402</v>
          </cell>
          <cell r="FK58">
            <v>644</v>
          </cell>
          <cell r="FL58">
            <v>0</v>
          </cell>
          <cell r="FM58">
            <v>-8382</v>
          </cell>
          <cell r="FN58">
            <v>-242</v>
          </cell>
          <cell r="FO58">
            <v>-84</v>
          </cell>
          <cell r="FP58">
            <v>-3852</v>
          </cell>
          <cell r="FQ58">
            <v>0</v>
          </cell>
          <cell r="FR58">
            <v>20815</v>
          </cell>
          <cell r="FS58">
            <v>3902</v>
          </cell>
          <cell r="FT58">
            <v>0</v>
          </cell>
          <cell r="FU58">
            <v>12157</v>
          </cell>
          <cell r="FV58">
            <v>651</v>
          </cell>
          <cell r="FW58">
            <v>0</v>
          </cell>
          <cell r="FX58">
            <v>1327</v>
          </cell>
          <cell r="FY58">
            <v>1363</v>
          </cell>
          <cell r="FZ58">
            <v>44</v>
          </cell>
          <cell r="GA58">
            <v>11</v>
          </cell>
          <cell r="GB58">
            <v>151</v>
          </cell>
          <cell r="GC58">
            <v>20</v>
          </cell>
          <cell r="GD58">
            <v>1074</v>
          </cell>
          <cell r="GE58">
            <v>27</v>
          </cell>
          <cell r="GF58">
            <v>61</v>
          </cell>
          <cell r="GG58">
            <v>384</v>
          </cell>
          <cell r="GH58">
            <v>212</v>
          </cell>
          <cell r="GI58">
            <v>36</v>
          </cell>
          <cell r="GJ58">
            <v>15762</v>
          </cell>
          <cell r="GK58">
            <v>3000</v>
          </cell>
          <cell r="GL58">
            <v>38</v>
          </cell>
          <cell r="GM58">
            <v>13299</v>
          </cell>
          <cell r="GN58">
            <v>3000</v>
          </cell>
          <cell r="GO58">
            <v>38</v>
          </cell>
          <cell r="GP58">
            <v>0</v>
          </cell>
          <cell r="GQ58">
            <v>0</v>
          </cell>
          <cell r="GR58">
            <v>151</v>
          </cell>
          <cell r="GS58">
            <v>1290</v>
          </cell>
          <cell r="GT58">
            <v>79</v>
          </cell>
          <cell r="GU58">
            <v>2290</v>
          </cell>
          <cell r="GV58">
            <v>45</v>
          </cell>
          <cell r="GW58">
            <v>0</v>
          </cell>
          <cell r="GX58">
            <v>0</v>
          </cell>
          <cell r="GY58">
            <v>0</v>
          </cell>
          <cell r="GZ58">
            <v>266</v>
          </cell>
          <cell r="HA58">
            <v>0</v>
          </cell>
          <cell r="HB58">
            <v>113</v>
          </cell>
          <cell r="HC58">
            <v>0</v>
          </cell>
          <cell r="HD58">
            <v>0</v>
          </cell>
          <cell r="HE58">
            <v>0</v>
          </cell>
          <cell r="HF58">
            <v>4234</v>
          </cell>
          <cell r="HG58">
            <v>0</v>
          </cell>
          <cell r="HH58">
            <v>0</v>
          </cell>
          <cell r="HI58">
            <v>2430</v>
          </cell>
          <cell r="HJ58">
            <v>562</v>
          </cell>
          <cell r="HK58">
            <v>999</v>
          </cell>
          <cell r="HL58">
            <v>254</v>
          </cell>
          <cell r="HM58">
            <v>0</v>
          </cell>
          <cell r="HN58">
            <v>0</v>
          </cell>
          <cell r="HO58">
            <v>15</v>
          </cell>
          <cell r="HP58">
            <v>0</v>
          </cell>
          <cell r="HQ58">
            <v>383</v>
          </cell>
          <cell r="HR58">
            <v>0</v>
          </cell>
          <cell r="HS58">
            <v>24</v>
          </cell>
          <cell r="HT58">
            <v>0</v>
          </cell>
          <cell r="HU58">
            <v>0</v>
          </cell>
          <cell r="HV58">
            <v>0</v>
          </cell>
          <cell r="HW58">
            <v>4667</v>
          </cell>
          <cell r="HX58">
            <v>1577</v>
          </cell>
          <cell r="HY58">
            <v>0</v>
          </cell>
          <cell r="HZ58">
            <v>2627</v>
          </cell>
          <cell r="IA58">
            <v>1405</v>
          </cell>
          <cell r="IB58">
            <v>209</v>
          </cell>
          <cell r="IC58">
            <v>2183</v>
          </cell>
          <cell r="ID58">
            <v>0</v>
          </cell>
          <cell r="IE58">
            <v>0</v>
          </cell>
          <cell r="IF58">
            <v>150</v>
          </cell>
          <cell r="IG58">
            <v>0</v>
          </cell>
          <cell r="IH58">
            <v>480</v>
          </cell>
          <cell r="II58">
            <v>0</v>
          </cell>
          <cell r="IJ58">
            <v>0</v>
          </cell>
          <cell r="IK58">
            <v>0</v>
          </cell>
          <cell r="IL58">
            <v>0</v>
          </cell>
          <cell r="IM58">
            <v>0</v>
          </cell>
          <cell r="IN58">
            <v>8631</v>
          </cell>
          <cell r="IO58" t="str">
            <v>Welsh Ambulance Service Trust, Gwent Police and Coastguard</v>
          </cell>
          <cell r="IP58" t="str">
            <v>Seven Rescue Tenders, Seven special rescue tenders,One foam tender,Six water carriers,Two BA support,Twenty Three 4x4,s,Four 6x6 wildfire appliances,Thirteen Boats,</v>
          </cell>
          <cell r="IQ58">
            <v>0</v>
          </cell>
          <cell r="IR58" t="str">
            <v>Contracted Services, Invest Inc Rec, PFI chgs/payment, Holiday Acc Adj</v>
          </cell>
          <cell r="IS58">
            <v>0</v>
          </cell>
          <cell r="IT58">
            <v>0</v>
          </cell>
          <cell r="IU58">
            <v>0</v>
          </cell>
          <cell r="IV58" t="str">
            <v>..</v>
          </cell>
          <cell r="IW58" t="str">
            <v>Welsh Ambulance Service Trust, Gwent Police and Coastguard</v>
          </cell>
        </row>
        <row r="59">
          <cell r="B59" t="str">
            <v>S6189</v>
          </cell>
          <cell r="C59" t="str">
            <v>Scotland (SFRS)</v>
          </cell>
          <cell r="D59" t="str">
            <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t="str">
            <v>..</v>
          </cell>
          <cell r="ES59" t="e">
            <v>#VALUE!</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t="str">
            <v>..</v>
          </cell>
          <cell r="FZ59" t="str">
            <v>..</v>
          </cell>
          <cell r="GA59" t="str">
            <v>..</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t="str">
            <v>..</v>
          </cell>
          <cell r="GO59" t="str">
            <v>..</v>
          </cell>
          <cell r="GP59" t="str">
            <v>..</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t="str">
            <v>..</v>
          </cell>
          <cell r="HD59" t="str">
            <v>..</v>
          </cell>
          <cell r="HE59" t="str">
            <v>..</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t="str">
            <v>..</v>
          </cell>
          <cell r="HS59" t="str">
            <v>..</v>
          </cell>
          <cell r="HT59" t="str">
            <v>..</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t="str">
            <v>..</v>
          </cell>
          <cell r="IH59" t="str">
            <v>..</v>
          </cell>
          <cell r="II59" t="str">
            <v>..</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t="str">
            <v>..</v>
          </cell>
          <cell r="IW59" t="str">
            <v>..</v>
          </cell>
        </row>
        <row r="60">
          <cell r="B60" t="str">
            <v>N6190</v>
          </cell>
          <cell r="C60" t="str">
            <v>Northern Ireland</v>
          </cell>
          <cell r="D60" t="str">
            <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cell r="ER60" t="str">
            <v>..</v>
          </cell>
          <cell r="ES60" t="e">
            <v>#VALUE!</v>
          </cell>
          <cell r="ET60" t="str">
            <v>..</v>
          </cell>
          <cell r="EU60" t="str">
            <v>..</v>
          </cell>
          <cell r="EV60" t="str">
            <v>..</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t="str">
            <v>..</v>
          </cell>
          <cell r="FK60" t="str">
            <v>..</v>
          </cell>
          <cell r="FL60" t="str">
            <v>..</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t="str">
            <v>..</v>
          </cell>
          <cell r="GO60" t="str">
            <v>..</v>
          </cell>
          <cell r="GP60" t="str">
            <v>..</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Northern Ireland Ambulance Service</v>
          </cell>
        </row>
        <row r="62">
          <cell r="FB62" t="str">
            <v>jsk 30/08/19</v>
          </cell>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cell r="B1" t="str">
            <v>Authority</v>
          </cell>
          <cell r="C1" t="str">
            <v>Name1</v>
          </cell>
          <cell r="D1" t="str">
            <v>Job_Title1</v>
          </cell>
          <cell r="E1" t="str">
            <v>Telephone1</v>
          </cell>
          <cell r="F1" t="str">
            <v>Email1</v>
          </cell>
          <cell r="G1" t="str">
            <v>Name2</v>
          </cell>
          <cell r="H1" t="str">
            <v>Job_Title2</v>
          </cell>
          <cell r="I1" t="str">
            <v>Telephone2</v>
          </cell>
          <cell r="J1" t="str">
            <v>Email2</v>
          </cell>
          <cell r="K1" t="str">
            <v>Other_Email</v>
          </cell>
          <cell r="L1" t="str">
            <v>FIRE0205</v>
          </cell>
          <cell r="M1" t="str">
            <v>FIRE0005</v>
          </cell>
          <cell r="N1" t="str">
            <v>FIRE0206</v>
          </cell>
          <cell r="O1" t="str">
            <v>FIRE0006</v>
          </cell>
          <cell r="P1" t="str">
            <v>FIRE0007</v>
          </cell>
          <cell r="Q1" t="str">
            <v>FIRE0239</v>
          </cell>
          <cell r="R1" t="str">
            <v>FIRE0207</v>
          </cell>
          <cell r="S1" t="str">
            <v>FIRE0012</v>
          </cell>
          <cell r="T1" t="str">
            <v>FIRE0208</v>
          </cell>
          <cell r="U1" t="str">
            <v>FIRE0013</v>
          </cell>
          <cell r="V1" t="str">
            <v>FIRE0014</v>
          </cell>
          <cell r="W1" t="str">
            <v>FIRE0235</v>
          </cell>
          <cell r="X1" t="str">
            <v>FIRE0425</v>
          </cell>
          <cell r="Y1" t="str">
            <v>FIRE0310</v>
          </cell>
          <cell r="Z1" t="str">
            <v>FIRE0251</v>
          </cell>
          <cell r="AA1" t="str">
            <v>FIRE0209</v>
          </cell>
          <cell r="AB1" t="str">
            <v>FIRE0252</v>
          </cell>
          <cell r="AC1" t="str">
            <v>FIRE0311</v>
          </cell>
          <cell r="AD1" t="str">
            <v>FIRE0029</v>
          </cell>
          <cell r="AE1" t="str">
            <v>FIRE0030</v>
          </cell>
          <cell r="AF1" t="str">
            <v>FIRE0045</v>
          </cell>
          <cell r="AG1" t="str">
            <v>FIRE0046</v>
          </cell>
          <cell r="AH1" t="str">
            <v>FIRE0047</v>
          </cell>
          <cell r="AI1" t="str">
            <v>FIRE0058</v>
          </cell>
          <cell r="AJ1" t="str">
            <v>FIRE0063</v>
          </cell>
          <cell r="AK1" t="str">
            <v>FIRE0064</v>
          </cell>
          <cell r="AL1" t="str">
            <v>FIRE0065</v>
          </cell>
          <cell r="AM1" t="str">
            <v>FIRE0066</v>
          </cell>
          <cell r="AN1" t="str">
            <v>FIRE0067</v>
          </cell>
          <cell r="AO1" t="str">
            <v>FIRE0068</v>
          </cell>
          <cell r="AP1" t="str">
            <v>FIRE0069</v>
          </cell>
          <cell r="AQ1" t="str">
            <v>FIRE0070</v>
          </cell>
          <cell r="AR1" t="str">
            <v>FIRE0071</v>
          </cell>
          <cell r="AS1" t="str">
            <v>FIRE0274</v>
          </cell>
          <cell r="AT1" t="str">
            <v>FIRE0072</v>
          </cell>
          <cell r="AU1" t="str">
            <v>FIRE0073</v>
          </cell>
          <cell r="AV1" t="str">
            <v>FIRE0074</v>
          </cell>
          <cell r="AW1" t="str">
            <v>FIRE0075</v>
          </cell>
          <cell r="AX1" t="str">
            <v>FIRE0076</v>
          </cell>
          <cell r="AY1" t="str">
            <v>FIRE0077</v>
          </cell>
          <cell r="AZ1" t="str">
            <v>FIRE0078</v>
          </cell>
          <cell r="BA1" t="str">
            <v>FIRE0079</v>
          </cell>
          <cell r="BB1" t="str">
            <v>FIRE0085</v>
          </cell>
          <cell r="BC1" t="str">
            <v>FIRE0091</v>
          </cell>
          <cell r="BD1" t="str">
            <v>FIRE0097</v>
          </cell>
          <cell r="BE1" t="str">
            <v>FIRE0103</v>
          </cell>
          <cell r="BF1" t="str">
            <v>FIRE0104</v>
          </cell>
          <cell r="BG1" t="str">
            <v>FIRE0105</v>
          </cell>
          <cell r="BH1" t="str">
            <v>FIRE0106</v>
          </cell>
          <cell r="BI1" t="str">
            <v>FIRE0107</v>
          </cell>
          <cell r="BJ1" t="str">
            <v>FIRE0108</v>
          </cell>
          <cell r="BK1" t="str">
            <v>FIRE0109</v>
          </cell>
          <cell r="BL1" t="str">
            <v>FIRE0111</v>
          </cell>
          <cell r="BM1" t="str">
            <v>FIRE0255</v>
          </cell>
          <cell r="BN1" t="str">
            <v>FIRE0112</v>
          </cell>
          <cell r="BO1" t="str">
            <v>FIRE0113</v>
          </cell>
          <cell r="BP1" t="str">
            <v>FIRE0114</v>
          </cell>
          <cell r="BQ1" t="str">
            <v>FIRE0256</v>
          </cell>
          <cell r="BR1" t="str">
            <v>FIRE0115</v>
          </cell>
          <cell r="BS1" t="str">
            <v>FIRE0116</v>
          </cell>
          <cell r="BT1" t="str">
            <v>FIRE0117</v>
          </cell>
          <cell r="BU1" t="str">
            <v>FIRE0118</v>
          </cell>
          <cell r="BV1" t="str">
            <v>FIRE0119</v>
          </cell>
          <cell r="BW1" t="str">
            <v>FIRE0280</v>
          </cell>
          <cell r="BX1" t="str">
            <v>FIRE0282</v>
          </cell>
          <cell r="BY1" t="str">
            <v>FIRE0283</v>
          </cell>
          <cell r="BZ1" t="str">
            <v>FIRE0284</v>
          </cell>
          <cell r="CA1" t="str">
            <v>FIRE0285</v>
          </cell>
          <cell r="CB1" t="str">
            <v>FIRE0286</v>
          </cell>
          <cell r="CC1" t="str">
            <v>FIRE0403</v>
          </cell>
          <cell r="CD1" t="str">
            <v>FIRE0404</v>
          </cell>
          <cell r="CE1" t="str">
            <v>FIRE0405</v>
          </cell>
          <cell r="CF1" t="str">
            <v>FIRE0406</v>
          </cell>
          <cell r="CG1" t="str">
            <v>FIRE0407</v>
          </cell>
          <cell r="CH1" t="str">
            <v>FIRE0408</v>
          </cell>
          <cell r="CI1" t="str">
            <v>FIRE0409</v>
          </cell>
          <cell r="CJ1" t="str">
            <v>FIRE0410</v>
          </cell>
          <cell r="CK1" t="str">
            <v>FIRE0411</v>
          </cell>
          <cell r="CL1" t="str">
            <v>FIRE0412</v>
          </cell>
          <cell r="CM1" t="str">
            <v>FIRE0413</v>
          </cell>
          <cell r="CN1" t="str">
            <v>FIRE0361</v>
          </cell>
          <cell r="CO1" t="str">
            <v>FIRE0125</v>
          </cell>
          <cell r="CP1" t="str">
            <v>FIRE0131</v>
          </cell>
          <cell r="CQ1" t="str">
            <v>FIRE0137</v>
          </cell>
          <cell r="CR1" t="str">
            <v>FIRE0143</v>
          </cell>
          <cell r="CS1" t="str">
            <v>FIRE0144</v>
          </cell>
          <cell r="CT1" t="str">
            <v>FIRE0145</v>
          </cell>
          <cell r="CU1" t="str">
            <v>FIRE0146</v>
          </cell>
          <cell r="CV1" t="str">
            <v>FIRE0147</v>
          </cell>
          <cell r="CW1" t="str">
            <v>FIRE0148</v>
          </cell>
          <cell r="CX1" t="str">
            <v>FIRE0149</v>
          </cell>
          <cell r="CY1" t="str">
            <v>FIRE0151</v>
          </cell>
          <cell r="CZ1" t="str">
            <v>FIRE0249</v>
          </cell>
          <cell r="DA1" t="str">
            <v>FIRE0152</v>
          </cell>
          <cell r="DB1" t="str">
            <v>FIRE0153</v>
          </cell>
          <cell r="DC1" t="str">
            <v>FIRE0154</v>
          </cell>
          <cell r="DD1" t="str">
            <v>FIRE0250</v>
          </cell>
          <cell r="DE1" t="str">
            <v>FIRE0155</v>
          </cell>
          <cell r="DF1" t="str">
            <v>FIRE0156</v>
          </cell>
          <cell r="DG1" t="str">
            <v>FIRE0157</v>
          </cell>
          <cell r="DH1" t="str">
            <v>FIRE0158</v>
          </cell>
          <cell r="DI1" t="str">
            <v>FIRE0159</v>
          </cell>
          <cell r="DJ1" t="str">
            <v>FIRE0287</v>
          </cell>
          <cell r="DK1" t="str">
            <v>FIRE0289</v>
          </cell>
          <cell r="DL1" t="str">
            <v>FIRE0290</v>
          </cell>
          <cell r="DM1" t="str">
            <v>FIRE0291</v>
          </cell>
          <cell r="DN1" t="str">
            <v>FIRE0292</v>
          </cell>
          <cell r="DO1" t="str">
            <v>FIRE0293</v>
          </cell>
          <cell r="DP1" t="str">
            <v>FIRE0414</v>
          </cell>
          <cell r="DQ1" t="str">
            <v>FIRE0415</v>
          </cell>
          <cell r="DR1" t="str">
            <v>FIRE0416</v>
          </cell>
          <cell r="DS1" t="str">
            <v>FIRE0417</v>
          </cell>
          <cell r="DT1" t="str">
            <v>FIRE0418</v>
          </cell>
          <cell r="DU1" t="str">
            <v>FIRE0419</v>
          </cell>
          <cell r="DV1" t="str">
            <v>FIRE0420</v>
          </cell>
          <cell r="DW1" t="str">
            <v>FIRE0421</v>
          </cell>
          <cell r="DX1" t="str">
            <v>FIRE0422</v>
          </cell>
          <cell r="DY1" t="str">
            <v>FIRE0423</v>
          </cell>
          <cell r="DZ1" t="str">
            <v>FIRE0424</v>
          </cell>
          <cell r="EA1" t="str">
            <v>FIRE0362</v>
          </cell>
          <cell r="EB1" t="str">
            <v>FIRE0272</v>
          </cell>
          <cell r="EC1" t="str">
            <v>FIRE0257</v>
          </cell>
          <cell r="ED1" t="str">
            <v>FIRE0258</v>
          </cell>
          <cell r="EE1" t="str">
            <v>FIRE0259</v>
          </cell>
          <cell r="EF1" t="str">
            <v>FIRE0211</v>
          </cell>
          <cell r="EG1" t="str">
            <v>FIRE0212</v>
          </cell>
          <cell r="EH1" t="str">
            <v>FIRE0213</v>
          </cell>
          <cell r="EI1" t="str">
            <v>FIRE0426</v>
          </cell>
          <cell r="EJ1" t="str">
            <v>FIRE0312</v>
          </cell>
          <cell r="EK1" t="str">
            <v>FIRE0215</v>
          </cell>
          <cell r="EL1" t="str">
            <v>FIRE0313</v>
          </cell>
          <cell r="EM1" t="str">
            <v>FIRE0314</v>
          </cell>
          <cell r="EN1" t="str">
            <v>FIRE0160</v>
          </cell>
          <cell r="EO1" t="str">
            <v>FIRE0316</v>
          </cell>
          <cell r="EP1" t="str">
            <v>FIRE0317</v>
          </cell>
          <cell r="EQ1" t="str">
            <v>FIRE0318</v>
          </cell>
          <cell r="ER1" t="str">
            <v>FIRE0161</v>
          </cell>
          <cell r="ES1" t="str">
            <v>FIRE0162</v>
          </cell>
          <cell r="ET1" t="str">
            <v>FIRE0163</v>
          </cell>
          <cell r="EU1" t="str">
            <v>FIRE0164</v>
          </cell>
          <cell r="EV1" t="str">
            <v>FIRE0165</v>
          </cell>
          <cell r="EW1" t="str">
            <v>FIRE0304</v>
          </cell>
          <cell r="EX1" t="str">
            <v>FIRE0315</v>
          </cell>
          <cell r="EY1" t="str">
            <v>FIRE0260</v>
          </cell>
          <cell r="EZ1" t="str">
            <v>FIRE0319</v>
          </cell>
          <cell r="FA1" t="str">
            <v>FIRE0320</v>
          </cell>
          <cell r="FB1" t="str">
            <v>FIRE0321</v>
          </cell>
          <cell r="FC1" t="str">
            <v>FIRE0261</v>
          </cell>
          <cell r="FD1" t="str">
            <v>FIRE0262</v>
          </cell>
          <cell r="FE1" t="str">
            <v>FIRE0263</v>
          </cell>
          <cell r="FF1" t="str">
            <v>FIRE0264</v>
          </cell>
          <cell r="FG1" t="str">
            <v>FIRE0265</v>
          </cell>
          <cell r="FH1" t="str">
            <v>FIRE0178</v>
          </cell>
          <cell r="FI1" t="str">
            <v>FIRE0216</v>
          </cell>
          <cell r="FJ1" t="str">
            <v>FIRE0217</v>
          </cell>
          <cell r="FK1" t="str">
            <v>FIRE0218</v>
          </cell>
          <cell r="FL1" t="str">
            <v>FIRE0219</v>
          </cell>
          <cell r="FM1" t="str">
            <v>FIRE0220</v>
          </cell>
          <cell r="FN1" t="str">
            <v>FIRE0221</v>
          </cell>
          <cell r="FO1" t="str">
            <v>FIRE0222</v>
          </cell>
          <cell r="FP1" t="str">
            <v>FIRE0223</v>
          </cell>
          <cell r="FQ1" t="str">
            <v>FIRE0232</v>
          </cell>
          <cell r="FR1" t="str">
            <v>FIRE0363</v>
          </cell>
          <cell r="FS1" t="str">
            <v>FIRE0183</v>
          </cell>
          <cell r="FT1" t="str">
            <v>FIRE0224</v>
          </cell>
          <cell r="FU1" t="str">
            <v>FIRE0225</v>
          </cell>
          <cell r="FV1" t="str">
            <v>FIRE0226</v>
          </cell>
          <cell r="FW1" t="str">
            <v>FIRE0227</v>
          </cell>
          <cell r="FX1" t="str">
            <v>FIRE0228</v>
          </cell>
          <cell r="FY1" t="str">
            <v>FIRE0229</v>
          </cell>
          <cell r="FZ1" t="str">
            <v>FIRE0230</v>
          </cell>
          <cell r="GA1" t="str">
            <v>FIRE0231</v>
          </cell>
          <cell r="GB1" t="str">
            <v>FIRE0233</v>
          </cell>
          <cell r="GC1" t="str">
            <v>FIRE0364</v>
          </cell>
          <cell r="GD1" t="str">
            <v>FIRE0188</v>
          </cell>
          <cell r="GE1" t="str">
            <v>FIRE0189</v>
          </cell>
          <cell r="GF1" t="str">
            <v>FIRE0190</v>
          </cell>
          <cell r="GG1" t="str">
            <v>FIRE0191</v>
          </cell>
          <cell r="GH1" t="str">
            <v>FIRE0192</v>
          </cell>
          <cell r="GI1" t="str">
            <v>FIRE0193</v>
          </cell>
          <cell r="GJ1" t="str">
            <v>FIRE0266</v>
          </cell>
          <cell r="GK1" t="str">
            <v>FIRE0267</v>
          </cell>
          <cell r="GL1" t="str">
            <v>FIRE0194</v>
          </cell>
          <cell r="GM1" t="str">
            <v>FIRE0234</v>
          </cell>
          <cell r="GN1" t="str">
            <v>FIRE0268</v>
          </cell>
          <cell r="GO1" t="str">
            <v>FIRE0269</v>
          </cell>
          <cell r="GP1" t="str">
            <v>FIRE0195</v>
          </cell>
          <cell r="GQ1" t="str">
            <v>FIRE0196</v>
          </cell>
          <cell r="GR1" t="str">
            <v>FIRE0197</v>
          </cell>
          <cell r="GS1" t="str">
            <v>FIRE0198</v>
          </cell>
          <cell r="GT1" t="str">
            <v>FIRE0199</v>
          </cell>
          <cell r="GU1" t="str">
            <v>FIRE0200</v>
          </cell>
          <cell r="GV1" t="str">
            <v>FIRE0294</v>
          </cell>
          <cell r="GW1" t="str">
            <v>FIRE0295</v>
          </cell>
          <cell r="GX1" t="str">
            <v>FIRE0296</v>
          </cell>
          <cell r="GY1" t="str">
            <v>FIRE0297</v>
          </cell>
          <cell r="GZ1" t="str">
            <v>FIRE0298</v>
          </cell>
          <cell r="HA1" t="str">
            <v>FIRE0299</v>
          </cell>
          <cell r="HB1" t="str">
            <v>FIRE0300</v>
          </cell>
          <cell r="HC1" t="str">
            <v>FIRE0301</v>
          </cell>
          <cell r="HD1" t="str">
            <v>FIRE0302</v>
          </cell>
          <cell r="HE1" t="str">
            <v>FIRE0303</v>
          </cell>
          <cell r="HF1" t="str">
            <v>FIRE0305</v>
          </cell>
          <cell r="HG1" t="str">
            <v>FIRE0306</v>
          </cell>
          <cell r="HH1" t="str">
            <v>FIRE0322</v>
          </cell>
          <cell r="HI1" t="str">
            <v>FIRE0323</v>
          </cell>
          <cell r="HJ1" t="str">
            <v>FIRE0324</v>
          </cell>
          <cell r="HK1" t="str">
            <v>FIRE0325</v>
          </cell>
          <cell r="HL1" t="str">
            <v>FIRE0326</v>
          </cell>
          <cell r="HM1" t="str">
            <v>FIRE0327</v>
          </cell>
          <cell r="HN1" t="str">
            <v>FIRE0328</v>
          </cell>
          <cell r="HO1" t="str">
            <v>FIRE0329</v>
          </cell>
          <cell r="HP1" t="str">
            <v>FIRE0330</v>
          </cell>
          <cell r="HQ1" t="str">
            <v>FIRE0331</v>
          </cell>
          <cell r="HR1" t="str">
            <v>FIRE0332</v>
          </cell>
          <cell r="HS1" t="str">
            <v>FIRE0333</v>
          </cell>
          <cell r="HT1" t="str">
            <v>FIRE0334</v>
          </cell>
          <cell r="HU1" t="str">
            <v>FIRE0335</v>
          </cell>
          <cell r="HV1" t="str">
            <v>FIRE0336</v>
          </cell>
          <cell r="HW1" t="str">
            <v>FIRE0337</v>
          </cell>
          <cell r="HX1" t="str">
            <v>FIRE0338</v>
          </cell>
          <cell r="HY1" t="str">
            <v>FIRE0339</v>
          </cell>
          <cell r="HZ1" t="str">
            <v>FIRE0340</v>
          </cell>
          <cell r="IA1" t="str">
            <v>FIRE0341</v>
          </cell>
          <cell r="IB1" t="str">
            <v>FIRE0342</v>
          </cell>
          <cell r="IC1" t="str">
            <v>FIRE0343</v>
          </cell>
          <cell r="ID1" t="str">
            <v>FIRE0344</v>
          </cell>
          <cell r="IE1" t="str">
            <v>FIRE0345</v>
          </cell>
          <cell r="IF1" t="str">
            <v>FIRE0346</v>
          </cell>
          <cell r="IG1" t="str">
            <v>FIRE0347</v>
          </cell>
          <cell r="IH1" t="str">
            <v>FIRE0348</v>
          </cell>
          <cell r="II1" t="str">
            <v>FIRE0349</v>
          </cell>
          <cell r="IJ1" t="str">
            <v>FIRE0350</v>
          </cell>
          <cell r="IK1" t="str">
            <v>FIRE0351</v>
          </cell>
          <cell r="IL1" t="str">
            <v>FIRE0352</v>
          </cell>
          <cell r="IM1" t="str">
            <v>FIRE0353</v>
          </cell>
          <cell r="IN1" t="str">
            <v>FIRE0354</v>
          </cell>
          <cell r="IO1" t="str">
            <v>FIRE0355</v>
          </cell>
          <cell r="IP1" t="str">
            <v>FIRE0356</v>
          </cell>
          <cell r="IQ1" t="str">
            <v>FIRE0357</v>
          </cell>
          <cell r="IR1" t="str">
            <v>FIRE0358</v>
          </cell>
          <cell r="IS1" t="str">
            <v>FIRE0359</v>
          </cell>
          <cell r="IT1" t="str">
            <v>FIRE0360</v>
          </cell>
          <cell r="IU1" t="str">
            <v>FIRE0271</v>
          </cell>
          <cell r="IV1" t="str">
            <v>FIRE0201</v>
          </cell>
          <cell r="IW1" t="str">
            <v>FIRE0307</v>
          </cell>
          <cell r="IX1" t="str">
            <v>FIRE0270</v>
          </cell>
          <cell r="IY1" t="str">
            <v>FIRE0308</v>
          </cell>
          <cell r="IZ1" t="str">
            <v>FIRE0309</v>
          </cell>
          <cell r="JA1" t="str">
            <v>FIRE0273</v>
          </cell>
          <cell r="JB1" t="str">
            <v>FIRE0242</v>
          </cell>
        </row>
        <row r="2">
          <cell r="A2" t="str">
            <v>E6114</v>
          </cell>
          <cell r="B2" t="str">
            <v>East Sussex</v>
          </cell>
          <cell r="C2" t="str">
            <v>Gavin Turner</v>
          </cell>
          <cell r="D2" t="str">
            <v>Gavin Turner</v>
          </cell>
          <cell r="E2" t="str">
            <v>01323 462287</v>
          </cell>
          <cell r="F2" t="str">
            <v>gavin.turner@esfrs.org</v>
          </cell>
          <cell r="G2" t="str">
            <v>Gavin Turner</v>
          </cell>
          <cell r="H2" t="str">
            <v>Gavin Turner</v>
          </cell>
          <cell r="I2" t="str">
            <v>01323 462287</v>
          </cell>
          <cell r="J2" t="str">
            <v>gavinturner@esfrs.org</v>
          </cell>
          <cell r="K2" t="str">
            <v xml:space="preserve">Joanna.Knightley@eastsussex.gov.uk </v>
          </cell>
          <cell r="L2">
            <v>6</v>
          </cell>
          <cell r="M2">
            <v>12</v>
          </cell>
          <cell r="N2">
            <v>6</v>
          </cell>
          <cell r="O2">
            <v>0</v>
          </cell>
          <cell r="P2">
            <v>24</v>
          </cell>
          <cell r="Q2">
            <v>3</v>
          </cell>
          <cell r="R2">
            <v>6</v>
          </cell>
          <cell r="S2">
            <v>12</v>
          </cell>
          <cell r="T2">
            <v>6</v>
          </cell>
          <cell r="U2">
            <v>0</v>
          </cell>
          <cell r="V2">
            <v>24</v>
          </cell>
          <cell r="W2">
            <v>3</v>
          </cell>
          <cell r="X2">
            <v>41</v>
          </cell>
          <cell r="Y2">
            <v>41</v>
          </cell>
          <cell r="Z2">
            <v>3</v>
          </cell>
          <cell r="AA2">
            <v>5</v>
          </cell>
          <cell r="AB2">
            <v>38</v>
          </cell>
          <cell r="AC2">
            <v>10</v>
          </cell>
          <cell r="AD2">
            <v>48</v>
          </cell>
          <cell r="AE2">
            <v>145</v>
          </cell>
          <cell r="AF2">
            <v>69</v>
          </cell>
          <cell r="AG2">
            <v>6</v>
          </cell>
          <cell r="AH2">
            <v>2</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16533.080859999998</v>
          </cell>
          <cell r="BC2">
            <v>2133.9435800000001</v>
          </cell>
          <cell r="BD2">
            <v>1955.5976999999998</v>
          </cell>
          <cell r="BE2">
            <v>5871.8395100000007</v>
          </cell>
          <cell r="BF2">
            <v>811.03707999999995</v>
          </cell>
          <cell r="BG2">
            <v>1039.7499199999997</v>
          </cell>
          <cell r="BH2">
            <v>28345.248649999994</v>
          </cell>
          <cell r="BI2">
            <v>2347.9080700000009</v>
          </cell>
          <cell r="BJ2">
            <v>1181.6636199999998</v>
          </cell>
          <cell r="BK2">
            <v>6846.3233599999994</v>
          </cell>
          <cell r="BL2">
            <v>947.67369999999994</v>
          </cell>
          <cell r="BM2">
            <v>0</v>
          </cell>
          <cell r="BN2">
            <v>2289.6102999999998</v>
          </cell>
          <cell r="BO2">
            <v>41958.427699999993</v>
          </cell>
          <cell r="BP2">
            <v>932.53217999999993</v>
          </cell>
          <cell r="BQ2">
            <v>1373.36617</v>
          </cell>
          <cell r="BR2">
            <v>1099.2051000000004</v>
          </cell>
          <cell r="BS2">
            <v>3405.1034500000005</v>
          </cell>
          <cell r="BT2">
            <v>38553</v>
          </cell>
          <cell r="BU2">
            <v>2966</v>
          </cell>
          <cell r="BV2" t="str">
            <v>..</v>
          </cell>
          <cell r="BW2" t="str">
            <v>..</v>
          </cell>
          <cell r="BX2">
            <v>431</v>
          </cell>
          <cell r="BY2" t="str">
            <v>..</v>
          </cell>
          <cell r="BZ2">
            <v>496</v>
          </cell>
          <cell r="CA2">
            <v>-206</v>
          </cell>
          <cell r="CB2" t="str">
            <v>..</v>
          </cell>
          <cell r="CC2">
            <v>79.123709999999988</v>
          </cell>
          <cell r="CD2">
            <v>0</v>
          </cell>
          <cell r="CE2">
            <v>1812.70526</v>
          </cell>
          <cell r="CF2">
            <v>0</v>
          </cell>
          <cell r="CG2">
            <v>0.245</v>
          </cell>
          <cell r="CH2">
            <v>6.8811900000000001</v>
          </cell>
          <cell r="CI2">
            <v>1898.95516</v>
          </cell>
          <cell r="CJ2">
            <v>17.566330000000001</v>
          </cell>
          <cell r="CK2">
            <v>0.62008000000000008</v>
          </cell>
          <cell r="CL2">
            <v>111.43139000000001</v>
          </cell>
          <cell r="CM2">
            <v>357.01476000000002</v>
          </cell>
          <cell r="CN2">
            <v>1373.36617</v>
          </cell>
          <cell r="CO2">
            <v>18222.900000000001</v>
          </cell>
          <cell r="CP2">
            <v>2407.1999999999998</v>
          </cell>
          <cell r="CQ2">
            <v>1977.4</v>
          </cell>
          <cell r="CR2">
            <v>6336.3</v>
          </cell>
          <cell r="CS2">
            <v>545.20000000000005</v>
          </cell>
          <cell r="CT2">
            <v>752.3</v>
          </cell>
          <cell r="CU2">
            <v>30241.300000000003</v>
          </cell>
          <cell r="CV2">
            <v>2348.1999999999998</v>
          </cell>
          <cell r="CW2">
            <v>1139.0999999999999</v>
          </cell>
          <cell r="CX2">
            <v>5752.6</v>
          </cell>
          <cell r="CY2">
            <v>743.5</v>
          </cell>
          <cell r="CZ2">
            <v>0</v>
          </cell>
          <cell r="DA2">
            <v>2114.1999999999998</v>
          </cell>
          <cell r="DB2">
            <v>42338.9</v>
          </cell>
          <cell r="DC2">
            <v>1691.8</v>
          </cell>
          <cell r="DD2">
            <v>1414</v>
          </cell>
          <cell r="DE2">
            <v>692.5</v>
          </cell>
          <cell r="DF2">
            <v>3798.3</v>
          </cell>
          <cell r="DG2">
            <v>38540.6</v>
          </cell>
          <cell r="DH2">
            <v>496</v>
          </cell>
          <cell r="DI2" t="str">
            <v>..</v>
          </cell>
          <cell r="DJ2" t="str">
            <v>..</v>
          </cell>
          <cell r="DK2">
            <v>431</v>
          </cell>
          <cell r="DL2" t="str">
            <v>..</v>
          </cell>
          <cell r="DM2">
            <v>496</v>
          </cell>
          <cell r="DN2">
            <v>-230</v>
          </cell>
          <cell r="DO2" t="str">
            <v>..</v>
          </cell>
          <cell r="DP2">
            <v>0</v>
          </cell>
          <cell r="DQ2">
            <v>0</v>
          </cell>
          <cell r="DR2">
            <v>1977.4</v>
          </cell>
          <cell r="DS2">
            <v>0</v>
          </cell>
          <cell r="DT2">
            <v>25.8</v>
          </cell>
          <cell r="DU2">
            <v>8.1999999999999993</v>
          </cell>
          <cell r="DV2">
            <v>2011.4</v>
          </cell>
          <cell r="DW2">
            <v>52.8</v>
          </cell>
          <cell r="DX2">
            <v>1.4</v>
          </cell>
          <cell r="DY2">
            <v>32.9</v>
          </cell>
          <cell r="DZ2">
            <v>286.89999999999998</v>
          </cell>
          <cell r="EA2">
            <v>1414</v>
          </cell>
          <cell r="EB2" t="str">
            <v>..</v>
          </cell>
          <cell r="EC2">
            <v>0</v>
          </cell>
          <cell r="ED2" t="str">
            <v>..</v>
          </cell>
          <cell r="EE2" t="str">
            <v>..</v>
          </cell>
          <cell r="EF2">
            <v>-4284.9950000000008</v>
          </cell>
          <cell r="EG2">
            <v>-7435.7049999999999</v>
          </cell>
          <cell r="EH2">
            <v>-27214.9</v>
          </cell>
          <cell r="EI2">
            <v>-170</v>
          </cell>
          <cell r="EJ2">
            <v>69</v>
          </cell>
          <cell r="EK2">
            <v>-39036.600000000006</v>
          </cell>
          <cell r="EL2">
            <v>1002.3714699999999</v>
          </cell>
          <cell r="EM2">
            <v>1073.3096699999999</v>
          </cell>
          <cell r="EN2">
            <v>2076</v>
          </cell>
          <cell r="EO2">
            <v>21391.744912000002</v>
          </cell>
          <cell r="EP2">
            <v>1757.61203</v>
          </cell>
          <cell r="EQ2">
            <v>173.2997</v>
          </cell>
          <cell r="ER2">
            <v>23323</v>
          </cell>
          <cell r="ES2">
            <v>41</v>
          </cell>
          <cell r="ET2">
            <v>850</v>
          </cell>
          <cell r="EU2">
            <v>15229</v>
          </cell>
          <cell r="EV2">
            <v>41519</v>
          </cell>
          <cell r="EW2" t="str">
            <v>..</v>
          </cell>
          <cell r="EX2" t="str">
            <v>..</v>
          </cell>
          <cell r="EY2" t="str">
            <v>..</v>
          </cell>
          <cell r="EZ2" t="str">
            <v>..</v>
          </cell>
          <cell r="FA2" t="str">
            <v>..</v>
          </cell>
          <cell r="FB2" t="str">
            <v>..</v>
          </cell>
          <cell r="FC2" t="str">
            <v>..</v>
          </cell>
          <cell r="FD2" t="str">
            <v>..</v>
          </cell>
          <cell r="FE2" t="str">
            <v>..</v>
          </cell>
          <cell r="FF2" t="str">
            <v>..</v>
          </cell>
          <cell r="FG2" t="str">
            <v>..</v>
          </cell>
          <cell r="FH2">
            <v>-2248</v>
          </cell>
          <cell r="FI2">
            <v>-31</v>
          </cell>
          <cell r="FJ2">
            <v>0</v>
          </cell>
          <cell r="FK2">
            <v>-1829</v>
          </cell>
          <cell r="FL2">
            <v>0</v>
          </cell>
          <cell r="FM2">
            <v>9528</v>
          </cell>
          <cell r="FN2">
            <v>2471</v>
          </cell>
          <cell r="FO2">
            <v>61</v>
          </cell>
          <cell r="FP2">
            <v>7952</v>
          </cell>
          <cell r="FQ2">
            <v>0</v>
          </cell>
          <cell r="FR2" t="str">
            <v>..</v>
          </cell>
          <cell r="FS2">
            <v>-3694</v>
          </cell>
          <cell r="FT2">
            <v>-83</v>
          </cell>
          <cell r="FU2">
            <v>0</v>
          </cell>
          <cell r="FV2">
            <v>-1627</v>
          </cell>
          <cell r="FW2">
            <v>0</v>
          </cell>
          <cell r="FX2">
            <v>9622</v>
          </cell>
          <cell r="FY2">
            <v>992</v>
          </cell>
          <cell r="FZ2">
            <v>0</v>
          </cell>
          <cell r="GA2">
            <v>5210</v>
          </cell>
          <cell r="GB2">
            <v>0</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t="str">
            <v>..</v>
          </cell>
          <cell r="GP2">
            <v>10096</v>
          </cell>
          <cell r="GQ2">
            <v>3142</v>
          </cell>
          <cell r="GR2">
            <v>319</v>
          </cell>
          <cell r="GS2">
            <v>9944</v>
          </cell>
          <cell r="GT2">
            <v>2417</v>
          </cell>
          <cell r="GU2">
            <v>187</v>
          </cell>
          <cell r="GV2">
            <v>0</v>
          </cell>
          <cell r="GW2">
            <v>0</v>
          </cell>
          <cell r="GX2">
            <v>0</v>
          </cell>
          <cell r="GY2">
            <v>931</v>
          </cell>
          <cell r="GZ2">
            <v>0</v>
          </cell>
          <cell r="HA2">
            <v>281</v>
          </cell>
          <cell r="HB2">
            <v>0</v>
          </cell>
          <cell r="HC2">
            <v>0</v>
          </cell>
          <cell r="HD2">
            <v>0</v>
          </cell>
          <cell r="HE2">
            <v>123</v>
          </cell>
          <cell r="HF2">
            <v>0</v>
          </cell>
          <cell r="HG2">
            <v>0</v>
          </cell>
          <cell r="HH2">
            <v>681</v>
          </cell>
          <cell r="HI2">
            <v>0</v>
          </cell>
          <cell r="HJ2">
            <v>0</v>
          </cell>
          <cell r="HK2">
            <v>0</v>
          </cell>
          <cell r="HL2">
            <v>2016</v>
          </cell>
          <cell r="HM2">
            <v>0</v>
          </cell>
          <cell r="HN2">
            <v>0</v>
          </cell>
          <cell r="HO2">
            <v>0</v>
          </cell>
          <cell r="HP2">
            <v>317</v>
          </cell>
          <cell r="HQ2">
            <v>0</v>
          </cell>
          <cell r="HR2">
            <v>680</v>
          </cell>
          <cell r="HS2">
            <v>0</v>
          </cell>
          <cell r="HT2">
            <v>0</v>
          </cell>
          <cell r="HU2">
            <v>0</v>
          </cell>
          <cell r="HV2">
            <v>13</v>
          </cell>
          <cell r="HW2">
            <v>0</v>
          </cell>
          <cell r="HX2">
            <v>0</v>
          </cell>
          <cell r="HY2">
            <v>0</v>
          </cell>
          <cell r="HZ2">
            <v>0</v>
          </cell>
          <cell r="IA2">
            <v>0</v>
          </cell>
          <cell r="IB2">
            <v>0</v>
          </cell>
          <cell r="IC2">
            <v>1010</v>
          </cell>
          <cell r="ID2">
            <v>0</v>
          </cell>
          <cell r="IE2">
            <v>0</v>
          </cell>
          <cell r="IF2">
            <v>0</v>
          </cell>
          <cell r="IG2">
            <v>3375</v>
          </cell>
          <cell r="IH2">
            <v>0</v>
          </cell>
          <cell r="II2">
            <v>3353</v>
          </cell>
          <cell r="IJ2">
            <v>0</v>
          </cell>
          <cell r="IK2">
            <v>0</v>
          </cell>
          <cell r="IL2">
            <v>0</v>
          </cell>
          <cell r="IM2">
            <v>0</v>
          </cell>
          <cell r="IN2">
            <v>0</v>
          </cell>
          <cell r="IO2">
            <v>0</v>
          </cell>
          <cell r="IP2">
            <v>0</v>
          </cell>
          <cell r="IQ2">
            <v>0</v>
          </cell>
          <cell r="IR2">
            <v>0</v>
          </cell>
          <cell r="IS2">
            <v>0</v>
          </cell>
          <cell r="IT2">
            <v>6728</v>
          </cell>
          <cell r="IU2" t="str">
            <v>Sussex Police / SECAmb</v>
          </cell>
          <cell r="IV2" t="str">
            <v>Landrover defenders</v>
          </cell>
          <cell r="IW2" t="str">
            <v>..</v>
          </cell>
          <cell r="IX2" t="str">
            <v>CERA, Transfers to Reserves and MRP</v>
          </cell>
          <cell r="IY2" t="str">
            <v>..</v>
          </cell>
          <cell r="IZ2" t="str">
            <v>..</v>
          </cell>
          <cell r="JA2" t="str">
            <v>..</v>
          </cell>
          <cell r="JB2" t="str">
            <v>..</v>
          </cell>
        </row>
        <row r="3">
          <cell r="A3" t="str">
            <v>E0920</v>
          </cell>
          <cell r="B3" t="str">
            <v>Cumbria</v>
          </cell>
          <cell r="C3" t="str">
            <v>Nathaniel Hooton</v>
          </cell>
          <cell r="D3" t="str">
            <v>Area Manager</v>
          </cell>
          <cell r="E3" t="str">
            <v>"07766366079</v>
          </cell>
          <cell r="F3" t="str">
            <v>Nathaniel.Hooton@cumbria.gov.uk</v>
          </cell>
          <cell r="G3" t="str">
            <v>Wendy Forshaw</v>
          </cell>
          <cell r="H3" t="str">
            <v>Finance Manager</v>
          </cell>
          <cell r="I3" t="str">
            <v>"07786334849</v>
          </cell>
          <cell r="J3" t="str">
            <v>wendy.forshaw@cumbria.gov.uk</v>
          </cell>
          <cell r="K3" t="str">
            <v>..</v>
          </cell>
          <cell r="L3">
            <v>2</v>
          </cell>
          <cell r="M3">
            <v>30</v>
          </cell>
          <cell r="N3">
            <v>6</v>
          </cell>
          <cell r="O3">
            <v>0</v>
          </cell>
          <cell r="P3">
            <v>38</v>
          </cell>
          <cell r="Q3">
            <v>1</v>
          </cell>
          <cell r="R3">
            <v>2</v>
          </cell>
          <cell r="S3">
            <v>30</v>
          </cell>
          <cell r="T3">
            <v>6</v>
          </cell>
          <cell r="U3">
            <v>0</v>
          </cell>
          <cell r="V3">
            <v>38</v>
          </cell>
          <cell r="W3">
            <v>1</v>
          </cell>
          <cell r="X3">
            <v>45</v>
          </cell>
          <cell r="Y3">
            <v>45</v>
          </cell>
          <cell r="Z3">
            <v>2</v>
          </cell>
          <cell r="AA3">
            <v>20</v>
          </cell>
          <cell r="AB3">
            <v>49</v>
          </cell>
          <cell r="AC3">
            <v>0</v>
          </cell>
          <cell r="AD3">
            <v>4</v>
          </cell>
          <cell r="AE3">
            <v>120</v>
          </cell>
          <cell r="AF3">
            <v>32</v>
          </cell>
          <cell r="AG3">
            <v>5</v>
          </cell>
          <cell r="AH3">
            <v>4</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v>9350</v>
          </cell>
          <cell r="BC3">
            <v>2491</v>
          </cell>
          <cell r="BD3">
            <v>0</v>
          </cell>
          <cell r="BE3">
            <v>788</v>
          </cell>
          <cell r="BF3">
            <v>375</v>
          </cell>
          <cell r="BG3">
            <v>63</v>
          </cell>
          <cell r="BH3">
            <v>13067</v>
          </cell>
          <cell r="BI3">
            <v>1767</v>
          </cell>
          <cell r="BJ3">
            <v>813</v>
          </cell>
          <cell r="BK3">
            <v>836</v>
          </cell>
          <cell r="BL3">
            <v>2534</v>
          </cell>
          <cell r="BM3">
            <v>363</v>
          </cell>
          <cell r="BN3">
            <v>0</v>
          </cell>
          <cell r="BO3">
            <v>19380</v>
          </cell>
          <cell r="BP3">
            <v>1881</v>
          </cell>
          <cell r="BQ3">
            <v>0</v>
          </cell>
          <cell r="BR3">
            <v>157</v>
          </cell>
          <cell r="BS3">
            <v>2038</v>
          </cell>
          <cell r="BT3">
            <v>17342</v>
          </cell>
          <cell r="BU3">
            <v>1598</v>
          </cell>
          <cell r="BV3">
            <v>336</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10853</v>
          </cell>
          <cell r="CP3">
            <v>3039</v>
          </cell>
          <cell r="CQ3">
            <v>0</v>
          </cell>
          <cell r="CR3">
            <v>961</v>
          </cell>
          <cell r="CS3">
            <v>457</v>
          </cell>
          <cell r="CT3">
            <v>76</v>
          </cell>
          <cell r="CU3">
            <v>15386</v>
          </cell>
          <cell r="CV3">
            <v>1780</v>
          </cell>
          <cell r="CW3">
            <v>819</v>
          </cell>
          <cell r="CX3">
            <v>971</v>
          </cell>
          <cell r="CY3">
            <v>2540</v>
          </cell>
          <cell r="CZ3">
            <v>376</v>
          </cell>
          <cell r="DA3">
            <v>0</v>
          </cell>
          <cell r="DB3">
            <v>21872</v>
          </cell>
          <cell r="DC3">
            <v>3261</v>
          </cell>
          <cell r="DD3">
            <v>0</v>
          </cell>
          <cell r="DE3">
            <v>136</v>
          </cell>
          <cell r="DF3">
            <v>3397</v>
          </cell>
          <cell r="DG3">
            <v>18475</v>
          </cell>
          <cell r="DH3">
            <v>1599</v>
          </cell>
          <cell r="DI3">
            <v>370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14.9</v>
          </cell>
          <cell r="EE3">
            <v>0</v>
          </cell>
          <cell r="EF3" t="str">
            <v>..</v>
          </cell>
          <cell r="EG3" t="str">
            <v>..</v>
          </cell>
          <cell r="EH3" t="str">
            <v>..</v>
          </cell>
          <cell r="EI3" t="str">
            <v>..</v>
          </cell>
          <cell r="EJ3" t="str">
            <v>..</v>
          </cell>
          <cell r="EK3" t="str">
            <v>..</v>
          </cell>
          <cell r="EL3" t="str">
            <v>..</v>
          </cell>
          <cell r="EM3" t="str">
            <v>..</v>
          </cell>
          <cell r="EN3">
            <v>934</v>
          </cell>
          <cell r="EO3" t="str">
            <v>..</v>
          </cell>
          <cell r="EP3" t="str">
            <v>..</v>
          </cell>
          <cell r="EQ3" t="str">
            <v>..</v>
          </cell>
          <cell r="ER3">
            <v>18006</v>
          </cell>
          <cell r="ES3">
            <v>0</v>
          </cell>
          <cell r="ET3">
            <v>0</v>
          </cell>
          <cell r="EU3">
            <v>0</v>
          </cell>
          <cell r="EV3">
            <v>18940</v>
          </cell>
          <cell r="EW3" t="str">
            <v>..</v>
          </cell>
          <cell r="EX3" t="str">
            <v>..</v>
          </cell>
          <cell r="EY3">
            <v>124</v>
          </cell>
          <cell r="EZ3" t="str">
            <v>..</v>
          </cell>
          <cell r="FA3" t="str">
            <v>..</v>
          </cell>
          <cell r="FB3" t="str">
            <v>..</v>
          </cell>
          <cell r="FC3">
            <v>2399</v>
          </cell>
          <cell r="FD3">
            <v>0</v>
          </cell>
          <cell r="FE3">
            <v>0</v>
          </cell>
          <cell r="FF3">
            <v>0</v>
          </cell>
          <cell r="FG3">
            <v>2523</v>
          </cell>
          <cell r="FH3">
            <v>-1434</v>
          </cell>
          <cell r="FI3">
            <v>0</v>
          </cell>
          <cell r="FJ3">
            <v>0</v>
          </cell>
          <cell r="FK3">
            <v>-1209</v>
          </cell>
          <cell r="FL3">
            <v>-38</v>
          </cell>
          <cell r="FM3">
            <v>6596</v>
          </cell>
          <cell r="FN3">
            <v>1435</v>
          </cell>
          <cell r="FO3">
            <v>0</v>
          </cell>
          <cell r="FP3">
            <v>5350</v>
          </cell>
          <cell r="FQ3">
            <v>0</v>
          </cell>
          <cell r="FR3">
            <v>0</v>
          </cell>
          <cell r="FS3">
            <v>-2801</v>
          </cell>
          <cell r="FT3">
            <v>0</v>
          </cell>
          <cell r="FU3">
            <v>0</v>
          </cell>
          <cell r="FV3">
            <v>-1194</v>
          </cell>
          <cell r="FW3">
            <v>0</v>
          </cell>
          <cell r="FX3">
            <v>6926</v>
          </cell>
          <cell r="FY3">
            <v>767</v>
          </cell>
          <cell r="FZ3">
            <v>0</v>
          </cell>
          <cell r="GA3">
            <v>3698</v>
          </cell>
          <cell r="GB3">
            <v>0</v>
          </cell>
          <cell r="GC3">
            <v>0</v>
          </cell>
          <cell r="GD3">
            <v>427</v>
          </cell>
          <cell r="GE3">
            <v>437</v>
          </cell>
          <cell r="GF3">
            <v>12</v>
          </cell>
          <cell r="GG3">
            <v>0</v>
          </cell>
          <cell r="GH3">
            <v>51</v>
          </cell>
          <cell r="GI3">
            <v>46</v>
          </cell>
          <cell r="GJ3">
            <v>414</v>
          </cell>
          <cell r="GK3">
            <v>60</v>
          </cell>
          <cell r="GL3">
            <v>36</v>
          </cell>
          <cell r="GM3">
            <v>166</v>
          </cell>
          <cell r="GN3">
            <v>76</v>
          </cell>
          <cell r="GO3">
            <v>35</v>
          </cell>
          <cell r="GP3">
            <v>240</v>
          </cell>
          <cell r="GQ3">
            <v>0</v>
          </cell>
          <cell r="GR3">
            <v>0</v>
          </cell>
          <cell r="GS3">
            <v>313</v>
          </cell>
          <cell r="GT3">
            <v>0</v>
          </cell>
          <cell r="GU3">
            <v>0</v>
          </cell>
          <cell r="GV3">
            <v>0</v>
          </cell>
          <cell r="GW3">
            <v>0</v>
          </cell>
          <cell r="GX3">
            <v>0</v>
          </cell>
          <cell r="GY3">
            <v>0</v>
          </cell>
          <cell r="GZ3">
            <v>0</v>
          </cell>
          <cell r="HA3">
            <v>465</v>
          </cell>
          <cell r="HB3">
            <v>0</v>
          </cell>
          <cell r="HC3">
            <v>0</v>
          </cell>
          <cell r="HD3">
            <v>0</v>
          </cell>
          <cell r="HE3">
            <v>0</v>
          </cell>
          <cell r="HF3">
            <v>0</v>
          </cell>
          <cell r="HG3">
            <v>0</v>
          </cell>
          <cell r="HH3">
            <v>111</v>
          </cell>
          <cell r="HI3">
            <v>0</v>
          </cell>
          <cell r="HJ3">
            <v>0</v>
          </cell>
          <cell r="HK3">
            <v>0</v>
          </cell>
          <cell r="HL3">
            <v>576</v>
          </cell>
          <cell r="HM3">
            <v>0</v>
          </cell>
          <cell r="HN3">
            <v>0</v>
          </cell>
          <cell r="HO3">
            <v>0</v>
          </cell>
          <cell r="HP3">
            <v>0</v>
          </cell>
          <cell r="HQ3">
            <v>0</v>
          </cell>
          <cell r="HR3">
            <v>1710</v>
          </cell>
          <cell r="HS3">
            <v>12</v>
          </cell>
          <cell r="HT3">
            <v>24</v>
          </cell>
          <cell r="HU3">
            <v>0</v>
          </cell>
          <cell r="HV3">
            <v>0</v>
          </cell>
          <cell r="HW3">
            <v>0</v>
          </cell>
          <cell r="HX3">
            <v>0</v>
          </cell>
          <cell r="HY3">
            <v>122</v>
          </cell>
          <cell r="HZ3">
            <v>0</v>
          </cell>
          <cell r="IA3">
            <v>0</v>
          </cell>
          <cell r="IB3">
            <v>0</v>
          </cell>
          <cell r="IC3">
            <v>1868</v>
          </cell>
          <cell r="ID3">
            <v>0</v>
          </cell>
          <cell r="IE3">
            <v>0</v>
          </cell>
          <cell r="IF3">
            <v>0</v>
          </cell>
          <cell r="IG3">
            <v>0</v>
          </cell>
          <cell r="IH3">
            <v>0</v>
          </cell>
          <cell r="II3">
            <v>729</v>
          </cell>
          <cell r="IJ3">
            <v>0</v>
          </cell>
          <cell r="IK3">
            <v>0</v>
          </cell>
          <cell r="IL3">
            <v>0</v>
          </cell>
          <cell r="IM3">
            <v>0</v>
          </cell>
          <cell r="IN3">
            <v>0</v>
          </cell>
          <cell r="IO3">
            <v>0</v>
          </cell>
          <cell r="IP3">
            <v>62</v>
          </cell>
          <cell r="IQ3">
            <v>0</v>
          </cell>
          <cell r="IR3">
            <v>0</v>
          </cell>
          <cell r="IS3">
            <v>0</v>
          </cell>
          <cell r="IT3">
            <v>791</v>
          </cell>
          <cell r="IU3" t="str">
            <v>North West Ambulance Service (NWAS)</v>
          </cell>
          <cell r="IV3" t="str">
            <v xml:space="preserve">2 x Water Bowsers, 1 x BA support Unit, 1 x Water Response vechicle, 3  x Joint Incident Command Units, 7 x Wildfire Land Rovers, 2 x Uni Mogs, 1 x Welfare Unit and 3 Rapid Response Vechicles </v>
          </cell>
          <cell r="IW3" t="str">
            <v>..</v>
          </cell>
          <cell r="IX3" t="str">
            <v>..</v>
          </cell>
          <cell r="IY3" t="str">
            <v>..</v>
          </cell>
          <cell r="IZ3" t="str">
            <v>Secondment of staff income included</v>
          </cell>
          <cell r="JA3" t="str">
            <v>..</v>
          </cell>
          <cell r="JB3" t="str">
            <v>..</v>
          </cell>
        </row>
        <row r="4">
          <cell r="A4" t="str">
            <v>W6171</v>
          </cell>
          <cell r="B4" t="str">
            <v>Mid and West Wales</v>
          </cell>
          <cell r="C4" t="str">
            <v>Christopher Rees</v>
          </cell>
          <cell r="D4" t="str">
            <v>Statistical Analyst</v>
          </cell>
          <cell r="E4" t="str">
            <v>01267 226829</v>
          </cell>
          <cell r="F4" t="str">
            <v>c.rees@mawwfire.gov.uk</v>
          </cell>
          <cell r="G4" t="str">
            <v>Louise Bishop</v>
          </cell>
          <cell r="H4" t="str">
            <v>Accountant</v>
          </cell>
          <cell r="I4" t="str">
            <v>01267 226880</v>
          </cell>
          <cell r="J4" t="str">
            <v>l.bishop@mawwfire.gov.uk</v>
          </cell>
          <cell r="K4" t="str">
            <v>..</v>
          </cell>
          <cell r="L4">
            <v>4</v>
          </cell>
          <cell r="M4">
            <v>43</v>
          </cell>
          <cell r="N4">
            <v>9</v>
          </cell>
          <cell r="O4">
            <v>2</v>
          </cell>
          <cell r="P4">
            <v>58</v>
          </cell>
          <cell r="Q4">
            <v>17</v>
          </cell>
          <cell r="R4">
            <v>4</v>
          </cell>
          <cell r="S4">
            <v>43</v>
          </cell>
          <cell r="T4">
            <v>9</v>
          </cell>
          <cell r="U4">
            <v>2</v>
          </cell>
          <cell r="V4">
            <v>58</v>
          </cell>
          <cell r="W4">
            <v>19</v>
          </cell>
          <cell r="X4">
            <v>69</v>
          </cell>
          <cell r="Y4">
            <v>69</v>
          </cell>
          <cell r="Z4">
            <v>3</v>
          </cell>
          <cell r="AA4">
            <v>55</v>
          </cell>
          <cell r="AB4">
            <v>43</v>
          </cell>
          <cell r="AC4">
            <v>0</v>
          </cell>
          <cell r="AD4">
            <v>24</v>
          </cell>
          <cell r="AE4">
            <v>194</v>
          </cell>
          <cell r="AF4">
            <v>125</v>
          </cell>
          <cell r="AG4">
            <v>14</v>
          </cell>
          <cell r="AH4">
            <v>7</v>
          </cell>
          <cell r="AI4">
            <v>384</v>
          </cell>
          <cell r="AJ4">
            <v>769</v>
          </cell>
          <cell r="AK4">
            <v>3</v>
          </cell>
          <cell r="AL4">
            <v>3</v>
          </cell>
          <cell r="AM4">
            <v>18</v>
          </cell>
          <cell r="AN4">
            <v>46</v>
          </cell>
          <cell r="AO4">
            <v>107</v>
          </cell>
          <cell r="AP4">
            <v>47</v>
          </cell>
          <cell r="AQ4">
            <v>160</v>
          </cell>
          <cell r="AR4">
            <v>384</v>
          </cell>
          <cell r="AS4">
            <v>0</v>
          </cell>
          <cell r="AT4">
            <v>0</v>
          </cell>
          <cell r="AU4">
            <v>52</v>
          </cell>
          <cell r="AV4">
            <v>128.5</v>
          </cell>
          <cell r="AW4">
            <v>470.25</v>
          </cell>
          <cell r="AX4">
            <v>650.75</v>
          </cell>
          <cell r="AY4">
            <v>26.3</v>
          </cell>
          <cell r="AZ4">
            <v>197</v>
          </cell>
          <cell r="BA4">
            <v>1258.05</v>
          </cell>
          <cell r="BB4">
            <v>20842</v>
          </cell>
          <cell r="BC4">
            <v>7130</v>
          </cell>
          <cell r="BD4">
            <v>1316</v>
          </cell>
          <cell r="BE4">
            <v>5647</v>
          </cell>
          <cell r="BF4">
            <v>515</v>
          </cell>
          <cell r="BG4">
            <v>11</v>
          </cell>
          <cell r="BH4">
            <v>35461</v>
          </cell>
          <cell r="BI4">
            <v>2239</v>
          </cell>
          <cell r="BJ4">
            <v>2893</v>
          </cell>
          <cell r="BK4">
            <v>6522</v>
          </cell>
          <cell r="BL4">
            <v>1123</v>
          </cell>
          <cell r="BM4">
            <v>0</v>
          </cell>
          <cell r="BN4">
            <v>0</v>
          </cell>
          <cell r="BO4">
            <v>48238</v>
          </cell>
          <cell r="BP4">
            <v>3072</v>
          </cell>
          <cell r="BQ4">
            <v>1332</v>
          </cell>
          <cell r="BR4">
            <v>0</v>
          </cell>
          <cell r="BS4">
            <v>4404</v>
          </cell>
          <cell r="BT4">
            <v>43834</v>
          </cell>
          <cell r="BU4">
            <v>1942</v>
          </cell>
          <cell r="BV4">
            <v>883</v>
          </cell>
          <cell r="BW4">
            <v>118</v>
          </cell>
          <cell r="BX4">
            <v>1941</v>
          </cell>
          <cell r="BY4">
            <v>729</v>
          </cell>
          <cell r="BZ4">
            <v>745</v>
          </cell>
          <cell r="CA4">
            <v>42</v>
          </cell>
          <cell r="CB4">
            <v>0</v>
          </cell>
          <cell r="CC4" t="str">
            <v>..</v>
          </cell>
          <cell r="CD4" t="str">
            <v>..</v>
          </cell>
          <cell r="CE4" t="str">
            <v>..</v>
          </cell>
          <cell r="CF4" t="str">
            <v>..</v>
          </cell>
          <cell r="CG4" t="str">
            <v>..</v>
          </cell>
          <cell r="CH4" t="str">
            <v>..</v>
          </cell>
          <cell r="CI4" t="str">
            <v>..</v>
          </cell>
          <cell r="CJ4" t="str">
            <v>..</v>
          </cell>
          <cell r="CK4" t="str">
            <v>..</v>
          </cell>
          <cell r="CL4" t="str">
            <v>..</v>
          </cell>
          <cell r="CM4" t="str">
            <v>..</v>
          </cell>
          <cell r="CN4" t="str">
            <v>..</v>
          </cell>
          <cell r="CO4">
            <v>21345</v>
          </cell>
          <cell r="CP4">
            <v>7675</v>
          </cell>
          <cell r="CQ4">
            <v>1299</v>
          </cell>
          <cell r="CR4">
            <v>6160</v>
          </cell>
          <cell r="CS4">
            <v>497</v>
          </cell>
          <cell r="CT4">
            <v>91</v>
          </cell>
          <cell r="CU4">
            <v>37067</v>
          </cell>
          <cell r="CV4">
            <v>2308</v>
          </cell>
          <cell r="CW4">
            <v>1991</v>
          </cell>
          <cell r="CX4">
            <v>4543</v>
          </cell>
          <cell r="CY4">
            <v>4671</v>
          </cell>
          <cell r="CZ4">
            <v>0</v>
          </cell>
          <cell r="DA4">
            <v>0</v>
          </cell>
          <cell r="DB4">
            <v>50580</v>
          </cell>
          <cell r="DC4">
            <v>1879</v>
          </cell>
          <cell r="DD4">
            <v>712</v>
          </cell>
          <cell r="DE4">
            <v>0</v>
          </cell>
          <cell r="DF4">
            <v>2591</v>
          </cell>
          <cell r="DG4">
            <v>47989</v>
          </cell>
          <cell r="DH4">
            <v>2300</v>
          </cell>
          <cell r="DI4">
            <v>900</v>
          </cell>
          <cell r="DJ4">
            <v>0</v>
          </cell>
          <cell r="DK4">
            <v>2293</v>
          </cell>
          <cell r="DL4">
            <v>638</v>
          </cell>
          <cell r="DM4">
            <v>811</v>
          </cell>
          <cell r="DN4">
            <v>20000</v>
          </cell>
          <cell r="DO4">
            <v>0</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v>113976</v>
          </cell>
          <cell r="ED4" t="str">
            <v>..</v>
          </cell>
          <cell r="EE4" t="str">
            <v>..</v>
          </cell>
          <cell r="EF4" t="str">
            <v>..</v>
          </cell>
          <cell r="EG4" t="str">
            <v>..</v>
          </cell>
          <cell r="EH4" t="str">
            <v>..</v>
          </cell>
          <cell r="EI4" t="str">
            <v>..</v>
          </cell>
          <cell r="EJ4" t="str">
            <v>..</v>
          </cell>
          <cell r="EK4" t="str">
            <v>..</v>
          </cell>
          <cell r="EL4" t="str">
            <v>..</v>
          </cell>
          <cell r="EM4" t="str">
            <v>..</v>
          </cell>
          <cell r="EN4">
            <v>5416</v>
          </cell>
          <cell r="EO4" t="str">
            <v>..</v>
          </cell>
          <cell r="EP4" t="str">
            <v>..</v>
          </cell>
          <cell r="EQ4" t="str">
            <v>..</v>
          </cell>
          <cell r="ER4">
            <v>38293</v>
          </cell>
          <cell r="ES4">
            <v>236</v>
          </cell>
          <cell r="ET4">
            <v>1831</v>
          </cell>
          <cell r="EU4">
            <v>0</v>
          </cell>
          <cell r="EV4">
            <v>45776</v>
          </cell>
          <cell r="EW4" t="str">
            <v>..</v>
          </cell>
          <cell r="EX4" t="str">
            <v>..</v>
          </cell>
          <cell r="EY4">
            <v>5416</v>
          </cell>
          <cell r="EZ4" t="str">
            <v>..</v>
          </cell>
          <cell r="FA4" t="str">
            <v>..</v>
          </cell>
          <cell r="FB4" t="str">
            <v>..</v>
          </cell>
          <cell r="FC4">
            <v>38293</v>
          </cell>
          <cell r="FD4">
            <v>236</v>
          </cell>
          <cell r="FE4">
            <v>1831</v>
          </cell>
          <cell r="FF4">
            <v>0</v>
          </cell>
          <cell r="FG4">
            <v>45776</v>
          </cell>
          <cell r="FH4">
            <v>-3168</v>
          </cell>
          <cell r="FI4">
            <v>-498</v>
          </cell>
          <cell r="FJ4">
            <v>0</v>
          </cell>
          <cell r="FK4">
            <v>-2560</v>
          </cell>
          <cell r="FL4">
            <v>-157</v>
          </cell>
          <cell r="FM4">
            <v>11453</v>
          </cell>
          <cell r="FN4">
            <v>1955</v>
          </cell>
          <cell r="FO4">
            <v>8</v>
          </cell>
          <cell r="FP4">
            <v>7033</v>
          </cell>
          <cell r="FQ4" t="str">
            <v>..</v>
          </cell>
          <cell r="FR4" t="str">
            <v>..</v>
          </cell>
          <cell r="FS4">
            <v>-4551</v>
          </cell>
          <cell r="FT4">
            <v>-450</v>
          </cell>
          <cell r="FU4">
            <v>0</v>
          </cell>
          <cell r="FV4">
            <v>-2711</v>
          </cell>
          <cell r="FW4">
            <v>-150</v>
          </cell>
          <cell r="FX4">
            <v>12243</v>
          </cell>
          <cell r="FY4">
            <v>2090</v>
          </cell>
          <cell r="FZ4">
            <v>10</v>
          </cell>
          <cell r="GA4">
            <v>6481</v>
          </cell>
          <cell r="GB4" t="str">
            <v>..</v>
          </cell>
          <cell r="GC4" t="str">
            <v>..</v>
          </cell>
          <cell r="GD4">
            <v>736</v>
          </cell>
          <cell r="GE4">
            <v>761</v>
          </cell>
          <cell r="GF4">
            <v>21</v>
          </cell>
          <cell r="GG4">
            <v>2</v>
          </cell>
          <cell r="GH4">
            <v>96</v>
          </cell>
          <cell r="GI4">
            <v>19</v>
          </cell>
          <cell r="GJ4">
            <v>947</v>
          </cell>
          <cell r="GK4">
            <v>39</v>
          </cell>
          <cell r="GL4">
            <v>37</v>
          </cell>
          <cell r="GM4">
            <v>482</v>
          </cell>
          <cell r="GN4">
            <v>360</v>
          </cell>
          <cell r="GO4">
            <v>29</v>
          </cell>
          <cell r="GP4">
            <v>7328</v>
          </cell>
          <cell r="GQ4">
            <v>707</v>
          </cell>
          <cell r="GR4" t="str">
            <v>..</v>
          </cell>
          <cell r="GS4">
            <v>7725</v>
          </cell>
          <cell r="GT4">
            <v>880</v>
          </cell>
          <cell r="GU4" t="str">
            <v>..</v>
          </cell>
          <cell r="GV4">
            <v>373</v>
          </cell>
          <cell r="GW4">
            <v>0</v>
          </cell>
          <cell r="GX4">
            <v>0</v>
          </cell>
          <cell r="GY4">
            <v>757</v>
          </cell>
          <cell r="GZ4">
            <v>5</v>
          </cell>
          <cell r="HA4">
            <v>1493</v>
          </cell>
          <cell r="HB4">
            <v>0</v>
          </cell>
          <cell r="HC4">
            <v>0</v>
          </cell>
          <cell r="HD4">
            <v>0</v>
          </cell>
          <cell r="HE4">
            <v>0</v>
          </cell>
          <cell r="HF4">
            <v>64</v>
          </cell>
          <cell r="HG4">
            <v>297</v>
          </cell>
          <cell r="HH4">
            <v>1385</v>
          </cell>
          <cell r="HI4">
            <v>0</v>
          </cell>
          <cell r="HJ4">
            <v>0</v>
          </cell>
          <cell r="HK4">
            <v>0</v>
          </cell>
          <cell r="HL4">
            <v>4374</v>
          </cell>
          <cell r="HM4">
            <v>204</v>
          </cell>
          <cell r="HN4">
            <v>0</v>
          </cell>
          <cell r="HO4">
            <v>0</v>
          </cell>
          <cell r="HP4">
            <v>626</v>
          </cell>
          <cell r="HQ4">
            <v>22</v>
          </cell>
          <cell r="HR4">
            <v>629</v>
          </cell>
          <cell r="HS4">
            <v>0</v>
          </cell>
          <cell r="HT4">
            <v>0</v>
          </cell>
          <cell r="HU4">
            <v>300</v>
          </cell>
          <cell r="HV4">
            <v>0</v>
          </cell>
          <cell r="HW4">
            <v>136</v>
          </cell>
          <cell r="HX4">
            <v>0</v>
          </cell>
          <cell r="HY4">
            <v>467</v>
          </cell>
          <cell r="HZ4">
            <v>0</v>
          </cell>
          <cell r="IA4">
            <v>0</v>
          </cell>
          <cell r="IB4">
            <v>0</v>
          </cell>
          <cell r="IC4">
            <v>2384</v>
          </cell>
          <cell r="ID4">
            <v>1900</v>
          </cell>
          <cell r="IE4">
            <v>240</v>
          </cell>
          <cell r="IF4">
            <v>0</v>
          </cell>
          <cell r="IG4">
            <v>3580</v>
          </cell>
          <cell r="IH4">
            <v>35</v>
          </cell>
          <cell r="II4">
            <v>5744</v>
          </cell>
          <cell r="IJ4">
            <v>0</v>
          </cell>
          <cell r="IK4">
            <v>0</v>
          </cell>
          <cell r="IL4">
            <v>0</v>
          </cell>
          <cell r="IM4">
            <v>0</v>
          </cell>
          <cell r="IN4">
            <v>75</v>
          </cell>
          <cell r="IO4">
            <v>1130</v>
          </cell>
          <cell r="IP4">
            <v>439</v>
          </cell>
          <cell r="IQ4">
            <v>0</v>
          </cell>
          <cell r="IR4">
            <v>0</v>
          </cell>
          <cell r="IS4">
            <v>0</v>
          </cell>
          <cell r="IT4">
            <v>13143</v>
          </cell>
          <cell r="IU4">
            <v>0</v>
          </cell>
          <cell r="IV4" t="str">
            <v>..</v>
          </cell>
          <cell r="IW4" t="str">
            <v>..</v>
          </cell>
          <cell r="IX4" t="str">
            <v>..</v>
          </cell>
          <cell r="IY4" t="str">
            <v>..</v>
          </cell>
          <cell r="IZ4" t="str">
            <v>..</v>
          </cell>
          <cell r="JA4" t="str">
            <v>..</v>
          </cell>
          <cell r="JB4" t="str">
            <v>Could you explain why we still need to report section B using SeRCOP as it is no longer needed in the statement of accounts.</v>
          </cell>
        </row>
        <row r="5">
          <cell r="A5" t="str">
            <v>W6173</v>
          </cell>
          <cell r="B5" t="str">
            <v>South Wales</v>
          </cell>
          <cell r="C5" t="str">
            <v>Lisa Mullan</v>
          </cell>
          <cell r="D5" t="str">
            <v>Senior Accountant</v>
          </cell>
          <cell r="E5" t="str">
            <v>01443 232756</v>
          </cell>
          <cell r="F5" t="str">
            <v>l-mullan@southwales-fire.gov.uk</v>
          </cell>
          <cell r="G5" t="str">
            <v>Lisa Mullan</v>
          </cell>
          <cell r="H5" t="str">
            <v>Senior Accountant</v>
          </cell>
          <cell r="I5" t="str">
            <v>01443 232756</v>
          </cell>
          <cell r="J5" t="str">
            <v>l-mullan@southwales-fire.gov.uk</v>
          </cell>
          <cell r="K5">
            <v>0</v>
          </cell>
          <cell r="L5">
            <v>11</v>
          </cell>
          <cell r="M5">
            <v>27</v>
          </cell>
          <cell r="N5">
            <v>9</v>
          </cell>
          <cell r="O5">
            <v>0</v>
          </cell>
          <cell r="P5">
            <v>47</v>
          </cell>
          <cell r="Q5">
            <v>10</v>
          </cell>
          <cell r="R5">
            <v>11</v>
          </cell>
          <cell r="S5">
            <v>27</v>
          </cell>
          <cell r="T5">
            <v>9</v>
          </cell>
          <cell r="U5">
            <v>0</v>
          </cell>
          <cell r="V5">
            <v>47</v>
          </cell>
          <cell r="W5">
            <v>10</v>
          </cell>
          <cell r="X5">
            <v>61</v>
          </cell>
          <cell r="Y5">
            <v>61</v>
          </cell>
          <cell r="Z5">
            <v>3</v>
          </cell>
          <cell r="AA5">
            <v>63</v>
          </cell>
          <cell r="AB5">
            <v>115</v>
          </cell>
          <cell r="AC5">
            <v>0</v>
          </cell>
          <cell r="AD5">
            <v>10</v>
          </cell>
          <cell r="AE5">
            <v>252</v>
          </cell>
          <cell r="AF5">
            <v>160</v>
          </cell>
          <cell r="AG5">
            <v>13</v>
          </cell>
          <cell r="AH5">
            <v>13</v>
          </cell>
          <cell r="AI5">
            <v>792</v>
          </cell>
          <cell r="AJ5">
            <v>346</v>
          </cell>
          <cell r="AK5">
            <v>3</v>
          </cell>
          <cell r="AL5">
            <v>4</v>
          </cell>
          <cell r="AM5">
            <v>19</v>
          </cell>
          <cell r="AN5">
            <v>58</v>
          </cell>
          <cell r="AO5">
            <v>126</v>
          </cell>
          <cell r="AP5">
            <v>103</v>
          </cell>
          <cell r="AQ5">
            <v>479</v>
          </cell>
          <cell r="AR5">
            <v>792</v>
          </cell>
          <cell r="AS5">
            <v>0</v>
          </cell>
          <cell r="AT5">
            <v>0</v>
          </cell>
          <cell r="AU5">
            <v>26.2</v>
          </cell>
          <cell r="AV5">
            <v>97.6</v>
          </cell>
          <cell r="AW5">
            <v>222.3</v>
          </cell>
          <cell r="AX5">
            <v>346.1</v>
          </cell>
          <cell r="AY5">
            <v>38.9</v>
          </cell>
          <cell r="AZ5">
            <v>252.2</v>
          </cell>
          <cell r="BA5">
            <v>1429.2</v>
          </cell>
          <cell r="BB5">
            <v>37896</v>
          </cell>
          <cell r="BC5">
            <v>5559</v>
          </cell>
          <cell r="BD5">
            <v>1363</v>
          </cell>
          <cell r="BE5">
            <v>9378</v>
          </cell>
          <cell r="BF5">
            <v>1471</v>
          </cell>
          <cell r="BG5">
            <v>736</v>
          </cell>
          <cell r="BH5">
            <v>56403</v>
          </cell>
          <cell r="BI5">
            <v>4957</v>
          </cell>
          <cell r="BJ5">
            <v>1262</v>
          </cell>
          <cell r="BK5">
            <v>3827</v>
          </cell>
          <cell r="BL5">
            <v>62</v>
          </cell>
          <cell r="BM5">
            <v>0</v>
          </cell>
          <cell r="BN5">
            <v>1591</v>
          </cell>
          <cell r="BO5">
            <v>68102</v>
          </cell>
          <cell r="BP5">
            <v>0</v>
          </cell>
          <cell r="BQ5">
            <v>0</v>
          </cell>
          <cell r="BR5">
            <v>1621</v>
          </cell>
          <cell r="BS5">
            <v>1621</v>
          </cell>
          <cell r="BT5">
            <v>66481</v>
          </cell>
          <cell r="BU5">
            <v>6536</v>
          </cell>
          <cell r="BV5">
            <v>-6240</v>
          </cell>
          <cell r="BW5">
            <v>0</v>
          </cell>
          <cell r="BX5">
            <v>0</v>
          </cell>
          <cell r="BY5">
            <v>100</v>
          </cell>
          <cell r="BZ5">
            <v>1389</v>
          </cell>
          <cell r="CA5">
            <v>73</v>
          </cell>
          <cell r="CB5">
            <v>1560</v>
          </cell>
          <cell r="CC5">
            <v>0</v>
          </cell>
          <cell r="CD5">
            <v>0</v>
          </cell>
          <cell r="CE5">
            <v>1610</v>
          </cell>
          <cell r="CF5">
            <v>69</v>
          </cell>
          <cell r="CG5">
            <v>0</v>
          </cell>
          <cell r="CH5">
            <v>42</v>
          </cell>
          <cell r="CI5">
            <v>1721</v>
          </cell>
          <cell r="CJ5">
            <v>8</v>
          </cell>
          <cell r="CK5">
            <v>0</v>
          </cell>
          <cell r="CL5">
            <v>4</v>
          </cell>
          <cell r="CM5">
            <v>0</v>
          </cell>
          <cell r="CN5">
            <v>-56</v>
          </cell>
          <cell r="CO5">
            <v>38230</v>
          </cell>
          <cell r="CP5">
            <v>5925</v>
          </cell>
          <cell r="CQ5">
            <v>1394</v>
          </cell>
          <cell r="CR5">
            <v>9992</v>
          </cell>
          <cell r="CS5">
            <v>1473</v>
          </cell>
          <cell r="CT5">
            <v>754</v>
          </cell>
          <cell r="CU5">
            <v>57768</v>
          </cell>
          <cell r="CV5">
            <v>4788</v>
          </cell>
          <cell r="CW5">
            <v>1161</v>
          </cell>
          <cell r="CX5">
            <v>3861</v>
          </cell>
          <cell r="CY5">
            <v>64</v>
          </cell>
          <cell r="CZ5">
            <v>0</v>
          </cell>
          <cell r="DA5">
            <v>5255</v>
          </cell>
          <cell r="DB5">
            <v>72897</v>
          </cell>
          <cell r="DC5">
            <v>0</v>
          </cell>
          <cell r="DD5">
            <v>0</v>
          </cell>
          <cell r="DE5">
            <v>1070</v>
          </cell>
          <cell r="DF5">
            <v>1070</v>
          </cell>
          <cell r="DG5">
            <v>71827</v>
          </cell>
          <cell r="DH5">
            <v>0</v>
          </cell>
          <cell r="DI5">
            <v>0</v>
          </cell>
          <cell r="DJ5">
            <v>0</v>
          </cell>
          <cell r="DK5">
            <v>0</v>
          </cell>
          <cell r="DL5">
            <v>100</v>
          </cell>
          <cell r="DM5">
            <v>1392</v>
          </cell>
          <cell r="DN5">
            <v>73</v>
          </cell>
          <cell r="DO5">
            <v>1722</v>
          </cell>
          <cell r="DP5">
            <v>0</v>
          </cell>
          <cell r="DQ5">
            <v>0</v>
          </cell>
          <cell r="DR5">
            <v>1610</v>
          </cell>
          <cell r="DS5">
            <v>69</v>
          </cell>
          <cell r="DT5">
            <v>0</v>
          </cell>
          <cell r="DU5">
            <v>42</v>
          </cell>
          <cell r="DV5">
            <v>1721</v>
          </cell>
          <cell r="DW5">
            <v>8</v>
          </cell>
          <cell r="DX5">
            <v>0</v>
          </cell>
          <cell r="DY5">
            <v>4</v>
          </cell>
          <cell r="DZ5">
            <v>0</v>
          </cell>
          <cell r="EA5">
            <v>-56</v>
          </cell>
          <cell r="EB5">
            <v>0</v>
          </cell>
          <cell r="EC5">
            <v>0</v>
          </cell>
          <cell r="ED5">
            <v>16.3</v>
          </cell>
          <cell r="EE5">
            <v>282</v>
          </cell>
          <cell r="EF5">
            <v>0</v>
          </cell>
          <cell r="EG5">
            <v>0</v>
          </cell>
          <cell r="EH5">
            <v>0</v>
          </cell>
          <cell r="EI5">
            <v>0</v>
          </cell>
          <cell r="EJ5">
            <v>0</v>
          </cell>
          <cell r="EK5">
            <v>0</v>
          </cell>
          <cell r="EL5" t="str">
            <v>..</v>
          </cell>
          <cell r="EM5" t="str">
            <v>..</v>
          </cell>
          <cell r="EN5" t="str">
            <v>..</v>
          </cell>
          <cell r="EO5" t="str">
            <v>..</v>
          </cell>
          <cell r="EP5" t="str">
            <v>..</v>
          </cell>
          <cell r="EQ5" t="str">
            <v>..</v>
          </cell>
          <cell r="ER5">
            <v>73017</v>
          </cell>
          <cell r="ES5" t="str">
            <v>..</v>
          </cell>
          <cell r="ET5" t="str">
            <v>..</v>
          </cell>
          <cell r="EU5" t="str">
            <v>..</v>
          </cell>
          <cell r="EV5">
            <v>73017</v>
          </cell>
          <cell r="EW5">
            <v>0</v>
          </cell>
          <cell r="EX5">
            <v>0</v>
          </cell>
          <cell r="EY5">
            <v>0</v>
          </cell>
          <cell r="EZ5">
            <v>0</v>
          </cell>
          <cell r="FA5">
            <v>0</v>
          </cell>
          <cell r="FB5">
            <v>0</v>
          </cell>
          <cell r="FC5">
            <v>0</v>
          </cell>
          <cell r="FD5">
            <v>0</v>
          </cell>
          <cell r="FE5">
            <v>0</v>
          </cell>
          <cell r="FF5">
            <v>0</v>
          </cell>
          <cell r="FG5">
            <v>0</v>
          </cell>
          <cell r="FH5">
            <v>-5103</v>
          </cell>
          <cell r="FI5">
            <v>-335</v>
          </cell>
          <cell r="FJ5">
            <v>-150</v>
          </cell>
          <cell r="FK5">
            <v>-3967</v>
          </cell>
          <cell r="FL5">
            <v>-499</v>
          </cell>
          <cell r="FM5">
            <v>20120</v>
          </cell>
          <cell r="FN5">
            <v>6154</v>
          </cell>
          <cell r="FO5">
            <v>182</v>
          </cell>
          <cell r="FP5">
            <v>16402</v>
          </cell>
          <cell r="FQ5">
            <v>644</v>
          </cell>
          <cell r="FR5">
            <v>0</v>
          </cell>
          <cell r="FS5">
            <v>-8382</v>
          </cell>
          <cell r="FT5">
            <v>-242</v>
          </cell>
          <cell r="FU5">
            <v>-84</v>
          </cell>
          <cell r="FV5">
            <v>-3852</v>
          </cell>
          <cell r="FW5">
            <v>0</v>
          </cell>
          <cell r="FX5">
            <v>20815</v>
          </cell>
          <cell r="FY5">
            <v>3902</v>
          </cell>
          <cell r="FZ5">
            <v>0</v>
          </cell>
          <cell r="GA5">
            <v>12157</v>
          </cell>
          <cell r="GB5">
            <v>651</v>
          </cell>
          <cell r="GC5">
            <v>0</v>
          </cell>
          <cell r="GD5">
            <v>1327</v>
          </cell>
          <cell r="GE5">
            <v>1363</v>
          </cell>
          <cell r="GF5">
            <v>44</v>
          </cell>
          <cell r="GG5">
            <v>11</v>
          </cell>
          <cell r="GH5">
            <v>151</v>
          </cell>
          <cell r="GI5">
            <v>20</v>
          </cell>
          <cell r="GJ5">
            <v>1074</v>
          </cell>
          <cell r="GK5">
            <v>27</v>
          </cell>
          <cell r="GL5">
            <v>61</v>
          </cell>
          <cell r="GM5">
            <v>384</v>
          </cell>
          <cell r="GN5">
            <v>212</v>
          </cell>
          <cell r="GO5">
            <v>36</v>
          </cell>
          <cell r="GP5">
            <v>15762</v>
          </cell>
          <cell r="GQ5">
            <v>3000</v>
          </cell>
          <cell r="GR5">
            <v>38</v>
          </cell>
          <cell r="GS5">
            <v>13299</v>
          </cell>
          <cell r="GT5">
            <v>3000</v>
          </cell>
          <cell r="GU5">
            <v>38</v>
          </cell>
          <cell r="GV5">
            <v>0</v>
          </cell>
          <cell r="GW5">
            <v>0</v>
          </cell>
          <cell r="GX5">
            <v>151</v>
          </cell>
          <cell r="GY5">
            <v>1290</v>
          </cell>
          <cell r="GZ5">
            <v>79</v>
          </cell>
          <cell r="HA5">
            <v>2290</v>
          </cell>
          <cell r="HB5">
            <v>45</v>
          </cell>
          <cell r="HC5">
            <v>0</v>
          </cell>
          <cell r="HD5">
            <v>0</v>
          </cell>
          <cell r="HE5">
            <v>0</v>
          </cell>
          <cell r="HF5">
            <v>266</v>
          </cell>
          <cell r="HG5">
            <v>0</v>
          </cell>
          <cell r="HH5">
            <v>113</v>
          </cell>
          <cell r="HI5">
            <v>0</v>
          </cell>
          <cell r="HJ5">
            <v>0</v>
          </cell>
          <cell r="HK5">
            <v>0</v>
          </cell>
          <cell r="HL5">
            <v>4234</v>
          </cell>
          <cell r="HM5">
            <v>0</v>
          </cell>
          <cell r="HN5">
            <v>0</v>
          </cell>
          <cell r="HO5">
            <v>2430</v>
          </cell>
          <cell r="HP5">
            <v>562</v>
          </cell>
          <cell r="HQ5">
            <v>999</v>
          </cell>
          <cell r="HR5">
            <v>254</v>
          </cell>
          <cell r="HS5">
            <v>0</v>
          </cell>
          <cell r="HT5">
            <v>0</v>
          </cell>
          <cell r="HU5">
            <v>15</v>
          </cell>
          <cell r="HV5">
            <v>0</v>
          </cell>
          <cell r="HW5">
            <v>383</v>
          </cell>
          <cell r="HX5">
            <v>0</v>
          </cell>
          <cell r="HY5">
            <v>24</v>
          </cell>
          <cell r="HZ5">
            <v>0</v>
          </cell>
          <cell r="IA5">
            <v>0</v>
          </cell>
          <cell r="IB5">
            <v>0</v>
          </cell>
          <cell r="IC5">
            <v>4667</v>
          </cell>
          <cell r="ID5">
            <v>1577</v>
          </cell>
          <cell r="IE5">
            <v>0</v>
          </cell>
          <cell r="IF5">
            <v>2627</v>
          </cell>
          <cell r="IG5">
            <v>1405</v>
          </cell>
          <cell r="IH5">
            <v>209</v>
          </cell>
          <cell r="II5">
            <v>2183</v>
          </cell>
          <cell r="IJ5">
            <v>0</v>
          </cell>
          <cell r="IK5">
            <v>0</v>
          </cell>
          <cell r="IL5">
            <v>150</v>
          </cell>
          <cell r="IM5">
            <v>0</v>
          </cell>
          <cell r="IN5">
            <v>480</v>
          </cell>
          <cell r="IO5">
            <v>0</v>
          </cell>
          <cell r="IP5">
            <v>0</v>
          </cell>
          <cell r="IQ5">
            <v>0</v>
          </cell>
          <cell r="IR5">
            <v>0</v>
          </cell>
          <cell r="IS5">
            <v>0</v>
          </cell>
          <cell r="IT5">
            <v>8631</v>
          </cell>
          <cell r="IU5" t="str">
            <v>Welsh Ambulance Service Trust, Gwent Police and Coastguard</v>
          </cell>
          <cell r="IV5" t="str">
            <v>Seven Rescue Tenders, Seven special rescue tenders,One foam tender,Six water carriers,Two BA support,Twenty Three 4x4,s,Four 6x6 wildfire appliances,Thirteen Boats,</v>
          </cell>
          <cell r="IW5">
            <v>0</v>
          </cell>
          <cell r="IX5" t="str">
            <v>Contracted Services, Invest Inc Rec, PFI chgs/payment, Holiday Acc Adj</v>
          </cell>
          <cell r="IY5">
            <v>0</v>
          </cell>
          <cell r="IZ5">
            <v>0</v>
          </cell>
          <cell r="JA5">
            <v>0</v>
          </cell>
          <cell r="JB5" t="str">
            <v>..</v>
          </cell>
        </row>
        <row r="6">
          <cell r="A6" t="str">
            <v>E6130</v>
          </cell>
          <cell r="B6" t="str">
            <v>Nottinghamshire</v>
          </cell>
          <cell r="C6" t="str">
            <v>Scot Riggans</v>
          </cell>
          <cell r="D6" t="str">
            <v>Senior Accountancy Assistant</v>
          </cell>
          <cell r="E6" t="str">
            <v>..</v>
          </cell>
          <cell r="F6" t="str">
            <v>scot.riggans@notts-fire.gov.uk</v>
          </cell>
          <cell r="G6" t="str">
            <v>..</v>
          </cell>
          <cell r="H6" t="str">
            <v>..</v>
          </cell>
          <cell r="I6" t="str">
            <v>..</v>
          </cell>
          <cell r="J6" t="str">
            <v>..</v>
          </cell>
          <cell r="K6" t="str">
            <v>..</v>
          </cell>
          <cell r="L6">
            <v>8</v>
          </cell>
          <cell r="M6">
            <v>12</v>
          </cell>
          <cell r="N6">
            <v>4</v>
          </cell>
          <cell r="O6">
            <v>0</v>
          </cell>
          <cell r="P6">
            <v>24</v>
          </cell>
          <cell r="Q6">
            <v>3</v>
          </cell>
          <cell r="R6">
            <v>8</v>
          </cell>
          <cell r="S6">
            <v>12</v>
          </cell>
          <cell r="T6">
            <v>4</v>
          </cell>
          <cell r="U6">
            <v>0</v>
          </cell>
          <cell r="V6">
            <v>24</v>
          </cell>
          <cell r="W6">
            <v>4</v>
          </cell>
          <cell r="X6">
            <v>30</v>
          </cell>
          <cell r="Y6">
            <v>30</v>
          </cell>
          <cell r="Z6">
            <v>2</v>
          </cell>
          <cell r="AA6">
            <v>7</v>
          </cell>
          <cell r="AB6">
            <v>8</v>
          </cell>
          <cell r="AC6">
            <v>30</v>
          </cell>
          <cell r="AD6">
            <v>3</v>
          </cell>
          <cell r="AE6">
            <v>80</v>
          </cell>
          <cell r="AF6">
            <v>82</v>
          </cell>
          <cell r="AG6">
            <v>6</v>
          </cell>
          <cell r="AH6">
            <v>3</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v>21868</v>
          </cell>
          <cell r="BC6">
            <v>3052</v>
          </cell>
          <cell r="BD6">
            <v>1205</v>
          </cell>
          <cell r="BE6">
            <v>6086</v>
          </cell>
          <cell r="BF6">
            <v>399</v>
          </cell>
          <cell r="BG6">
            <v>1747</v>
          </cell>
          <cell r="BH6">
            <v>34357</v>
          </cell>
          <cell r="BI6">
            <v>2530</v>
          </cell>
          <cell r="BJ6">
            <v>1965</v>
          </cell>
          <cell r="BK6">
            <v>3462</v>
          </cell>
          <cell r="BL6">
            <v>172</v>
          </cell>
          <cell r="BM6">
            <v>35</v>
          </cell>
          <cell r="BN6">
            <v>0</v>
          </cell>
          <cell r="BO6">
            <v>42521</v>
          </cell>
          <cell r="BP6">
            <v>562</v>
          </cell>
          <cell r="BQ6">
            <v>0</v>
          </cell>
          <cell r="BR6">
            <v>754</v>
          </cell>
          <cell r="BS6">
            <v>1316</v>
          </cell>
          <cell r="BT6">
            <v>41205</v>
          </cell>
          <cell r="BU6">
            <v>3325</v>
          </cell>
          <cell r="BV6">
            <v>8852</v>
          </cell>
          <cell r="BW6">
            <v>0</v>
          </cell>
          <cell r="BX6">
            <v>1436</v>
          </cell>
          <cell r="BY6">
            <v>0</v>
          </cell>
          <cell r="BZ6">
            <v>793</v>
          </cell>
          <cell r="CA6">
            <v>-81</v>
          </cell>
          <cell r="CB6">
            <v>0</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v>23516</v>
          </cell>
          <cell r="CP6">
            <v>3450</v>
          </cell>
          <cell r="CQ6">
            <v>930</v>
          </cell>
          <cell r="CR6">
            <v>6198</v>
          </cell>
          <cell r="CS6">
            <v>455</v>
          </cell>
          <cell r="CT6">
            <v>1084</v>
          </cell>
          <cell r="CU6">
            <v>35633</v>
          </cell>
          <cell r="CV6">
            <v>2515</v>
          </cell>
          <cell r="CW6">
            <v>1681</v>
          </cell>
          <cell r="CX6">
            <v>3562</v>
          </cell>
          <cell r="CY6">
            <v>191</v>
          </cell>
          <cell r="CZ6">
            <v>58</v>
          </cell>
          <cell r="DA6">
            <v>0</v>
          </cell>
          <cell r="DB6">
            <v>43640</v>
          </cell>
          <cell r="DC6">
            <v>339</v>
          </cell>
          <cell r="DD6">
            <v>102</v>
          </cell>
          <cell r="DE6">
            <v>60</v>
          </cell>
          <cell r="DF6">
            <v>501</v>
          </cell>
          <cell r="DG6">
            <v>43139</v>
          </cell>
          <cell r="DH6" t="str">
            <v>..</v>
          </cell>
          <cell r="DI6" t="str">
            <v>..</v>
          </cell>
          <cell r="DJ6">
            <v>0</v>
          </cell>
          <cell r="DK6">
            <v>1541</v>
          </cell>
          <cell r="DL6">
            <v>0</v>
          </cell>
          <cell r="DM6">
            <v>35</v>
          </cell>
          <cell r="DN6">
            <v>-30</v>
          </cell>
          <cell r="DO6">
            <v>0</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v>0</v>
          </cell>
          <cell r="EC6">
            <v>0</v>
          </cell>
          <cell r="ED6">
            <v>14.8</v>
          </cell>
          <cell r="EE6">
            <v>201</v>
          </cell>
          <cell r="EF6">
            <v>13168</v>
          </cell>
          <cell r="EG6">
            <v>3668</v>
          </cell>
          <cell r="EH6">
            <v>25293</v>
          </cell>
          <cell r="EI6">
            <v>66</v>
          </cell>
          <cell r="EJ6">
            <v>0</v>
          </cell>
          <cell r="EK6">
            <v>42195</v>
          </cell>
          <cell r="EL6" t="str">
            <v>..</v>
          </cell>
          <cell r="EM6" t="str">
            <v>..</v>
          </cell>
          <cell r="EN6">
            <v>4517</v>
          </cell>
          <cell r="EO6" t="str">
            <v>..</v>
          </cell>
          <cell r="EP6" t="str">
            <v>..</v>
          </cell>
          <cell r="EQ6" t="str">
            <v>..</v>
          </cell>
          <cell r="ER6">
            <v>37706</v>
          </cell>
          <cell r="ES6">
            <v>422</v>
          </cell>
          <cell r="ET6">
            <v>1885</v>
          </cell>
          <cell r="EU6">
            <v>0</v>
          </cell>
          <cell r="EV6">
            <v>44530</v>
          </cell>
          <cell r="EW6" t="str">
            <v>..</v>
          </cell>
          <cell r="EX6" t="str">
            <v>..</v>
          </cell>
          <cell r="EY6">
            <v>1170</v>
          </cell>
          <cell r="EZ6" t="str">
            <v>..</v>
          </cell>
          <cell r="FA6" t="str">
            <v>..</v>
          </cell>
          <cell r="FB6" t="str">
            <v>..</v>
          </cell>
          <cell r="FC6">
            <v>9811</v>
          </cell>
          <cell r="FD6">
            <v>99</v>
          </cell>
          <cell r="FE6">
            <v>169</v>
          </cell>
          <cell r="FF6">
            <v>0</v>
          </cell>
          <cell r="FG6">
            <v>11249</v>
          </cell>
          <cell r="FH6">
            <v>-2774</v>
          </cell>
          <cell r="FI6">
            <v>-115</v>
          </cell>
          <cell r="FJ6">
            <v>0</v>
          </cell>
          <cell r="FK6">
            <v>-2327</v>
          </cell>
          <cell r="FL6">
            <v>-13</v>
          </cell>
          <cell r="FM6">
            <v>12966</v>
          </cell>
          <cell r="FN6">
            <v>3490</v>
          </cell>
          <cell r="FO6">
            <v>0</v>
          </cell>
          <cell r="FP6">
            <v>11227</v>
          </cell>
          <cell r="FQ6">
            <v>720</v>
          </cell>
          <cell r="FR6">
            <v>8</v>
          </cell>
          <cell r="FS6">
            <v>-5180</v>
          </cell>
          <cell r="FT6">
            <v>-74</v>
          </cell>
          <cell r="FU6">
            <v>0</v>
          </cell>
          <cell r="FV6">
            <v>-2287</v>
          </cell>
          <cell r="FW6">
            <v>-10</v>
          </cell>
          <cell r="FX6">
            <v>13541</v>
          </cell>
          <cell r="FY6">
            <v>2640</v>
          </cell>
          <cell r="FZ6">
            <v>0</v>
          </cell>
          <cell r="GA6">
            <v>8630</v>
          </cell>
          <cell r="GB6">
            <v>723</v>
          </cell>
          <cell r="GC6">
            <v>4</v>
          </cell>
          <cell r="GD6">
            <v>879</v>
          </cell>
          <cell r="GE6">
            <v>878</v>
          </cell>
          <cell r="GF6">
            <v>28</v>
          </cell>
          <cell r="GG6">
            <v>1</v>
          </cell>
          <cell r="GH6">
            <v>84</v>
          </cell>
          <cell r="GI6">
            <v>17</v>
          </cell>
          <cell r="GJ6">
            <v>523</v>
          </cell>
          <cell r="GK6">
            <v>21</v>
          </cell>
          <cell r="GL6">
            <v>197</v>
          </cell>
          <cell r="GM6">
            <v>454</v>
          </cell>
          <cell r="GN6">
            <v>105</v>
          </cell>
          <cell r="GO6">
            <v>54</v>
          </cell>
          <cell r="GP6">
            <v>5156</v>
          </cell>
          <cell r="GQ6">
            <v>6953</v>
          </cell>
          <cell r="GR6">
            <v>599</v>
          </cell>
          <cell r="GS6">
            <v>4763</v>
          </cell>
          <cell r="GT6">
            <v>5576</v>
          </cell>
          <cell r="GU6">
            <v>1314</v>
          </cell>
          <cell r="GV6">
            <v>0</v>
          </cell>
          <cell r="GW6">
            <v>0</v>
          </cell>
          <cell r="GX6">
            <v>2305</v>
          </cell>
          <cell r="GY6">
            <v>22</v>
          </cell>
          <cell r="GZ6">
            <v>0</v>
          </cell>
          <cell r="HA6">
            <v>8</v>
          </cell>
          <cell r="HB6">
            <v>566</v>
          </cell>
          <cell r="HC6">
            <v>0</v>
          </cell>
          <cell r="HD6">
            <v>21</v>
          </cell>
          <cell r="HE6">
            <v>473</v>
          </cell>
          <cell r="HF6">
            <v>126</v>
          </cell>
          <cell r="HG6">
            <v>0</v>
          </cell>
          <cell r="HH6">
            <v>539</v>
          </cell>
          <cell r="HI6">
            <v>0</v>
          </cell>
          <cell r="HJ6">
            <v>0</v>
          </cell>
          <cell r="HK6">
            <v>0</v>
          </cell>
          <cell r="HL6">
            <v>4060</v>
          </cell>
          <cell r="HM6">
            <v>0</v>
          </cell>
          <cell r="HN6">
            <v>0</v>
          </cell>
          <cell r="HO6">
            <v>497</v>
          </cell>
          <cell r="HP6">
            <v>69</v>
          </cell>
          <cell r="HQ6">
            <v>0</v>
          </cell>
          <cell r="HR6">
            <v>0</v>
          </cell>
          <cell r="HS6">
            <v>0</v>
          </cell>
          <cell r="HT6">
            <v>69</v>
          </cell>
          <cell r="HU6">
            <v>0</v>
          </cell>
          <cell r="HV6">
            <v>20</v>
          </cell>
          <cell r="HW6">
            <v>306</v>
          </cell>
          <cell r="HX6">
            <v>0</v>
          </cell>
          <cell r="HY6">
            <v>114</v>
          </cell>
          <cell r="HZ6">
            <v>0</v>
          </cell>
          <cell r="IA6">
            <v>0</v>
          </cell>
          <cell r="IB6">
            <v>0</v>
          </cell>
          <cell r="IC6">
            <v>1075</v>
          </cell>
          <cell r="ID6">
            <v>1030</v>
          </cell>
          <cell r="IE6">
            <v>0</v>
          </cell>
          <cell r="IF6">
            <v>3785</v>
          </cell>
          <cell r="IG6">
            <v>110</v>
          </cell>
          <cell r="IH6">
            <v>0</v>
          </cell>
          <cell r="II6">
            <v>150</v>
          </cell>
          <cell r="IJ6">
            <v>388</v>
          </cell>
          <cell r="IK6">
            <v>0</v>
          </cell>
          <cell r="IL6">
            <v>30</v>
          </cell>
          <cell r="IM6">
            <v>212</v>
          </cell>
          <cell r="IN6">
            <v>479</v>
          </cell>
          <cell r="IO6">
            <v>0</v>
          </cell>
          <cell r="IP6">
            <v>443</v>
          </cell>
          <cell r="IQ6">
            <v>0</v>
          </cell>
          <cell r="IR6">
            <v>0</v>
          </cell>
          <cell r="IS6">
            <v>0</v>
          </cell>
          <cell r="IT6">
            <v>6627</v>
          </cell>
          <cell r="IU6" t="str">
            <v>2 Stations Police utilise the front desk.  1 Station Ambulance Service can park vehicles and Police have an Office.</v>
          </cell>
          <cell r="IV6" t="str">
            <v>2 x Heavy Rescue units, 2 x Animal rescue units 1 x water foam carrier, 1 x command Control unit, 1 x welfare unit</v>
          </cell>
          <cell r="IW6" t="str">
            <v>..</v>
          </cell>
          <cell r="IX6" t="str">
            <v>..</v>
          </cell>
          <cell r="IY6" t="str">
            <v>..</v>
          </cell>
          <cell r="IZ6" t="str">
            <v>..</v>
          </cell>
          <cell r="JA6" t="str">
            <v>..</v>
          </cell>
          <cell r="JB6" t="str">
            <v>NFRS are involved ina  number of collaboration stream where expentidure and income would takle place. However at this point in time we do not identify these costs</v>
          </cell>
        </row>
        <row r="7">
          <cell r="A7" t="str">
            <v>E6118</v>
          </cell>
          <cell r="B7" t="str">
            <v>Hereford and Worcester</v>
          </cell>
          <cell r="C7" t="str">
            <v>Magdalena Sadys</v>
          </cell>
          <cell r="D7" t="str">
            <v>Performance Analyst</v>
          </cell>
          <cell r="E7" t="str">
            <v>01905 368333</v>
          </cell>
          <cell r="F7" t="str">
            <v>msadys@hwfire.org.uk</v>
          </cell>
          <cell r="G7" t="str">
            <v>Deborah Randall</v>
          </cell>
          <cell r="H7" t="str">
            <v>Chief Accountant</v>
          </cell>
          <cell r="I7" t="str">
            <v>01905 368301</v>
          </cell>
          <cell r="J7" t="str">
            <v>drandall@hwfire.org.uk</v>
          </cell>
          <cell r="K7" t="str">
            <v>aelliott@hwfire.org.uk</v>
          </cell>
          <cell r="L7">
            <v>0</v>
          </cell>
          <cell r="M7">
            <v>19</v>
          </cell>
          <cell r="N7">
            <v>8</v>
          </cell>
          <cell r="O7">
            <v>0</v>
          </cell>
          <cell r="P7">
            <v>27</v>
          </cell>
          <cell r="Q7">
            <v>1</v>
          </cell>
          <cell r="R7">
            <v>0</v>
          </cell>
          <cell r="S7">
            <v>17</v>
          </cell>
          <cell r="T7">
            <v>8</v>
          </cell>
          <cell r="U7">
            <v>0</v>
          </cell>
          <cell r="V7">
            <v>25</v>
          </cell>
          <cell r="W7">
            <v>2</v>
          </cell>
          <cell r="X7">
            <v>41</v>
          </cell>
          <cell r="Y7">
            <v>41</v>
          </cell>
          <cell r="Z7">
            <v>2</v>
          </cell>
          <cell r="AA7">
            <v>19</v>
          </cell>
          <cell r="AB7">
            <v>36</v>
          </cell>
          <cell r="AC7">
            <v>0</v>
          </cell>
          <cell r="AD7">
            <v>7</v>
          </cell>
          <cell r="AE7">
            <v>105</v>
          </cell>
          <cell r="AF7">
            <v>56</v>
          </cell>
          <cell r="AG7">
            <v>5</v>
          </cell>
          <cell r="AH7">
            <v>3</v>
          </cell>
          <cell r="AI7">
            <v>230</v>
          </cell>
          <cell r="AJ7">
            <v>222.4</v>
          </cell>
          <cell r="AK7">
            <v>3</v>
          </cell>
          <cell r="AL7">
            <v>2</v>
          </cell>
          <cell r="AM7">
            <v>10</v>
          </cell>
          <cell r="AN7">
            <v>15</v>
          </cell>
          <cell r="AO7">
            <v>42</v>
          </cell>
          <cell r="AP7">
            <v>27</v>
          </cell>
          <cell r="AQ7">
            <v>131</v>
          </cell>
          <cell r="AR7">
            <v>230</v>
          </cell>
          <cell r="AS7">
            <v>0</v>
          </cell>
          <cell r="AT7">
            <v>0</v>
          </cell>
          <cell r="AU7">
            <v>15.38</v>
          </cell>
          <cell r="AV7">
            <v>32.83</v>
          </cell>
          <cell r="AW7">
            <v>174.17</v>
          </cell>
          <cell r="AX7">
            <v>222.38</v>
          </cell>
          <cell r="AY7">
            <v>19.25</v>
          </cell>
          <cell r="AZ7">
            <v>103.17</v>
          </cell>
          <cell r="BA7">
            <v>574.79999999999995</v>
          </cell>
          <cell r="BB7">
            <v>12526</v>
          </cell>
          <cell r="BC7">
            <v>3393</v>
          </cell>
          <cell r="BD7">
            <v>789</v>
          </cell>
          <cell r="BE7">
            <v>3745</v>
          </cell>
          <cell r="BF7">
            <v>503</v>
          </cell>
          <cell r="BG7">
            <v>73</v>
          </cell>
          <cell r="BH7">
            <v>21029</v>
          </cell>
          <cell r="BI7">
            <v>2405</v>
          </cell>
          <cell r="BJ7">
            <v>786</v>
          </cell>
          <cell r="BK7">
            <v>4548</v>
          </cell>
          <cell r="BL7">
            <v>0</v>
          </cell>
          <cell r="BM7">
            <v>0</v>
          </cell>
          <cell r="BN7">
            <v>1033</v>
          </cell>
          <cell r="BO7">
            <v>29801</v>
          </cell>
          <cell r="BP7">
            <v>1184</v>
          </cell>
          <cell r="BQ7">
            <v>4</v>
          </cell>
          <cell r="BR7">
            <v>411</v>
          </cell>
          <cell r="BS7">
            <v>1599</v>
          </cell>
          <cell r="BT7">
            <v>28202</v>
          </cell>
          <cell r="BU7">
            <v>4252</v>
          </cell>
          <cell r="BV7">
            <v>3874</v>
          </cell>
          <cell r="BW7">
            <v>1370</v>
          </cell>
          <cell r="BX7">
            <v>1365</v>
          </cell>
          <cell r="BY7">
            <v>270</v>
          </cell>
          <cell r="BZ7">
            <v>486</v>
          </cell>
          <cell r="CA7">
            <v>54</v>
          </cell>
          <cell r="CB7">
            <v>0</v>
          </cell>
          <cell r="CC7">
            <v>257</v>
          </cell>
          <cell r="CD7" t="str">
            <v>..</v>
          </cell>
          <cell r="CE7" t="str">
            <v>..</v>
          </cell>
          <cell r="CF7">
            <v>72</v>
          </cell>
          <cell r="CG7" t="str">
            <v>..</v>
          </cell>
          <cell r="CH7" t="str">
            <v>..</v>
          </cell>
          <cell r="CI7" t="str">
            <v>..</v>
          </cell>
          <cell r="CJ7">
            <v>1641</v>
          </cell>
          <cell r="CK7" t="str">
            <v>..</v>
          </cell>
          <cell r="CL7">
            <v>326</v>
          </cell>
          <cell r="CM7" t="str">
            <v>..</v>
          </cell>
          <cell r="CN7" t="str">
            <v>..</v>
          </cell>
          <cell r="CO7">
            <v>13485</v>
          </cell>
          <cell r="CP7">
            <v>3845</v>
          </cell>
          <cell r="CQ7">
            <v>753</v>
          </cell>
          <cell r="CR7">
            <v>3712</v>
          </cell>
          <cell r="CS7">
            <v>563</v>
          </cell>
          <cell r="CT7">
            <v>120</v>
          </cell>
          <cell r="CU7">
            <v>22478</v>
          </cell>
          <cell r="CV7">
            <v>2289</v>
          </cell>
          <cell r="CW7">
            <v>506</v>
          </cell>
          <cell r="CX7">
            <v>4623</v>
          </cell>
          <cell r="CY7">
            <v>0</v>
          </cell>
          <cell r="CZ7">
            <v>0</v>
          </cell>
          <cell r="DA7">
            <v>1055</v>
          </cell>
          <cell r="DB7">
            <v>30951</v>
          </cell>
          <cell r="DC7">
            <v>1025</v>
          </cell>
          <cell r="DD7">
            <v>0</v>
          </cell>
          <cell r="DE7">
            <v>0</v>
          </cell>
          <cell r="DF7">
            <v>1025</v>
          </cell>
          <cell r="DG7">
            <v>29926</v>
          </cell>
          <cell r="DH7">
            <v>3204</v>
          </cell>
          <cell r="DI7">
            <v>0</v>
          </cell>
          <cell r="DJ7">
            <v>0</v>
          </cell>
          <cell r="DK7">
            <v>910</v>
          </cell>
          <cell r="DL7">
            <v>314</v>
          </cell>
          <cell r="DM7">
            <v>810</v>
          </cell>
          <cell r="DN7">
            <v>50</v>
          </cell>
          <cell r="DO7">
            <v>0</v>
          </cell>
          <cell r="DP7">
            <v>285</v>
          </cell>
          <cell r="DQ7" t="str">
            <v>..</v>
          </cell>
          <cell r="DR7" t="str">
            <v>..</v>
          </cell>
          <cell r="DS7">
            <v>79</v>
          </cell>
          <cell r="DT7" t="str">
            <v>..</v>
          </cell>
          <cell r="DU7" t="str">
            <v>..</v>
          </cell>
          <cell r="DV7" t="str">
            <v>..</v>
          </cell>
          <cell r="DW7">
            <v>2289</v>
          </cell>
          <cell r="DX7" t="str">
            <v>..</v>
          </cell>
          <cell r="DY7">
            <v>347</v>
          </cell>
          <cell r="DZ7" t="str">
            <v>..</v>
          </cell>
          <cell r="EA7" t="str">
            <v>..</v>
          </cell>
          <cell r="EB7">
            <v>0</v>
          </cell>
          <cell r="EC7">
            <v>0</v>
          </cell>
          <cell r="ED7">
            <v>14.8</v>
          </cell>
          <cell r="EE7">
            <v>300</v>
          </cell>
          <cell r="EF7">
            <v>6807</v>
          </cell>
          <cell r="EG7">
            <v>2661</v>
          </cell>
          <cell r="EH7">
            <v>23494</v>
          </cell>
          <cell r="EI7">
            <v>141</v>
          </cell>
          <cell r="EJ7">
            <v>0</v>
          </cell>
          <cell r="EK7">
            <v>33103</v>
          </cell>
          <cell r="EL7">
            <v>1705</v>
          </cell>
          <cell r="EM7">
            <v>1822</v>
          </cell>
          <cell r="EN7">
            <v>3527</v>
          </cell>
          <cell r="EO7">
            <v>26399</v>
          </cell>
          <cell r="EP7">
            <v>1523</v>
          </cell>
          <cell r="EQ7">
            <v>125</v>
          </cell>
          <cell r="ER7">
            <v>28047</v>
          </cell>
          <cell r="ES7">
            <v>60</v>
          </cell>
          <cell r="ET7">
            <v>820</v>
          </cell>
          <cell r="EU7">
            <v>0</v>
          </cell>
          <cell r="EV7">
            <v>32454</v>
          </cell>
          <cell r="EW7">
            <v>630</v>
          </cell>
          <cell r="EX7">
            <v>674</v>
          </cell>
          <cell r="EY7">
            <v>1304</v>
          </cell>
          <cell r="EZ7">
            <v>12731</v>
          </cell>
          <cell r="FA7">
            <v>735</v>
          </cell>
          <cell r="FB7">
            <v>125</v>
          </cell>
          <cell r="FC7">
            <v>13591</v>
          </cell>
          <cell r="FD7">
            <v>60</v>
          </cell>
          <cell r="FE7">
            <v>395</v>
          </cell>
          <cell r="FF7">
            <v>0</v>
          </cell>
          <cell r="FG7">
            <v>15350</v>
          </cell>
          <cell r="FH7">
            <v>-1834</v>
          </cell>
          <cell r="FI7">
            <v>-5</v>
          </cell>
          <cell r="FJ7">
            <v>-4</v>
          </cell>
          <cell r="FK7">
            <v>-1507</v>
          </cell>
          <cell r="FL7">
            <v>-104</v>
          </cell>
          <cell r="FM7">
            <v>7597</v>
          </cell>
          <cell r="FN7">
            <v>2427</v>
          </cell>
          <cell r="FO7">
            <v>5</v>
          </cell>
          <cell r="FP7">
            <v>6575</v>
          </cell>
          <cell r="FQ7">
            <v>725</v>
          </cell>
          <cell r="FR7">
            <v>0</v>
          </cell>
          <cell r="FS7">
            <v>-1858</v>
          </cell>
          <cell r="FT7">
            <v>-5</v>
          </cell>
          <cell r="FU7">
            <v>-4</v>
          </cell>
          <cell r="FV7">
            <v>-1503</v>
          </cell>
          <cell r="FW7">
            <v>0</v>
          </cell>
          <cell r="FX7">
            <v>7833</v>
          </cell>
          <cell r="FY7">
            <v>1808</v>
          </cell>
          <cell r="FZ7">
            <v>0</v>
          </cell>
          <cell r="GA7">
            <v>6271</v>
          </cell>
          <cell r="GB7">
            <v>715</v>
          </cell>
          <cell r="GC7">
            <v>0</v>
          </cell>
          <cell r="GD7">
            <v>450</v>
          </cell>
          <cell r="GE7">
            <v>456</v>
          </cell>
          <cell r="GF7">
            <v>24</v>
          </cell>
          <cell r="GG7">
            <v>0</v>
          </cell>
          <cell r="GH7">
            <v>38</v>
          </cell>
          <cell r="GI7">
            <v>19</v>
          </cell>
          <cell r="GJ7">
            <v>513</v>
          </cell>
          <cell r="GK7">
            <v>22</v>
          </cell>
          <cell r="GL7">
            <v>38</v>
          </cell>
          <cell r="GM7">
            <v>127</v>
          </cell>
          <cell r="GN7">
            <v>116</v>
          </cell>
          <cell r="GO7">
            <v>10</v>
          </cell>
          <cell r="GP7">
            <v>12348</v>
          </cell>
          <cell r="GQ7">
            <v>1838</v>
          </cell>
          <cell r="GR7">
            <v>308</v>
          </cell>
          <cell r="GS7">
            <v>12768</v>
          </cell>
          <cell r="GT7">
            <v>1838</v>
          </cell>
          <cell r="GU7">
            <v>393</v>
          </cell>
          <cell r="GV7">
            <v>0</v>
          </cell>
          <cell r="GW7">
            <v>0</v>
          </cell>
          <cell r="GX7">
            <v>923</v>
          </cell>
          <cell r="GY7">
            <v>391</v>
          </cell>
          <cell r="GZ7">
            <v>7</v>
          </cell>
          <cell r="HA7">
            <v>550</v>
          </cell>
          <cell r="HB7">
            <v>21</v>
          </cell>
          <cell r="HC7">
            <v>0</v>
          </cell>
          <cell r="HD7">
            <v>110</v>
          </cell>
          <cell r="HE7">
            <v>37</v>
          </cell>
          <cell r="HF7">
            <v>235</v>
          </cell>
          <cell r="HG7">
            <v>293</v>
          </cell>
          <cell r="HH7">
            <v>0</v>
          </cell>
          <cell r="HI7">
            <v>0</v>
          </cell>
          <cell r="HJ7">
            <v>0</v>
          </cell>
          <cell r="HK7">
            <v>0</v>
          </cell>
          <cell r="HL7">
            <v>2567</v>
          </cell>
          <cell r="HM7">
            <v>0</v>
          </cell>
          <cell r="HN7">
            <v>0</v>
          </cell>
          <cell r="HO7">
            <v>2050</v>
          </cell>
          <cell r="HP7">
            <v>485</v>
          </cell>
          <cell r="HQ7">
            <v>0</v>
          </cell>
          <cell r="HR7">
            <v>3001</v>
          </cell>
          <cell r="HS7">
            <v>459</v>
          </cell>
          <cell r="HT7">
            <v>0</v>
          </cell>
          <cell r="HU7">
            <v>0</v>
          </cell>
          <cell r="HV7">
            <v>264</v>
          </cell>
          <cell r="HW7">
            <v>5</v>
          </cell>
          <cell r="HX7">
            <v>325</v>
          </cell>
          <cell r="HY7">
            <v>591</v>
          </cell>
          <cell r="HZ7">
            <v>1370</v>
          </cell>
          <cell r="IA7">
            <v>0</v>
          </cell>
          <cell r="IB7">
            <v>0</v>
          </cell>
          <cell r="IC7">
            <v>8550</v>
          </cell>
          <cell r="ID7">
            <v>0</v>
          </cell>
          <cell r="IE7">
            <v>0</v>
          </cell>
          <cell r="IF7">
            <v>5026</v>
          </cell>
          <cell r="IG7">
            <v>1241</v>
          </cell>
          <cell r="IH7">
            <v>0</v>
          </cell>
          <cell r="II7">
            <v>3853</v>
          </cell>
          <cell r="IJ7">
            <v>147</v>
          </cell>
          <cell r="IK7">
            <v>0</v>
          </cell>
          <cell r="IL7">
            <v>347</v>
          </cell>
          <cell r="IM7">
            <v>24</v>
          </cell>
          <cell r="IN7">
            <v>264</v>
          </cell>
          <cell r="IO7">
            <v>257</v>
          </cell>
          <cell r="IP7">
            <v>18</v>
          </cell>
          <cell r="IQ7">
            <v>0</v>
          </cell>
          <cell r="IR7">
            <v>0</v>
          </cell>
          <cell r="IS7">
            <v>0</v>
          </cell>
          <cell r="IT7">
            <v>11177</v>
          </cell>
          <cell r="IU7" t="str">
            <v>Bromsgrove Police &amp; Fire stn, and by 03/2020 Wyre Forest Emergency Services Hub</v>
          </cell>
          <cell r="IV7" t="str">
            <v>ISV, Argocat, Off Road x 3, EPU, Line Rescue, RAV x2, Water Rescue x4 YFA x2 Water Carrier x 3, CSU</v>
          </cell>
          <cell r="IW7" t="str">
            <v>..</v>
          </cell>
          <cell r="IX7" t="str">
            <v>Injury scheme and ill health charges and back funding of LGPS deficit</v>
          </cell>
          <cell r="IY7" t="str">
            <v>Rental Income</v>
          </cell>
          <cell r="IZ7" t="str">
            <v>Sale of Assets, incident recovery costs and sale of assets</v>
          </cell>
          <cell r="JA7" t="str">
            <v>..</v>
          </cell>
          <cell r="JB7" t="str">
            <v>..</v>
          </cell>
        </row>
        <row r="8">
          <cell r="A8" t="str">
            <v>E6102</v>
          </cell>
          <cell r="B8" t="str">
            <v>Bedfordshire</v>
          </cell>
          <cell r="C8" t="str">
            <v>Adrian Turner</v>
          </cell>
          <cell r="D8" t="str">
            <v>Service Performance Analyst</v>
          </cell>
          <cell r="E8">
            <v>1234845022</v>
          </cell>
          <cell r="F8" t="str">
            <v>Adrian.turner@bedsfire.com</v>
          </cell>
          <cell r="G8" t="str">
            <v>..</v>
          </cell>
          <cell r="H8" t="str">
            <v>..</v>
          </cell>
          <cell r="I8" t="str">
            <v>..</v>
          </cell>
          <cell r="J8" t="str">
            <v>..</v>
          </cell>
          <cell r="K8" t="str">
            <v>..</v>
          </cell>
          <cell r="L8">
            <v>3</v>
          </cell>
          <cell r="M8">
            <v>8</v>
          </cell>
          <cell r="N8">
            <v>3</v>
          </cell>
          <cell r="O8">
            <v>0</v>
          </cell>
          <cell r="P8">
            <v>14</v>
          </cell>
          <cell r="Q8" t="str">
            <v>..</v>
          </cell>
          <cell r="R8">
            <v>3</v>
          </cell>
          <cell r="S8">
            <v>8</v>
          </cell>
          <cell r="T8">
            <v>3</v>
          </cell>
          <cell r="U8">
            <v>0</v>
          </cell>
          <cell r="V8">
            <v>14</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v>14026</v>
          </cell>
          <cell r="BC8">
            <v>1767</v>
          </cell>
          <cell r="BD8">
            <v>979</v>
          </cell>
          <cell r="BE8">
            <v>5475</v>
          </cell>
          <cell r="BF8">
            <v>472</v>
          </cell>
          <cell r="BG8">
            <v>317</v>
          </cell>
          <cell r="BH8">
            <v>23036</v>
          </cell>
          <cell r="BI8">
            <v>826</v>
          </cell>
          <cell r="BJ8">
            <v>568</v>
          </cell>
          <cell r="BK8">
            <v>3971</v>
          </cell>
          <cell r="BL8">
            <v>0</v>
          </cell>
          <cell r="BM8">
            <v>0</v>
          </cell>
          <cell r="BN8">
            <v>0</v>
          </cell>
          <cell r="BO8">
            <v>28401</v>
          </cell>
          <cell r="BP8">
            <v>312</v>
          </cell>
          <cell r="BQ8">
            <v>0</v>
          </cell>
          <cell r="BR8">
            <v>780</v>
          </cell>
          <cell r="BS8">
            <v>1092</v>
          </cell>
          <cell r="BT8">
            <v>27309</v>
          </cell>
          <cell r="BU8">
            <v>1715</v>
          </cell>
          <cell r="BV8">
            <v>-1685</v>
          </cell>
          <cell r="BW8">
            <v>0</v>
          </cell>
          <cell r="BX8">
            <v>428</v>
          </cell>
          <cell r="BY8">
            <v>0</v>
          </cell>
          <cell r="BZ8">
            <v>422</v>
          </cell>
          <cell r="CA8">
            <v>0</v>
          </cell>
          <cell r="CB8">
            <v>0</v>
          </cell>
          <cell r="CC8">
            <v>0</v>
          </cell>
          <cell r="CD8">
            <v>0</v>
          </cell>
          <cell r="CE8">
            <v>0</v>
          </cell>
          <cell r="CF8">
            <v>0</v>
          </cell>
          <cell r="CG8">
            <v>0</v>
          </cell>
          <cell r="CH8">
            <v>0</v>
          </cell>
          <cell r="CI8">
            <v>0</v>
          </cell>
          <cell r="CJ8">
            <v>0</v>
          </cell>
          <cell r="CK8">
            <v>0</v>
          </cell>
          <cell r="CL8">
            <v>0</v>
          </cell>
          <cell r="CM8">
            <v>0</v>
          </cell>
          <cell r="CN8">
            <v>37</v>
          </cell>
          <cell r="CO8">
            <v>13403</v>
          </cell>
          <cell r="CP8">
            <v>1875</v>
          </cell>
          <cell r="CQ8">
            <v>1065</v>
          </cell>
          <cell r="CR8">
            <v>5982</v>
          </cell>
          <cell r="CS8">
            <v>447</v>
          </cell>
          <cell r="CT8">
            <v>443</v>
          </cell>
          <cell r="CU8">
            <v>23215</v>
          </cell>
          <cell r="CV8">
            <v>1091</v>
          </cell>
          <cell r="CW8">
            <v>676</v>
          </cell>
          <cell r="CX8">
            <v>3654</v>
          </cell>
          <cell r="CY8">
            <v>0</v>
          </cell>
          <cell r="CZ8">
            <v>0</v>
          </cell>
          <cell r="DA8">
            <v>0</v>
          </cell>
          <cell r="DB8">
            <v>28636</v>
          </cell>
          <cell r="DC8">
            <v>208</v>
          </cell>
          <cell r="DD8">
            <v>0</v>
          </cell>
          <cell r="DE8">
            <v>346</v>
          </cell>
          <cell r="DF8">
            <v>554</v>
          </cell>
          <cell r="DG8">
            <v>28082</v>
          </cell>
          <cell r="DH8">
            <v>1396</v>
          </cell>
          <cell r="DI8">
            <v>0</v>
          </cell>
          <cell r="DJ8">
            <v>0</v>
          </cell>
          <cell r="DK8">
            <v>428</v>
          </cell>
          <cell r="DL8">
            <v>0</v>
          </cell>
          <cell r="DM8">
            <v>422</v>
          </cell>
          <cell r="DN8">
            <v>0</v>
          </cell>
          <cell r="DO8">
            <v>0</v>
          </cell>
          <cell r="DP8">
            <v>0</v>
          </cell>
          <cell r="DQ8">
            <v>0</v>
          </cell>
          <cell r="DR8">
            <v>0</v>
          </cell>
          <cell r="DS8">
            <v>0</v>
          </cell>
          <cell r="DT8">
            <v>0</v>
          </cell>
          <cell r="DU8">
            <v>0</v>
          </cell>
          <cell r="DV8">
            <v>0</v>
          </cell>
          <cell r="DW8">
            <v>0</v>
          </cell>
          <cell r="DX8">
            <v>0</v>
          </cell>
          <cell r="DY8">
            <v>0</v>
          </cell>
          <cell r="DZ8">
            <v>0</v>
          </cell>
          <cell r="EA8">
            <v>37</v>
          </cell>
          <cell r="EB8">
            <v>0</v>
          </cell>
          <cell r="EC8">
            <v>0</v>
          </cell>
          <cell r="ED8">
            <v>17.3</v>
          </cell>
          <cell r="EE8">
            <v>143</v>
          </cell>
          <cell r="EF8">
            <v>6410</v>
          </cell>
          <cell r="EG8">
            <v>2222</v>
          </cell>
          <cell r="EH8">
            <v>20973</v>
          </cell>
          <cell r="EI8">
            <v>287</v>
          </cell>
          <cell r="EJ8">
            <v>-56</v>
          </cell>
          <cell r="EK8">
            <v>29836</v>
          </cell>
          <cell r="EL8" t="str">
            <v>..</v>
          </cell>
          <cell r="EM8" t="str">
            <v>..</v>
          </cell>
          <cell r="EN8">
            <v>2458</v>
          </cell>
          <cell r="EO8" t="str">
            <v>..</v>
          </cell>
          <cell r="EP8" t="str">
            <v>..</v>
          </cell>
          <cell r="EQ8" t="str">
            <v>..</v>
          </cell>
          <cell r="ER8">
            <v>24247</v>
          </cell>
          <cell r="ES8">
            <v>476</v>
          </cell>
          <cell r="ET8">
            <v>1132</v>
          </cell>
          <cell r="EU8">
            <v>711</v>
          </cell>
          <cell r="EV8">
            <v>29024</v>
          </cell>
          <cell r="EW8" t="str">
            <v>..</v>
          </cell>
          <cell r="EX8" t="str">
            <v>..</v>
          </cell>
          <cell r="EY8" t="str">
            <v>..</v>
          </cell>
          <cell r="EZ8" t="str">
            <v>..</v>
          </cell>
          <cell r="FA8" t="str">
            <v>..</v>
          </cell>
          <cell r="FB8" t="str">
            <v>..</v>
          </cell>
          <cell r="FC8" t="str">
            <v>..</v>
          </cell>
          <cell r="FD8" t="str">
            <v>..</v>
          </cell>
          <cell r="FE8" t="str">
            <v>..</v>
          </cell>
          <cell r="FF8" t="str">
            <v>..</v>
          </cell>
          <cell r="FG8" t="str">
            <v>..</v>
          </cell>
          <cell r="FH8">
            <v>-1597</v>
          </cell>
          <cell r="FI8">
            <v>-69</v>
          </cell>
          <cell r="FJ8">
            <v>0</v>
          </cell>
          <cell r="FK8">
            <v>-1355</v>
          </cell>
          <cell r="FL8">
            <v>-45</v>
          </cell>
          <cell r="FM8">
            <v>6494</v>
          </cell>
          <cell r="FN8">
            <v>1354</v>
          </cell>
          <cell r="FO8">
            <v>0</v>
          </cell>
          <cell r="FP8">
            <v>4782</v>
          </cell>
          <cell r="FQ8">
            <v>0</v>
          </cell>
          <cell r="FR8">
            <v>0</v>
          </cell>
          <cell r="FS8">
            <v>-2487</v>
          </cell>
          <cell r="FT8">
            <v>-108</v>
          </cell>
          <cell r="FU8">
            <v>0</v>
          </cell>
          <cell r="FV8">
            <v>-1313</v>
          </cell>
          <cell r="FW8">
            <v>0</v>
          </cell>
          <cell r="FX8">
            <v>6171</v>
          </cell>
          <cell r="FY8">
            <v>2252</v>
          </cell>
          <cell r="FZ8">
            <v>0</v>
          </cell>
          <cell r="GA8">
            <v>4515</v>
          </cell>
          <cell r="GB8">
            <v>0</v>
          </cell>
          <cell r="GC8">
            <v>0</v>
          </cell>
          <cell r="GD8" t="str">
            <v>..</v>
          </cell>
          <cell r="GE8" t="str">
            <v>..</v>
          </cell>
          <cell r="GF8" t="str">
            <v>..</v>
          </cell>
          <cell r="GG8" t="str">
            <v>..</v>
          </cell>
          <cell r="GH8" t="str">
            <v>..</v>
          </cell>
          <cell r="GI8" t="str">
            <v>..</v>
          </cell>
          <cell r="GJ8" t="str">
            <v>..</v>
          </cell>
          <cell r="GK8" t="str">
            <v>..</v>
          </cell>
          <cell r="GL8" t="str">
            <v>..</v>
          </cell>
          <cell r="GM8" t="str">
            <v>..</v>
          </cell>
          <cell r="GN8" t="str">
            <v>..</v>
          </cell>
          <cell r="GO8" t="str">
            <v>..</v>
          </cell>
          <cell r="GP8">
            <v>12248</v>
          </cell>
          <cell r="GQ8">
            <v>2600</v>
          </cell>
          <cell r="GR8">
            <v>229</v>
          </cell>
          <cell r="GS8">
            <v>12669</v>
          </cell>
          <cell r="GT8">
            <v>2600</v>
          </cell>
          <cell r="GU8">
            <v>244</v>
          </cell>
          <cell r="GV8" t="str">
            <v>..</v>
          </cell>
          <cell r="GW8" t="str">
            <v>..</v>
          </cell>
          <cell r="GX8" t="str">
            <v>…</v>
          </cell>
          <cell r="GY8">
            <v>274</v>
          </cell>
          <cell r="GZ8">
            <v>20</v>
          </cell>
          <cell r="HA8">
            <v>333</v>
          </cell>
          <cell r="HB8">
            <v>249</v>
          </cell>
          <cell r="HC8" t="str">
            <v>..</v>
          </cell>
          <cell r="HD8">
            <v>108</v>
          </cell>
          <cell r="HE8" t="str">
            <v>..</v>
          </cell>
          <cell r="HF8">
            <v>81</v>
          </cell>
          <cell r="HG8" t="str">
            <v>..</v>
          </cell>
          <cell r="HH8">
            <v>124</v>
          </cell>
          <cell r="HI8" t="str">
            <v>..</v>
          </cell>
          <cell r="HJ8" t="str">
            <v>..</v>
          </cell>
          <cell r="HK8" t="str">
            <v>..</v>
          </cell>
          <cell r="HL8">
            <v>1189</v>
          </cell>
          <cell r="HM8" t="str">
            <v>..</v>
          </cell>
          <cell r="HN8" t="str">
            <v>..</v>
          </cell>
          <cell r="HO8" t="str">
            <v>..</v>
          </cell>
          <cell r="HP8">
            <v>151</v>
          </cell>
          <cell r="HQ8">
            <v>82</v>
          </cell>
          <cell r="HR8">
            <v>542</v>
          </cell>
          <cell r="HS8">
            <v>158</v>
          </cell>
          <cell r="HT8" t="str">
            <v>..</v>
          </cell>
          <cell r="HU8">
            <v>28</v>
          </cell>
          <cell r="HV8">
            <v>9</v>
          </cell>
          <cell r="HW8">
            <v>286</v>
          </cell>
          <cell r="HX8">
            <v>36</v>
          </cell>
          <cell r="HY8" t="str">
            <v>..</v>
          </cell>
          <cell r="HZ8" t="str">
            <v>..</v>
          </cell>
          <cell r="IA8" t="str">
            <v>..</v>
          </cell>
          <cell r="IB8" t="str">
            <v>..</v>
          </cell>
          <cell r="IC8">
            <v>1292</v>
          </cell>
          <cell r="ID8" t="str">
            <v>..</v>
          </cell>
          <cell r="IE8" t="str">
            <v>..</v>
          </cell>
          <cell r="IF8" t="str">
            <v>..</v>
          </cell>
          <cell r="IG8">
            <v>170</v>
          </cell>
          <cell r="IH8" t="str">
            <v>..</v>
          </cell>
          <cell r="II8">
            <v>300</v>
          </cell>
          <cell r="IJ8">
            <v>160</v>
          </cell>
          <cell r="IK8" t="str">
            <v>..</v>
          </cell>
          <cell r="IL8" t="str">
            <v>..</v>
          </cell>
          <cell r="IM8">
            <v>276</v>
          </cell>
          <cell r="IN8" t="str">
            <v>..</v>
          </cell>
          <cell r="IO8" t="str">
            <v>..</v>
          </cell>
          <cell r="IP8">
            <v>830</v>
          </cell>
          <cell r="IQ8" t="str">
            <v>..</v>
          </cell>
          <cell r="IR8" t="str">
            <v>..</v>
          </cell>
          <cell r="IS8" t="str">
            <v>..</v>
          </cell>
          <cell r="IT8">
            <v>1736</v>
          </cell>
          <cell r="IU8" t="str">
            <v>..</v>
          </cell>
          <cell r="IV8" t="str">
            <v>..</v>
          </cell>
          <cell r="IW8">
            <v>0</v>
          </cell>
          <cell r="IX8" t="str">
            <v>..</v>
          </cell>
          <cell r="IY8" t="str">
            <v>..</v>
          </cell>
          <cell r="IZ8" t="str">
            <v>..</v>
          </cell>
          <cell r="JA8" t="str">
            <v>..</v>
          </cell>
          <cell r="JB8" t="str">
            <v>..</v>
          </cell>
        </row>
        <row r="9">
          <cell r="A9" t="str">
            <v>E6102</v>
          </cell>
          <cell r="B9" t="str">
            <v>Bedfordshire</v>
          </cell>
          <cell r="C9" t="str">
            <v>Adrian Turner</v>
          </cell>
          <cell r="D9" t="str">
            <v>Service Performance Analyst</v>
          </cell>
          <cell r="E9">
            <v>1234845022</v>
          </cell>
          <cell r="F9" t="str">
            <v>Adrian.turner@bedsfire.com</v>
          </cell>
          <cell r="G9" t="str">
            <v>..</v>
          </cell>
          <cell r="H9" t="str">
            <v>..</v>
          </cell>
          <cell r="I9" t="str">
            <v>..</v>
          </cell>
          <cell r="J9" t="str">
            <v>..</v>
          </cell>
          <cell r="K9" t="str">
            <v>..</v>
          </cell>
          <cell r="L9">
            <v>3</v>
          </cell>
          <cell r="M9">
            <v>8</v>
          </cell>
          <cell r="N9">
            <v>3</v>
          </cell>
          <cell r="O9">
            <v>0</v>
          </cell>
          <cell r="P9">
            <v>14</v>
          </cell>
          <cell r="Q9" t="str">
            <v>..</v>
          </cell>
          <cell r="R9">
            <v>3</v>
          </cell>
          <cell r="S9">
            <v>8</v>
          </cell>
          <cell r="T9">
            <v>3</v>
          </cell>
          <cell r="U9">
            <v>0</v>
          </cell>
          <cell r="V9">
            <v>14</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v>14026</v>
          </cell>
          <cell r="BC9">
            <v>1767</v>
          </cell>
          <cell r="BD9">
            <v>979</v>
          </cell>
          <cell r="BE9">
            <v>5475</v>
          </cell>
          <cell r="BF9">
            <v>472</v>
          </cell>
          <cell r="BG9">
            <v>317</v>
          </cell>
          <cell r="BH9">
            <v>23036</v>
          </cell>
          <cell r="BI9">
            <v>826</v>
          </cell>
          <cell r="BJ9">
            <v>568</v>
          </cell>
          <cell r="BK9">
            <v>3971</v>
          </cell>
          <cell r="BL9">
            <v>0</v>
          </cell>
          <cell r="BM9">
            <v>0</v>
          </cell>
          <cell r="BN9">
            <v>0</v>
          </cell>
          <cell r="BO9">
            <v>28401</v>
          </cell>
          <cell r="BP9">
            <v>312</v>
          </cell>
          <cell r="BQ9">
            <v>0</v>
          </cell>
          <cell r="BR9">
            <v>780</v>
          </cell>
          <cell r="BS9">
            <v>1092</v>
          </cell>
          <cell r="BT9">
            <v>27309</v>
          </cell>
          <cell r="BU9">
            <v>1715</v>
          </cell>
          <cell r="BV9">
            <v>-1685</v>
          </cell>
          <cell r="BW9">
            <v>0</v>
          </cell>
          <cell r="BX9">
            <v>428</v>
          </cell>
          <cell r="BY9">
            <v>0</v>
          </cell>
          <cell r="BZ9">
            <v>422</v>
          </cell>
          <cell r="CA9">
            <v>0</v>
          </cell>
          <cell r="CB9">
            <v>0</v>
          </cell>
          <cell r="CC9">
            <v>0</v>
          </cell>
          <cell r="CD9">
            <v>0</v>
          </cell>
          <cell r="CE9">
            <v>0</v>
          </cell>
          <cell r="CF9">
            <v>0</v>
          </cell>
          <cell r="CG9">
            <v>0</v>
          </cell>
          <cell r="CH9">
            <v>0</v>
          </cell>
          <cell r="CI9">
            <v>0</v>
          </cell>
          <cell r="CJ9">
            <v>0</v>
          </cell>
          <cell r="CK9">
            <v>0</v>
          </cell>
          <cell r="CL9">
            <v>0</v>
          </cell>
          <cell r="CM9">
            <v>0</v>
          </cell>
          <cell r="CN9">
            <v>37</v>
          </cell>
          <cell r="CO9">
            <v>13403</v>
          </cell>
          <cell r="CP9">
            <v>1875</v>
          </cell>
          <cell r="CQ9">
            <v>1065</v>
          </cell>
          <cell r="CR9">
            <v>5982</v>
          </cell>
          <cell r="CS9">
            <v>447</v>
          </cell>
          <cell r="CT9">
            <v>443</v>
          </cell>
          <cell r="CU9">
            <v>23215</v>
          </cell>
          <cell r="CV9">
            <v>1091</v>
          </cell>
          <cell r="CW9">
            <v>676</v>
          </cell>
          <cell r="CX9">
            <v>3654</v>
          </cell>
          <cell r="CY9">
            <v>0</v>
          </cell>
          <cell r="CZ9">
            <v>0</v>
          </cell>
          <cell r="DA9">
            <v>0</v>
          </cell>
          <cell r="DB9">
            <v>28636</v>
          </cell>
          <cell r="DC9">
            <v>208</v>
          </cell>
          <cell r="DD9">
            <v>0</v>
          </cell>
          <cell r="DE9">
            <v>346</v>
          </cell>
          <cell r="DF9">
            <v>554</v>
          </cell>
          <cell r="DG9">
            <v>28082</v>
          </cell>
          <cell r="DH9">
            <v>1396</v>
          </cell>
          <cell r="DI9">
            <v>0</v>
          </cell>
          <cell r="DJ9">
            <v>0</v>
          </cell>
          <cell r="DK9">
            <v>428</v>
          </cell>
          <cell r="DL9">
            <v>0</v>
          </cell>
          <cell r="DM9">
            <v>422</v>
          </cell>
          <cell r="DN9">
            <v>0</v>
          </cell>
          <cell r="DO9">
            <v>0</v>
          </cell>
          <cell r="DP9">
            <v>0</v>
          </cell>
          <cell r="DQ9">
            <v>0</v>
          </cell>
          <cell r="DR9">
            <v>0</v>
          </cell>
          <cell r="DS9">
            <v>0</v>
          </cell>
          <cell r="DT9">
            <v>0</v>
          </cell>
          <cell r="DU9">
            <v>0</v>
          </cell>
          <cell r="DV9">
            <v>0</v>
          </cell>
          <cell r="DW9">
            <v>0</v>
          </cell>
          <cell r="DX9">
            <v>0</v>
          </cell>
          <cell r="DY9">
            <v>0</v>
          </cell>
          <cell r="DZ9">
            <v>0</v>
          </cell>
          <cell r="EA9">
            <v>37</v>
          </cell>
          <cell r="EB9">
            <v>0</v>
          </cell>
          <cell r="EC9">
            <v>0</v>
          </cell>
          <cell r="ED9">
            <v>17.3</v>
          </cell>
          <cell r="EE9">
            <v>143</v>
          </cell>
          <cell r="EF9">
            <v>6410</v>
          </cell>
          <cell r="EG9">
            <v>2222</v>
          </cell>
          <cell r="EH9">
            <v>20973</v>
          </cell>
          <cell r="EI9">
            <v>287</v>
          </cell>
          <cell r="EJ9">
            <v>-56</v>
          </cell>
          <cell r="EK9">
            <v>29836</v>
          </cell>
          <cell r="EL9" t="str">
            <v>..</v>
          </cell>
          <cell r="EM9" t="str">
            <v>..</v>
          </cell>
          <cell r="EN9">
            <v>2316</v>
          </cell>
          <cell r="EO9" t="str">
            <v>..</v>
          </cell>
          <cell r="EP9" t="str">
            <v>..</v>
          </cell>
          <cell r="EQ9" t="str">
            <v>..</v>
          </cell>
          <cell r="ER9">
            <v>22839</v>
          </cell>
          <cell r="ES9">
            <v>449</v>
          </cell>
          <cell r="ET9">
            <v>1066</v>
          </cell>
          <cell r="EU9">
            <v>669</v>
          </cell>
          <cell r="EV9">
            <v>27339</v>
          </cell>
          <cell r="EW9" t="str">
            <v>..</v>
          </cell>
          <cell r="EX9" t="str">
            <v>..</v>
          </cell>
          <cell r="EY9" t="str">
            <v>..</v>
          </cell>
          <cell r="EZ9" t="str">
            <v>..</v>
          </cell>
          <cell r="FA9" t="str">
            <v>..</v>
          </cell>
          <cell r="FB9" t="str">
            <v>..</v>
          </cell>
          <cell r="FC9" t="str">
            <v>..</v>
          </cell>
          <cell r="FD9" t="str">
            <v>..</v>
          </cell>
          <cell r="FE9" t="str">
            <v>..</v>
          </cell>
          <cell r="FF9" t="str">
            <v>..</v>
          </cell>
          <cell r="FG9" t="str">
            <v>..</v>
          </cell>
          <cell r="FH9">
            <v>-1597</v>
          </cell>
          <cell r="FI9">
            <v>-69</v>
          </cell>
          <cell r="FJ9">
            <v>0</v>
          </cell>
          <cell r="FK9">
            <v>-1355</v>
          </cell>
          <cell r="FL9">
            <v>-45</v>
          </cell>
          <cell r="FM9">
            <v>6494</v>
          </cell>
          <cell r="FN9">
            <v>1354</v>
          </cell>
          <cell r="FO9">
            <v>0</v>
          </cell>
          <cell r="FP9">
            <v>4782</v>
          </cell>
          <cell r="FQ9">
            <v>0</v>
          </cell>
          <cell r="FR9">
            <v>0</v>
          </cell>
          <cell r="FS9">
            <v>-2487</v>
          </cell>
          <cell r="FT9">
            <v>-108</v>
          </cell>
          <cell r="FU9">
            <v>0</v>
          </cell>
          <cell r="FV9">
            <v>-1313</v>
          </cell>
          <cell r="FW9">
            <v>0</v>
          </cell>
          <cell r="FX9">
            <v>6171</v>
          </cell>
          <cell r="FY9">
            <v>2252</v>
          </cell>
          <cell r="FZ9">
            <v>0</v>
          </cell>
          <cell r="GA9">
            <v>4515</v>
          </cell>
          <cell r="GB9">
            <v>0</v>
          </cell>
          <cell r="GC9">
            <v>0</v>
          </cell>
          <cell r="GD9" t="str">
            <v>..</v>
          </cell>
          <cell r="GE9" t="str">
            <v>..</v>
          </cell>
          <cell r="GF9" t="str">
            <v>..</v>
          </cell>
          <cell r="GG9" t="str">
            <v>..</v>
          </cell>
          <cell r="GH9" t="str">
            <v>..</v>
          </cell>
          <cell r="GI9" t="str">
            <v>..</v>
          </cell>
          <cell r="GJ9" t="str">
            <v>..</v>
          </cell>
          <cell r="GK9" t="str">
            <v>..</v>
          </cell>
          <cell r="GL9" t="str">
            <v>..</v>
          </cell>
          <cell r="GM9" t="str">
            <v>..</v>
          </cell>
          <cell r="GN9" t="str">
            <v>..</v>
          </cell>
          <cell r="GO9" t="str">
            <v>..</v>
          </cell>
          <cell r="GP9">
            <v>12248</v>
          </cell>
          <cell r="GQ9">
            <v>2600</v>
          </cell>
          <cell r="GR9">
            <v>229</v>
          </cell>
          <cell r="GS9">
            <v>12669</v>
          </cell>
          <cell r="GT9">
            <v>2600</v>
          </cell>
          <cell r="GU9">
            <v>244</v>
          </cell>
          <cell r="GV9" t="str">
            <v>..</v>
          </cell>
          <cell r="GW9" t="str">
            <v>..</v>
          </cell>
          <cell r="GX9" t="str">
            <v>…</v>
          </cell>
          <cell r="GY9">
            <v>274</v>
          </cell>
          <cell r="GZ9">
            <v>20</v>
          </cell>
          <cell r="HA9">
            <v>333</v>
          </cell>
          <cell r="HB9">
            <v>249</v>
          </cell>
          <cell r="HC9" t="str">
            <v>..</v>
          </cell>
          <cell r="HD9">
            <v>108</v>
          </cell>
          <cell r="HE9" t="str">
            <v>..</v>
          </cell>
          <cell r="HF9">
            <v>81</v>
          </cell>
          <cell r="HG9" t="str">
            <v>..</v>
          </cell>
          <cell r="HH9">
            <v>124</v>
          </cell>
          <cell r="HI9" t="str">
            <v>..</v>
          </cell>
          <cell r="HJ9" t="str">
            <v>..</v>
          </cell>
          <cell r="HK9" t="str">
            <v>..</v>
          </cell>
          <cell r="HL9">
            <v>1189</v>
          </cell>
          <cell r="HM9" t="str">
            <v>..</v>
          </cell>
          <cell r="HN9" t="str">
            <v>..</v>
          </cell>
          <cell r="HO9" t="str">
            <v>..</v>
          </cell>
          <cell r="HP9">
            <v>151</v>
          </cell>
          <cell r="HQ9">
            <v>82</v>
          </cell>
          <cell r="HR9">
            <v>542</v>
          </cell>
          <cell r="HS9">
            <v>158</v>
          </cell>
          <cell r="HT9" t="str">
            <v>..</v>
          </cell>
          <cell r="HU9">
            <v>28</v>
          </cell>
          <cell r="HV9">
            <v>9</v>
          </cell>
          <cell r="HW9">
            <v>286</v>
          </cell>
          <cell r="HX9">
            <v>36</v>
          </cell>
          <cell r="HY9" t="str">
            <v>..</v>
          </cell>
          <cell r="HZ9" t="str">
            <v>..</v>
          </cell>
          <cell r="IA9" t="str">
            <v>..</v>
          </cell>
          <cell r="IB9" t="str">
            <v>..</v>
          </cell>
          <cell r="IC9">
            <v>1292</v>
          </cell>
          <cell r="ID9" t="str">
            <v>..</v>
          </cell>
          <cell r="IE9" t="str">
            <v>..</v>
          </cell>
          <cell r="IF9" t="str">
            <v>..</v>
          </cell>
          <cell r="IG9">
            <v>170</v>
          </cell>
          <cell r="IH9" t="str">
            <v>..</v>
          </cell>
          <cell r="II9">
            <v>300</v>
          </cell>
          <cell r="IJ9">
            <v>160</v>
          </cell>
          <cell r="IK9" t="str">
            <v>..</v>
          </cell>
          <cell r="IL9" t="str">
            <v>..</v>
          </cell>
          <cell r="IM9">
            <v>276</v>
          </cell>
          <cell r="IN9" t="str">
            <v>..</v>
          </cell>
          <cell r="IO9" t="str">
            <v>..</v>
          </cell>
          <cell r="IP9">
            <v>830</v>
          </cell>
          <cell r="IQ9" t="str">
            <v>..</v>
          </cell>
          <cell r="IR9" t="str">
            <v>..</v>
          </cell>
          <cell r="IS9" t="str">
            <v>..</v>
          </cell>
          <cell r="IT9">
            <v>1736</v>
          </cell>
          <cell r="IU9" t="str">
            <v>..</v>
          </cell>
          <cell r="IV9" t="str">
            <v>..</v>
          </cell>
          <cell r="IW9">
            <v>0</v>
          </cell>
          <cell r="IX9" t="str">
            <v>..</v>
          </cell>
          <cell r="IY9" t="str">
            <v>..</v>
          </cell>
          <cell r="IZ9" t="str">
            <v>..</v>
          </cell>
          <cell r="JA9" t="str">
            <v>..</v>
          </cell>
          <cell r="JB9" t="str">
            <v>..</v>
          </cell>
        </row>
        <row r="10">
          <cell r="A10" t="str">
            <v>E0920</v>
          </cell>
          <cell r="B10" t="str">
            <v>Cumbria</v>
          </cell>
          <cell r="C10" t="str">
            <v>Nathaniel Hooton</v>
          </cell>
          <cell r="D10" t="str">
            <v>Area Manager</v>
          </cell>
          <cell r="E10" t="str">
            <v>"07766366079</v>
          </cell>
          <cell r="F10" t="str">
            <v>Nathaniel.Hooton@cumbria.gov.uk</v>
          </cell>
          <cell r="G10" t="str">
            <v>Wendy Forshaw</v>
          </cell>
          <cell r="H10" t="str">
            <v>Finance Manager</v>
          </cell>
          <cell r="I10" t="str">
            <v>"07786334849</v>
          </cell>
          <cell r="J10" t="str">
            <v>wendy.forshaw@cumbria.gov.uk</v>
          </cell>
          <cell r="K10" t="str">
            <v>..</v>
          </cell>
          <cell r="L10">
            <v>2</v>
          </cell>
          <cell r="M10">
            <v>30</v>
          </cell>
          <cell r="N10">
            <v>6</v>
          </cell>
          <cell r="O10">
            <v>0</v>
          </cell>
          <cell r="P10">
            <v>38</v>
          </cell>
          <cell r="Q10">
            <v>1</v>
          </cell>
          <cell r="R10">
            <v>2</v>
          </cell>
          <cell r="S10">
            <v>30</v>
          </cell>
          <cell r="T10">
            <v>6</v>
          </cell>
          <cell r="U10">
            <v>0</v>
          </cell>
          <cell r="V10">
            <v>38</v>
          </cell>
          <cell r="W10">
            <v>1</v>
          </cell>
          <cell r="X10">
            <v>45</v>
          </cell>
          <cell r="Y10">
            <v>45</v>
          </cell>
          <cell r="Z10">
            <v>2</v>
          </cell>
          <cell r="AA10">
            <v>20</v>
          </cell>
          <cell r="AB10">
            <v>49</v>
          </cell>
          <cell r="AC10">
            <v>0</v>
          </cell>
          <cell r="AD10">
            <v>4</v>
          </cell>
          <cell r="AE10">
            <v>120</v>
          </cell>
          <cell r="AF10">
            <v>32</v>
          </cell>
          <cell r="AG10">
            <v>5</v>
          </cell>
          <cell r="AH10">
            <v>4</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v>9350</v>
          </cell>
          <cell r="BC10">
            <v>2491</v>
          </cell>
          <cell r="BD10">
            <v>0</v>
          </cell>
          <cell r="BE10">
            <v>788</v>
          </cell>
          <cell r="BF10">
            <v>375</v>
          </cell>
          <cell r="BG10">
            <v>63</v>
          </cell>
          <cell r="BH10">
            <v>13067</v>
          </cell>
          <cell r="BI10">
            <v>1767</v>
          </cell>
          <cell r="BJ10">
            <v>813</v>
          </cell>
          <cell r="BK10">
            <v>836</v>
          </cell>
          <cell r="BL10">
            <v>2534</v>
          </cell>
          <cell r="BM10">
            <v>363</v>
          </cell>
          <cell r="BN10">
            <v>0</v>
          </cell>
          <cell r="BO10">
            <v>19380</v>
          </cell>
          <cell r="BP10">
            <v>1881</v>
          </cell>
          <cell r="BQ10">
            <v>0</v>
          </cell>
          <cell r="BR10">
            <v>157</v>
          </cell>
          <cell r="BS10">
            <v>2038</v>
          </cell>
          <cell r="BT10">
            <v>17342</v>
          </cell>
          <cell r="BU10">
            <v>1598</v>
          </cell>
          <cell r="BV10">
            <v>336</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10853</v>
          </cell>
          <cell r="CP10">
            <v>3039</v>
          </cell>
          <cell r="CQ10">
            <v>0</v>
          </cell>
          <cell r="CR10">
            <v>961</v>
          </cell>
          <cell r="CS10">
            <v>457</v>
          </cell>
          <cell r="CT10">
            <v>76</v>
          </cell>
          <cell r="CU10">
            <v>15386</v>
          </cell>
          <cell r="CV10">
            <v>1780</v>
          </cell>
          <cell r="CW10">
            <v>819</v>
          </cell>
          <cell r="CX10">
            <v>971</v>
          </cell>
          <cell r="CY10">
            <v>2540</v>
          </cell>
          <cell r="CZ10">
            <v>376</v>
          </cell>
          <cell r="DA10">
            <v>0</v>
          </cell>
          <cell r="DB10">
            <v>21872</v>
          </cell>
          <cell r="DC10">
            <v>3261</v>
          </cell>
          <cell r="DD10">
            <v>0</v>
          </cell>
          <cell r="DE10">
            <v>136</v>
          </cell>
          <cell r="DF10">
            <v>3397</v>
          </cell>
          <cell r="DG10">
            <v>18475</v>
          </cell>
          <cell r="DH10">
            <v>1599</v>
          </cell>
          <cell r="DI10">
            <v>370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14.9</v>
          </cell>
          <cell r="EE10">
            <v>0</v>
          </cell>
          <cell r="EF10">
            <v>0</v>
          </cell>
          <cell r="EG10">
            <v>0</v>
          </cell>
          <cell r="EH10">
            <v>0</v>
          </cell>
          <cell r="EI10">
            <v>0</v>
          </cell>
          <cell r="EJ10">
            <v>0</v>
          </cell>
          <cell r="EK10">
            <v>0</v>
          </cell>
          <cell r="EL10" t="str">
            <v>..</v>
          </cell>
          <cell r="EM10" t="str">
            <v>..</v>
          </cell>
          <cell r="EN10">
            <v>1026</v>
          </cell>
          <cell r="EO10" t="str">
            <v>..</v>
          </cell>
          <cell r="EP10" t="str">
            <v>..</v>
          </cell>
          <cell r="EQ10" t="str">
            <v>..</v>
          </cell>
          <cell r="ER10">
            <v>19795</v>
          </cell>
          <cell r="ES10">
            <v>0</v>
          </cell>
          <cell r="ET10">
            <v>0</v>
          </cell>
          <cell r="EU10">
            <v>0</v>
          </cell>
          <cell r="EV10">
            <v>20821</v>
          </cell>
          <cell r="EW10" t="str">
            <v>..</v>
          </cell>
          <cell r="EX10" t="str">
            <v>..</v>
          </cell>
          <cell r="EY10">
            <v>124</v>
          </cell>
          <cell r="EZ10" t="str">
            <v>..</v>
          </cell>
          <cell r="FA10" t="str">
            <v>..</v>
          </cell>
          <cell r="FB10" t="str">
            <v>..</v>
          </cell>
          <cell r="FC10">
            <v>2399</v>
          </cell>
          <cell r="FD10">
            <v>0</v>
          </cell>
          <cell r="FE10">
            <v>0</v>
          </cell>
          <cell r="FF10">
            <v>0</v>
          </cell>
          <cell r="FG10">
            <v>2523</v>
          </cell>
          <cell r="FH10">
            <v>-1434</v>
          </cell>
          <cell r="FI10">
            <v>0</v>
          </cell>
          <cell r="FJ10">
            <v>0</v>
          </cell>
          <cell r="FK10">
            <v>-1209</v>
          </cell>
          <cell r="FL10">
            <v>-38</v>
          </cell>
          <cell r="FM10">
            <v>6596</v>
          </cell>
          <cell r="FN10">
            <v>1435</v>
          </cell>
          <cell r="FO10">
            <v>0</v>
          </cell>
          <cell r="FP10">
            <v>5350</v>
          </cell>
          <cell r="FQ10">
            <v>0</v>
          </cell>
          <cell r="FR10">
            <v>0</v>
          </cell>
          <cell r="FS10">
            <v>-2801</v>
          </cell>
          <cell r="FT10">
            <v>0</v>
          </cell>
          <cell r="FU10">
            <v>0</v>
          </cell>
          <cell r="FV10">
            <v>-1194</v>
          </cell>
          <cell r="FW10">
            <v>0</v>
          </cell>
          <cell r="FX10">
            <v>6926</v>
          </cell>
          <cell r="FY10">
            <v>767</v>
          </cell>
          <cell r="FZ10">
            <v>0</v>
          </cell>
          <cell r="GA10">
            <v>3698</v>
          </cell>
          <cell r="GB10">
            <v>0</v>
          </cell>
          <cell r="GC10">
            <v>0</v>
          </cell>
          <cell r="GD10">
            <v>427</v>
          </cell>
          <cell r="GE10">
            <v>437</v>
          </cell>
          <cell r="GF10">
            <v>12</v>
          </cell>
          <cell r="GG10">
            <v>0</v>
          </cell>
          <cell r="GH10">
            <v>51</v>
          </cell>
          <cell r="GI10">
            <v>46</v>
          </cell>
          <cell r="GJ10">
            <v>414</v>
          </cell>
          <cell r="GK10">
            <v>60</v>
          </cell>
          <cell r="GL10">
            <v>36</v>
          </cell>
          <cell r="GM10">
            <v>166</v>
          </cell>
          <cell r="GN10">
            <v>76</v>
          </cell>
          <cell r="GO10">
            <v>35</v>
          </cell>
          <cell r="GP10">
            <v>240</v>
          </cell>
          <cell r="GQ10">
            <v>0</v>
          </cell>
          <cell r="GR10">
            <v>0</v>
          </cell>
          <cell r="GS10">
            <v>313</v>
          </cell>
          <cell r="GT10">
            <v>0</v>
          </cell>
          <cell r="GU10">
            <v>0</v>
          </cell>
          <cell r="GV10">
            <v>0</v>
          </cell>
          <cell r="GW10">
            <v>0</v>
          </cell>
          <cell r="GX10">
            <v>0</v>
          </cell>
          <cell r="GY10">
            <v>0</v>
          </cell>
          <cell r="GZ10">
            <v>0</v>
          </cell>
          <cell r="HA10">
            <v>465</v>
          </cell>
          <cell r="HB10">
            <v>0</v>
          </cell>
          <cell r="HC10">
            <v>0</v>
          </cell>
          <cell r="HD10">
            <v>0</v>
          </cell>
          <cell r="HE10">
            <v>0</v>
          </cell>
          <cell r="HF10">
            <v>0</v>
          </cell>
          <cell r="HG10">
            <v>0</v>
          </cell>
          <cell r="HH10">
            <v>111</v>
          </cell>
          <cell r="HI10">
            <v>0</v>
          </cell>
          <cell r="HJ10">
            <v>0</v>
          </cell>
          <cell r="HK10">
            <v>0</v>
          </cell>
          <cell r="HL10">
            <v>576</v>
          </cell>
          <cell r="HM10">
            <v>0</v>
          </cell>
          <cell r="HN10">
            <v>0</v>
          </cell>
          <cell r="HO10">
            <v>0</v>
          </cell>
          <cell r="HP10">
            <v>0</v>
          </cell>
          <cell r="HQ10">
            <v>0</v>
          </cell>
          <cell r="HR10">
            <v>1710</v>
          </cell>
          <cell r="HS10">
            <v>12</v>
          </cell>
          <cell r="HT10">
            <v>24</v>
          </cell>
          <cell r="HU10">
            <v>0</v>
          </cell>
          <cell r="HV10">
            <v>0</v>
          </cell>
          <cell r="HW10">
            <v>0</v>
          </cell>
          <cell r="HX10">
            <v>0</v>
          </cell>
          <cell r="HY10">
            <v>122</v>
          </cell>
          <cell r="HZ10">
            <v>0</v>
          </cell>
          <cell r="IA10">
            <v>0</v>
          </cell>
          <cell r="IB10">
            <v>0</v>
          </cell>
          <cell r="IC10">
            <v>1868</v>
          </cell>
          <cell r="ID10">
            <v>0</v>
          </cell>
          <cell r="IE10">
            <v>0</v>
          </cell>
          <cell r="IF10">
            <v>0</v>
          </cell>
          <cell r="IG10">
            <v>0</v>
          </cell>
          <cell r="IH10">
            <v>0</v>
          </cell>
          <cell r="II10">
            <v>729</v>
          </cell>
          <cell r="IJ10">
            <v>0</v>
          </cell>
          <cell r="IK10">
            <v>0</v>
          </cell>
          <cell r="IL10">
            <v>0</v>
          </cell>
          <cell r="IM10">
            <v>0</v>
          </cell>
          <cell r="IN10">
            <v>0</v>
          </cell>
          <cell r="IO10">
            <v>0</v>
          </cell>
          <cell r="IP10">
            <v>62</v>
          </cell>
          <cell r="IQ10">
            <v>0</v>
          </cell>
          <cell r="IR10">
            <v>0</v>
          </cell>
          <cell r="IS10">
            <v>0</v>
          </cell>
          <cell r="IT10">
            <v>791</v>
          </cell>
          <cell r="IU10" t="str">
            <v>North West Ambulance Service (NWAS)</v>
          </cell>
          <cell r="IV10" t="str">
            <v xml:space="preserve">2 x Water Bowsers, 1 x BA support Unit, 1 x Water Response vechicle, 3  x Joint Incident Command Units, 7 x Wildfire Land Rovers, 2 x Uni Mogs, 1 x Welfare Unit and 3 Rapid Response Vechicles </v>
          </cell>
          <cell r="IW10" t="str">
            <v>..</v>
          </cell>
          <cell r="IX10" t="str">
            <v>..</v>
          </cell>
          <cell r="IY10" t="str">
            <v>..</v>
          </cell>
          <cell r="IZ10" t="str">
            <v>Secondment of staff income included</v>
          </cell>
          <cell r="JA10" t="str">
            <v>..</v>
          </cell>
          <cell r="JB10" t="str">
            <v>..</v>
          </cell>
        </row>
        <row r="11">
          <cell r="A11" t="str">
            <v>E6130</v>
          </cell>
          <cell r="B11" t="str">
            <v>Nottinghamshire</v>
          </cell>
          <cell r="C11" t="str">
            <v>Scot Riggans</v>
          </cell>
          <cell r="D11" t="str">
            <v>Senior Accountancy Assistant</v>
          </cell>
          <cell r="E11" t="str">
            <v>..</v>
          </cell>
          <cell r="F11" t="str">
            <v>scot.riggans@notts-fire.gov.uk</v>
          </cell>
          <cell r="G11" t="str">
            <v>..</v>
          </cell>
          <cell r="H11" t="str">
            <v>..</v>
          </cell>
          <cell r="I11" t="str">
            <v>..</v>
          </cell>
          <cell r="J11" t="str">
            <v>..</v>
          </cell>
          <cell r="K11" t="str">
            <v>..</v>
          </cell>
          <cell r="L11">
            <v>8</v>
          </cell>
          <cell r="M11">
            <v>12</v>
          </cell>
          <cell r="N11">
            <v>4</v>
          </cell>
          <cell r="O11">
            <v>0</v>
          </cell>
          <cell r="P11">
            <v>24</v>
          </cell>
          <cell r="Q11">
            <v>3</v>
          </cell>
          <cell r="R11">
            <v>8</v>
          </cell>
          <cell r="S11">
            <v>12</v>
          </cell>
          <cell r="T11">
            <v>4</v>
          </cell>
          <cell r="U11">
            <v>0</v>
          </cell>
          <cell r="V11">
            <v>24</v>
          </cell>
          <cell r="W11">
            <v>4</v>
          </cell>
          <cell r="X11">
            <v>30</v>
          </cell>
          <cell r="Y11">
            <v>30</v>
          </cell>
          <cell r="Z11">
            <v>2</v>
          </cell>
          <cell r="AA11">
            <v>7</v>
          </cell>
          <cell r="AB11">
            <v>8</v>
          </cell>
          <cell r="AC11">
            <v>30</v>
          </cell>
          <cell r="AD11">
            <v>3</v>
          </cell>
          <cell r="AE11">
            <v>80</v>
          </cell>
          <cell r="AF11">
            <v>82</v>
          </cell>
          <cell r="AG11">
            <v>6</v>
          </cell>
          <cell r="AH11">
            <v>3</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v>21868</v>
          </cell>
          <cell r="BC11">
            <v>3052</v>
          </cell>
          <cell r="BD11">
            <v>1205</v>
          </cell>
          <cell r="BE11">
            <v>6086</v>
          </cell>
          <cell r="BF11">
            <v>399</v>
          </cell>
          <cell r="BG11">
            <v>1747</v>
          </cell>
          <cell r="BH11">
            <v>34357</v>
          </cell>
          <cell r="BI11">
            <v>2530</v>
          </cell>
          <cell r="BJ11">
            <v>1965</v>
          </cell>
          <cell r="BK11">
            <v>3462</v>
          </cell>
          <cell r="BL11">
            <v>172</v>
          </cell>
          <cell r="BM11">
            <v>35</v>
          </cell>
          <cell r="BN11">
            <v>0</v>
          </cell>
          <cell r="BO11">
            <v>42521</v>
          </cell>
          <cell r="BP11">
            <v>562</v>
          </cell>
          <cell r="BQ11">
            <v>0</v>
          </cell>
          <cell r="BR11">
            <v>754</v>
          </cell>
          <cell r="BS11">
            <v>1316</v>
          </cell>
          <cell r="BT11">
            <v>41205</v>
          </cell>
          <cell r="BU11">
            <v>3325</v>
          </cell>
          <cell r="BV11">
            <v>8852</v>
          </cell>
          <cell r="BW11">
            <v>0</v>
          </cell>
          <cell r="BX11">
            <v>1436</v>
          </cell>
          <cell r="BY11">
            <v>0</v>
          </cell>
          <cell r="BZ11">
            <v>793</v>
          </cell>
          <cell r="CA11">
            <v>-81</v>
          </cell>
          <cell r="CB11">
            <v>0</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v>23516</v>
          </cell>
          <cell r="CP11">
            <v>3450</v>
          </cell>
          <cell r="CQ11">
            <v>930</v>
          </cell>
          <cell r="CR11">
            <v>6198</v>
          </cell>
          <cell r="CS11">
            <v>455</v>
          </cell>
          <cell r="CT11">
            <v>1084</v>
          </cell>
          <cell r="CU11">
            <v>35633</v>
          </cell>
          <cell r="CV11">
            <v>2515</v>
          </cell>
          <cell r="CW11">
            <v>1681</v>
          </cell>
          <cell r="CX11">
            <v>3562</v>
          </cell>
          <cell r="CY11">
            <v>191</v>
          </cell>
          <cell r="CZ11">
            <v>58</v>
          </cell>
          <cell r="DA11">
            <v>0</v>
          </cell>
          <cell r="DB11">
            <v>43640</v>
          </cell>
          <cell r="DC11">
            <v>339</v>
          </cell>
          <cell r="DD11">
            <v>102</v>
          </cell>
          <cell r="DE11">
            <v>60</v>
          </cell>
          <cell r="DF11">
            <v>501</v>
          </cell>
          <cell r="DG11">
            <v>43139</v>
          </cell>
          <cell r="DH11" t="str">
            <v>..</v>
          </cell>
          <cell r="DI11" t="str">
            <v>..</v>
          </cell>
          <cell r="DJ11">
            <v>0</v>
          </cell>
          <cell r="DK11">
            <v>1541</v>
          </cell>
          <cell r="DL11">
            <v>0</v>
          </cell>
          <cell r="DM11">
            <v>35</v>
          </cell>
          <cell r="DN11">
            <v>-30</v>
          </cell>
          <cell r="DO11">
            <v>0</v>
          </cell>
          <cell r="DP11" t="str">
            <v>..</v>
          </cell>
          <cell r="DQ11" t="str">
            <v>..</v>
          </cell>
          <cell r="DR11" t="str">
            <v>..</v>
          </cell>
          <cell r="DS11" t="str">
            <v>..</v>
          </cell>
          <cell r="DT11" t="str">
            <v>..</v>
          </cell>
          <cell r="DU11" t="str">
            <v>..</v>
          </cell>
          <cell r="DV11" t="str">
            <v>..</v>
          </cell>
          <cell r="DW11" t="str">
            <v>..</v>
          </cell>
          <cell r="DX11" t="str">
            <v>..</v>
          </cell>
          <cell r="DY11" t="str">
            <v>..</v>
          </cell>
          <cell r="DZ11" t="str">
            <v>..</v>
          </cell>
          <cell r="EA11" t="str">
            <v>..</v>
          </cell>
          <cell r="EB11">
            <v>0</v>
          </cell>
          <cell r="EC11">
            <v>0</v>
          </cell>
          <cell r="ED11">
            <v>14.8</v>
          </cell>
          <cell r="EE11">
            <v>201</v>
          </cell>
          <cell r="EF11">
            <v>13168</v>
          </cell>
          <cell r="EG11">
            <v>3668</v>
          </cell>
          <cell r="EH11">
            <v>25293</v>
          </cell>
          <cell r="EI11">
            <v>66</v>
          </cell>
          <cell r="EJ11">
            <v>0</v>
          </cell>
          <cell r="EK11">
            <v>42195</v>
          </cell>
          <cell r="EL11">
            <v>0</v>
          </cell>
          <cell r="EM11">
            <v>0</v>
          </cell>
          <cell r="EN11">
            <v>4517</v>
          </cell>
          <cell r="EO11">
            <v>0</v>
          </cell>
          <cell r="EP11">
            <v>0</v>
          </cell>
          <cell r="EQ11">
            <v>0</v>
          </cell>
          <cell r="ER11">
            <v>37706</v>
          </cell>
          <cell r="ES11">
            <v>422</v>
          </cell>
          <cell r="ET11">
            <v>1885</v>
          </cell>
          <cell r="EU11">
            <v>0</v>
          </cell>
          <cell r="EV11">
            <v>44530</v>
          </cell>
          <cell r="EW11" t="str">
            <v>..</v>
          </cell>
          <cell r="EX11" t="str">
            <v>..</v>
          </cell>
          <cell r="EY11">
            <v>1170</v>
          </cell>
          <cell r="EZ11" t="str">
            <v>..</v>
          </cell>
          <cell r="FA11" t="str">
            <v>..</v>
          </cell>
          <cell r="FB11" t="str">
            <v>..</v>
          </cell>
          <cell r="FC11">
            <v>9811</v>
          </cell>
          <cell r="FD11">
            <v>99</v>
          </cell>
          <cell r="FE11">
            <v>169</v>
          </cell>
          <cell r="FF11" t="str">
            <v>..</v>
          </cell>
          <cell r="FG11" t="str">
            <v>..</v>
          </cell>
          <cell r="FH11">
            <v>-2774</v>
          </cell>
          <cell r="FI11">
            <v>-115</v>
          </cell>
          <cell r="FJ11">
            <v>0</v>
          </cell>
          <cell r="FK11">
            <v>-2327</v>
          </cell>
          <cell r="FL11">
            <v>-13</v>
          </cell>
          <cell r="FM11">
            <v>12966</v>
          </cell>
          <cell r="FN11">
            <v>3490</v>
          </cell>
          <cell r="FO11">
            <v>0</v>
          </cell>
          <cell r="FP11">
            <v>11227</v>
          </cell>
          <cell r="FQ11">
            <v>720</v>
          </cell>
          <cell r="FR11">
            <v>8</v>
          </cell>
          <cell r="FS11">
            <v>-5180</v>
          </cell>
          <cell r="FT11">
            <v>-74</v>
          </cell>
          <cell r="FU11">
            <v>0</v>
          </cell>
          <cell r="FV11">
            <v>-2287</v>
          </cell>
          <cell r="FW11">
            <v>-10</v>
          </cell>
          <cell r="FX11">
            <v>13541</v>
          </cell>
          <cell r="FY11">
            <v>2640</v>
          </cell>
          <cell r="FZ11">
            <v>0</v>
          </cell>
          <cell r="GA11">
            <v>8630</v>
          </cell>
          <cell r="GB11">
            <v>723</v>
          </cell>
          <cell r="GC11">
            <v>4</v>
          </cell>
          <cell r="GD11">
            <v>879</v>
          </cell>
          <cell r="GE11">
            <v>878</v>
          </cell>
          <cell r="GF11">
            <v>28</v>
          </cell>
          <cell r="GG11">
            <v>1</v>
          </cell>
          <cell r="GH11">
            <v>84</v>
          </cell>
          <cell r="GI11">
            <v>17</v>
          </cell>
          <cell r="GJ11">
            <v>523</v>
          </cell>
          <cell r="GK11">
            <v>21</v>
          </cell>
          <cell r="GL11">
            <v>197</v>
          </cell>
          <cell r="GM11">
            <v>454</v>
          </cell>
          <cell r="GN11">
            <v>105</v>
          </cell>
          <cell r="GO11">
            <v>54</v>
          </cell>
          <cell r="GP11">
            <v>5156</v>
          </cell>
          <cell r="GQ11">
            <v>6953</v>
          </cell>
          <cell r="GR11">
            <v>599</v>
          </cell>
          <cell r="GS11">
            <v>4763</v>
          </cell>
          <cell r="GT11">
            <v>5576</v>
          </cell>
          <cell r="GU11">
            <v>1314</v>
          </cell>
          <cell r="GV11">
            <v>0</v>
          </cell>
          <cell r="GW11">
            <v>0</v>
          </cell>
          <cell r="GX11">
            <v>2305</v>
          </cell>
          <cell r="GY11">
            <v>22</v>
          </cell>
          <cell r="GZ11">
            <v>0</v>
          </cell>
          <cell r="HA11">
            <v>8</v>
          </cell>
          <cell r="HB11">
            <v>566</v>
          </cell>
          <cell r="HC11">
            <v>0</v>
          </cell>
          <cell r="HD11">
            <v>21</v>
          </cell>
          <cell r="HE11">
            <v>473</v>
          </cell>
          <cell r="HF11">
            <v>126</v>
          </cell>
          <cell r="HG11">
            <v>0</v>
          </cell>
          <cell r="HH11">
            <v>539</v>
          </cell>
          <cell r="HI11">
            <v>0</v>
          </cell>
          <cell r="HJ11">
            <v>0</v>
          </cell>
          <cell r="HK11">
            <v>0</v>
          </cell>
          <cell r="HL11">
            <v>4060</v>
          </cell>
          <cell r="HM11">
            <v>0</v>
          </cell>
          <cell r="HN11">
            <v>0</v>
          </cell>
          <cell r="HO11">
            <v>497</v>
          </cell>
          <cell r="HP11">
            <v>69</v>
          </cell>
          <cell r="HQ11">
            <v>0</v>
          </cell>
          <cell r="HR11">
            <v>0</v>
          </cell>
          <cell r="HS11">
            <v>0</v>
          </cell>
          <cell r="HT11">
            <v>69</v>
          </cell>
          <cell r="HU11">
            <v>0</v>
          </cell>
          <cell r="HV11">
            <v>20</v>
          </cell>
          <cell r="HW11">
            <v>306</v>
          </cell>
          <cell r="HX11">
            <v>0</v>
          </cell>
          <cell r="HY11">
            <v>114</v>
          </cell>
          <cell r="HZ11">
            <v>0</v>
          </cell>
          <cell r="IA11">
            <v>0</v>
          </cell>
          <cell r="IB11">
            <v>0</v>
          </cell>
          <cell r="IC11">
            <v>1075</v>
          </cell>
          <cell r="ID11">
            <v>1030</v>
          </cell>
          <cell r="IE11">
            <v>0</v>
          </cell>
          <cell r="IF11">
            <v>3785</v>
          </cell>
          <cell r="IG11">
            <v>110</v>
          </cell>
          <cell r="IH11">
            <v>0</v>
          </cell>
          <cell r="II11">
            <v>150</v>
          </cell>
          <cell r="IJ11">
            <v>388</v>
          </cell>
          <cell r="IK11">
            <v>0</v>
          </cell>
          <cell r="IL11">
            <v>30</v>
          </cell>
          <cell r="IM11">
            <v>212</v>
          </cell>
          <cell r="IN11">
            <v>479</v>
          </cell>
          <cell r="IO11">
            <v>0</v>
          </cell>
          <cell r="IP11">
            <v>443</v>
          </cell>
          <cell r="IQ11">
            <v>0</v>
          </cell>
          <cell r="IR11">
            <v>0</v>
          </cell>
          <cell r="IS11">
            <v>0</v>
          </cell>
          <cell r="IT11">
            <v>6627</v>
          </cell>
          <cell r="IU11" t="str">
            <v>2 Stations Police utilise the front desk.  1 Station Ambulance Service can park vehicles and Police have an Office.</v>
          </cell>
          <cell r="IV11" t="str">
            <v>2 x Heavy Rescue units, 2 x Animal rescue units 1 x water foam carrier, 1 x command Control unit, 1 x welfare unit</v>
          </cell>
          <cell r="IW11" t="str">
            <v>..</v>
          </cell>
          <cell r="IX11" t="str">
            <v>..</v>
          </cell>
          <cell r="IY11" t="str">
            <v>..</v>
          </cell>
          <cell r="IZ11" t="str">
            <v>..</v>
          </cell>
          <cell r="JA11" t="str">
            <v>..</v>
          </cell>
          <cell r="JB11" t="str">
            <v>NFRS are involved ina  number of collaboration stream where expentidure and income would takle place. However at this point in time we do not identify these costs</v>
          </cell>
        </row>
        <row r="12">
          <cell r="A12" t="str">
            <v>E6101</v>
          </cell>
          <cell r="B12" t="str">
            <v>Avon</v>
          </cell>
          <cell r="C12" t="str">
            <v>Simon Flood</v>
          </cell>
          <cell r="D12" t="str">
            <v>Corporate Performance Manager</v>
          </cell>
          <cell r="E12" t="str">
            <v>0117 9262061</v>
          </cell>
          <cell r="F12" t="str">
            <v>simon.flood@avonfire.gov.uk</v>
          </cell>
          <cell r="G12" t="str">
            <v>'Ry George</v>
          </cell>
          <cell r="H12" t="str">
            <v>Accountant</v>
          </cell>
          <cell r="I12" t="str">
            <v>'0117 9262061</v>
          </cell>
          <cell r="J12" t="str">
            <v>ry.george@avonfire.gov.uk</v>
          </cell>
          <cell r="K12" t="str">
            <v>..</v>
          </cell>
          <cell r="L12">
            <v>7</v>
          </cell>
          <cell r="M12">
            <v>11</v>
          </cell>
          <cell r="N12">
            <v>3</v>
          </cell>
          <cell r="O12">
            <v>0</v>
          </cell>
          <cell r="P12">
            <v>21</v>
          </cell>
          <cell r="Q12">
            <v>8</v>
          </cell>
          <cell r="R12">
            <v>7</v>
          </cell>
          <cell r="S12">
            <v>11</v>
          </cell>
          <cell r="T12">
            <v>3</v>
          </cell>
          <cell r="U12">
            <v>0</v>
          </cell>
          <cell r="V12">
            <v>21</v>
          </cell>
          <cell r="W12">
            <v>8</v>
          </cell>
          <cell r="X12">
            <v>34</v>
          </cell>
          <cell r="Y12">
            <v>33</v>
          </cell>
          <cell r="Z12">
            <v>4</v>
          </cell>
          <cell r="AA12">
            <v>19</v>
          </cell>
          <cell r="AB12">
            <v>37</v>
          </cell>
          <cell r="AC12">
            <v>0</v>
          </cell>
          <cell r="AD12">
            <v>12</v>
          </cell>
          <cell r="AE12">
            <v>105</v>
          </cell>
          <cell r="AF12">
            <v>64</v>
          </cell>
          <cell r="AG12">
            <v>8</v>
          </cell>
          <cell r="AH12">
            <v>3</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v>21929</v>
          </cell>
          <cell r="BC12">
            <v>2213</v>
          </cell>
          <cell r="BD12">
            <v>1554</v>
          </cell>
          <cell r="BE12">
            <v>4551</v>
          </cell>
          <cell r="BF12">
            <v>304</v>
          </cell>
          <cell r="BG12">
            <v>1927</v>
          </cell>
          <cell r="BH12">
            <v>32478</v>
          </cell>
          <cell r="BI12">
            <v>2136.4548500000001</v>
          </cell>
          <cell r="BJ12">
            <v>1275.4111500000001</v>
          </cell>
          <cell r="BK12">
            <v>5209.6617899999965</v>
          </cell>
          <cell r="BL12">
            <v>0</v>
          </cell>
          <cell r="BM12">
            <v>0</v>
          </cell>
          <cell r="BN12">
            <v>0</v>
          </cell>
          <cell r="BO12">
            <v>41099.52779</v>
          </cell>
          <cell r="BP12">
            <v>2805</v>
          </cell>
          <cell r="BQ12">
            <v>0</v>
          </cell>
          <cell r="BR12">
            <v>674.11710999999991</v>
          </cell>
          <cell r="BS12">
            <v>3479.1171100000001</v>
          </cell>
          <cell r="BT12">
            <v>37620.410680000001</v>
          </cell>
          <cell r="BU12">
            <v>592.50512000000003</v>
          </cell>
          <cell r="BV12">
            <v>29605</v>
          </cell>
          <cell r="BW12">
            <v>0</v>
          </cell>
          <cell r="BX12">
            <v>2562</v>
          </cell>
          <cell r="BY12">
            <v>0</v>
          </cell>
          <cell r="BZ12">
            <v>258</v>
          </cell>
          <cell r="CA12">
            <v>-209</v>
          </cell>
          <cell r="CB12">
            <v>0</v>
          </cell>
          <cell r="CC12">
            <v>0</v>
          </cell>
          <cell r="CD12">
            <v>0</v>
          </cell>
          <cell r="CE12">
            <v>0</v>
          </cell>
          <cell r="CF12">
            <v>0</v>
          </cell>
          <cell r="CG12">
            <v>0</v>
          </cell>
          <cell r="CH12">
            <v>0</v>
          </cell>
          <cell r="CI12">
            <v>0</v>
          </cell>
          <cell r="CJ12" t="str">
            <v>..</v>
          </cell>
          <cell r="CK12" t="str">
            <v>..</v>
          </cell>
          <cell r="CL12" t="str">
            <v>..</v>
          </cell>
          <cell r="CM12" t="str">
            <v>..</v>
          </cell>
          <cell r="CN12" t="str">
            <v>..</v>
          </cell>
          <cell r="CO12">
            <v>24951.765027600002</v>
          </cell>
          <cell r="CP12">
            <v>2499.6924477000002</v>
          </cell>
          <cell r="CQ12">
            <v>1776.6874887333333</v>
          </cell>
          <cell r="CR12">
            <v>5530.2867999999999</v>
          </cell>
          <cell r="CS12">
            <v>559.86199999999997</v>
          </cell>
          <cell r="CT12">
            <v>2092.0770000000002</v>
          </cell>
          <cell r="CU12">
            <v>37410.37076403333</v>
          </cell>
          <cell r="CV12">
            <v>2378.6126100000001</v>
          </cell>
          <cell r="CW12">
            <v>1653.8383999999999</v>
          </cell>
          <cell r="CX12">
            <v>5702.23909</v>
          </cell>
          <cell r="CY12">
            <v>0</v>
          </cell>
          <cell r="CZ12">
            <v>0</v>
          </cell>
          <cell r="DA12">
            <v>0</v>
          </cell>
          <cell r="DB12">
            <v>47145.06086403333</v>
          </cell>
          <cell r="DC12">
            <v>3900</v>
          </cell>
          <cell r="DD12">
            <v>0</v>
          </cell>
          <cell r="DE12">
            <v>601</v>
          </cell>
          <cell r="DF12">
            <v>4501</v>
          </cell>
          <cell r="DG12">
            <v>42644.06086403333</v>
          </cell>
          <cell r="DH12">
            <v>560</v>
          </cell>
          <cell r="DI12">
            <v>4936</v>
          </cell>
          <cell r="DJ12">
            <v>0</v>
          </cell>
          <cell r="DK12">
            <v>377</v>
          </cell>
          <cell r="DL12">
            <v>0</v>
          </cell>
          <cell r="DM12">
            <v>258</v>
          </cell>
          <cell r="DN12">
            <v>-209</v>
          </cell>
          <cell r="DO12">
            <v>0</v>
          </cell>
          <cell r="DP12">
            <v>0</v>
          </cell>
          <cell r="DQ12">
            <v>0</v>
          </cell>
          <cell r="DR12">
            <v>0</v>
          </cell>
          <cell r="DS12">
            <v>0</v>
          </cell>
          <cell r="DT12">
            <v>0</v>
          </cell>
          <cell r="DU12">
            <v>0</v>
          </cell>
          <cell r="DV12">
            <v>0</v>
          </cell>
          <cell r="DW12" t="str">
            <v>..</v>
          </cell>
          <cell r="DX12" t="str">
            <v>..</v>
          </cell>
          <cell r="DY12" t="str">
            <v>..</v>
          </cell>
          <cell r="DZ12" t="str">
            <v>..</v>
          </cell>
          <cell r="EA12" t="str">
            <v>..</v>
          </cell>
          <cell r="EB12">
            <v>0</v>
          </cell>
          <cell r="EC12">
            <v>0</v>
          </cell>
          <cell r="ED12">
            <v>15.3</v>
          </cell>
          <cell r="EE12">
            <v>370.70034000000004</v>
          </cell>
          <cell r="EF12">
            <v>11741.231</v>
          </cell>
          <cell r="EG12">
            <v>4658.2740000000003</v>
          </cell>
          <cell r="EH12">
            <v>25741.591639999999</v>
          </cell>
          <cell r="EI12">
            <v>0</v>
          </cell>
          <cell r="EJ12">
            <v>-110</v>
          </cell>
          <cell r="EK12">
            <v>42031.096640000003</v>
          </cell>
          <cell r="EL12">
            <v>977</v>
          </cell>
          <cell r="EM12">
            <v>1809</v>
          </cell>
          <cell r="EN12">
            <v>2786</v>
          </cell>
          <cell r="EO12">
            <v>30486</v>
          </cell>
          <cell r="EP12">
            <v>2840</v>
          </cell>
          <cell r="EQ12">
            <v>117</v>
          </cell>
          <cell r="ER12">
            <v>33443</v>
          </cell>
          <cell r="ES12">
            <v>0</v>
          </cell>
          <cell r="ET12">
            <v>1429</v>
          </cell>
          <cell r="EU12">
            <v>554</v>
          </cell>
          <cell r="EV12">
            <v>38212</v>
          </cell>
          <cell r="EW12">
            <v>300</v>
          </cell>
          <cell r="EX12">
            <v>556</v>
          </cell>
          <cell r="EY12">
            <v>856</v>
          </cell>
          <cell r="EZ12">
            <v>9400</v>
          </cell>
          <cell r="FA12">
            <v>873</v>
          </cell>
          <cell r="FB12">
            <v>36</v>
          </cell>
          <cell r="FC12">
            <v>10309</v>
          </cell>
          <cell r="FD12">
            <v>0</v>
          </cell>
          <cell r="FE12">
            <v>439</v>
          </cell>
          <cell r="FF12">
            <v>171</v>
          </cell>
          <cell r="FG12">
            <v>11775</v>
          </cell>
          <cell r="FH12">
            <v>-2829</v>
          </cell>
          <cell r="FI12">
            <v>-264</v>
          </cell>
          <cell r="FJ12">
            <v>0</v>
          </cell>
          <cell r="FK12">
            <v>-2347</v>
          </cell>
          <cell r="FL12">
            <v>0</v>
          </cell>
          <cell r="FM12">
            <v>13925</v>
          </cell>
          <cell r="FN12">
            <v>4429</v>
          </cell>
          <cell r="FO12">
            <v>65</v>
          </cell>
          <cell r="FP12">
            <v>12979</v>
          </cell>
          <cell r="FQ12">
            <v>1330</v>
          </cell>
          <cell r="FR12">
            <v>115</v>
          </cell>
          <cell r="FS12">
            <v>-5255</v>
          </cell>
          <cell r="FT12">
            <v>-382</v>
          </cell>
          <cell r="FU12">
            <v>0</v>
          </cell>
          <cell r="FV12">
            <v>-2334</v>
          </cell>
          <cell r="FW12">
            <v>0</v>
          </cell>
          <cell r="FX12">
            <v>14413</v>
          </cell>
          <cell r="FY12">
            <v>1304</v>
          </cell>
          <cell r="FZ12">
            <v>0</v>
          </cell>
          <cell r="GA12">
            <v>7746</v>
          </cell>
          <cell r="GB12">
            <v>1331</v>
          </cell>
          <cell r="GC12">
            <v>0</v>
          </cell>
          <cell r="GD12">
            <v>885</v>
          </cell>
          <cell r="GE12">
            <v>18</v>
          </cell>
          <cell r="GF12">
            <v>30</v>
          </cell>
          <cell r="GG12">
            <v>2</v>
          </cell>
          <cell r="GH12">
            <v>94</v>
          </cell>
          <cell r="GI12">
            <v>14</v>
          </cell>
          <cell r="GJ12">
            <v>491</v>
          </cell>
          <cell r="GK12">
            <v>20</v>
          </cell>
          <cell r="GL12">
            <v>82</v>
          </cell>
          <cell r="GM12">
            <v>124</v>
          </cell>
          <cell r="GN12">
            <v>70</v>
          </cell>
          <cell r="GO12">
            <v>8</v>
          </cell>
          <cell r="GP12">
            <v>2361</v>
          </cell>
          <cell r="GQ12">
            <v>1500</v>
          </cell>
          <cell r="GR12">
            <v>1453</v>
          </cell>
          <cell r="GS12">
            <v>6506</v>
          </cell>
          <cell r="GT12">
            <v>1500</v>
          </cell>
          <cell r="GU12">
            <v>1189</v>
          </cell>
          <cell r="GV12">
            <v>0</v>
          </cell>
          <cell r="GW12">
            <v>0</v>
          </cell>
          <cell r="GX12">
            <v>0</v>
          </cell>
          <cell r="GY12">
            <v>231</v>
          </cell>
          <cell r="GZ12">
            <v>34</v>
          </cell>
          <cell r="HA12">
            <v>1412.0221000000001</v>
          </cell>
          <cell r="HB12">
            <v>34</v>
          </cell>
          <cell r="HC12">
            <v>0</v>
          </cell>
          <cell r="HD12">
            <v>74</v>
          </cell>
          <cell r="HE12">
            <v>13</v>
          </cell>
          <cell r="HF12">
            <v>143</v>
          </cell>
          <cell r="HG12">
            <v>0</v>
          </cell>
          <cell r="HH12">
            <v>26.5</v>
          </cell>
          <cell r="HI12">
            <v>0</v>
          </cell>
          <cell r="HJ12">
            <v>0</v>
          </cell>
          <cell r="HK12">
            <v>0</v>
          </cell>
          <cell r="HL12">
            <v>1967.5221000000001</v>
          </cell>
          <cell r="HM12">
            <v>0</v>
          </cell>
          <cell r="HN12">
            <v>0</v>
          </cell>
          <cell r="HO12">
            <v>412</v>
          </cell>
          <cell r="HP12">
            <v>59</v>
          </cell>
          <cell r="HQ12">
            <v>73</v>
          </cell>
          <cell r="HR12">
            <v>306</v>
          </cell>
          <cell r="HS12">
            <v>0</v>
          </cell>
          <cell r="HT12">
            <v>0</v>
          </cell>
          <cell r="HU12">
            <v>0</v>
          </cell>
          <cell r="HV12">
            <v>352</v>
          </cell>
          <cell r="HW12">
            <v>109</v>
          </cell>
          <cell r="HX12">
            <v>0</v>
          </cell>
          <cell r="HY12">
            <v>40.299999999999997</v>
          </cell>
          <cell r="HZ12">
            <v>0</v>
          </cell>
          <cell r="IA12">
            <v>0</v>
          </cell>
          <cell r="IB12">
            <v>0</v>
          </cell>
          <cell r="IC12">
            <v>1351.3</v>
          </cell>
          <cell r="ID12">
            <v>0</v>
          </cell>
          <cell r="IE12">
            <v>0</v>
          </cell>
          <cell r="IF12">
            <v>2960</v>
          </cell>
          <cell r="IG12">
            <v>200</v>
          </cell>
          <cell r="IH12">
            <v>356</v>
          </cell>
          <cell r="II12">
            <v>700</v>
          </cell>
          <cell r="IJ12">
            <v>20</v>
          </cell>
          <cell r="IK12">
            <v>0</v>
          </cell>
          <cell r="IL12">
            <v>0</v>
          </cell>
          <cell r="IM12">
            <v>252</v>
          </cell>
          <cell r="IN12">
            <v>905</v>
          </cell>
          <cell r="IO12">
            <v>0</v>
          </cell>
          <cell r="IP12">
            <v>307</v>
          </cell>
          <cell r="IQ12">
            <v>0</v>
          </cell>
          <cell r="IR12">
            <v>0</v>
          </cell>
          <cell r="IS12">
            <v>0</v>
          </cell>
          <cell r="IT12">
            <v>5700</v>
          </cell>
          <cell r="IU12" t="str">
            <v>02 ambulance, 03 police, 05 ambulance, 06 police, 07 ambulance, 09 police, 16 police, 20 police</v>
          </cell>
          <cell r="IV12"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12" t="str">
            <v>..</v>
          </cell>
          <cell r="IX12" t="str">
            <v>..</v>
          </cell>
          <cell r="IY12" t="str">
            <v>..</v>
          </cell>
          <cell r="IZ12" t="str">
            <v>..</v>
          </cell>
          <cell r="JA12" t="str">
            <v>..</v>
          </cell>
          <cell r="JB12" t="str">
            <v>..</v>
          </cell>
        </row>
        <row r="13">
          <cell r="A13" t="str">
            <v>E6101</v>
          </cell>
          <cell r="B13" t="str">
            <v>Avon</v>
          </cell>
          <cell r="C13" t="str">
            <v>Simon Flood</v>
          </cell>
          <cell r="D13" t="str">
            <v>Performance Manager</v>
          </cell>
          <cell r="E13">
            <v>1179262061</v>
          </cell>
          <cell r="F13" t="str">
            <v>simon.flood@avonfire.gov.uk</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v>21929</v>
          </cell>
          <cell r="BC13">
            <v>2213</v>
          </cell>
          <cell r="BD13">
            <v>1554</v>
          </cell>
          <cell r="BE13">
            <v>4551</v>
          </cell>
          <cell r="BF13">
            <v>304</v>
          </cell>
          <cell r="BG13">
            <v>1927</v>
          </cell>
          <cell r="BH13">
            <v>32478</v>
          </cell>
          <cell r="BI13">
            <v>2136.4548500000001</v>
          </cell>
          <cell r="BJ13">
            <v>1275.4111500000001</v>
          </cell>
          <cell r="BK13">
            <v>5209.6617899999965</v>
          </cell>
          <cell r="BL13">
            <v>0</v>
          </cell>
          <cell r="BM13">
            <v>0</v>
          </cell>
          <cell r="BN13">
            <v>0</v>
          </cell>
          <cell r="BO13">
            <v>41099.52779</v>
          </cell>
          <cell r="BP13">
            <v>2805</v>
          </cell>
          <cell r="BQ13">
            <v>0</v>
          </cell>
          <cell r="BR13">
            <v>674.11710999999991</v>
          </cell>
          <cell r="BS13">
            <v>3479.1171100000001</v>
          </cell>
          <cell r="BT13">
            <v>37620</v>
          </cell>
          <cell r="BU13">
            <v>592</v>
          </cell>
          <cell r="BV13">
            <v>29605</v>
          </cell>
          <cell r="BW13">
            <v>0</v>
          </cell>
          <cell r="BX13">
            <v>2562</v>
          </cell>
          <cell r="BY13">
            <v>0</v>
          </cell>
          <cell r="BZ13">
            <v>258</v>
          </cell>
          <cell r="CA13">
            <v>-209</v>
          </cell>
          <cell r="CB13">
            <v>0</v>
          </cell>
          <cell r="CC13">
            <v>0</v>
          </cell>
          <cell r="CD13">
            <v>0</v>
          </cell>
          <cell r="CE13">
            <v>0</v>
          </cell>
          <cell r="CF13">
            <v>0</v>
          </cell>
          <cell r="CG13">
            <v>0</v>
          </cell>
          <cell r="CH13">
            <v>0</v>
          </cell>
          <cell r="CI13">
            <v>0</v>
          </cell>
          <cell r="CJ13" t="str">
            <v>..</v>
          </cell>
          <cell r="CK13" t="str">
            <v>..</v>
          </cell>
          <cell r="CL13" t="str">
            <v>..</v>
          </cell>
          <cell r="CM13" t="str">
            <v>..</v>
          </cell>
          <cell r="CN13" t="str">
            <v>..</v>
          </cell>
          <cell r="CO13">
            <v>24951.765027600002</v>
          </cell>
          <cell r="CP13">
            <v>2499.6924477000002</v>
          </cell>
          <cell r="CQ13">
            <v>1776.6874887333333</v>
          </cell>
          <cell r="CR13">
            <v>5530.2867999999999</v>
          </cell>
          <cell r="CS13">
            <v>559.86199999999997</v>
          </cell>
          <cell r="CT13">
            <v>2092.0770000000002</v>
          </cell>
          <cell r="CU13">
            <v>37410.37076403333</v>
          </cell>
          <cell r="CV13">
            <v>2378.6126100000001</v>
          </cell>
          <cell r="CW13">
            <v>1653.8383999999999</v>
          </cell>
          <cell r="CX13">
            <v>5702.23909</v>
          </cell>
          <cell r="CY13">
            <v>0</v>
          </cell>
          <cell r="CZ13">
            <v>0</v>
          </cell>
          <cell r="DA13">
            <v>0</v>
          </cell>
          <cell r="DB13">
            <v>47145.06086403333</v>
          </cell>
          <cell r="DC13">
            <v>3900</v>
          </cell>
          <cell r="DD13">
            <v>0</v>
          </cell>
          <cell r="DE13">
            <v>601</v>
          </cell>
          <cell r="DF13">
            <v>4501</v>
          </cell>
          <cell r="DG13">
            <v>42644.06086403333</v>
          </cell>
          <cell r="DH13">
            <v>560</v>
          </cell>
          <cell r="DI13">
            <v>4936</v>
          </cell>
          <cell r="DJ13">
            <v>0</v>
          </cell>
          <cell r="DK13">
            <v>377</v>
          </cell>
          <cell r="DL13">
            <v>0</v>
          </cell>
          <cell r="DM13">
            <v>258</v>
          </cell>
          <cell r="DN13">
            <v>-209</v>
          </cell>
          <cell r="DO13">
            <v>0</v>
          </cell>
          <cell r="DP13">
            <v>0</v>
          </cell>
          <cell r="DQ13">
            <v>0</v>
          </cell>
          <cell r="DR13">
            <v>0</v>
          </cell>
          <cell r="DS13">
            <v>0</v>
          </cell>
          <cell r="DT13">
            <v>0</v>
          </cell>
          <cell r="DU13">
            <v>0</v>
          </cell>
          <cell r="DV13">
            <v>0</v>
          </cell>
          <cell r="DW13" t="str">
            <v>..</v>
          </cell>
          <cell r="DX13" t="str">
            <v>..</v>
          </cell>
          <cell r="DY13" t="str">
            <v>..</v>
          </cell>
          <cell r="DZ13" t="str">
            <v>..</v>
          </cell>
          <cell r="EA13" t="str">
            <v>..</v>
          </cell>
          <cell r="EB13">
            <v>0</v>
          </cell>
          <cell r="EC13">
            <v>0</v>
          </cell>
          <cell r="ED13">
            <v>15.3</v>
          </cell>
          <cell r="EE13">
            <v>370.70034000000004</v>
          </cell>
          <cell r="EF13">
            <v>11741.231</v>
          </cell>
          <cell r="EG13">
            <v>4658.2740000000003</v>
          </cell>
          <cell r="EH13">
            <v>25741.591639999999</v>
          </cell>
          <cell r="EI13">
            <v>0</v>
          </cell>
          <cell r="EJ13">
            <v>-110</v>
          </cell>
          <cell r="EK13">
            <v>42031.096640000003</v>
          </cell>
          <cell r="EL13">
            <v>977</v>
          </cell>
          <cell r="EM13">
            <v>1809</v>
          </cell>
          <cell r="EN13">
            <v>2786</v>
          </cell>
          <cell r="EO13">
            <v>30486</v>
          </cell>
          <cell r="EP13">
            <v>2840</v>
          </cell>
          <cell r="EQ13">
            <v>117</v>
          </cell>
          <cell r="ER13">
            <v>33443</v>
          </cell>
          <cell r="ES13">
            <v>0</v>
          </cell>
          <cell r="ET13">
            <v>1429</v>
          </cell>
          <cell r="EU13">
            <v>554</v>
          </cell>
          <cell r="EV13">
            <v>38212</v>
          </cell>
          <cell r="EW13">
            <v>300</v>
          </cell>
          <cell r="EX13">
            <v>556</v>
          </cell>
          <cell r="EY13">
            <v>856</v>
          </cell>
          <cell r="EZ13">
            <v>9400</v>
          </cell>
          <cell r="FA13">
            <v>873</v>
          </cell>
          <cell r="FB13">
            <v>36</v>
          </cell>
          <cell r="FC13">
            <v>10309</v>
          </cell>
          <cell r="FD13">
            <v>0</v>
          </cell>
          <cell r="FE13">
            <v>439</v>
          </cell>
          <cell r="FF13">
            <v>171</v>
          </cell>
          <cell r="FG13">
            <v>11775</v>
          </cell>
          <cell r="FH13">
            <v>-2829</v>
          </cell>
          <cell r="FI13">
            <v>-264</v>
          </cell>
          <cell r="FJ13">
            <v>0</v>
          </cell>
          <cell r="FK13">
            <v>-2347</v>
          </cell>
          <cell r="FL13">
            <v>0</v>
          </cell>
          <cell r="FM13">
            <v>13925</v>
          </cell>
          <cell r="FN13">
            <v>4429</v>
          </cell>
          <cell r="FO13">
            <v>65</v>
          </cell>
          <cell r="FP13">
            <v>12979</v>
          </cell>
          <cell r="FQ13">
            <v>1330</v>
          </cell>
          <cell r="FR13">
            <v>115</v>
          </cell>
          <cell r="FS13">
            <v>-5255</v>
          </cell>
          <cell r="FT13">
            <v>-382</v>
          </cell>
          <cell r="FU13">
            <v>0</v>
          </cell>
          <cell r="FV13">
            <v>-2334</v>
          </cell>
          <cell r="FW13">
            <v>0</v>
          </cell>
          <cell r="FX13">
            <v>14413</v>
          </cell>
          <cell r="FY13">
            <v>1304</v>
          </cell>
          <cell r="FZ13">
            <v>0</v>
          </cell>
          <cell r="GA13">
            <v>7746</v>
          </cell>
          <cell r="GB13">
            <v>1331</v>
          </cell>
          <cell r="GC13">
            <v>0</v>
          </cell>
          <cell r="GD13">
            <v>885</v>
          </cell>
          <cell r="GE13">
            <v>18</v>
          </cell>
          <cell r="GF13">
            <v>30</v>
          </cell>
          <cell r="GG13">
            <v>2</v>
          </cell>
          <cell r="GH13">
            <v>94</v>
          </cell>
          <cell r="GI13">
            <v>14</v>
          </cell>
          <cell r="GJ13">
            <v>491</v>
          </cell>
          <cell r="GK13">
            <v>20</v>
          </cell>
          <cell r="GL13">
            <v>82</v>
          </cell>
          <cell r="GM13">
            <v>124</v>
          </cell>
          <cell r="GN13">
            <v>70</v>
          </cell>
          <cell r="GO13">
            <v>8</v>
          </cell>
          <cell r="GP13">
            <v>2361</v>
          </cell>
          <cell r="GQ13">
            <v>1500</v>
          </cell>
          <cell r="GR13">
            <v>1453</v>
          </cell>
          <cell r="GS13">
            <v>6506</v>
          </cell>
          <cell r="GT13">
            <v>1500</v>
          </cell>
          <cell r="GU13">
            <v>1189</v>
          </cell>
          <cell r="GV13">
            <v>0</v>
          </cell>
          <cell r="GW13">
            <v>0</v>
          </cell>
          <cell r="GX13">
            <v>0</v>
          </cell>
          <cell r="GY13">
            <v>231</v>
          </cell>
          <cell r="GZ13">
            <v>34</v>
          </cell>
          <cell r="HA13">
            <v>1412.0221000000001</v>
          </cell>
          <cell r="HB13">
            <v>34</v>
          </cell>
          <cell r="HC13">
            <v>0</v>
          </cell>
          <cell r="HD13">
            <v>74</v>
          </cell>
          <cell r="HE13">
            <v>13</v>
          </cell>
          <cell r="HF13">
            <v>143</v>
          </cell>
          <cell r="HG13">
            <v>0</v>
          </cell>
          <cell r="HH13">
            <v>26.5</v>
          </cell>
          <cell r="HI13">
            <v>0</v>
          </cell>
          <cell r="HJ13">
            <v>0</v>
          </cell>
          <cell r="HK13">
            <v>0</v>
          </cell>
          <cell r="HL13">
            <v>1967.5221000000001</v>
          </cell>
          <cell r="HM13">
            <v>0</v>
          </cell>
          <cell r="HN13">
            <v>0</v>
          </cell>
          <cell r="HO13">
            <v>412</v>
          </cell>
          <cell r="HP13">
            <v>59</v>
          </cell>
          <cell r="HQ13">
            <v>73</v>
          </cell>
          <cell r="HR13">
            <v>306</v>
          </cell>
          <cell r="HS13">
            <v>0</v>
          </cell>
          <cell r="HT13">
            <v>0</v>
          </cell>
          <cell r="HU13">
            <v>0</v>
          </cell>
          <cell r="HV13">
            <v>352</v>
          </cell>
          <cell r="HW13">
            <v>109</v>
          </cell>
          <cell r="HX13">
            <v>0</v>
          </cell>
          <cell r="HY13">
            <v>40.299999999999997</v>
          </cell>
          <cell r="HZ13">
            <v>0</v>
          </cell>
          <cell r="IA13">
            <v>0</v>
          </cell>
          <cell r="IB13">
            <v>0</v>
          </cell>
          <cell r="IC13">
            <v>1351.3</v>
          </cell>
          <cell r="ID13">
            <v>0</v>
          </cell>
          <cell r="IE13">
            <v>0</v>
          </cell>
          <cell r="IF13">
            <v>2960</v>
          </cell>
          <cell r="IG13">
            <v>200</v>
          </cell>
          <cell r="IH13">
            <v>356</v>
          </cell>
          <cell r="II13">
            <v>700</v>
          </cell>
          <cell r="IJ13">
            <v>20</v>
          </cell>
          <cell r="IK13">
            <v>0</v>
          </cell>
          <cell r="IL13">
            <v>0</v>
          </cell>
          <cell r="IM13">
            <v>252</v>
          </cell>
          <cell r="IN13">
            <v>905</v>
          </cell>
          <cell r="IO13">
            <v>0</v>
          </cell>
          <cell r="IP13">
            <v>307</v>
          </cell>
          <cell r="IQ13">
            <v>0</v>
          </cell>
          <cell r="IR13">
            <v>0</v>
          </cell>
          <cell r="IS13">
            <v>0</v>
          </cell>
          <cell r="IT13">
            <v>5700</v>
          </cell>
          <cell r="IU13" t="str">
            <v>..</v>
          </cell>
          <cell r="IV13" t="str">
            <v>..</v>
          </cell>
          <cell r="IW13" t="str">
            <v>..</v>
          </cell>
          <cell r="IX13" t="str">
            <v>..</v>
          </cell>
          <cell r="IY13" t="str">
            <v>..</v>
          </cell>
          <cell r="IZ13" t="str">
            <v>..</v>
          </cell>
          <cell r="JA13" t="str">
            <v>..</v>
          </cell>
          <cell r="JB13" t="str">
            <v>..</v>
          </cell>
        </row>
        <row r="14">
          <cell r="A14" t="str">
            <v>E3520</v>
          </cell>
          <cell r="B14" t="str">
            <v>Suffolk</v>
          </cell>
          <cell r="C14" t="str">
            <v>Sally Hammond</v>
          </cell>
          <cell r="D14" t="str">
            <v>Performance Improvement Manager</v>
          </cell>
          <cell r="E14" t="str">
            <v>01473 260588</v>
          </cell>
          <cell r="F14" t="str">
            <v xml:space="preserve">sally.hammond@suffolk.gov.uk </v>
          </cell>
          <cell r="G14" t="str">
            <v>Michael Davis</v>
          </cell>
          <cell r="H14" t="str">
            <v>Senior Service Accountant</v>
          </cell>
          <cell r="I14" t="str">
            <v>01473 264584</v>
          </cell>
          <cell r="J14" t="str">
            <v>michael.davis@suffolk.gov.uk</v>
          </cell>
          <cell r="K14" t="str">
            <v>..</v>
          </cell>
          <cell r="L14">
            <v>0</v>
          </cell>
          <cell r="M14">
            <v>29</v>
          </cell>
          <cell r="N14">
            <v>6</v>
          </cell>
          <cell r="O14">
            <v>0</v>
          </cell>
          <cell r="P14">
            <v>35</v>
          </cell>
          <cell r="Q14">
            <v>16</v>
          </cell>
          <cell r="R14">
            <v>0</v>
          </cell>
          <cell r="S14">
            <v>29</v>
          </cell>
          <cell r="T14">
            <v>6</v>
          </cell>
          <cell r="U14">
            <v>0</v>
          </cell>
          <cell r="V14">
            <v>35</v>
          </cell>
          <cell r="W14">
            <v>16</v>
          </cell>
          <cell r="X14">
            <v>43</v>
          </cell>
          <cell r="Y14">
            <v>43</v>
          </cell>
          <cell r="Z14">
            <v>2</v>
          </cell>
          <cell r="AA14">
            <v>14</v>
          </cell>
          <cell r="AB14">
            <v>30</v>
          </cell>
          <cell r="AC14">
            <v>0</v>
          </cell>
          <cell r="AD14">
            <v>2</v>
          </cell>
          <cell r="AE14">
            <v>91</v>
          </cell>
          <cell r="AF14">
            <v>52</v>
          </cell>
          <cell r="AG14">
            <v>4</v>
          </cell>
          <cell r="AH14">
            <v>3</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v>9679</v>
          </cell>
          <cell r="BC14">
            <v>3625</v>
          </cell>
          <cell r="BD14">
            <v>0</v>
          </cell>
          <cell r="BE14">
            <v>1591</v>
          </cell>
          <cell r="BF14">
            <v>249</v>
          </cell>
          <cell r="BG14">
            <v>165</v>
          </cell>
          <cell r="BH14">
            <v>15309</v>
          </cell>
          <cell r="BI14">
            <v>1175</v>
          </cell>
          <cell r="BJ14">
            <v>1799</v>
          </cell>
          <cell r="BK14">
            <v>4737</v>
          </cell>
          <cell r="BL14">
            <v>1662</v>
          </cell>
          <cell r="BM14">
            <v>0</v>
          </cell>
          <cell r="BN14">
            <v>0</v>
          </cell>
          <cell r="BO14">
            <v>24682</v>
          </cell>
          <cell r="BP14">
            <v>2449</v>
          </cell>
          <cell r="BQ14">
            <v>55</v>
          </cell>
          <cell r="BR14">
            <v>265</v>
          </cell>
          <cell r="BS14">
            <v>2769</v>
          </cell>
          <cell r="BT14">
            <v>21913</v>
          </cell>
          <cell r="BU14">
            <v>3155</v>
          </cell>
          <cell r="BV14">
            <v>-1112</v>
          </cell>
          <cell r="BW14">
            <v>0</v>
          </cell>
          <cell r="BX14">
            <v>313</v>
          </cell>
          <cell r="BY14">
            <v>0</v>
          </cell>
          <cell r="BZ14">
            <v>1448</v>
          </cell>
          <cell r="CA14">
            <v>0</v>
          </cell>
          <cell r="CB14">
            <v>0</v>
          </cell>
          <cell r="CC14">
            <v>0</v>
          </cell>
          <cell r="CD14">
            <v>0</v>
          </cell>
          <cell r="CE14">
            <v>0</v>
          </cell>
          <cell r="CF14">
            <v>0</v>
          </cell>
          <cell r="CG14">
            <v>0</v>
          </cell>
          <cell r="CH14">
            <v>0</v>
          </cell>
          <cell r="CI14">
            <v>0</v>
          </cell>
          <cell r="CJ14">
            <v>0</v>
          </cell>
          <cell r="CK14">
            <v>0</v>
          </cell>
          <cell r="CL14">
            <v>873</v>
          </cell>
          <cell r="CM14">
            <v>0</v>
          </cell>
          <cell r="CN14">
            <v>185</v>
          </cell>
          <cell r="CO14">
            <v>11397</v>
          </cell>
          <cell r="CP14">
            <v>3776</v>
          </cell>
          <cell r="CQ14">
            <v>0</v>
          </cell>
          <cell r="CR14">
            <v>1640</v>
          </cell>
          <cell r="CS14">
            <v>255</v>
          </cell>
          <cell r="CT14">
            <v>103</v>
          </cell>
          <cell r="CU14">
            <v>17171</v>
          </cell>
          <cell r="CV14">
            <v>1208</v>
          </cell>
          <cell r="CW14">
            <v>921</v>
          </cell>
          <cell r="CX14">
            <v>4793</v>
          </cell>
          <cell r="CY14">
            <v>1695</v>
          </cell>
          <cell r="CZ14">
            <v>0</v>
          </cell>
          <cell r="DA14">
            <v>0</v>
          </cell>
          <cell r="DB14">
            <v>25788</v>
          </cell>
          <cell r="DC14">
            <v>3790</v>
          </cell>
          <cell r="DD14">
            <v>50</v>
          </cell>
          <cell r="DE14">
            <v>213</v>
          </cell>
          <cell r="DF14">
            <v>4053</v>
          </cell>
          <cell r="DG14">
            <v>21735</v>
          </cell>
          <cell r="DH14">
            <v>0</v>
          </cell>
          <cell r="DI14">
            <v>0</v>
          </cell>
          <cell r="DJ14">
            <v>0</v>
          </cell>
          <cell r="DK14">
            <v>322</v>
          </cell>
          <cell r="DL14">
            <v>0</v>
          </cell>
          <cell r="DM14">
            <v>1491</v>
          </cell>
          <cell r="DN14">
            <v>0</v>
          </cell>
          <cell r="DO14">
            <v>0</v>
          </cell>
          <cell r="DP14">
            <v>0</v>
          </cell>
          <cell r="DQ14">
            <v>0</v>
          </cell>
          <cell r="DR14">
            <v>0</v>
          </cell>
          <cell r="DS14">
            <v>0</v>
          </cell>
          <cell r="DT14">
            <v>0</v>
          </cell>
          <cell r="DU14">
            <v>0</v>
          </cell>
          <cell r="DV14">
            <v>0</v>
          </cell>
          <cell r="DW14">
            <v>0</v>
          </cell>
          <cell r="DX14">
            <v>0</v>
          </cell>
          <cell r="DY14">
            <v>900</v>
          </cell>
          <cell r="DZ14">
            <v>0</v>
          </cell>
          <cell r="EA14">
            <v>182</v>
          </cell>
          <cell r="EB14">
            <v>0</v>
          </cell>
          <cell r="EC14">
            <v>0</v>
          </cell>
          <cell r="ED14" t="str">
            <v>..</v>
          </cell>
          <cell r="EE14" t="str">
            <v>..</v>
          </cell>
          <cell r="EF14" t="str">
            <v>..</v>
          </cell>
          <cell r="EG14" t="str">
            <v>..</v>
          </cell>
          <cell r="EH14" t="str">
            <v>..</v>
          </cell>
          <cell r="EI14" t="str">
            <v>..</v>
          </cell>
          <cell r="EJ14" t="str">
            <v>..</v>
          </cell>
          <cell r="EK14" t="str">
            <v>..</v>
          </cell>
          <cell r="EL14">
            <v>1194</v>
          </cell>
          <cell r="EM14">
            <v>482</v>
          </cell>
          <cell r="EN14">
            <v>1676</v>
          </cell>
          <cell r="EO14">
            <v>20735</v>
          </cell>
          <cell r="EP14">
            <v>1983</v>
          </cell>
          <cell r="EQ14">
            <v>251</v>
          </cell>
          <cell r="ER14">
            <v>22969</v>
          </cell>
          <cell r="ES14">
            <v>371</v>
          </cell>
          <cell r="ET14">
            <v>52</v>
          </cell>
          <cell r="EU14">
            <v>0</v>
          </cell>
          <cell r="EV14">
            <v>25068</v>
          </cell>
          <cell r="EW14">
            <v>79</v>
          </cell>
          <cell r="EX14">
            <v>32</v>
          </cell>
          <cell r="EY14">
            <v>111</v>
          </cell>
          <cell r="EZ14">
            <v>1378</v>
          </cell>
          <cell r="FA14">
            <v>132</v>
          </cell>
          <cell r="FB14">
            <v>16</v>
          </cell>
          <cell r="FC14">
            <v>1526</v>
          </cell>
          <cell r="FD14">
            <v>25</v>
          </cell>
          <cell r="FE14">
            <v>0</v>
          </cell>
          <cell r="FF14">
            <v>0</v>
          </cell>
          <cell r="FG14">
            <v>1662</v>
          </cell>
          <cell r="FH14">
            <v>-1557</v>
          </cell>
          <cell r="FI14">
            <v>0</v>
          </cell>
          <cell r="FJ14">
            <v>0</v>
          </cell>
          <cell r="FK14">
            <v>-1299</v>
          </cell>
          <cell r="FL14">
            <v>-165</v>
          </cell>
          <cell r="FM14">
            <v>5885</v>
          </cell>
          <cell r="FN14">
            <v>2061</v>
          </cell>
          <cell r="FO14">
            <v>0</v>
          </cell>
          <cell r="FP14">
            <v>4925</v>
          </cell>
          <cell r="FQ14">
            <v>504</v>
          </cell>
          <cell r="FR14">
            <v>62</v>
          </cell>
          <cell r="FS14">
            <v>-3078</v>
          </cell>
          <cell r="FT14">
            <v>0</v>
          </cell>
          <cell r="FU14">
            <v>0</v>
          </cell>
          <cell r="FV14">
            <v>-1337</v>
          </cell>
          <cell r="FW14">
            <v>0</v>
          </cell>
          <cell r="FX14">
            <v>5938</v>
          </cell>
          <cell r="FY14">
            <v>1943</v>
          </cell>
          <cell r="FZ14">
            <v>0</v>
          </cell>
          <cell r="GA14">
            <v>3466</v>
          </cell>
          <cell r="GB14">
            <v>514</v>
          </cell>
          <cell r="GC14">
            <v>0</v>
          </cell>
          <cell r="GD14">
            <v>401</v>
          </cell>
          <cell r="GE14">
            <v>409</v>
          </cell>
          <cell r="GF14">
            <v>23</v>
          </cell>
          <cell r="GG14">
            <v>5</v>
          </cell>
          <cell r="GH14">
            <v>44</v>
          </cell>
          <cell r="GI14">
            <v>27</v>
          </cell>
          <cell r="GJ14">
            <v>456</v>
          </cell>
          <cell r="GK14">
            <v>12</v>
          </cell>
          <cell r="GL14">
            <v>24</v>
          </cell>
          <cell r="GM14">
            <v>173</v>
          </cell>
          <cell r="GN14">
            <v>167</v>
          </cell>
          <cell r="GO14">
            <v>19</v>
          </cell>
          <cell r="GP14">
            <v>3787</v>
          </cell>
          <cell r="GQ14">
            <v>1225</v>
          </cell>
          <cell r="GR14" t="str">
            <v>..</v>
          </cell>
          <cell r="GS14">
            <v>2579</v>
          </cell>
          <cell r="GT14">
            <v>0</v>
          </cell>
          <cell r="GU14">
            <v>29</v>
          </cell>
          <cell r="GV14">
            <v>0</v>
          </cell>
          <cell r="GW14">
            <v>0</v>
          </cell>
          <cell r="GX14">
            <v>0</v>
          </cell>
          <cell r="GY14">
            <v>1322</v>
          </cell>
          <cell r="GZ14">
            <v>0</v>
          </cell>
          <cell r="HA14">
            <v>1500</v>
          </cell>
          <cell r="HB14">
            <v>248</v>
          </cell>
          <cell r="HC14">
            <v>0</v>
          </cell>
          <cell r="HD14">
            <v>1</v>
          </cell>
          <cell r="HE14">
            <v>264</v>
          </cell>
          <cell r="HF14">
            <v>23</v>
          </cell>
          <cell r="HG14">
            <v>7</v>
          </cell>
          <cell r="HH14">
            <v>269</v>
          </cell>
          <cell r="HI14">
            <v>0</v>
          </cell>
          <cell r="HJ14">
            <v>0</v>
          </cell>
          <cell r="HK14">
            <v>69</v>
          </cell>
          <cell r="HL14">
            <v>3703</v>
          </cell>
          <cell r="HM14">
            <v>0</v>
          </cell>
          <cell r="HN14">
            <v>0</v>
          </cell>
          <cell r="HO14">
            <v>0</v>
          </cell>
          <cell r="HP14">
            <v>1487</v>
          </cell>
          <cell r="HQ14">
            <v>0</v>
          </cell>
          <cell r="HR14">
            <v>637</v>
          </cell>
          <cell r="HS14">
            <v>198</v>
          </cell>
          <cell r="HT14">
            <v>0</v>
          </cell>
          <cell r="HU14">
            <v>1</v>
          </cell>
          <cell r="HV14">
            <v>70</v>
          </cell>
          <cell r="HW14">
            <v>3</v>
          </cell>
          <cell r="HX14">
            <v>0</v>
          </cell>
          <cell r="HY14">
            <v>391</v>
          </cell>
          <cell r="HZ14">
            <v>0</v>
          </cell>
          <cell r="IA14">
            <v>0</v>
          </cell>
          <cell r="IB14">
            <v>8</v>
          </cell>
          <cell r="IC14">
            <v>2795</v>
          </cell>
          <cell r="ID14">
            <v>0</v>
          </cell>
          <cell r="IE14">
            <v>0</v>
          </cell>
          <cell r="IF14">
            <v>7340</v>
          </cell>
          <cell r="IG14">
            <v>1157</v>
          </cell>
          <cell r="IH14">
            <v>0</v>
          </cell>
          <cell r="II14">
            <v>705</v>
          </cell>
          <cell r="IJ14">
            <v>73</v>
          </cell>
          <cell r="IK14">
            <v>0</v>
          </cell>
          <cell r="IL14">
            <v>0</v>
          </cell>
          <cell r="IM14">
            <v>0</v>
          </cell>
          <cell r="IN14">
            <v>0</v>
          </cell>
          <cell r="IO14">
            <v>0</v>
          </cell>
          <cell r="IP14">
            <v>600</v>
          </cell>
          <cell r="IQ14">
            <v>0</v>
          </cell>
          <cell r="IR14">
            <v>0</v>
          </cell>
          <cell r="IS14">
            <v>50</v>
          </cell>
          <cell r="IT14">
            <v>9925</v>
          </cell>
          <cell r="IU14" t="str">
            <v>11 shared with Police, 5 shared with Ambulance.</v>
          </cell>
          <cell r="IV14" t="str">
            <v>X3 CSV. X3 UNIMOG 4X4. X1 WATER RESCUE VAN. X2 WATER CARRIER. X1 OSU. X4 RESCUE BOATS.</v>
          </cell>
          <cell r="IW14" t="str">
            <v>..</v>
          </cell>
          <cell r="IX14" t="str">
            <v>..</v>
          </cell>
          <cell r="IY14" t="str">
            <v xml:space="preserve">Cross Border Charges </v>
          </cell>
          <cell r="IZ14" t="str">
            <v>Mostly relates to income collected in relation to shared BLI stations</v>
          </cell>
          <cell r="JA14" t="str">
            <v>..</v>
          </cell>
          <cell r="JB14">
            <v>0</v>
          </cell>
        </row>
        <row r="15">
          <cell r="A15" t="str">
            <v>E6144</v>
          </cell>
          <cell r="B15" t="str">
            <v>South Yorkshire</v>
          </cell>
          <cell r="C15" t="str">
            <v>Sara Slater</v>
          </cell>
          <cell r="D15" t="str">
            <v>Head of Finance</v>
          </cell>
          <cell r="E15" t="str">
            <v>0114 253 2330</v>
          </cell>
          <cell r="F15" t="str">
            <v>sslater@syfire.gov.uk</v>
          </cell>
          <cell r="G15" t="str">
            <v>Carl Pike</v>
          </cell>
          <cell r="H15" t="str">
            <v>Principal Accountant</v>
          </cell>
          <cell r="I15" t="str">
            <v>0114 253 2448</v>
          </cell>
          <cell r="J15" t="str">
            <v>cpike@syfire.gov.uk</v>
          </cell>
          <cell r="K15" t="str">
            <v>..</v>
          </cell>
          <cell r="L15">
            <v>14</v>
          </cell>
          <cell r="M15">
            <v>4</v>
          </cell>
          <cell r="N15">
            <v>3</v>
          </cell>
          <cell r="O15">
            <v>0</v>
          </cell>
          <cell r="P15">
            <v>21</v>
          </cell>
          <cell r="Q15">
            <v>1</v>
          </cell>
          <cell r="R15">
            <v>14</v>
          </cell>
          <cell r="S15">
            <v>4</v>
          </cell>
          <cell r="T15">
            <v>3</v>
          </cell>
          <cell r="U15">
            <v>0</v>
          </cell>
          <cell r="V15">
            <v>21</v>
          </cell>
          <cell r="W15">
            <v>1</v>
          </cell>
          <cell r="X15">
            <v>27</v>
          </cell>
          <cell r="Y15">
            <v>27</v>
          </cell>
          <cell r="Z15">
            <v>2</v>
          </cell>
          <cell r="AA15">
            <v>9</v>
          </cell>
          <cell r="AB15">
            <v>39</v>
          </cell>
          <cell r="AC15">
            <v>0</v>
          </cell>
          <cell r="AD15">
            <v>4</v>
          </cell>
          <cell r="AE15">
            <v>81</v>
          </cell>
          <cell r="AF15">
            <v>101</v>
          </cell>
          <cell r="AG15">
            <v>4</v>
          </cell>
          <cell r="AH15">
            <v>3</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v>27683</v>
          </cell>
          <cell r="BC15">
            <v>1346</v>
          </cell>
          <cell r="BD15">
            <v>1241</v>
          </cell>
          <cell r="BE15">
            <v>7137</v>
          </cell>
          <cell r="BF15">
            <v>466</v>
          </cell>
          <cell r="BG15">
            <v>1245</v>
          </cell>
          <cell r="BH15">
            <v>39118</v>
          </cell>
          <cell r="BI15">
            <v>3280</v>
          </cell>
          <cell r="BJ15">
            <v>1036</v>
          </cell>
          <cell r="BK15">
            <v>5470</v>
          </cell>
          <cell r="BL15">
            <v>121</v>
          </cell>
          <cell r="BM15">
            <v>374</v>
          </cell>
          <cell r="BN15">
            <v>0</v>
          </cell>
          <cell r="BO15">
            <v>49399</v>
          </cell>
          <cell r="BP15">
            <v>411</v>
          </cell>
          <cell r="BQ15">
            <v>0</v>
          </cell>
          <cell r="BR15">
            <v>1102</v>
          </cell>
          <cell r="BS15">
            <v>1513</v>
          </cell>
          <cell r="BT15">
            <v>47886</v>
          </cell>
          <cell r="BU15">
            <v>4299</v>
          </cell>
          <cell r="BV15">
            <v>40512</v>
          </cell>
          <cell r="BW15">
            <v>0</v>
          </cell>
          <cell r="BX15">
            <v>959</v>
          </cell>
          <cell r="BY15">
            <v>266</v>
          </cell>
          <cell r="BZ15">
            <v>1067</v>
          </cell>
          <cell r="CA15">
            <v>-91</v>
          </cell>
          <cell r="CB15">
            <v>0</v>
          </cell>
          <cell r="CC15">
            <v>376</v>
          </cell>
          <cell r="CD15">
            <v>0</v>
          </cell>
          <cell r="CE15">
            <v>0</v>
          </cell>
          <cell r="CF15">
            <v>1630</v>
          </cell>
          <cell r="CG15">
            <v>0</v>
          </cell>
          <cell r="CH15">
            <v>1</v>
          </cell>
          <cell r="CI15">
            <v>2007</v>
          </cell>
          <cell r="CJ15">
            <v>21</v>
          </cell>
          <cell r="CK15">
            <v>329</v>
          </cell>
          <cell r="CL15">
            <v>584</v>
          </cell>
          <cell r="CM15">
            <v>0</v>
          </cell>
          <cell r="CN15">
            <v>159</v>
          </cell>
          <cell r="CO15">
            <v>31633</v>
          </cell>
          <cell r="CP15">
            <v>1533</v>
          </cell>
          <cell r="CQ15">
            <v>1236</v>
          </cell>
          <cell r="CR15">
            <v>7529</v>
          </cell>
          <cell r="CS15">
            <v>475</v>
          </cell>
          <cell r="CT15">
            <v>1167</v>
          </cell>
          <cell r="CU15">
            <v>43573</v>
          </cell>
          <cell r="CV15">
            <v>2963</v>
          </cell>
          <cell r="CW15">
            <v>945</v>
          </cell>
          <cell r="CX15">
            <v>4131</v>
          </cell>
          <cell r="CY15">
            <v>132</v>
          </cell>
          <cell r="CZ15">
            <v>326</v>
          </cell>
          <cell r="DA15">
            <v>0</v>
          </cell>
          <cell r="DB15">
            <v>52070</v>
          </cell>
          <cell r="DC15">
            <v>246</v>
          </cell>
          <cell r="DD15">
            <v>0</v>
          </cell>
          <cell r="DE15">
            <v>1026</v>
          </cell>
          <cell r="DF15">
            <v>1272</v>
          </cell>
          <cell r="DG15">
            <v>50798</v>
          </cell>
          <cell r="DH15">
            <v>2766</v>
          </cell>
          <cell r="DI15">
            <v>40512</v>
          </cell>
          <cell r="DJ15">
            <v>0</v>
          </cell>
          <cell r="DK15">
            <v>1035</v>
          </cell>
          <cell r="DL15">
            <v>158</v>
          </cell>
          <cell r="DM15">
            <v>1013</v>
          </cell>
          <cell r="DN15">
            <v>-91</v>
          </cell>
          <cell r="DO15">
            <v>0</v>
          </cell>
          <cell r="DP15">
            <v>456</v>
          </cell>
          <cell r="DQ15">
            <v>0</v>
          </cell>
          <cell r="DR15">
            <v>0</v>
          </cell>
          <cell r="DS15">
            <v>2115</v>
          </cell>
          <cell r="DT15">
            <v>0</v>
          </cell>
          <cell r="DU15">
            <v>1</v>
          </cell>
          <cell r="DV15">
            <v>2572</v>
          </cell>
          <cell r="DW15">
            <v>79</v>
          </cell>
          <cell r="DX15">
            <v>261</v>
          </cell>
          <cell r="DY15">
            <v>829</v>
          </cell>
          <cell r="DZ15">
            <v>0</v>
          </cell>
          <cell r="EA15">
            <v>244</v>
          </cell>
          <cell r="EB15">
            <v>0</v>
          </cell>
          <cell r="EC15">
            <v>0</v>
          </cell>
          <cell r="ED15">
            <v>13.9</v>
          </cell>
          <cell r="EE15">
            <v>555</v>
          </cell>
          <cell r="EF15">
            <v>11575</v>
          </cell>
          <cell r="EG15">
            <v>15622</v>
          </cell>
          <cell r="EH15">
            <v>26027</v>
          </cell>
          <cell r="EI15">
            <v>762</v>
          </cell>
          <cell r="EJ15">
            <v>236</v>
          </cell>
          <cell r="EK15">
            <v>54222</v>
          </cell>
          <cell r="EL15">
            <v>1491</v>
          </cell>
          <cell r="EM15">
            <v>2782</v>
          </cell>
          <cell r="EN15">
            <v>4273</v>
          </cell>
          <cell r="EO15">
            <v>37654</v>
          </cell>
          <cell r="EP15">
            <v>2797</v>
          </cell>
          <cell r="EQ15">
            <v>484</v>
          </cell>
          <cell r="ER15">
            <v>40935</v>
          </cell>
          <cell r="ES15">
            <v>377</v>
          </cell>
          <cell r="ET15">
            <v>273</v>
          </cell>
          <cell r="EU15">
            <v>6327</v>
          </cell>
          <cell r="EV15">
            <v>52185</v>
          </cell>
          <cell r="EW15">
            <v>431</v>
          </cell>
          <cell r="EX15">
            <v>862</v>
          </cell>
          <cell r="EY15">
            <v>1293</v>
          </cell>
          <cell r="EZ15">
            <v>11787</v>
          </cell>
          <cell r="FA15">
            <v>862</v>
          </cell>
          <cell r="FB15">
            <v>144</v>
          </cell>
          <cell r="FC15">
            <v>12793</v>
          </cell>
          <cell r="FD15">
            <v>144</v>
          </cell>
          <cell r="FE15">
            <v>144</v>
          </cell>
          <cell r="FF15">
            <v>0</v>
          </cell>
          <cell r="FG15">
            <v>14374</v>
          </cell>
          <cell r="FH15">
            <v>-3222</v>
          </cell>
          <cell r="FI15">
            <v>-60</v>
          </cell>
          <cell r="FJ15">
            <v>0</v>
          </cell>
          <cell r="FK15">
            <v>-2642</v>
          </cell>
          <cell r="FL15">
            <v>-196</v>
          </cell>
          <cell r="FM15">
            <v>20715</v>
          </cell>
          <cell r="FN15">
            <v>4314</v>
          </cell>
          <cell r="FO15">
            <v>0</v>
          </cell>
          <cell r="FP15">
            <v>18909</v>
          </cell>
          <cell r="FQ15">
            <v>669</v>
          </cell>
          <cell r="FR15">
            <v>0</v>
          </cell>
          <cell r="FS15">
            <v>-6061</v>
          </cell>
          <cell r="FT15">
            <v>-20</v>
          </cell>
          <cell r="FU15">
            <v>0</v>
          </cell>
          <cell r="FV15">
            <v>-2726</v>
          </cell>
          <cell r="FW15">
            <v>0</v>
          </cell>
          <cell r="FX15">
            <v>21829</v>
          </cell>
          <cell r="FY15">
            <v>4925</v>
          </cell>
          <cell r="FZ15">
            <v>0</v>
          </cell>
          <cell r="GA15">
            <v>17947</v>
          </cell>
          <cell r="GB15">
            <v>726</v>
          </cell>
          <cell r="GC15">
            <v>0</v>
          </cell>
          <cell r="GD15">
            <v>1286</v>
          </cell>
          <cell r="GE15">
            <v>1334</v>
          </cell>
          <cell r="GF15">
            <v>28</v>
          </cell>
          <cell r="GG15">
            <v>0</v>
          </cell>
          <cell r="GH15">
            <v>113</v>
          </cell>
          <cell r="GI15">
            <v>0</v>
          </cell>
          <cell r="GJ15">
            <v>504</v>
          </cell>
          <cell r="GK15">
            <v>5</v>
          </cell>
          <cell r="GL15">
            <v>52</v>
          </cell>
          <cell r="GM15">
            <v>36</v>
          </cell>
          <cell r="GN15">
            <v>7</v>
          </cell>
          <cell r="GO15">
            <v>5</v>
          </cell>
          <cell r="GP15">
            <v>17400</v>
          </cell>
          <cell r="GQ15">
            <v>7117</v>
          </cell>
          <cell r="GR15">
            <v>196</v>
          </cell>
          <cell r="GS15">
            <v>17289</v>
          </cell>
          <cell r="GT15">
            <v>5604</v>
          </cell>
          <cell r="GU15">
            <v>410</v>
          </cell>
          <cell r="GV15">
            <v>44</v>
          </cell>
          <cell r="GW15">
            <v>0</v>
          </cell>
          <cell r="GX15">
            <v>599</v>
          </cell>
          <cell r="GY15">
            <v>1175</v>
          </cell>
          <cell r="GZ15">
            <v>0</v>
          </cell>
          <cell r="HA15">
            <v>378</v>
          </cell>
          <cell r="HB15">
            <v>97</v>
          </cell>
          <cell r="HC15">
            <v>0</v>
          </cell>
          <cell r="HD15">
            <v>171</v>
          </cell>
          <cell r="HE15">
            <v>58</v>
          </cell>
          <cell r="HF15">
            <v>241</v>
          </cell>
          <cell r="HG15">
            <v>136</v>
          </cell>
          <cell r="HH15">
            <v>219</v>
          </cell>
          <cell r="HI15">
            <v>0</v>
          </cell>
          <cell r="HJ15">
            <v>0</v>
          </cell>
          <cell r="HK15">
            <v>0</v>
          </cell>
          <cell r="HL15">
            <v>3118</v>
          </cell>
          <cell r="HM15">
            <v>18</v>
          </cell>
          <cell r="HN15">
            <v>0</v>
          </cell>
          <cell r="HO15">
            <v>130</v>
          </cell>
          <cell r="HP15">
            <v>555</v>
          </cell>
          <cell r="HQ15">
            <v>29</v>
          </cell>
          <cell r="HR15">
            <v>163</v>
          </cell>
          <cell r="HS15">
            <v>32</v>
          </cell>
          <cell r="HT15">
            <v>0</v>
          </cell>
          <cell r="HU15">
            <v>33</v>
          </cell>
          <cell r="HV15">
            <v>225</v>
          </cell>
          <cell r="HW15">
            <v>376</v>
          </cell>
          <cell r="HX15">
            <v>0</v>
          </cell>
          <cell r="HY15">
            <v>498</v>
          </cell>
          <cell r="HZ15">
            <v>0</v>
          </cell>
          <cell r="IA15">
            <v>0</v>
          </cell>
          <cell r="IB15">
            <v>0</v>
          </cell>
          <cell r="IC15">
            <v>2059</v>
          </cell>
          <cell r="ID15">
            <v>115</v>
          </cell>
          <cell r="IE15">
            <v>0</v>
          </cell>
          <cell r="IF15">
            <v>2895</v>
          </cell>
          <cell r="IG15">
            <v>2609</v>
          </cell>
          <cell r="IH15">
            <v>11</v>
          </cell>
          <cell r="II15">
            <v>1401</v>
          </cell>
          <cell r="IJ15">
            <v>406</v>
          </cell>
          <cell r="IK15">
            <v>0</v>
          </cell>
          <cell r="IL15">
            <v>0</v>
          </cell>
          <cell r="IM15">
            <v>341</v>
          </cell>
          <cell r="IN15">
            <v>752</v>
          </cell>
          <cell r="IO15">
            <v>0</v>
          </cell>
          <cell r="IP15">
            <v>522</v>
          </cell>
          <cell r="IQ15">
            <v>0</v>
          </cell>
          <cell r="IR15">
            <v>0</v>
          </cell>
          <cell r="IS15">
            <v>0</v>
          </cell>
          <cell r="IT15">
            <v>9052</v>
          </cell>
          <cell r="IU15" t="str">
            <v>Maltby Fire Station is a shared building with South Yorkshire Police</v>
          </cell>
          <cell r="IV15" t="str">
            <v>..</v>
          </cell>
          <cell r="IW15" t="str">
            <v>..</v>
          </cell>
          <cell r="IX15" t="str">
            <v>..</v>
          </cell>
          <cell r="IY15" t="str">
            <v>..</v>
          </cell>
          <cell r="IZ15" t="str">
            <v>..</v>
          </cell>
          <cell r="JA15" t="str">
            <v>..</v>
          </cell>
          <cell r="JB15" t="str">
            <v>..</v>
          </cell>
        </row>
        <row r="16">
          <cell r="A16" t="str">
            <v>E6102</v>
          </cell>
          <cell r="B16" t="str">
            <v>Bedfordshire</v>
          </cell>
          <cell r="C16" t="str">
            <v>Adrian Turner</v>
          </cell>
          <cell r="D16" t="str">
            <v>Service Performance Analyst</v>
          </cell>
          <cell r="E16">
            <v>1234845022</v>
          </cell>
          <cell r="F16" t="str">
            <v>Adrian.turner@bedsfire.com</v>
          </cell>
          <cell r="G16" t="str">
            <v>..</v>
          </cell>
          <cell r="H16" t="str">
            <v>..</v>
          </cell>
          <cell r="I16" t="str">
            <v>..</v>
          </cell>
          <cell r="J16" t="str">
            <v>..</v>
          </cell>
          <cell r="K16" t="str">
            <v>..</v>
          </cell>
          <cell r="L16">
            <v>3</v>
          </cell>
          <cell r="M16">
            <v>8</v>
          </cell>
          <cell r="N16">
            <v>3</v>
          </cell>
          <cell r="O16">
            <v>0</v>
          </cell>
          <cell r="P16">
            <v>14</v>
          </cell>
          <cell r="Q16" t="str">
            <v>..</v>
          </cell>
          <cell r="R16">
            <v>3</v>
          </cell>
          <cell r="S16">
            <v>8</v>
          </cell>
          <cell r="T16">
            <v>3</v>
          </cell>
          <cell r="U16">
            <v>0</v>
          </cell>
          <cell r="V16">
            <v>14</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v>14026</v>
          </cell>
          <cell r="BC16">
            <v>1767</v>
          </cell>
          <cell r="BD16">
            <v>979</v>
          </cell>
          <cell r="BE16">
            <v>5475</v>
          </cell>
          <cell r="BF16">
            <v>472</v>
          </cell>
          <cell r="BG16">
            <v>317</v>
          </cell>
          <cell r="BH16">
            <v>23036</v>
          </cell>
          <cell r="BI16">
            <v>826</v>
          </cell>
          <cell r="BJ16">
            <v>568</v>
          </cell>
          <cell r="BK16">
            <v>3971</v>
          </cell>
          <cell r="BL16">
            <v>0</v>
          </cell>
          <cell r="BM16">
            <v>0</v>
          </cell>
          <cell r="BN16">
            <v>0</v>
          </cell>
          <cell r="BO16">
            <v>28401</v>
          </cell>
          <cell r="BP16">
            <v>312</v>
          </cell>
          <cell r="BQ16">
            <v>0</v>
          </cell>
          <cell r="BR16">
            <v>780</v>
          </cell>
          <cell r="BS16">
            <v>1092</v>
          </cell>
          <cell r="BT16">
            <v>27309</v>
          </cell>
          <cell r="BU16">
            <v>1715</v>
          </cell>
          <cell r="BV16">
            <v>-1685</v>
          </cell>
          <cell r="BW16">
            <v>0</v>
          </cell>
          <cell r="BX16">
            <v>428</v>
          </cell>
          <cell r="BY16">
            <v>0</v>
          </cell>
          <cell r="BZ16">
            <v>422</v>
          </cell>
          <cell r="CA16">
            <v>0</v>
          </cell>
          <cell r="CB16">
            <v>0</v>
          </cell>
          <cell r="CC16">
            <v>0</v>
          </cell>
          <cell r="CD16">
            <v>0</v>
          </cell>
          <cell r="CE16">
            <v>0</v>
          </cell>
          <cell r="CF16">
            <v>0</v>
          </cell>
          <cell r="CG16">
            <v>0</v>
          </cell>
          <cell r="CH16">
            <v>0</v>
          </cell>
          <cell r="CI16">
            <v>0</v>
          </cell>
          <cell r="CJ16">
            <v>0</v>
          </cell>
          <cell r="CK16">
            <v>0</v>
          </cell>
          <cell r="CL16">
            <v>0</v>
          </cell>
          <cell r="CM16">
            <v>0</v>
          </cell>
          <cell r="CN16">
            <v>37</v>
          </cell>
          <cell r="CO16">
            <v>13403</v>
          </cell>
          <cell r="CP16">
            <v>1875</v>
          </cell>
          <cell r="CQ16">
            <v>1065</v>
          </cell>
          <cell r="CR16">
            <v>5982</v>
          </cell>
          <cell r="CS16">
            <v>447</v>
          </cell>
          <cell r="CT16">
            <v>443</v>
          </cell>
          <cell r="CU16">
            <v>23215</v>
          </cell>
          <cell r="CV16">
            <v>1091</v>
          </cell>
          <cell r="CW16">
            <v>676</v>
          </cell>
          <cell r="CX16">
            <v>3654</v>
          </cell>
          <cell r="CY16">
            <v>0</v>
          </cell>
          <cell r="CZ16">
            <v>0</v>
          </cell>
          <cell r="DA16">
            <v>0</v>
          </cell>
          <cell r="DB16">
            <v>28636</v>
          </cell>
          <cell r="DC16">
            <v>208</v>
          </cell>
          <cell r="DD16">
            <v>0</v>
          </cell>
          <cell r="DE16">
            <v>346</v>
          </cell>
          <cell r="DF16">
            <v>554</v>
          </cell>
          <cell r="DG16">
            <v>28082</v>
          </cell>
          <cell r="DH16">
            <v>1396</v>
          </cell>
          <cell r="DI16">
            <v>0</v>
          </cell>
          <cell r="DJ16">
            <v>0</v>
          </cell>
          <cell r="DK16">
            <v>428</v>
          </cell>
          <cell r="DL16">
            <v>0</v>
          </cell>
          <cell r="DM16">
            <v>422</v>
          </cell>
          <cell r="DN16">
            <v>0</v>
          </cell>
          <cell r="DO16">
            <v>0</v>
          </cell>
          <cell r="DP16">
            <v>0</v>
          </cell>
          <cell r="DQ16">
            <v>0</v>
          </cell>
          <cell r="DR16">
            <v>0</v>
          </cell>
          <cell r="DS16">
            <v>0</v>
          </cell>
          <cell r="DT16">
            <v>0</v>
          </cell>
          <cell r="DU16">
            <v>0</v>
          </cell>
          <cell r="DV16">
            <v>0</v>
          </cell>
          <cell r="DW16">
            <v>0</v>
          </cell>
          <cell r="DX16">
            <v>0</v>
          </cell>
          <cell r="DY16">
            <v>0</v>
          </cell>
          <cell r="DZ16">
            <v>0</v>
          </cell>
          <cell r="EA16">
            <v>37</v>
          </cell>
          <cell r="EB16">
            <v>0</v>
          </cell>
          <cell r="EC16">
            <v>0</v>
          </cell>
          <cell r="ED16">
            <v>17.3</v>
          </cell>
          <cell r="EE16">
            <v>143</v>
          </cell>
          <cell r="EF16">
            <v>6410</v>
          </cell>
          <cell r="EG16">
            <v>2222</v>
          </cell>
          <cell r="EH16">
            <v>20973</v>
          </cell>
          <cell r="EI16">
            <v>287</v>
          </cell>
          <cell r="EJ16">
            <v>-56</v>
          </cell>
          <cell r="EK16">
            <v>29836</v>
          </cell>
          <cell r="EL16" t="str">
            <v>..</v>
          </cell>
          <cell r="EM16" t="str">
            <v>..</v>
          </cell>
          <cell r="EN16">
            <v>2316</v>
          </cell>
          <cell r="EO16" t="str">
            <v>..</v>
          </cell>
          <cell r="EP16" t="str">
            <v>..</v>
          </cell>
          <cell r="EQ16" t="str">
            <v>..</v>
          </cell>
          <cell r="ER16">
            <v>22839</v>
          </cell>
          <cell r="ES16">
            <v>449</v>
          </cell>
          <cell r="ET16">
            <v>1066</v>
          </cell>
          <cell r="EU16">
            <v>669</v>
          </cell>
          <cell r="EV16">
            <v>27339</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v>-1597</v>
          </cell>
          <cell r="FI16">
            <v>-69</v>
          </cell>
          <cell r="FJ16">
            <v>0</v>
          </cell>
          <cell r="FK16">
            <v>-1355</v>
          </cell>
          <cell r="FL16">
            <v>-45</v>
          </cell>
          <cell r="FM16">
            <v>6494</v>
          </cell>
          <cell r="FN16">
            <v>1354</v>
          </cell>
          <cell r="FO16">
            <v>0</v>
          </cell>
          <cell r="FP16">
            <v>4782</v>
          </cell>
          <cell r="FQ16">
            <v>0</v>
          </cell>
          <cell r="FR16">
            <v>0</v>
          </cell>
          <cell r="FS16">
            <v>-2487</v>
          </cell>
          <cell r="FT16">
            <v>-108</v>
          </cell>
          <cell r="FU16">
            <v>0</v>
          </cell>
          <cell r="FV16">
            <v>-1313</v>
          </cell>
          <cell r="FW16">
            <v>0</v>
          </cell>
          <cell r="FX16">
            <v>6171</v>
          </cell>
          <cell r="FY16">
            <v>2252</v>
          </cell>
          <cell r="FZ16">
            <v>0</v>
          </cell>
          <cell r="GA16">
            <v>4515</v>
          </cell>
          <cell r="GB16">
            <v>0</v>
          </cell>
          <cell r="GC16">
            <v>0</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v>12248</v>
          </cell>
          <cell r="GQ16">
            <v>2600</v>
          </cell>
          <cell r="GR16">
            <v>-229</v>
          </cell>
          <cell r="GS16">
            <v>12669</v>
          </cell>
          <cell r="GT16">
            <v>2600</v>
          </cell>
          <cell r="GU16">
            <v>-244</v>
          </cell>
          <cell r="GV16" t="str">
            <v>..</v>
          </cell>
          <cell r="GW16" t="str">
            <v>..</v>
          </cell>
          <cell r="GX16" t="str">
            <v>…</v>
          </cell>
          <cell r="GY16">
            <v>274</v>
          </cell>
          <cell r="GZ16">
            <v>20</v>
          </cell>
          <cell r="HA16">
            <v>333</v>
          </cell>
          <cell r="HB16">
            <v>249</v>
          </cell>
          <cell r="HC16" t="str">
            <v>..</v>
          </cell>
          <cell r="HD16">
            <v>108</v>
          </cell>
          <cell r="HE16" t="str">
            <v>..</v>
          </cell>
          <cell r="HF16">
            <v>81</v>
          </cell>
          <cell r="HG16" t="str">
            <v>..</v>
          </cell>
          <cell r="HH16">
            <v>124</v>
          </cell>
          <cell r="HI16" t="str">
            <v>..</v>
          </cell>
          <cell r="HJ16" t="str">
            <v>..</v>
          </cell>
          <cell r="HK16" t="str">
            <v>..</v>
          </cell>
          <cell r="HL16">
            <v>1189</v>
          </cell>
          <cell r="HM16" t="str">
            <v>..</v>
          </cell>
          <cell r="HN16" t="str">
            <v>..</v>
          </cell>
          <cell r="HO16" t="str">
            <v>..</v>
          </cell>
          <cell r="HP16">
            <v>151</v>
          </cell>
          <cell r="HQ16">
            <v>82</v>
          </cell>
          <cell r="HR16">
            <v>542</v>
          </cell>
          <cell r="HS16">
            <v>158</v>
          </cell>
          <cell r="HT16" t="str">
            <v>..</v>
          </cell>
          <cell r="HU16">
            <v>28</v>
          </cell>
          <cell r="HV16">
            <v>9</v>
          </cell>
          <cell r="HW16">
            <v>286</v>
          </cell>
          <cell r="HX16">
            <v>36</v>
          </cell>
          <cell r="HY16" t="str">
            <v>..</v>
          </cell>
          <cell r="HZ16" t="str">
            <v>..</v>
          </cell>
          <cell r="IA16" t="str">
            <v>..</v>
          </cell>
          <cell r="IB16" t="str">
            <v>..</v>
          </cell>
          <cell r="IC16">
            <v>1292</v>
          </cell>
          <cell r="ID16" t="str">
            <v>..</v>
          </cell>
          <cell r="IE16" t="str">
            <v>..</v>
          </cell>
          <cell r="IF16" t="str">
            <v>..</v>
          </cell>
          <cell r="IG16">
            <v>170</v>
          </cell>
          <cell r="IH16" t="str">
            <v>..</v>
          </cell>
          <cell r="II16">
            <v>300</v>
          </cell>
          <cell r="IJ16">
            <v>160</v>
          </cell>
          <cell r="IK16" t="str">
            <v>..</v>
          </cell>
          <cell r="IL16" t="str">
            <v>..</v>
          </cell>
          <cell r="IM16">
            <v>276</v>
          </cell>
          <cell r="IN16" t="str">
            <v>..</v>
          </cell>
          <cell r="IO16" t="str">
            <v>..</v>
          </cell>
          <cell r="IP16">
            <v>830</v>
          </cell>
          <cell r="IQ16" t="str">
            <v>..</v>
          </cell>
          <cell r="IR16" t="str">
            <v>..</v>
          </cell>
          <cell r="IS16" t="str">
            <v>..</v>
          </cell>
          <cell r="IT16">
            <v>1736</v>
          </cell>
          <cell r="IU16" t="str">
            <v>..</v>
          </cell>
          <cell r="IV16" t="str">
            <v>..</v>
          </cell>
          <cell r="IW16">
            <v>0</v>
          </cell>
          <cell r="IX16" t="str">
            <v>..</v>
          </cell>
          <cell r="IY16" t="str">
            <v>..</v>
          </cell>
          <cell r="IZ16" t="str">
            <v>..</v>
          </cell>
          <cell r="JA16" t="str">
            <v>..</v>
          </cell>
          <cell r="JB16" t="str">
            <v>..</v>
          </cell>
        </row>
        <row r="17">
          <cell r="A17" t="str">
            <v>E6122</v>
          </cell>
          <cell r="B17" t="str">
            <v>Kent</v>
          </cell>
          <cell r="C17" t="str">
            <v>Kyle Taylor</v>
          </cell>
          <cell r="D17" t="str">
            <v xml:space="preserve">Senior Accountant </v>
          </cell>
          <cell r="E17" t="str">
            <v>01622 692121 ext 6409</v>
          </cell>
          <cell r="F17" t="str">
            <v>kyle.taylor@kent.fire-uk.org</v>
          </cell>
          <cell r="G17" t="str">
            <v>Kyle Taylor</v>
          </cell>
          <cell r="H17" t="str">
            <v xml:space="preserve">Senior Accountant </v>
          </cell>
          <cell r="I17" t="str">
            <v>01622 692121 ext 6409</v>
          </cell>
          <cell r="J17" t="str">
            <v xml:space="preserve">Kyle.taylor@kent.fire.uk.org </v>
          </cell>
          <cell r="K17" t="str">
            <v>..</v>
          </cell>
          <cell r="L17">
            <v>8</v>
          </cell>
          <cell r="M17">
            <v>34</v>
          </cell>
          <cell r="N17">
            <v>15</v>
          </cell>
          <cell r="O17">
            <v>0</v>
          </cell>
          <cell r="P17">
            <v>57</v>
          </cell>
          <cell r="Q17">
            <v>0</v>
          </cell>
          <cell r="R17">
            <v>8</v>
          </cell>
          <cell r="S17">
            <v>34</v>
          </cell>
          <cell r="T17">
            <v>15</v>
          </cell>
          <cell r="U17">
            <v>0</v>
          </cell>
          <cell r="V17">
            <v>57</v>
          </cell>
          <cell r="W17">
            <v>0</v>
          </cell>
          <cell r="X17">
            <v>75</v>
          </cell>
          <cell r="Y17">
            <v>75</v>
          </cell>
          <cell r="Z17">
            <v>3</v>
          </cell>
          <cell r="AA17">
            <v>32</v>
          </cell>
          <cell r="AB17">
            <v>82</v>
          </cell>
          <cell r="AC17">
            <v>0</v>
          </cell>
          <cell r="AD17">
            <v>12</v>
          </cell>
          <cell r="AE17">
            <v>204</v>
          </cell>
          <cell r="AF17">
            <v>181</v>
          </cell>
          <cell r="AG17">
            <v>13</v>
          </cell>
          <cell r="AH17">
            <v>11</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v>32961</v>
          </cell>
          <cell r="BC17">
            <v>4715</v>
          </cell>
          <cell r="BD17">
            <v>1533</v>
          </cell>
          <cell r="BE17">
            <v>3174</v>
          </cell>
          <cell r="BF17">
            <v>4037</v>
          </cell>
          <cell r="BG17">
            <v>1214</v>
          </cell>
          <cell r="BH17">
            <v>47634</v>
          </cell>
          <cell r="BI17">
            <v>4524</v>
          </cell>
          <cell r="BJ17">
            <v>2626</v>
          </cell>
          <cell r="BK17">
            <v>6871</v>
          </cell>
          <cell r="BL17">
            <v>7100</v>
          </cell>
          <cell r="BM17">
            <v>197</v>
          </cell>
          <cell r="BN17">
            <v>59</v>
          </cell>
          <cell r="BO17">
            <v>69011</v>
          </cell>
          <cell r="BP17">
            <v>3037</v>
          </cell>
          <cell r="BQ17">
            <v>0</v>
          </cell>
          <cell r="BR17">
            <v>2399</v>
          </cell>
          <cell r="BS17">
            <v>5436</v>
          </cell>
          <cell r="BT17">
            <v>63575</v>
          </cell>
          <cell r="BU17">
            <v>4727</v>
          </cell>
          <cell r="BV17">
            <v>25460</v>
          </cell>
          <cell r="BW17">
            <v>0</v>
          </cell>
          <cell r="BX17">
            <v>969</v>
          </cell>
          <cell r="BY17">
            <v>0</v>
          </cell>
          <cell r="BZ17">
            <v>126</v>
          </cell>
          <cell r="CA17">
            <v>-278</v>
          </cell>
          <cell r="CB17">
            <v>0</v>
          </cell>
          <cell r="CC17">
            <v>0</v>
          </cell>
          <cell r="CD17">
            <v>0</v>
          </cell>
          <cell r="CE17">
            <v>0</v>
          </cell>
          <cell r="CF17">
            <v>0</v>
          </cell>
          <cell r="CG17">
            <v>0</v>
          </cell>
          <cell r="CH17">
            <v>0</v>
          </cell>
          <cell r="CI17">
            <v>0</v>
          </cell>
          <cell r="CJ17">
            <v>0</v>
          </cell>
          <cell r="CK17">
            <v>0</v>
          </cell>
          <cell r="CL17">
            <v>0</v>
          </cell>
          <cell r="CM17">
            <v>0</v>
          </cell>
          <cell r="CN17">
            <v>0</v>
          </cell>
          <cell r="CO17">
            <v>35388</v>
          </cell>
          <cell r="CP17">
            <v>6144</v>
          </cell>
          <cell r="CQ17">
            <v>1705</v>
          </cell>
          <cell r="CR17">
            <v>3483</v>
          </cell>
          <cell r="CS17">
            <v>5071</v>
          </cell>
          <cell r="CT17">
            <v>1284</v>
          </cell>
          <cell r="CU17">
            <v>53075</v>
          </cell>
          <cell r="CV17">
            <v>5419</v>
          </cell>
          <cell r="CW17">
            <v>3247</v>
          </cell>
          <cell r="CX17">
            <v>9493</v>
          </cell>
          <cell r="CY17">
            <v>7799</v>
          </cell>
          <cell r="CZ17">
            <v>220</v>
          </cell>
          <cell r="DA17">
            <v>399</v>
          </cell>
          <cell r="DB17">
            <v>79652</v>
          </cell>
          <cell r="DC17">
            <v>6385</v>
          </cell>
          <cell r="DD17">
            <v>0</v>
          </cell>
          <cell r="DE17">
            <v>2538</v>
          </cell>
          <cell r="DF17">
            <v>8923</v>
          </cell>
          <cell r="DG17">
            <v>70729</v>
          </cell>
          <cell r="DH17">
            <v>6822</v>
          </cell>
          <cell r="DI17">
            <v>0</v>
          </cell>
          <cell r="DJ17">
            <v>0</v>
          </cell>
          <cell r="DK17">
            <v>969</v>
          </cell>
          <cell r="DL17">
            <v>0</v>
          </cell>
          <cell r="DM17">
            <v>108</v>
          </cell>
          <cell r="DN17">
            <v>-236</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12.5</v>
          </cell>
          <cell r="EE17">
            <v>0</v>
          </cell>
          <cell r="EF17">
            <v>14697</v>
          </cell>
          <cell r="EG17">
            <v>6463</v>
          </cell>
          <cell r="EH17">
            <v>49061</v>
          </cell>
          <cell r="EI17">
            <v>542</v>
          </cell>
          <cell r="EJ17">
            <v>-12</v>
          </cell>
          <cell r="EK17">
            <v>70751</v>
          </cell>
          <cell r="EL17" t="str">
            <v>..</v>
          </cell>
          <cell r="EM17" t="str">
            <v>..</v>
          </cell>
          <cell r="EN17">
            <v>11187</v>
          </cell>
          <cell r="EO17" t="str">
            <v>..</v>
          </cell>
          <cell r="EP17" t="str">
            <v>..</v>
          </cell>
          <cell r="EQ17" t="str">
            <v>..</v>
          </cell>
          <cell r="ER17">
            <v>55235</v>
          </cell>
          <cell r="ES17">
            <v>463</v>
          </cell>
          <cell r="ET17">
            <v>1417</v>
          </cell>
          <cell r="EU17">
            <v>0</v>
          </cell>
          <cell r="EV17">
            <v>68302</v>
          </cell>
          <cell r="EW17">
            <v>0</v>
          </cell>
          <cell r="EX17">
            <v>0</v>
          </cell>
          <cell r="EY17">
            <v>1506</v>
          </cell>
          <cell r="EZ17">
            <v>0</v>
          </cell>
          <cell r="FA17">
            <v>0</v>
          </cell>
          <cell r="FB17">
            <v>0</v>
          </cell>
          <cell r="FC17">
            <v>6113</v>
          </cell>
          <cell r="FD17">
            <v>288</v>
          </cell>
          <cell r="FE17">
            <v>1273</v>
          </cell>
          <cell r="FF17">
            <v>0</v>
          </cell>
          <cell r="FG17">
            <v>9180</v>
          </cell>
          <cell r="FH17">
            <v>-4151</v>
          </cell>
          <cell r="FI17">
            <v>-270</v>
          </cell>
          <cell r="FJ17">
            <v>-216</v>
          </cell>
          <cell r="FK17">
            <v>-3497</v>
          </cell>
          <cell r="FL17">
            <v>-58</v>
          </cell>
          <cell r="FM17">
            <v>18598</v>
          </cell>
          <cell r="FN17">
            <v>6985</v>
          </cell>
          <cell r="FO17">
            <v>0</v>
          </cell>
          <cell r="FP17">
            <v>17391</v>
          </cell>
          <cell r="FQ17">
            <v>1543</v>
          </cell>
          <cell r="FR17">
            <v>0</v>
          </cell>
          <cell r="FS17">
            <v>-7718</v>
          </cell>
          <cell r="FT17">
            <v>-212</v>
          </cell>
          <cell r="FU17">
            <v>0</v>
          </cell>
          <cell r="FV17">
            <v>-3373</v>
          </cell>
          <cell r="FW17">
            <v>0</v>
          </cell>
          <cell r="FX17">
            <v>19539</v>
          </cell>
          <cell r="FY17">
            <v>5559</v>
          </cell>
          <cell r="FZ17">
            <v>0</v>
          </cell>
          <cell r="GA17">
            <v>13795</v>
          </cell>
          <cell r="GB17">
            <v>1448</v>
          </cell>
          <cell r="GC17">
            <v>0</v>
          </cell>
          <cell r="GD17">
            <v>1286</v>
          </cell>
          <cell r="GE17">
            <v>1326</v>
          </cell>
          <cell r="GF17">
            <v>62</v>
          </cell>
          <cell r="GG17">
            <v>7</v>
          </cell>
          <cell r="GH17">
            <v>129</v>
          </cell>
          <cell r="GI17">
            <v>17</v>
          </cell>
          <cell r="GJ17">
            <v>849</v>
          </cell>
          <cell r="GK17">
            <v>13</v>
          </cell>
          <cell r="GL17">
            <v>108</v>
          </cell>
          <cell r="GM17">
            <v>460</v>
          </cell>
          <cell r="GN17">
            <v>148</v>
          </cell>
          <cell r="GO17">
            <v>0</v>
          </cell>
          <cell r="GP17">
            <v>28615</v>
          </cell>
          <cell r="GQ17">
            <v>4060</v>
          </cell>
          <cell r="GR17">
            <v>1102</v>
          </cell>
          <cell r="GS17">
            <v>29360</v>
          </cell>
          <cell r="GT17">
            <v>4060</v>
          </cell>
          <cell r="GU17">
            <v>1136</v>
          </cell>
          <cell r="GV17">
            <v>0</v>
          </cell>
          <cell r="GW17">
            <v>0</v>
          </cell>
          <cell r="GX17">
            <v>5355</v>
          </cell>
          <cell r="GY17">
            <v>82</v>
          </cell>
          <cell r="GZ17">
            <v>27</v>
          </cell>
          <cell r="HA17">
            <v>47</v>
          </cell>
          <cell r="HB17">
            <v>0</v>
          </cell>
          <cell r="HC17">
            <v>0</v>
          </cell>
          <cell r="HD17">
            <v>0</v>
          </cell>
          <cell r="HE17">
            <v>35</v>
          </cell>
          <cell r="HF17">
            <v>0</v>
          </cell>
          <cell r="HG17">
            <v>0</v>
          </cell>
          <cell r="HH17">
            <v>0</v>
          </cell>
          <cell r="HI17">
            <v>0</v>
          </cell>
          <cell r="HJ17">
            <v>0</v>
          </cell>
          <cell r="HK17">
            <v>0</v>
          </cell>
          <cell r="HL17">
            <v>5546</v>
          </cell>
          <cell r="HM17">
            <v>0</v>
          </cell>
          <cell r="HN17">
            <v>0</v>
          </cell>
          <cell r="HO17">
            <v>3339</v>
          </cell>
          <cell r="HP17">
            <v>204</v>
          </cell>
          <cell r="HQ17">
            <v>294</v>
          </cell>
          <cell r="HR17">
            <v>451</v>
          </cell>
          <cell r="HS17">
            <v>314</v>
          </cell>
          <cell r="HT17">
            <v>0</v>
          </cell>
          <cell r="HU17">
            <v>0</v>
          </cell>
          <cell r="HV17">
            <v>83</v>
          </cell>
          <cell r="HW17">
            <v>0</v>
          </cell>
          <cell r="HX17">
            <v>0</v>
          </cell>
          <cell r="HY17">
            <v>0</v>
          </cell>
          <cell r="HZ17">
            <v>0</v>
          </cell>
          <cell r="IA17">
            <v>0</v>
          </cell>
          <cell r="IB17">
            <v>0</v>
          </cell>
          <cell r="IC17">
            <v>4685</v>
          </cell>
          <cell r="ID17">
            <v>0</v>
          </cell>
          <cell r="IE17">
            <v>0</v>
          </cell>
          <cell r="IF17">
            <v>575</v>
          </cell>
          <cell r="IG17">
            <v>247</v>
          </cell>
          <cell r="IH17">
            <v>554</v>
          </cell>
          <cell r="II17">
            <v>3678</v>
          </cell>
          <cell r="IJ17">
            <v>1195</v>
          </cell>
          <cell r="IK17">
            <v>0</v>
          </cell>
          <cell r="IL17">
            <v>0</v>
          </cell>
          <cell r="IM17">
            <v>1200</v>
          </cell>
          <cell r="IN17">
            <v>0</v>
          </cell>
          <cell r="IO17">
            <v>0</v>
          </cell>
          <cell r="IP17">
            <v>0</v>
          </cell>
          <cell r="IQ17">
            <v>0</v>
          </cell>
          <cell r="IR17">
            <v>0</v>
          </cell>
          <cell r="IS17">
            <v>0</v>
          </cell>
          <cell r="IT17">
            <v>7449</v>
          </cell>
          <cell r="IU17" t="str">
            <v>N/A</v>
          </cell>
          <cell r="IV17" t="str">
            <v>Includes: Land Rovers, forward control units, 4X4's, Argocats, Prime Mover, Bulker Water Carriers, Boats</v>
          </cell>
          <cell r="IW17" t="str">
            <v xml:space="preserve">Joined/ shared Control cost with kent police </v>
          </cell>
          <cell r="IX17" t="str">
            <v xml:space="preserve">Collaboration costs </v>
          </cell>
          <cell r="IY17">
            <v>0</v>
          </cell>
          <cell r="IZ17" t="str">
            <v xml:space="preserve">Includes Eurotunnel Income and channel tunnel grant </v>
          </cell>
          <cell r="JA17">
            <v>0</v>
          </cell>
          <cell r="JB17" t="str">
            <v>..</v>
          </cell>
        </row>
        <row r="18">
          <cell r="A18" t="str">
            <v>E6132</v>
          </cell>
          <cell r="B18" t="str">
            <v>Shropshire</v>
          </cell>
          <cell r="C18" t="str">
            <v>Claire Ellis</v>
          </cell>
          <cell r="D18" t="str">
            <v>Accountant</v>
          </cell>
          <cell r="E18" t="str">
            <v>01743 260213</v>
          </cell>
          <cell r="F18" t="str">
            <v>claire.ellis@shropshirefire.gov.uk</v>
          </cell>
          <cell r="G18" t="str">
            <v>Joanne Coadey</v>
          </cell>
          <cell r="H18" t="str">
            <v>Head of Finance</v>
          </cell>
          <cell r="I18" t="str">
            <v>01743 260215</v>
          </cell>
          <cell r="J18" t="str">
            <v>joanne.coadey@shropshirefire.gov.uk</v>
          </cell>
          <cell r="K18" t="str">
            <v>..</v>
          </cell>
          <cell r="L18">
            <v>1</v>
          </cell>
          <cell r="M18">
            <v>20</v>
          </cell>
          <cell r="N18">
            <v>2</v>
          </cell>
          <cell r="O18">
            <v>0</v>
          </cell>
          <cell r="P18">
            <v>23</v>
          </cell>
          <cell r="Q18">
            <v>23</v>
          </cell>
          <cell r="R18">
            <v>1</v>
          </cell>
          <cell r="S18">
            <v>20</v>
          </cell>
          <cell r="T18">
            <v>2</v>
          </cell>
          <cell r="U18">
            <v>0</v>
          </cell>
          <cell r="V18">
            <v>23</v>
          </cell>
          <cell r="W18">
            <v>23</v>
          </cell>
          <cell r="X18" t="str">
            <v>..</v>
          </cell>
          <cell r="Y18">
            <v>28</v>
          </cell>
          <cell r="Z18">
            <v>2</v>
          </cell>
          <cell r="AA18">
            <v>19</v>
          </cell>
          <cell r="AB18">
            <v>10</v>
          </cell>
          <cell r="AC18">
            <v>14</v>
          </cell>
          <cell r="AD18">
            <v>2</v>
          </cell>
          <cell r="AE18">
            <v>75</v>
          </cell>
          <cell r="AF18">
            <v>33</v>
          </cell>
          <cell r="AG18">
            <v>5</v>
          </cell>
          <cell r="AH18">
            <v>2</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v>8677</v>
          </cell>
          <cell r="BC18">
            <v>3501</v>
          </cell>
          <cell r="BD18">
            <v>715</v>
          </cell>
          <cell r="BE18">
            <v>2538</v>
          </cell>
          <cell r="BF18">
            <v>491</v>
          </cell>
          <cell r="BG18">
            <v>209</v>
          </cell>
          <cell r="BH18">
            <v>16131</v>
          </cell>
          <cell r="BI18">
            <v>1057</v>
          </cell>
          <cell r="BJ18">
            <v>720</v>
          </cell>
          <cell r="BK18">
            <v>2321</v>
          </cell>
          <cell r="BL18">
            <v>317</v>
          </cell>
          <cell r="BM18">
            <v>0</v>
          </cell>
          <cell r="BN18">
            <v>0</v>
          </cell>
          <cell r="BO18">
            <v>20546</v>
          </cell>
          <cell r="BP18">
            <v>86</v>
          </cell>
          <cell r="BQ18">
            <v>0</v>
          </cell>
          <cell r="BR18">
            <v>190</v>
          </cell>
          <cell r="BS18">
            <v>276</v>
          </cell>
          <cell r="BT18">
            <v>20270</v>
          </cell>
          <cell r="BU18">
            <v>2796</v>
          </cell>
          <cell r="BV18">
            <v>94</v>
          </cell>
          <cell r="BW18">
            <v>0</v>
          </cell>
          <cell r="BX18">
            <v>259</v>
          </cell>
          <cell r="BY18">
            <v>8</v>
          </cell>
          <cell r="BZ18">
            <v>256</v>
          </cell>
          <cell r="CA18">
            <v>-130</v>
          </cell>
          <cell r="CB18">
            <v>0</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v>0</v>
          </cell>
          <cell r="CO18">
            <v>10562</v>
          </cell>
          <cell r="CP18">
            <v>3378</v>
          </cell>
          <cell r="CQ18">
            <v>724</v>
          </cell>
          <cell r="CR18">
            <v>2776</v>
          </cell>
          <cell r="CS18">
            <v>310</v>
          </cell>
          <cell r="CT18">
            <v>180</v>
          </cell>
          <cell r="CU18">
            <v>17930</v>
          </cell>
          <cell r="CV18">
            <v>1067</v>
          </cell>
          <cell r="CW18">
            <v>595</v>
          </cell>
          <cell r="CX18">
            <v>2097</v>
          </cell>
          <cell r="CY18">
            <v>231</v>
          </cell>
          <cell r="CZ18">
            <v>0</v>
          </cell>
          <cell r="DA18">
            <v>0</v>
          </cell>
          <cell r="DB18">
            <v>21920</v>
          </cell>
          <cell r="DC18">
            <v>1150</v>
          </cell>
          <cell r="DD18">
            <v>0</v>
          </cell>
          <cell r="DE18">
            <v>85</v>
          </cell>
          <cell r="DF18">
            <v>1235</v>
          </cell>
          <cell r="DG18">
            <v>20685</v>
          </cell>
          <cell r="DH18">
            <v>2100</v>
          </cell>
          <cell r="DI18">
            <v>94</v>
          </cell>
          <cell r="DJ18">
            <v>0</v>
          </cell>
          <cell r="DK18">
            <v>417</v>
          </cell>
          <cell r="DL18">
            <v>17</v>
          </cell>
          <cell r="DM18">
            <v>22</v>
          </cell>
          <cell r="DN18">
            <v>-50</v>
          </cell>
          <cell r="DO18">
            <v>0</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v>0</v>
          </cell>
          <cell r="EB18">
            <v>0</v>
          </cell>
          <cell r="EC18">
            <v>0</v>
          </cell>
          <cell r="ED18">
            <v>13.9</v>
          </cell>
          <cell r="EE18">
            <v>103.9</v>
          </cell>
          <cell r="EF18">
            <v>4195</v>
          </cell>
          <cell r="EG18">
            <v>1530</v>
          </cell>
          <cell r="EH18">
            <v>16228</v>
          </cell>
          <cell r="EI18">
            <v>336</v>
          </cell>
          <cell r="EJ18">
            <v>-1</v>
          </cell>
          <cell r="EK18">
            <v>22288</v>
          </cell>
          <cell r="EL18" t="str">
            <v>..</v>
          </cell>
          <cell r="EM18" t="str">
            <v>..</v>
          </cell>
          <cell r="EN18">
            <v>1384</v>
          </cell>
          <cell r="EO18" t="str">
            <v>..</v>
          </cell>
          <cell r="EP18" t="str">
            <v>..</v>
          </cell>
          <cell r="EQ18" t="str">
            <v>..</v>
          </cell>
          <cell r="ER18">
            <v>21119</v>
          </cell>
          <cell r="ES18">
            <v>70</v>
          </cell>
          <cell r="ET18">
            <v>470</v>
          </cell>
          <cell r="EU18">
            <v>23</v>
          </cell>
          <cell r="EV18">
            <v>23066</v>
          </cell>
          <cell r="EW18" t="str">
            <v>..</v>
          </cell>
          <cell r="EX18" t="str">
            <v>..</v>
          </cell>
          <cell r="EY18">
            <v>0</v>
          </cell>
          <cell r="EZ18" t="str">
            <v>..</v>
          </cell>
          <cell r="FA18" t="str">
            <v>..</v>
          </cell>
          <cell r="FB18" t="str">
            <v>..</v>
          </cell>
          <cell r="FC18">
            <v>0</v>
          </cell>
          <cell r="FD18">
            <v>0</v>
          </cell>
          <cell r="FE18">
            <v>0</v>
          </cell>
          <cell r="FF18">
            <v>0</v>
          </cell>
          <cell r="FG18">
            <v>0</v>
          </cell>
          <cell r="FH18">
            <v>-1268</v>
          </cell>
          <cell r="FI18">
            <v>-86</v>
          </cell>
          <cell r="FJ18">
            <v>0</v>
          </cell>
          <cell r="FK18">
            <v>-1161</v>
          </cell>
          <cell r="FL18">
            <v>-84</v>
          </cell>
          <cell r="FM18">
            <v>4704</v>
          </cell>
          <cell r="FN18">
            <v>740</v>
          </cell>
          <cell r="FO18">
            <v>0</v>
          </cell>
          <cell r="FP18">
            <v>2845</v>
          </cell>
          <cell r="FQ18">
            <v>315</v>
          </cell>
          <cell r="FR18">
            <v>0</v>
          </cell>
          <cell r="FS18">
            <v>-1278</v>
          </cell>
          <cell r="FT18">
            <v>-120</v>
          </cell>
          <cell r="FU18">
            <v>0</v>
          </cell>
          <cell r="FV18">
            <v>-1070</v>
          </cell>
          <cell r="FW18">
            <v>0</v>
          </cell>
          <cell r="FX18">
            <v>4860</v>
          </cell>
          <cell r="FY18">
            <v>1429</v>
          </cell>
          <cell r="FZ18">
            <v>0</v>
          </cell>
          <cell r="GA18">
            <v>3821</v>
          </cell>
          <cell r="GB18">
            <v>253</v>
          </cell>
          <cell r="GC18">
            <v>0</v>
          </cell>
          <cell r="GD18">
            <v>337</v>
          </cell>
          <cell r="GE18">
            <v>340</v>
          </cell>
          <cell r="GF18">
            <v>12</v>
          </cell>
          <cell r="GG18">
            <v>1</v>
          </cell>
          <cell r="GH18">
            <v>29</v>
          </cell>
          <cell r="GI18">
            <v>12</v>
          </cell>
          <cell r="GJ18">
            <v>417</v>
          </cell>
          <cell r="GK18">
            <v>15</v>
          </cell>
          <cell r="GL18">
            <v>22</v>
          </cell>
          <cell r="GM18">
            <v>217</v>
          </cell>
          <cell r="GN18">
            <v>60</v>
          </cell>
          <cell r="GO18">
            <v>20</v>
          </cell>
          <cell r="GP18">
            <v>15029</v>
          </cell>
          <cell r="GQ18">
            <v>1105</v>
          </cell>
          <cell r="GR18">
            <v>0</v>
          </cell>
          <cell r="GS18">
            <v>14445</v>
          </cell>
          <cell r="GT18">
            <v>1152</v>
          </cell>
          <cell r="GU18">
            <v>0</v>
          </cell>
          <cell r="GV18">
            <v>0</v>
          </cell>
          <cell r="GW18">
            <v>0</v>
          </cell>
          <cell r="GX18">
            <v>0</v>
          </cell>
          <cell r="GY18">
            <v>222</v>
          </cell>
          <cell r="GZ18">
            <v>0</v>
          </cell>
          <cell r="HA18">
            <v>31</v>
          </cell>
          <cell r="HB18">
            <v>0</v>
          </cell>
          <cell r="HC18">
            <v>0</v>
          </cell>
          <cell r="HD18">
            <v>104</v>
          </cell>
          <cell r="HE18">
            <v>0</v>
          </cell>
          <cell r="HF18">
            <v>0</v>
          </cell>
          <cell r="HG18">
            <v>272</v>
          </cell>
          <cell r="HH18">
            <v>0</v>
          </cell>
          <cell r="HI18">
            <v>0</v>
          </cell>
          <cell r="HJ18">
            <v>0</v>
          </cell>
          <cell r="HK18">
            <v>0</v>
          </cell>
          <cell r="HL18">
            <v>629</v>
          </cell>
          <cell r="HM18">
            <v>0</v>
          </cell>
          <cell r="HN18">
            <v>0</v>
          </cell>
          <cell r="HO18">
            <v>0</v>
          </cell>
          <cell r="HP18">
            <v>1136</v>
          </cell>
          <cell r="HQ18">
            <v>0</v>
          </cell>
          <cell r="HR18">
            <v>1555</v>
          </cell>
          <cell r="HS18">
            <v>0</v>
          </cell>
          <cell r="HT18">
            <v>0</v>
          </cell>
          <cell r="HU18">
            <v>167</v>
          </cell>
          <cell r="HV18">
            <v>152</v>
          </cell>
          <cell r="HW18">
            <v>66</v>
          </cell>
          <cell r="HX18">
            <v>0</v>
          </cell>
          <cell r="HY18">
            <v>17</v>
          </cell>
          <cell r="HZ18">
            <v>0</v>
          </cell>
          <cell r="IA18">
            <v>0</v>
          </cell>
          <cell r="IB18">
            <v>0</v>
          </cell>
          <cell r="IC18">
            <v>3093</v>
          </cell>
          <cell r="ID18">
            <v>0</v>
          </cell>
          <cell r="IE18">
            <v>0</v>
          </cell>
          <cell r="IF18">
            <v>0</v>
          </cell>
          <cell r="IG18">
            <v>4706</v>
          </cell>
          <cell r="IH18">
            <v>60</v>
          </cell>
          <cell r="II18">
            <v>1756</v>
          </cell>
          <cell r="IJ18">
            <v>100</v>
          </cell>
          <cell r="IK18">
            <v>0</v>
          </cell>
          <cell r="IL18">
            <v>626</v>
          </cell>
          <cell r="IM18">
            <v>0</v>
          </cell>
          <cell r="IN18">
            <v>371</v>
          </cell>
          <cell r="IO18">
            <v>0</v>
          </cell>
          <cell r="IP18">
            <v>128</v>
          </cell>
          <cell r="IQ18">
            <v>0</v>
          </cell>
          <cell r="IR18">
            <v>0</v>
          </cell>
          <cell r="IS18">
            <v>0</v>
          </cell>
          <cell r="IT18">
            <v>7747</v>
          </cell>
          <cell r="IU18" t="str">
            <v xml:space="preserve">Police </v>
          </cell>
          <cell r="IV18" t="str">
            <v>2 pumping units, 1 L6P, 1 Water Carrier, 2 Incident Command Unit, 1 WRU, 12 Incident Support Units.</v>
          </cell>
          <cell r="IW18" t="str">
            <v>..</v>
          </cell>
          <cell r="IX18" t="str">
            <v>..</v>
          </cell>
          <cell r="IY18" t="str">
            <v>..</v>
          </cell>
          <cell r="IZ18" t="str">
            <v>..</v>
          </cell>
          <cell r="JA18" t="str">
            <v>..</v>
          </cell>
          <cell r="JB18" t="str">
            <v>..</v>
          </cell>
        </row>
        <row r="19">
          <cell r="A19" t="str">
            <v>E6134</v>
          </cell>
          <cell r="B19" t="str">
            <v>Staffordshire</v>
          </cell>
          <cell r="C19" t="str">
            <v>Samantha Hollins</v>
          </cell>
          <cell r="D19" t="str">
            <v>Accountancy Assistant</v>
          </cell>
          <cell r="E19" t="str">
            <v>01785 898722</v>
          </cell>
          <cell r="F19" t="str">
            <v>samantha.hollins@staffordshirefire.gov.uk</v>
          </cell>
          <cell r="G19" t="str">
            <v>Tracey Blake</v>
          </cell>
          <cell r="H19" t="str">
            <v>Management Accountant</v>
          </cell>
          <cell r="I19" t="str">
            <v>01785 898716</v>
          </cell>
          <cell r="J19" t="str">
            <v>t.blake@staffordshirefire.gov.uk</v>
          </cell>
          <cell r="K19" t="str">
            <v>..</v>
          </cell>
          <cell r="L19">
            <v>8</v>
          </cell>
          <cell r="M19">
            <v>23</v>
          </cell>
          <cell r="N19">
            <v>2</v>
          </cell>
          <cell r="O19">
            <v>0</v>
          </cell>
          <cell r="P19">
            <v>33</v>
          </cell>
          <cell r="Q19">
            <v>0</v>
          </cell>
          <cell r="R19">
            <v>8</v>
          </cell>
          <cell r="S19">
            <v>23</v>
          </cell>
          <cell r="T19">
            <v>2</v>
          </cell>
          <cell r="U19">
            <v>0</v>
          </cell>
          <cell r="V19">
            <v>33</v>
          </cell>
          <cell r="W19">
            <v>0</v>
          </cell>
          <cell r="X19">
            <v>41</v>
          </cell>
          <cell r="Y19">
            <v>41</v>
          </cell>
          <cell r="Z19">
            <v>2</v>
          </cell>
          <cell r="AA19">
            <v>11</v>
          </cell>
          <cell r="AB19">
            <v>42</v>
          </cell>
          <cell r="AC19">
            <v>0</v>
          </cell>
          <cell r="AD19">
            <v>7</v>
          </cell>
          <cell r="AE19">
            <v>103</v>
          </cell>
          <cell r="AF19">
            <v>70</v>
          </cell>
          <cell r="AG19">
            <v>8</v>
          </cell>
          <cell r="AH19">
            <v>3</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v>16625</v>
          </cell>
          <cell r="BC19">
            <v>4585</v>
          </cell>
          <cell r="BD19">
            <v>0</v>
          </cell>
          <cell r="BE19">
            <v>7502</v>
          </cell>
          <cell r="BF19">
            <v>385</v>
          </cell>
          <cell r="BG19">
            <v>539</v>
          </cell>
          <cell r="BH19">
            <v>29636</v>
          </cell>
          <cell r="BI19">
            <v>3144</v>
          </cell>
          <cell r="BJ19">
            <v>910</v>
          </cell>
          <cell r="BK19">
            <v>7552</v>
          </cell>
          <cell r="BL19">
            <v>251</v>
          </cell>
          <cell r="BM19">
            <v>136</v>
          </cell>
          <cell r="BN19">
            <v>0</v>
          </cell>
          <cell r="BO19">
            <v>41629</v>
          </cell>
          <cell r="BP19">
            <v>4002</v>
          </cell>
          <cell r="BQ19">
            <v>50</v>
          </cell>
          <cell r="BR19">
            <v>1999</v>
          </cell>
          <cell r="BS19">
            <v>6051</v>
          </cell>
          <cell r="BT19">
            <v>35578</v>
          </cell>
          <cell r="BU19">
            <v>3883</v>
          </cell>
          <cell r="BV19">
            <v>4173</v>
          </cell>
          <cell r="BW19">
            <v>0</v>
          </cell>
          <cell r="BX19">
            <v>0</v>
          </cell>
          <cell r="BY19">
            <v>0</v>
          </cell>
          <cell r="BZ19">
            <v>0</v>
          </cell>
          <cell r="CA19">
            <v>0</v>
          </cell>
          <cell r="CB19">
            <v>0</v>
          </cell>
          <cell r="CC19">
            <v>0</v>
          </cell>
          <cell r="CD19">
            <v>0</v>
          </cell>
          <cell r="CE19">
            <v>0</v>
          </cell>
          <cell r="CF19">
            <v>187</v>
          </cell>
          <cell r="CG19">
            <v>0</v>
          </cell>
          <cell r="CH19">
            <v>0</v>
          </cell>
          <cell r="CI19">
            <v>187</v>
          </cell>
          <cell r="CJ19">
            <v>103</v>
          </cell>
          <cell r="CK19">
            <v>0</v>
          </cell>
          <cell r="CL19">
            <v>1356</v>
          </cell>
          <cell r="CM19">
            <v>0</v>
          </cell>
          <cell r="CN19">
            <v>297</v>
          </cell>
          <cell r="CO19">
            <v>18164</v>
          </cell>
          <cell r="CP19">
            <v>5005</v>
          </cell>
          <cell r="CQ19">
            <v>0</v>
          </cell>
          <cell r="CR19">
            <v>7012</v>
          </cell>
          <cell r="CS19">
            <v>414</v>
          </cell>
          <cell r="CT19">
            <v>622</v>
          </cell>
          <cell r="CU19">
            <v>31217</v>
          </cell>
          <cell r="CV19">
            <v>3221</v>
          </cell>
          <cell r="CW19">
            <v>796</v>
          </cell>
          <cell r="CX19">
            <v>7929</v>
          </cell>
          <cell r="CY19">
            <v>250</v>
          </cell>
          <cell r="CZ19">
            <v>95</v>
          </cell>
          <cell r="DA19">
            <v>0</v>
          </cell>
          <cell r="DB19">
            <v>43508</v>
          </cell>
          <cell r="DC19">
            <v>5995</v>
          </cell>
          <cell r="DD19">
            <v>0</v>
          </cell>
          <cell r="DE19">
            <v>1251</v>
          </cell>
          <cell r="DF19">
            <v>7246</v>
          </cell>
          <cell r="DG19">
            <v>36262</v>
          </cell>
          <cell r="DH19">
            <v>2297</v>
          </cell>
          <cell r="DI19">
            <v>0</v>
          </cell>
          <cell r="DJ19">
            <v>0</v>
          </cell>
          <cell r="DK19">
            <v>0</v>
          </cell>
          <cell r="DL19">
            <v>0</v>
          </cell>
          <cell r="DM19">
            <v>0</v>
          </cell>
          <cell r="DN19">
            <v>0</v>
          </cell>
          <cell r="DO19">
            <v>0</v>
          </cell>
          <cell r="DP19">
            <v>0</v>
          </cell>
          <cell r="DQ19">
            <v>0</v>
          </cell>
          <cell r="DR19">
            <v>0</v>
          </cell>
          <cell r="DS19">
            <v>132</v>
          </cell>
          <cell r="DT19">
            <v>0</v>
          </cell>
          <cell r="DU19">
            <v>0</v>
          </cell>
          <cell r="DV19">
            <v>132</v>
          </cell>
          <cell r="DW19">
            <v>108</v>
          </cell>
          <cell r="DX19">
            <v>0</v>
          </cell>
          <cell r="DY19">
            <v>1358</v>
          </cell>
          <cell r="DZ19">
            <v>0</v>
          </cell>
          <cell r="EA19">
            <v>266</v>
          </cell>
          <cell r="EB19">
            <v>0</v>
          </cell>
          <cell r="EC19">
            <v>0</v>
          </cell>
          <cell r="ED19">
            <v>16.7</v>
          </cell>
          <cell r="EE19">
            <v>315</v>
          </cell>
          <cell r="EF19">
            <v>10637</v>
          </cell>
          <cell r="EG19">
            <v>3655</v>
          </cell>
          <cell r="EH19">
            <v>26247</v>
          </cell>
          <cell r="EI19">
            <v>385</v>
          </cell>
          <cell r="EJ19">
            <v>13</v>
          </cell>
          <cell r="EK19">
            <v>40937</v>
          </cell>
          <cell r="EL19">
            <v>0</v>
          </cell>
          <cell r="EM19">
            <v>4282</v>
          </cell>
          <cell r="EN19">
            <v>4282</v>
          </cell>
          <cell r="EO19">
            <v>31399</v>
          </cell>
          <cell r="EP19">
            <v>2502</v>
          </cell>
          <cell r="EQ19">
            <v>29</v>
          </cell>
          <cell r="ER19">
            <v>33930</v>
          </cell>
          <cell r="ES19">
            <v>-41</v>
          </cell>
          <cell r="ET19">
            <v>1290</v>
          </cell>
          <cell r="EU19">
            <v>0</v>
          </cell>
          <cell r="EV19">
            <v>39461</v>
          </cell>
          <cell r="EW19">
            <v>0</v>
          </cell>
          <cell r="EX19">
            <v>651</v>
          </cell>
          <cell r="EY19">
            <v>651</v>
          </cell>
          <cell r="EZ19">
            <v>4731</v>
          </cell>
          <cell r="FA19">
            <v>356</v>
          </cell>
          <cell r="FB19">
            <v>0</v>
          </cell>
          <cell r="FC19">
            <v>5087</v>
          </cell>
          <cell r="FD19">
            <v>0</v>
          </cell>
          <cell r="FE19">
            <v>177</v>
          </cell>
          <cell r="FF19">
            <v>0</v>
          </cell>
          <cell r="FG19">
            <v>5915</v>
          </cell>
          <cell r="FH19">
            <v>-2180</v>
          </cell>
          <cell r="FI19">
            <v>-120</v>
          </cell>
          <cell r="FJ19">
            <v>0</v>
          </cell>
          <cell r="FK19">
            <v>-1892</v>
          </cell>
          <cell r="FL19">
            <v>0</v>
          </cell>
          <cell r="FM19">
            <v>10864</v>
          </cell>
          <cell r="FN19">
            <v>1738</v>
          </cell>
          <cell r="FO19">
            <v>0</v>
          </cell>
          <cell r="FP19">
            <v>8410</v>
          </cell>
          <cell r="FQ19">
            <v>1052</v>
          </cell>
          <cell r="FR19">
            <v>0</v>
          </cell>
          <cell r="FS19">
            <v>-1923</v>
          </cell>
          <cell r="FT19">
            <v>-206</v>
          </cell>
          <cell r="FU19">
            <v>0</v>
          </cell>
          <cell r="FV19">
            <v>-1653</v>
          </cell>
          <cell r="FW19">
            <v>-50</v>
          </cell>
          <cell r="FX19">
            <v>11474</v>
          </cell>
          <cell r="FY19">
            <v>2578</v>
          </cell>
          <cell r="FZ19">
            <v>50</v>
          </cell>
          <cell r="GA19">
            <v>10270</v>
          </cell>
          <cell r="GB19">
            <v>1080</v>
          </cell>
          <cell r="GC19">
            <v>0</v>
          </cell>
          <cell r="GD19">
            <v>736</v>
          </cell>
          <cell r="GE19">
            <v>766</v>
          </cell>
          <cell r="GF19">
            <v>20</v>
          </cell>
          <cell r="GG19">
            <v>1</v>
          </cell>
          <cell r="GH19">
            <v>51</v>
          </cell>
          <cell r="GI19">
            <v>145</v>
          </cell>
          <cell r="GJ19">
            <v>506</v>
          </cell>
          <cell r="GK19">
            <v>26</v>
          </cell>
          <cell r="GL19">
            <v>26</v>
          </cell>
          <cell r="GM19">
            <v>317</v>
          </cell>
          <cell r="GN19">
            <v>193</v>
          </cell>
          <cell r="GO19">
            <v>38</v>
          </cell>
          <cell r="GP19">
            <v>15311</v>
          </cell>
          <cell r="GQ19">
            <v>1906</v>
          </cell>
          <cell r="GR19">
            <v>0</v>
          </cell>
          <cell r="GS19">
            <v>14225</v>
          </cell>
          <cell r="GT19">
            <v>1906</v>
          </cell>
          <cell r="GU19">
            <v>0</v>
          </cell>
          <cell r="GV19">
            <v>0</v>
          </cell>
          <cell r="GW19">
            <v>0</v>
          </cell>
          <cell r="GX19">
            <v>0</v>
          </cell>
          <cell r="GY19">
            <v>794</v>
          </cell>
          <cell r="GZ19">
            <v>0</v>
          </cell>
          <cell r="HA19">
            <v>469</v>
          </cell>
          <cell r="HB19">
            <v>125</v>
          </cell>
          <cell r="HC19">
            <v>16</v>
          </cell>
          <cell r="HD19">
            <v>192</v>
          </cell>
          <cell r="HE19">
            <v>0</v>
          </cell>
          <cell r="HF19">
            <v>105</v>
          </cell>
          <cell r="HG19">
            <v>161</v>
          </cell>
          <cell r="HH19">
            <v>436</v>
          </cell>
          <cell r="HI19">
            <v>0</v>
          </cell>
          <cell r="HJ19">
            <v>0</v>
          </cell>
          <cell r="HK19">
            <v>0</v>
          </cell>
          <cell r="HL19">
            <v>2298</v>
          </cell>
          <cell r="HM19">
            <v>0</v>
          </cell>
          <cell r="HN19">
            <v>0</v>
          </cell>
          <cell r="HO19">
            <v>0</v>
          </cell>
          <cell r="HP19">
            <v>54</v>
          </cell>
          <cell r="HQ19">
            <v>36</v>
          </cell>
          <cell r="HR19">
            <v>1546</v>
          </cell>
          <cell r="HS19">
            <v>26</v>
          </cell>
          <cell r="HT19">
            <v>133</v>
          </cell>
          <cell r="HU19">
            <v>23</v>
          </cell>
          <cell r="HV19">
            <v>339</v>
          </cell>
          <cell r="HW19">
            <v>2</v>
          </cell>
          <cell r="HX19">
            <v>72</v>
          </cell>
          <cell r="HY19">
            <v>347</v>
          </cell>
          <cell r="HZ19">
            <v>0</v>
          </cell>
          <cell r="IA19">
            <v>0</v>
          </cell>
          <cell r="IB19">
            <v>0</v>
          </cell>
          <cell r="IC19">
            <v>2578</v>
          </cell>
          <cell r="ID19">
            <v>50</v>
          </cell>
          <cell r="IE19">
            <v>0</v>
          </cell>
          <cell r="IF19">
            <v>0</v>
          </cell>
          <cell r="IG19">
            <v>2408</v>
          </cell>
          <cell r="IH19">
            <v>85</v>
          </cell>
          <cell r="II19">
            <v>1815</v>
          </cell>
          <cell r="IJ19">
            <v>98</v>
          </cell>
          <cell r="IK19">
            <v>952</v>
          </cell>
          <cell r="IL19">
            <v>600</v>
          </cell>
          <cell r="IM19">
            <v>26</v>
          </cell>
          <cell r="IN19">
            <v>40</v>
          </cell>
          <cell r="IO19">
            <v>304</v>
          </cell>
          <cell r="IP19">
            <v>523</v>
          </cell>
          <cell r="IQ19">
            <v>0</v>
          </cell>
          <cell r="IR19">
            <v>0</v>
          </cell>
          <cell r="IS19">
            <v>0</v>
          </cell>
          <cell r="IT19">
            <v>6901</v>
          </cell>
          <cell r="IU19" t="str">
            <v>..</v>
          </cell>
          <cell r="IV19" t="str">
            <v>2 x TRV, 2 x Environmental Pod, 2 x Water Carriers, Unimog, 2 x WRU, Ford Ranger Pump, Welfare Support</v>
          </cell>
          <cell r="IW19" t="str">
            <v>..</v>
          </cell>
          <cell r="IX19" t="str">
            <v>..</v>
          </cell>
          <cell r="IY19" t="str">
            <v>..</v>
          </cell>
          <cell r="IZ19" t="str">
            <v>..</v>
          </cell>
          <cell r="JA19" t="str">
            <v>..</v>
          </cell>
          <cell r="JB19" t="str">
            <v>..</v>
          </cell>
        </row>
        <row r="20">
          <cell r="A20" t="str">
            <v>E6118</v>
          </cell>
          <cell r="B20" t="str">
            <v>Hereford and Worcester</v>
          </cell>
          <cell r="C20" t="str">
            <v>Magdalena Sadys</v>
          </cell>
          <cell r="D20" t="str">
            <v>Performance Analyst</v>
          </cell>
          <cell r="E20" t="str">
            <v>01905 368333</v>
          </cell>
          <cell r="F20" t="str">
            <v>msadys@hwfire.org.uk</v>
          </cell>
          <cell r="G20" t="str">
            <v>Deborah Randall</v>
          </cell>
          <cell r="H20" t="str">
            <v>Chief Accountant</v>
          </cell>
          <cell r="I20" t="str">
            <v>01905 368301</v>
          </cell>
          <cell r="J20" t="str">
            <v>drandall@hwfire.org.uk</v>
          </cell>
          <cell r="K20" t="str">
            <v>aelliott@hwfire.org.uk</v>
          </cell>
          <cell r="L20">
            <v>0</v>
          </cell>
          <cell r="M20">
            <v>19</v>
          </cell>
          <cell r="N20">
            <v>8</v>
          </cell>
          <cell r="O20">
            <v>0</v>
          </cell>
          <cell r="P20">
            <v>27</v>
          </cell>
          <cell r="Q20">
            <v>1</v>
          </cell>
          <cell r="R20">
            <v>0</v>
          </cell>
          <cell r="S20">
            <v>17</v>
          </cell>
          <cell r="T20">
            <v>8</v>
          </cell>
          <cell r="U20">
            <v>0</v>
          </cell>
          <cell r="V20">
            <v>25</v>
          </cell>
          <cell r="W20">
            <v>2</v>
          </cell>
          <cell r="X20">
            <v>41</v>
          </cell>
          <cell r="Y20">
            <v>41</v>
          </cell>
          <cell r="Z20">
            <v>2</v>
          </cell>
          <cell r="AA20">
            <v>19</v>
          </cell>
          <cell r="AB20">
            <v>36</v>
          </cell>
          <cell r="AC20">
            <v>0</v>
          </cell>
          <cell r="AD20">
            <v>7</v>
          </cell>
          <cell r="AE20">
            <v>105</v>
          </cell>
          <cell r="AF20">
            <v>56</v>
          </cell>
          <cell r="AG20">
            <v>5</v>
          </cell>
          <cell r="AH20">
            <v>3</v>
          </cell>
          <cell r="AI20">
            <v>230</v>
          </cell>
          <cell r="AJ20">
            <v>222.4</v>
          </cell>
          <cell r="AK20">
            <v>3</v>
          </cell>
          <cell r="AL20">
            <v>2</v>
          </cell>
          <cell r="AM20">
            <v>10</v>
          </cell>
          <cell r="AN20">
            <v>15</v>
          </cell>
          <cell r="AO20">
            <v>42</v>
          </cell>
          <cell r="AP20">
            <v>27</v>
          </cell>
          <cell r="AQ20">
            <v>131</v>
          </cell>
          <cell r="AR20">
            <v>230</v>
          </cell>
          <cell r="AS20">
            <v>0</v>
          </cell>
          <cell r="AT20">
            <v>0</v>
          </cell>
          <cell r="AU20">
            <v>15.38</v>
          </cell>
          <cell r="AV20">
            <v>32.83</v>
          </cell>
          <cell r="AW20">
            <v>174.17</v>
          </cell>
          <cell r="AX20">
            <v>222.38</v>
          </cell>
          <cell r="AY20">
            <v>19.25</v>
          </cell>
          <cell r="AZ20">
            <v>103.17</v>
          </cell>
          <cell r="BA20">
            <v>574.79999999999995</v>
          </cell>
          <cell r="BB20">
            <v>12526</v>
          </cell>
          <cell r="BC20">
            <v>3393</v>
          </cell>
          <cell r="BD20">
            <v>789</v>
          </cell>
          <cell r="BE20">
            <v>3745</v>
          </cell>
          <cell r="BF20">
            <v>503</v>
          </cell>
          <cell r="BG20">
            <v>73</v>
          </cell>
          <cell r="BH20">
            <v>21029</v>
          </cell>
          <cell r="BI20">
            <v>2405</v>
          </cell>
          <cell r="BJ20">
            <v>786</v>
          </cell>
          <cell r="BK20">
            <v>4548</v>
          </cell>
          <cell r="BL20">
            <v>0</v>
          </cell>
          <cell r="BM20">
            <v>0</v>
          </cell>
          <cell r="BN20">
            <v>1033</v>
          </cell>
          <cell r="BO20">
            <v>29801</v>
          </cell>
          <cell r="BP20">
            <v>1184</v>
          </cell>
          <cell r="BQ20">
            <v>4</v>
          </cell>
          <cell r="BR20">
            <v>411</v>
          </cell>
          <cell r="BS20">
            <v>1599</v>
          </cell>
          <cell r="BT20">
            <v>28202</v>
          </cell>
          <cell r="BU20">
            <v>2882</v>
          </cell>
          <cell r="BV20">
            <v>3874</v>
          </cell>
          <cell r="BW20">
            <v>1370</v>
          </cell>
          <cell r="BX20">
            <v>1365</v>
          </cell>
          <cell r="BY20">
            <v>270</v>
          </cell>
          <cell r="BZ20">
            <v>486</v>
          </cell>
          <cell r="CA20">
            <v>54</v>
          </cell>
          <cell r="CB20">
            <v>0</v>
          </cell>
          <cell r="CC20">
            <v>257</v>
          </cell>
          <cell r="CD20" t="str">
            <v>..</v>
          </cell>
          <cell r="CE20" t="str">
            <v>..</v>
          </cell>
          <cell r="CF20">
            <v>72</v>
          </cell>
          <cell r="CG20" t="str">
            <v>..</v>
          </cell>
          <cell r="CH20" t="str">
            <v>..</v>
          </cell>
          <cell r="CI20" t="str">
            <v>..</v>
          </cell>
          <cell r="CJ20">
            <v>1641</v>
          </cell>
          <cell r="CK20" t="str">
            <v>..</v>
          </cell>
          <cell r="CL20">
            <v>326</v>
          </cell>
          <cell r="CM20" t="str">
            <v>..</v>
          </cell>
          <cell r="CN20" t="str">
            <v>..</v>
          </cell>
          <cell r="CO20">
            <v>13485</v>
          </cell>
          <cell r="CP20">
            <v>3845</v>
          </cell>
          <cell r="CQ20">
            <v>753</v>
          </cell>
          <cell r="CR20">
            <v>3712</v>
          </cell>
          <cell r="CS20">
            <v>563</v>
          </cell>
          <cell r="CT20">
            <v>120</v>
          </cell>
          <cell r="CU20">
            <v>22478</v>
          </cell>
          <cell r="CV20">
            <v>2289</v>
          </cell>
          <cell r="CW20">
            <v>506</v>
          </cell>
          <cell r="CX20">
            <v>4623</v>
          </cell>
          <cell r="CY20">
            <v>0</v>
          </cell>
          <cell r="CZ20">
            <v>0</v>
          </cell>
          <cell r="DA20">
            <v>1055</v>
          </cell>
          <cell r="DB20">
            <v>30951</v>
          </cell>
          <cell r="DC20">
            <v>1025</v>
          </cell>
          <cell r="DD20">
            <v>0</v>
          </cell>
          <cell r="DE20">
            <v>0</v>
          </cell>
          <cell r="DF20">
            <v>1025</v>
          </cell>
          <cell r="DG20">
            <v>29926</v>
          </cell>
          <cell r="DH20">
            <v>3204</v>
          </cell>
          <cell r="DI20">
            <v>0</v>
          </cell>
          <cell r="DJ20">
            <v>0</v>
          </cell>
          <cell r="DK20">
            <v>910</v>
          </cell>
          <cell r="DL20">
            <v>314</v>
          </cell>
          <cell r="DM20">
            <v>810</v>
          </cell>
          <cell r="DN20">
            <v>50</v>
          </cell>
          <cell r="DO20">
            <v>0</v>
          </cell>
          <cell r="DP20">
            <v>285</v>
          </cell>
          <cell r="DQ20" t="str">
            <v>..</v>
          </cell>
          <cell r="DR20" t="str">
            <v>..</v>
          </cell>
          <cell r="DS20">
            <v>79</v>
          </cell>
          <cell r="DT20" t="str">
            <v>..</v>
          </cell>
          <cell r="DU20" t="str">
            <v>..</v>
          </cell>
          <cell r="DV20" t="str">
            <v>..</v>
          </cell>
          <cell r="DW20">
            <v>2289</v>
          </cell>
          <cell r="DX20" t="str">
            <v>..</v>
          </cell>
          <cell r="DY20">
            <v>347</v>
          </cell>
          <cell r="DZ20" t="str">
            <v>..</v>
          </cell>
          <cell r="EA20" t="str">
            <v>..</v>
          </cell>
          <cell r="EB20">
            <v>0</v>
          </cell>
          <cell r="EC20">
            <v>0</v>
          </cell>
          <cell r="ED20">
            <v>14.8</v>
          </cell>
          <cell r="EE20">
            <v>300</v>
          </cell>
          <cell r="EF20">
            <v>6807</v>
          </cell>
          <cell r="EG20">
            <v>2661</v>
          </cell>
          <cell r="EH20">
            <v>23494</v>
          </cell>
          <cell r="EI20">
            <v>141</v>
          </cell>
          <cell r="EJ20">
            <v>0</v>
          </cell>
          <cell r="EK20">
            <v>33103</v>
          </cell>
          <cell r="EL20">
            <v>1705</v>
          </cell>
          <cell r="EM20">
            <v>1822</v>
          </cell>
          <cell r="EN20">
            <v>3527</v>
          </cell>
          <cell r="EO20">
            <v>26399</v>
          </cell>
          <cell r="EP20">
            <v>1523</v>
          </cell>
          <cell r="EQ20">
            <v>125</v>
          </cell>
          <cell r="ER20">
            <v>28047</v>
          </cell>
          <cell r="ES20">
            <v>60</v>
          </cell>
          <cell r="ET20">
            <v>820</v>
          </cell>
          <cell r="EU20">
            <v>0</v>
          </cell>
          <cell r="EV20">
            <v>32454</v>
          </cell>
          <cell r="EW20">
            <v>630</v>
          </cell>
          <cell r="EX20">
            <v>674</v>
          </cell>
          <cell r="EY20">
            <v>1304</v>
          </cell>
          <cell r="EZ20">
            <v>12731</v>
          </cell>
          <cell r="FA20">
            <v>735</v>
          </cell>
          <cell r="FB20">
            <v>125</v>
          </cell>
          <cell r="FC20">
            <v>13591</v>
          </cell>
          <cell r="FD20">
            <v>60</v>
          </cell>
          <cell r="FE20">
            <v>395</v>
          </cell>
          <cell r="FF20">
            <v>0</v>
          </cell>
          <cell r="FG20">
            <v>15350</v>
          </cell>
          <cell r="FH20">
            <v>-1834</v>
          </cell>
          <cell r="FI20">
            <v>-5</v>
          </cell>
          <cell r="FJ20">
            <v>-4</v>
          </cell>
          <cell r="FK20">
            <v>-1507</v>
          </cell>
          <cell r="FL20">
            <v>-104</v>
          </cell>
          <cell r="FM20">
            <v>7597</v>
          </cell>
          <cell r="FN20">
            <v>2427</v>
          </cell>
          <cell r="FO20">
            <v>5</v>
          </cell>
          <cell r="FP20">
            <v>6575</v>
          </cell>
          <cell r="FQ20">
            <v>725</v>
          </cell>
          <cell r="FR20">
            <v>0</v>
          </cell>
          <cell r="FS20">
            <v>-1858</v>
          </cell>
          <cell r="FT20">
            <v>-5</v>
          </cell>
          <cell r="FU20">
            <v>-4</v>
          </cell>
          <cell r="FV20">
            <v>-1503</v>
          </cell>
          <cell r="FW20">
            <v>0</v>
          </cell>
          <cell r="FX20">
            <v>7833</v>
          </cell>
          <cell r="FY20">
            <v>1808</v>
          </cell>
          <cell r="FZ20">
            <v>0</v>
          </cell>
          <cell r="GA20">
            <v>6271</v>
          </cell>
          <cell r="GB20">
            <v>715</v>
          </cell>
          <cell r="GC20">
            <v>0</v>
          </cell>
          <cell r="GD20">
            <v>450</v>
          </cell>
          <cell r="GE20">
            <v>456</v>
          </cell>
          <cell r="GF20">
            <v>24</v>
          </cell>
          <cell r="GG20">
            <v>0</v>
          </cell>
          <cell r="GH20">
            <v>38</v>
          </cell>
          <cell r="GI20">
            <v>19</v>
          </cell>
          <cell r="GJ20">
            <v>513</v>
          </cell>
          <cell r="GK20">
            <v>22</v>
          </cell>
          <cell r="GL20">
            <v>38</v>
          </cell>
          <cell r="GM20">
            <v>127</v>
          </cell>
          <cell r="GN20">
            <v>116</v>
          </cell>
          <cell r="GO20">
            <v>10</v>
          </cell>
          <cell r="GP20">
            <v>12348</v>
          </cell>
          <cell r="GQ20">
            <v>1838</v>
          </cell>
          <cell r="GR20">
            <v>308</v>
          </cell>
          <cell r="GS20">
            <v>12768</v>
          </cell>
          <cell r="GT20">
            <v>1838</v>
          </cell>
          <cell r="GU20">
            <v>393</v>
          </cell>
          <cell r="GV20">
            <v>0</v>
          </cell>
          <cell r="GW20">
            <v>0</v>
          </cell>
          <cell r="GX20">
            <v>923</v>
          </cell>
          <cell r="GY20">
            <v>391</v>
          </cell>
          <cell r="GZ20">
            <v>7</v>
          </cell>
          <cell r="HA20">
            <v>550</v>
          </cell>
          <cell r="HB20">
            <v>21</v>
          </cell>
          <cell r="HC20">
            <v>0</v>
          </cell>
          <cell r="HD20">
            <v>110</v>
          </cell>
          <cell r="HE20">
            <v>37</v>
          </cell>
          <cell r="HF20">
            <v>235</v>
          </cell>
          <cell r="HG20">
            <v>293</v>
          </cell>
          <cell r="HH20">
            <v>0</v>
          </cell>
          <cell r="HI20">
            <v>0</v>
          </cell>
          <cell r="HJ20">
            <v>0</v>
          </cell>
          <cell r="HK20">
            <v>0</v>
          </cell>
          <cell r="HL20">
            <v>2567</v>
          </cell>
          <cell r="HM20">
            <v>0</v>
          </cell>
          <cell r="HN20">
            <v>0</v>
          </cell>
          <cell r="HO20">
            <v>2050</v>
          </cell>
          <cell r="HP20">
            <v>485</v>
          </cell>
          <cell r="HQ20">
            <v>0</v>
          </cell>
          <cell r="HR20">
            <v>3001</v>
          </cell>
          <cell r="HS20">
            <v>459</v>
          </cell>
          <cell r="HT20">
            <v>0</v>
          </cell>
          <cell r="HU20">
            <v>0</v>
          </cell>
          <cell r="HV20">
            <v>264</v>
          </cell>
          <cell r="HW20">
            <v>5</v>
          </cell>
          <cell r="HX20">
            <v>325</v>
          </cell>
          <cell r="HY20">
            <v>591</v>
          </cell>
          <cell r="HZ20">
            <v>1370</v>
          </cell>
          <cell r="IA20">
            <v>0</v>
          </cell>
          <cell r="IB20">
            <v>0</v>
          </cell>
          <cell r="IC20">
            <v>8550</v>
          </cell>
          <cell r="ID20">
            <v>0</v>
          </cell>
          <cell r="IE20">
            <v>0</v>
          </cell>
          <cell r="IF20">
            <v>5026</v>
          </cell>
          <cell r="IG20">
            <v>1241</v>
          </cell>
          <cell r="IH20">
            <v>0</v>
          </cell>
          <cell r="II20">
            <v>3853</v>
          </cell>
          <cell r="IJ20">
            <v>147</v>
          </cell>
          <cell r="IK20">
            <v>0</v>
          </cell>
          <cell r="IL20">
            <v>347</v>
          </cell>
          <cell r="IM20">
            <v>24</v>
          </cell>
          <cell r="IN20">
            <v>264</v>
          </cell>
          <cell r="IO20">
            <v>257</v>
          </cell>
          <cell r="IP20">
            <v>18</v>
          </cell>
          <cell r="IQ20">
            <v>0</v>
          </cell>
          <cell r="IR20">
            <v>0</v>
          </cell>
          <cell r="IS20">
            <v>0</v>
          </cell>
          <cell r="IT20">
            <v>11177</v>
          </cell>
          <cell r="IU20" t="str">
            <v>Bromsgrove Police &amp; Fire stn, and by 03/2020 Wyre Forest Emergency Services Hub</v>
          </cell>
          <cell r="IV20" t="str">
            <v>ISV, Argocat, Off Road x 3, EPU, Line Rescue, RAV x2, Water Rescue x4 YFA x2 Water Carrier x 3, CSU</v>
          </cell>
          <cell r="IW20" t="str">
            <v>..</v>
          </cell>
          <cell r="IX20" t="str">
            <v>Injury scheme and ill health charges and back funding of LGPS deficit</v>
          </cell>
          <cell r="IY20" t="str">
            <v>Rental Income</v>
          </cell>
          <cell r="IZ20" t="str">
            <v>Sale of Assets, incident recovery costs and sale of assets</v>
          </cell>
          <cell r="JA20" t="str">
            <v>..</v>
          </cell>
          <cell r="JB20" t="str">
            <v>..</v>
          </cell>
        </row>
        <row r="21">
          <cell r="A21" t="str">
            <v>E6114</v>
          </cell>
          <cell r="B21" t="str">
            <v>East Sussex</v>
          </cell>
          <cell r="C21" t="str">
            <v>Gavin Turner</v>
          </cell>
          <cell r="D21" t="str">
            <v>Gavin Turner</v>
          </cell>
          <cell r="E21" t="str">
            <v>01323 462287</v>
          </cell>
          <cell r="F21" t="str">
            <v>gavin.turner@esfrs.org</v>
          </cell>
          <cell r="G21" t="str">
            <v>Gavin Turner</v>
          </cell>
          <cell r="H21" t="str">
            <v>Gavin Turner</v>
          </cell>
          <cell r="I21" t="str">
            <v>01323 462287</v>
          </cell>
          <cell r="J21" t="str">
            <v>gavinturner@esfrs.org</v>
          </cell>
          <cell r="K21" t="str">
            <v xml:space="preserve">Joanna.Knightley@eastsussex.gov.uk </v>
          </cell>
          <cell r="L21">
            <v>6</v>
          </cell>
          <cell r="M21">
            <v>12</v>
          </cell>
          <cell r="N21">
            <v>6</v>
          </cell>
          <cell r="O21">
            <v>0</v>
          </cell>
          <cell r="P21">
            <v>24</v>
          </cell>
          <cell r="Q21">
            <v>3</v>
          </cell>
          <cell r="R21">
            <v>6</v>
          </cell>
          <cell r="S21">
            <v>12</v>
          </cell>
          <cell r="T21">
            <v>6</v>
          </cell>
          <cell r="U21">
            <v>0</v>
          </cell>
          <cell r="V21">
            <v>24</v>
          </cell>
          <cell r="W21">
            <v>3</v>
          </cell>
          <cell r="X21">
            <v>41</v>
          </cell>
          <cell r="Y21">
            <v>41</v>
          </cell>
          <cell r="Z21">
            <v>3</v>
          </cell>
          <cell r="AA21">
            <v>5</v>
          </cell>
          <cell r="AB21">
            <v>38</v>
          </cell>
          <cell r="AC21">
            <v>10</v>
          </cell>
          <cell r="AD21">
            <v>48</v>
          </cell>
          <cell r="AE21">
            <v>145</v>
          </cell>
          <cell r="AF21">
            <v>69</v>
          </cell>
          <cell r="AG21">
            <v>6</v>
          </cell>
          <cell r="AH21">
            <v>2</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v>16533.080859999998</v>
          </cell>
          <cell r="BC21">
            <v>2133.9435800000001</v>
          </cell>
          <cell r="BD21">
            <v>1955.5976999999998</v>
          </cell>
          <cell r="BE21">
            <v>5871.8395100000007</v>
          </cell>
          <cell r="BF21">
            <v>811.03707999999995</v>
          </cell>
          <cell r="BG21">
            <v>1039.7499199999997</v>
          </cell>
          <cell r="BH21">
            <v>28345.248649999994</v>
          </cell>
          <cell r="BI21">
            <v>2347.9080700000009</v>
          </cell>
          <cell r="BJ21">
            <v>1181.6636199999998</v>
          </cell>
          <cell r="BK21">
            <v>6846.3233599999994</v>
          </cell>
          <cell r="BL21">
            <v>947.67369999999994</v>
          </cell>
          <cell r="BM21">
            <v>0</v>
          </cell>
          <cell r="BN21">
            <v>2289.6102999999998</v>
          </cell>
          <cell r="BO21">
            <v>41958.427699999993</v>
          </cell>
          <cell r="BP21">
            <v>932.53217999999993</v>
          </cell>
          <cell r="BQ21">
            <v>1373.36617</v>
          </cell>
          <cell r="BR21">
            <v>1099.2051000000004</v>
          </cell>
          <cell r="BS21">
            <v>3405.1034500000005</v>
          </cell>
          <cell r="BT21">
            <v>38553.324249999991</v>
          </cell>
          <cell r="BU21">
            <v>2965.8264100000001</v>
          </cell>
          <cell r="BV21">
            <v>0</v>
          </cell>
          <cell r="BW21" t="str">
            <v>..</v>
          </cell>
          <cell r="BX21">
            <v>431</v>
          </cell>
          <cell r="BY21" t="str">
            <v>..</v>
          </cell>
          <cell r="BZ21">
            <v>496</v>
          </cell>
          <cell r="CA21">
            <v>-206</v>
          </cell>
          <cell r="CB21" t="str">
            <v>..</v>
          </cell>
          <cell r="CC21">
            <v>79.123709999999988</v>
          </cell>
          <cell r="CD21">
            <v>0</v>
          </cell>
          <cell r="CE21">
            <v>1812.70526</v>
          </cell>
          <cell r="CF21">
            <v>0</v>
          </cell>
          <cell r="CG21">
            <v>0.245</v>
          </cell>
          <cell r="CH21">
            <v>6.8811900000000001</v>
          </cell>
          <cell r="CI21">
            <v>1898.95516</v>
          </cell>
          <cell r="CJ21">
            <v>17.566330000000001</v>
          </cell>
          <cell r="CK21">
            <v>0.62008000000000008</v>
          </cell>
          <cell r="CL21">
            <v>111.43139000000001</v>
          </cell>
          <cell r="CM21">
            <v>357.01476000000002</v>
          </cell>
          <cell r="CN21">
            <v>1373.36617</v>
          </cell>
          <cell r="CO21">
            <v>18222.900000000001</v>
          </cell>
          <cell r="CP21">
            <v>2407.1999999999998</v>
          </cell>
          <cell r="CQ21">
            <v>1977.4</v>
          </cell>
          <cell r="CR21">
            <v>6336.3</v>
          </cell>
          <cell r="CS21">
            <v>545.20000000000005</v>
          </cell>
          <cell r="CT21">
            <v>752.3</v>
          </cell>
          <cell r="CU21">
            <v>30241.300000000003</v>
          </cell>
          <cell r="CV21">
            <v>2348.1999999999998</v>
          </cell>
          <cell r="CW21">
            <v>1139.0999999999999</v>
          </cell>
          <cell r="CX21">
            <v>5752.6</v>
          </cell>
          <cell r="CY21">
            <v>743.5</v>
          </cell>
          <cell r="CZ21">
            <v>0</v>
          </cell>
          <cell r="DA21">
            <v>2114.1999999999998</v>
          </cell>
          <cell r="DB21">
            <v>42338.9</v>
          </cell>
          <cell r="DC21">
            <v>1691.8</v>
          </cell>
          <cell r="DD21">
            <v>1414</v>
          </cell>
          <cell r="DE21">
            <v>692.5</v>
          </cell>
          <cell r="DF21">
            <v>3798.3</v>
          </cell>
          <cell r="DG21">
            <v>38540.6</v>
          </cell>
          <cell r="DH21">
            <v>496</v>
          </cell>
          <cell r="DI21">
            <v>0</v>
          </cell>
          <cell r="DJ21" t="str">
            <v>..</v>
          </cell>
          <cell r="DK21">
            <v>431</v>
          </cell>
          <cell r="DL21" t="str">
            <v>..</v>
          </cell>
          <cell r="DM21">
            <v>496</v>
          </cell>
          <cell r="DN21">
            <v>-230</v>
          </cell>
          <cell r="DO21" t="str">
            <v>..</v>
          </cell>
          <cell r="DP21">
            <v>0</v>
          </cell>
          <cell r="DQ21">
            <v>0</v>
          </cell>
          <cell r="DR21">
            <v>1977.4</v>
          </cell>
          <cell r="DS21">
            <v>0</v>
          </cell>
          <cell r="DT21">
            <v>25.8</v>
          </cell>
          <cell r="DU21">
            <v>8.1999999999999993</v>
          </cell>
          <cell r="DV21">
            <v>2011.4</v>
          </cell>
          <cell r="DW21">
            <v>52.8</v>
          </cell>
          <cell r="DX21">
            <v>1.4</v>
          </cell>
          <cell r="DY21">
            <v>32.9</v>
          </cell>
          <cell r="DZ21">
            <v>286.89999999999998</v>
          </cell>
          <cell r="EA21">
            <v>1414</v>
          </cell>
          <cell r="EB21" t="str">
            <v>..</v>
          </cell>
          <cell r="EC21">
            <v>0</v>
          </cell>
          <cell r="ED21" t="str">
            <v>..</v>
          </cell>
          <cell r="EE21" t="str">
            <v>..</v>
          </cell>
          <cell r="EF21">
            <v>4284.9949999999999</v>
          </cell>
          <cell r="EG21">
            <v>7435.7049999999999</v>
          </cell>
          <cell r="EH21">
            <v>27214.9</v>
          </cell>
          <cell r="EI21">
            <v>170</v>
          </cell>
          <cell r="EJ21">
            <v>-69</v>
          </cell>
          <cell r="EK21">
            <v>39036.6</v>
          </cell>
          <cell r="EL21">
            <v>1002.3714699999999</v>
          </cell>
          <cell r="EM21">
            <v>1073.3096699999999</v>
          </cell>
          <cell r="EN21">
            <v>2075.6811399999997</v>
          </cell>
          <cell r="EO21">
            <v>21391.744912000002</v>
          </cell>
          <cell r="EP21">
            <v>1757.61203</v>
          </cell>
          <cell r="EQ21">
            <v>173.2997</v>
          </cell>
          <cell r="ER21">
            <v>23322.656642000002</v>
          </cell>
          <cell r="ES21">
            <v>41.424589999999995</v>
          </cell>
          <cell r="ET21">
            <v>849.837672</v>
          </cell>
          <cell r="EU21">
            <v>12263.727126000002</v>
          </cell>
          <cell r="EV21">
            <v>38553.327170000004</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v>-2248</v>
          </cell>
          <cell r="FI21">
            <v>-31</v>
          </cell>
          <cell r="FJ21">
            <v>0</v>
          </cell>
          <cell r="FK21">
            <v>-1829</v>
          </cell>
          <cell r="FL21">
            <v>0</v>
          </cell>
          <cell r="FM21">
            <v>9528</v>
          </cell>
          <cell r="FN21">
            <v>2471</v>
          </cell>
          <cell r="FO21">
            <v>61</v>
          </cell>
          <cell r="FP21">
            <v>7952</v>
          </cell>
          <cell r="FQ21">
            <v>0</v>
          </cell>
          <cell r="FR21" t="str">
            <v>..</v>
          </cell>
          <cell r="FS21">
            <v>-3694</v>
          </cell>
          <cell r="FT21">
            <v>-83</v>
          </cell>
          <cell r="FU21">
            <v>0</v>
          </cell>
          <cell r="FV21">
            <v>-1627</v>
          </cell>
          <cell r="FW21">
            <v>0</v>
          </cell>
          <cell r="FX21">
            <v>9622</v>
          </cell>
          <cell r="FY21">
            <v>992</v>
          </cell>
          <cell r="FZ21">
            <v>0</v>
          </cell>
          <cell r="GA21">
            <v>5210</v>
          </cell>
          <cell r="GB21">
            <v>0</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t="str">
            <v>..</v>
          </cell>
          <cell r="GO21" t="str">
            <v>..</v>
          </cell>
          <cell r="GP21">
            <v>10096</v>
          </cell>
          <cell r="GQ21">
            <v>3142</v>
          </cell>
          <cell r="GR21">
            <v>319</v>
          </cell>
          <cell r="GS21">
            <v>9944</v>
          </cell>
          <cell r="GT21">
            <v>2417</v>
          </cell>
          <cell r="GU21">
            <v>187</v>
          </cell>
          <cell r="GV21">
            <v>0</v>
          </cell>
          <cell r="GW21">
            <v>0</v>
          </cell>
          <cell r="GX21">
            <v>0</v>
          </cell>
          <cell r="GY21">
            <v>931</v>
          </cell>
          <cell r="GZ21">
            <v>0</v>
          </cell>
          <cell r="HA21">
            <v>281</v>
          </cell>
          <cell r="HB21">
            <v>0</v>
          </cell>
          <cell r="HC21">
            <v>0</v>
          </cell>
          <cell r="HD21">
            <v>0</v>
          </cell>
          <cell r="HE21">
            <v>123</v>
          </cell>
          <cell r="HF21">
            <v>0</v>
          </cell>
          <cell r="HG21">
            <v>0</v>
          </cell>
          <cell r="HH21">
            <v>681</v>
          </cell>
          <cell r="HI21">
            <v>0</v>
          </cell>
          <cell r="HJ21">
            <v>0</v>
          </cell>
          <cell r="HK21">
            <v>0</v>
          </cell>
          <cell r="HL21">
            <v>2016</v>
          </cell>
          <cell r="HM21">
            <v>0</v>
          </cell>
          <cell r="HN21">
            <v>0</v>
          </cell>
          <cell r="HO21">
            <v>0</v>
          </cell>
          <cell r="HP21">
            <v>317</v>
          </cell>
          <cell r="HQ21">
            <v>0</v>
          </cell>
          <cell r="HR21">
            <v>680</v>
          </cell>
          <cell r="HS21">
            <v>0</v>
          </cell>
          <cell r="HT21">
            <v>0</v>
          </cell>
          <cell r="HU21">
            <v>0</v>
          </cell>
          <cell r="HV21">
            <v>13</v>
          </cell>
          <cell r="HW21">
            <v>0</v>
          </cell>
          <cell r="HX21">
            <v>0</v>
          </cell>
          <cell r="HY21">
            <v>0</v>
          </cell>
          <cell r="HZ21">
            <v>0</v>
          </cell>
          <cell r="IA21">
            <v>0</v>
          </cell>
          <cell r="IB21">
            <v>0</v>
          </cell>
          <cell r="IC21">
            <v>1010</v>
          </cell>
          <cell r="ID21">
            <v>0</v>
          </cell>
          <cell r="IE21">
            <v>0</v>
          </cell>
          <cell r="IF21">
            <v>0</v>
          </cell>
          <cell r="IG21">
            <v>3375</v>
          </cell>
          <cell r="IH21">
            <v>0</v>
          </cell>
          <cell r="II21">
            <v>3353</v>
          </cell>
          <cell r="IJ21">
            <v>0</v>
          </cell>
          <cell r="IK21">
            <v>0</v>
          </cell>
          <cell r="IL21">
            <v>0</v>
          </cell>
          <cell r="IM21">
            <v>0</v>
          </cell>
          <cell r="IN21">
            <v>0</v>
          </cell>
          <cell r="IO21">
            <v>0</v>
          </cell>
          <cell r="IP21">
            <v>0</v>
          </cell>
          <cell r="IQ21">
            <v>0</v>
          </cell>
          <cell r="IR21">
            <v>0</v>
          </cell>
          <cell r="IS21">
            <v>0</v>
          </cell>
          <cell r="IT21">
            <v>6728</v>
          </cell>
          <cell r="IU21" t="str">
            <v>Sussex Police / SECAmb</v>
          </cell>
          <cell r="IV21" t="str">
            <v>Landrover defenders</v>
          </cell>
          <cell r="IW21" t="str">
            <v>..</v>
          </cell>
          <cell r="IX21" t="str">
            <v>CERA, Transfers to Reserves and MRP</v>
          </cell>
          <cell r="IY21" t="str">
            <v>..</v>
          </cell>
          <cell r="IZ21" t="str">
            <v>..</v>
          </cell>
          <cell r="JA21" t="str">
            <v>..</v>
          </cell>
          <cell r="JB21" t="str">
            <v>..</v>
          </cell>
        </row>
        <row r="22">
          <cell r="A22" t="str">
            <v>E6144</v>
          </cell>
          <cell r="B22" t="str">
            <v>South Yorkshire</v>
          </cell>
          <cell r="C22" t="str">
            <v>Sara Slater</v>
          </cell>
          <cell r="D22" t="str">
            <v>Head of Finance</v>
          </cell>
          <cell r="E22" t="str">
            <v>0114 253 2330</v>
          </cell>
          <cell r="F22" t="str">
            <v>sslater@syfire.gov.uk</v>
          </cell>
          <cell r="G22" t="str">
            <v>Carl Pike</v>
          </cell>
          <cell r="H22" t="str">
            <v>Principal Accountant</v>
          </cell>
          <cell r="I22" t="str">
            <v>0114 253 2448</v>
          </cell>
          <cell r="J22" t="str">
            <v>cpike@syfire.gov.uk</v>
          </cell>
          <cell r="K22" t="str">
            <v>..</v>
          </cell>
          <cell r="L22">
            <v>14</v>
          </cell>
          <cell r="M22">
            <v>4</v>
          </cell>
          <cell r="N22">
            <v>3</v>
          </cell>
          <cell r="O22">
            <v>0</v>
          </cell>
          <cell r="P22">
            <v>21</v>
          </cell>
          <cell r="Q22">
            <v>1</v>
          </cell>
          <cell r="R22">
            <v>14</v>
          </cell>
          <cell r="S22">
            <v>4</v>
          </cell>
          <cell r="T22">
            <v>3</v>
          </cell>
          <cell r="U22">
            <v>0</v>
          </cell>
          <cell r="V22">
            <v>21</v>
          </cell>
          <cell r="W22">
            <v>1</v>
          </cell>
          <cell r="X22">
            <v>27</v>
          </cell>
          <cell r="Y22">
            <v>27</v>
          </cell>
          <cell r="Z22">
            <v>2</v>
          </cell>
          <cell r="AA22">
            <v>9</v>
          </cell>
          <cell r="AB22">
            <v>39</v>
          </cell>
          <cell r="AC22">
            <v>0</v>
          </cell>
          <cell r="AD22">
            <v>4</v>
          </cell>
          <cell r="AE22">
            <v>81</v>
          </cell>
          <cell r="AF22">
            <v>101</v>
          </cell>
          <cell r="AG22">
            <v>4</v>
          </cell>
          <cell r="AH22">
            <v>3</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v>27683</v>
          </cell>
          <cell r="BC22">
            <v>1346</v>
          </cell>
          <cell r="BD22">
            <v>1241</v>
          </cell>
          <cell r="BE22">
            <v>7137</v>
          </cell>
          <cell r="BF22">
            <v>466</v>
          </cell>
          <cell r="BG22">
            <v>1245</v>
          </cell>
          <cell r="BH22">
            <v>39118</v>
          </cell>
          <cell r="BI22">
            <v>3280</v>
          </cell>
          <cell r="BJ22">
            <v>1036</v>
          </cell>
          <cell r="BK22">
            <v>5470</v>
          </cell>
          <cell r="BL22">
            <v>121</v>
          </cell>
          <cell r="BM22">
            <v>374</v>
          </cell>
          <cell r="BN22">
            <v>0</v>
          </cell>
          <cell r="BO22">
            <v>49399</v>
          </cell>
          <cell r="BP22">
            <v>411</v>
          </cell>
          <cell r="BQ22">
            <v>0</v>
          </cell>
          <cell r="BR22">
            <v>1102</v>
          </cell>
          <cell r="BS22">
            <v>1513</v>
          </cell>
          <cell r="BT22">
            <v>47886</v>
          </cell>
          <cell r="BU22">
            <v>4299</v>
          </cell>
          <cell r="BV22">
            <v>40512</v>
          </cell>
          <cell r="BW22">
            <v>0</v>
          </cell>
          <cell r="BX22">
            <v>959</v>
          </cell>
          <cell r="BY22">
            <v>266</v>
          </cell>
          <cell r="BZ22">
            <v>1067</v>
          </cell>
          <cell r="CA22">
            <v>-91</v>
          </cell>
          <cell r="CB22">
            <v>0</v>
          </cell>
          <cell r="CC22">
            <v>376</v>
          </cell>
          <cell r="CD22">
            <v>0</v>
          </cell>
          <cell r="CE22">
            <v>0</v>
          </cell>
          <cell r="CF22">
            <v>1630</v>
          </cell>
          <cell r="CG22">
            <v>0</v>
          </cell>
          <cell r="CH22">
            <v>1</v>
          </cell>
          <cell r="CI22">
            <v>2007</v>
          </cell>
          <cell r="CJ22">
            <v>21</v>
          </cell>
          <cell r="CK22">
            <v>329</v>
          </cell>
          <cell r="CL22">
            <v>584</v>
          </cell>
          <cell r="CM22">
            <v>0</v>
          </cell>
          <cell r="CN22">
            <v>159</v>
          </cell>
          <cell r="CO22">
            <v>31633</v>
          </cell>
          <cell r="CP22">
            <v>1533</v>
          </cell>
          <cell r="CQ22">
            <v>1236</v>
          </cell>
          <cell r="CR22">
            <v>7529</v>
          </cell>
          <cell r="CS22">
            <v>475</v>
          </cell>
          <cell r="CT22">
            <v>1167</v>
          </cell>
          <cell r="CU22">
            <v>43573</v>
          </cell>
          <cell r="CV22">
            <v>2963</v>
          </cell>
          <cell r="CW22">
            <v>945</v>
          </cell>
          <cell r="CX22">
            <v>4131</v>
          </cell>
          <cell r="CY22">
            <v>132</v>
          </cell>
          <cell r="CZ22">
            <v>326</v>
          </cell>
          <cell r="DA22">
            <v>0</v>
          </cell>
          <cell r="DB22">
            <v>52070</v>
          </cell>
          <cell r="DC22">
            <v>246</v>
          </cell>
          <cell r="DD22">
            <v>0</v>
          </cell>
          <cell r="DE22">
            <v>1026</v>
          </cell>
          <cell r="DF22">
            <v>1272</v>
          </cell>
          <cell r="DG22">
            <v>50798</v>
          </cell>
          <cell r="DH22">
            <v>2766</v>
          </cell>
          <cell r="DI22">
            <v>40512</v>
          </cell>
          <cell r="DJ22">
            <v>0</v>
          </cell>
          <cell r="DK22">
            <v>1035</v>
          </cell>
          <cell r="DL22">
            <v>158</v>
          </cell>
          <cell r="DM22">
            <v>1013</v>
          </cell>
          <cell r="DN22">
            <v>-91</v>
          </cell>
          <cell r="DO22">
            <v>0</v>
          </cell>
          <cell r="DP22">
            <v>456</v>
          </cell>
          <cell r="DQ22">
            <v>0</v>
          </cell>
          <cell r="DR22">
            <v>0</v>
          </cell>
          <cell r="DS22">
            <v>2115</v>
          </cell>
          <cell r="DT22">
            <v>0</v>
          </cell>
          <cell r="DU22">
            <v>1</v>
          </cell>
          <cell r="DV22">
            <v>2572</v>
          </cell>
          <cell r="DW22">
            <v>79</v>
          </cell>
          <cell r="DX22">
            <v>261</v>
          </cell>
          <cell r="DY22">
            <v>829</v>
          </cell>
          <cell r="DZ22">
            <v>0</v>
          </cell>
          <cell r="EA22">
            <v>244</v>
          </cell>
          <cell r="EB22">
            <v>0</v>
          </cell>
          <cell r="EC22">
            <v>0</v>
          </cell>
          <cell r="ED22">
            <v>13.9</v>
          </cell>
          <cell r="EE22">
            <v>555</v>
          </cell>
          <cell r="EF22">
            <v>11575</v>
          </cell>
          <cell r="EG22">
            <v>15622</v>
          </cell>
          <cell r="EH22">
            <v>26027</v>
          </cell>
          <cell r="EI22">
            <v>762</v>
          </cell>
          <cell r="EJ22">
            <v>236</v>
          </cell>
          <cell r="EK22">
            <v>54222</v>
          </cell>
          <cell r="EL22">
            <v>1060</v>
          </cell>
          <cell r="EM22">
            <v>1920</v>
          </cell>
          <cell r="EN22">
            <v>2980</v>
          </cell>
          <cell r="EO22">
            <v>28056</v>
          </cell>
          <cell r="EP22">
            <v>1935</v>
          </cell>
          <cell r="EQ22">
            <v>340</v>
          </cell>
          <cell r="ER22">
            <v>30331</v>
          </cell>
          <cell r="ES22">
            <v>233</v>
          </cell>
          <cell r="ET22">
            <v>129</v>
          </cell>
          <cell r="EU22">
            <v>18512</v>
          </cell>
          <cell r="EV22">
            <v>52185</v>
          </cell>
          <cell r="EW22">
            <v>1159</v>
          </cell>
          <cell r="EX22">
            <v>2124</v>
          </cell>
          <cell r="EY22">
            <v>3283</v>
          </cell>
          <cell r="EZ22">
            <v>29191</v>
          </cell>
          <cell r="FA22">
            <v>2209</v>
          </cell>
          <cell r="FB22">
            <v>244</v>
          </cell>
          <cell r="FC22">
            <v>31644</v>
          </cell>
          <cell r="FD22">
            <v>183</v>
          </cell>
          <cell r="FE22">
            <v>140</v>
          </cell>
          <cell r="FF22">
            <v>18314</v>
          </cell>
          <cell r="FG22">
            <v>53564</v>
          </cell>
          <cell r="FH22">
            <v>-3222</v>
          </cell>
          <cell r="FI22">
            <v>-60</v>
          </cell>
          <cell r="FJ22">
            <v>0</v>
          </cell>
          <cell r="FK22">
            <v>-2642</v>
          </cell>
          <cell r="FL22">
            <v>-196</v>
          </cell>
          <cell r="FM22">
            <v>20715</v>
          </cell>
          <cell r="FN22">
            <v>4314</v>
          </cell>
          <cell r="FO22">
            <v>0</v>
          </cell>
          <cell r="FP22">
            <v>18909</v>
          </cell>
          <cell r="FQ22">
            <v>669</v>
          </cell>
          <cell r="FR22">
            <v>0</v>
          </cell>
          <cell r="FS22">
            <v>-6061</v>
          </cell>
          <cell r="FT22">
            <v>-20</v>
          </cell>
          <cell r="FU22">
            <v>0</v>
          </cell>
          <cell r="FV22">
            <v>-2726</v>
          </cell>
          <cell r="FW22">
            <v>0</v>
          </cell>
          <cell r="FX22">
            <v>21829</v>
          </cell>
          <cell r="FY22">
            <v>4925</v>
          </cell>
          <cell r="FZ22">
            <v>0</v>
          </cell>
          <cell r="GA22">
            <v>17947</v>
          </cell>
          <cell r="GB22">
            <v>726</v>
          </cell>
          <cell r="GC22">
            <v>0</v>
          </cell>
          <cell r="GD22">
            <v>1286</v>
          </cell>
          <cell r="GE22">
            <v>1334</v>
          </cell>
          <cell r="GF22">
            <v>28</v>
          </cell>
          <cell r="GG22">
            <v>0</v>
          </cell>
          <cell r="GH22">
            <v>113</v>
          </cell>
          <cell r="GI22">
            <v>0</v>
          </cell>
          <cell r="GJ22">
            <v>504</v>
          </cell>
          <cell r="GK22">
            <v>5</v>
          </cell>
          <cell r="GL22">
            <v>52</v>
          </cell>
          <cell r="GM22">
            <v>36</v>
          </cell>
          <cell r="GN22">
            <v>7</v>
          </cell>
          <cell r="GO22">
            <v>5</v>
          </cell>
          <cell r="GP22">
            <v>17400</v>
          </cell>
          <cell r="GQ22">
            <v>7117</v>
          </cell>
          <cell r="GR22">
            <v>196</v>
          </cell>
          <cell r="GS22">
            <v>17289</v>
          </cell>
          <cell r="GT22">
            <v>5604</v>
          </cell>
          <cell r="GU22">
            <v>410</v>
          </cell>
          <cell r="GV22">
            <v>44</v>
          </cell>
          <cell r="GW22">
            <v>0</v>
          </cell>
          <cell r="GX22">
            <v>599</v>
          </cell>
          <cell r="GY22">
            <v>1175</v>
          </cell>
          <cell r="GZ22">
            <v>0</v>
          </cell>
          <cell r="HA22">
            <v>378</v>
          </cell>
          <cell r="HB22">
            <v>97</v>
          </cell>
          <cell r="HC22">
            <v>0</v>
          </cell>
          <cell r="HD22">
            <v>171</v>
          </cell>
          <cell r="HE22">
            <v>58</v>
          </cell>
          <cell r="HF22">
            <v>241</v>
          </cell>
          <cell r="HG22">
            <v>136</v>
          </cell>
          <cell r="HH22">
            <v>219</v>
          </cell>
          <cell r="HI22">
            <v>0</v>
          </cell>
          <cell r="HJ22">
            <v>0</v>
          </cell>
          <cell r="HK22">
            <v>0</v>
          </cell>
          <cell r="HL22">
            <v>3118</v>
          </cell>
          <cell r="HM22">
            <v>18</v>
          </cell>
          <cell r="HN22">
            <v>0</v>
          </cell>
          <cell r="HO22">
            <v>130</v>
          </cell>
          <cell r="HP22">
            <v>555</v>
          </cell>
          <cell r="HQ22">
            <v>29</v>
          </cell>
          <cell r="HR22">
            <v>163</v>
          </cell>
          <cell r="HS22">
            <v>32</v>
          </cell>
          <cell r="HT22">
            <v>0</v>
          </cell>
          <cell r="HU22">
            <v>33</v>
          </cell>
          <cell r="HV22">
            <v>225</v>
          </cell>
          <cell r="HW22">
            <v>376</v>
          </cell>
          <cell r="HX22">
            <v>0</v>
          </cell>
          <cell r="HY22">
            <v>498</v>
          </cell>
          <cell r="HZ22">
            <v>0</v>
          </cell>
          <cell r="IA22">
            <v>0</v>
          </cell>
          <cell r="IB22">
            <v>0</v>
          </cell>
          <cell r="IC22">
            <v>2059</v>
          </cell>
          <cell r="ID22">
            <v>115</v>
          </cell>
          <cell r="IE22">
            <v>0</v>
          </cell>
          <cell r="IF22">
            <v>2895</v>
          </cell>
          <cell r="IG22">
            <v>2609</v>
          </cell>
          <cell r="IH22">
            <v>11</v>
          </cell>
          <cell r="II22">
            <v>1401</v>
          </cell>
          <cell r="IJ22">
            <v>406</v>
          </cell>
          <cell r="IK22">
            <v>0</v>
          </cell>
          <cell r="IL22">
            <v>0</v>
          </cell>
          <cell r="IM22">
            <v>341</v>
          </cell>
          <cell r="IN22">
            <v>752</v>
          </cell>
          <cell r="IO22">
            <v>0</v>
          </cell>
          <cell r="IP22">
            <v>522</v>
          </cell>
          <cell r="IQ22">
            <v>0</v>
          </cell>
          <cell r="IR22">
            <v>0</v>
          </cell>
          <cell r="IS22">
            <v>0</v>
          </cell>
          <cell r="IT22">
            <v>9052</v>
          </cell>
          <cell r="IU22" t="str">
            <v>Maltby Fire Station is a shared building with South Yorkshire Police</v>
          </cell>
          <cell r="IV22" t="str">
            <v>..</v>
          </cell>
          <cell r="IW22" t="str">
            <v>..</v>
          </cell>
          <cell r="IX22" t="str">
            <v>..</v>
          </cell>
          <cell r="IY22" t="str">
            <v>..</v>
          </cell>
          <cell r="IZ22" t="str">
            <v>..</v>
          </cell>
          <cell r="JA22" t="str">
            <v>..</v>
          </cell>
          <cell r="JB22" t="str">
            <v>..</v>
          </cell>
        </row>
        <row r="23">
          <cell r="A23" t="str">
            <v>E6120</v>
          </cell>
          <cell r="B23" t="str">
            <v>Humberside</v>
          </cell>
          <cell r="C23" t="str">
            <v>Shaun Edwards</v>
          </cell>
          <cell r="D23" t="str">
            <v>Senior Finance Officer</v>
          </cell>
          <cell r="E23" t="str">
            <v>01482 567476</v>
          </cell>
          <cell r="F23" t="str">
            <v>sedwards@humbersidefire.gov.uk</v>
          </cell>
          <cell r="G23" t="str">
            <v>Shaun Edwards</v>
          </cell>
          <cell r="H23" t="str">
            <v>Senior Finance Officer</v>
          </cell>
          <cell r="I23" t="str">
            <v>01482 567476</v>
          </cell>
          <cell r="J23" t="str">
            <v>sedwards@humbersidefire.gov.uk</v>
          </cell>
          <cell r="K23" t="str">
            <v>..</v>
          </cell>
          <cell r="L23">
            <v>9</v>
          </cell>
          <cell r="M23">
            <v>19</v>
          </cell>
          <cell r="N23">
            <v>3</v>
          </cell>
          <cell r="O23">
            <v>0</v>
          </cell>
          <cell r="P23">
            <v>31</v>
          </cell>
          <cell r="Q23">
            <v>1</v>
          </cell>
          <cell r="R23">
            <v>9</v>
          </cell>
          <cell r="S23">
            <v>19</v>
          </cell>
          <cell r="T23">
            <v>3</v>
          </cell>
          <cell r="U23">
            <v>0</v>
          </cell>
          <cell r="V23">
            <v>31</v>
          </cell>
          <cell r="W23">
            <v>3</v>
          </cell>
          <cell r="X23">
            <v>43</v>
          </cell>
          <cell r="Y23">
            <v>44</v>
          </cell>
          <cell r="Z23">
            <v>4</v>
          </cell>
          <cell r="AA23">
            <v>4</v>
          </cell>
          <cell r="AB23">
            <v>36</v>
          </cell>
          <cell r="AC23">
            <v>0</v>
          </cell>
          <cell r="AD23">
            <v>6</v>
          </cell>
          <cell r="AE23">
            <v>94</v>
          </cell>
          <cell r="AF23">
            <v>109</v>
          </cell>
          <cell r="AG23">
            <v>6</v>
          </cell>
          <cell r="AH23">
            <v>4</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v>26131</v>
          </cell>
          <cell r="BC23">
            <v>4262</v>
          </cell>
          <cell r="BD23">
            <v>1085</v>
          </cell>
          <cell r="BE23">
            <v>3715</v>
          </cell>
          <cell r="BF23">
            <v>533</v>
          </cell>
          <cell r="BG23">
            <v>1482</v>
          </cell>
          <cell r="BH23">
            <v>37208</v>
          </cell>
          <cell r="BI23">
            <v>1723</v>
          </cell>
          <cell r="BJ23">
            <v>865</v>
          </cell>
          <cell r="BK23">
            <v>3299</v>
          </cell>
          <cell r="BL23">
            <v>187</v>
          </cell>
          <cell r="BM23">
            <v>0</v>
          </cell>
          <cell r="BN23">
            <v>0</v>
          </cell>
          <cell r="BO23">
            <v>43282</v>
          </cell>
          <cell r="BP23">
            <v>721</v>
          </cell>
          <cell r="BQ23">
            <v>0</v>
          </cell>
          <cell r="BR23">
            <v>1915</v>
          </cell>
          <cell r="BS23">
            <v>2636</v>
          </cell>
          <cell r="BT23">
            <v>40646</v>
          </cell>
          <cell r="BU23">
            <v>3401</v>
          </cell>
          <cell r="BV23">
            <v>7203</v>
          </cell>
          <cell r="BW23">
            <v>0</v>
          </cell>
          <cell r="BX23">
            <v>1079</v>
          </cell>
          <cell r="BY23">
            <v>0</v>
          </cell>
          <cell r="BZ23">
            <v>683</v>
          </cell>
          <cell r="CA23">
            <v>56</v>
          </cell>
          <cell r="CB23">
            <v>0</v>
          </cell>
          <cell r="CC23">
            <v>402</v>
          </cell>
          <cell r="CD23">
            <v>39</v>
          </cell>
          <cell r="CE23">
            <v>0</v>
          </cell>
          <cell r="CF23">
            <v>752</v>
          </cell>
          <cell r="CG23">
            <v>0</v>
          </cell>
          <cell r="CH23">
            <v>194</v>
          </cell>
          <cell r="CI23">
            <v>1387</v>
          </cell>
          <cell r="CJ23">
            <v>1571</v>
          </cell>
          <cell r="CK23">
            <v>829</v>
          </cell>
          <cell r="CL23">
            <v>1535</v>
          </cell>
          <cell r="CM23">
            <v>38</v>
          </cell>
          <cell r="CN23">
            <v>338</v>
          </cell>
          <cell r="CO23">
            <v>24571</v>
          </cell>
          <cell r="CP23">
            <v>4642</v>
          </cell>
          <cell r="CQ23">
            <v>1227</v>
          </cell>
          <cell r="CR23">
            <v>6239</v>
          </cell>
          <cell r="CS23">
            <v>422</v>
          </cell>
          <cell r="CT23">
            <v>1113</v>
          </cell>
          <cell r="CU23">
            <v>38214</v>
          </cell>
          <cell r="CV23">
            <v>2661</v>
          </cell>
          <cell r="CW23">
            <v>1664</v>
          </cell>
          <cell r="CX23">
            <v>3370</v>
          </cell>
          <cell r="CY23">
            <v>204</v>
          </cell>
          <cell r="CZ23">
            <v>0</v>
          </cell>
          <cell r="DA23">
            <v>0</v>
          </cell>
          <cell r="DB23">
            <v>46113</v>
          </cell>
          <cell r="DC23">
            <v>2543</v>
          </cell>
          <cell r="DD23">
            <v>0</v>
          </cell>
          <cell r="DE23">
            <v>1958</v>
          </cell>
          <cell r="DF23">
            <v>4501</v>
          </cell>
          <cell r="DG23">
            <v>41612</v>
          </cell>
          <cell r="DH23">
            <v>1958</v>
          </cell>
          <cell r="DI23">
            <v>7500</v>
          </cell>
          <cell r="DJ23">
            <v>0</v>
          </cell>
          <cell r="DK23">
            <v>1177</v>
          </cell>
          <cell r="DL23">
            <v>0</v>
          </cell>
          <cell r="DM23">
            <v>635</v>
          </cell>
          <cell r="DN23">
            <v>50</v>
          </cell>
          <cell r="DO23">
            <v>0</v>
          </cell>
          <cell r="DP23">
            <v>400</v>
          </cell>
          <cell r="DQ23">
            <v>50</v>
          </cell>
          <cell r="DR23">
            <v>0</v>
          </cell>
          <cell r="DS23">
            <v>750</v>
          </cell>
          <cell r="DT23">
            <v>0</v>
          </cell>
          <cell r="DU23">
            <v>200</v>
          </cell>
          <cell r="DV23">
            <v>1400</v>
          </cell>
          <cell r="DW23">
            <v>1600</v>
          </cell>
          <cell r="DX23">
            <v>850</v>
          </cell>
          <cell r="DY23">
            <v>1500</v>
          </cell>
          <cell r="DZ23">
            <v>50</v>
          </cell>
          <cell r="EA23">
            <v>350</v>
          </cell>
          <cell r="EB23">
            <v>0</v>
          </cell>
          <cell r="EC23">
            <v>337</v>
          </cell>
          <cell r="ED23">
            <v>16.8</v>
          </cell>
          <cell r="EE23">
            <v>94</v>
          </cell>
          <cell r="EF23">
            <v>16830</v>
          </cell>
          <cell r="EG23">
            <v>3549</v>
          </cell>
          <cell r="EH23">
            <v>22993</v>
          </cell>
          <cell r="EI23">
            <v>277</v>
          </cell>
          <cell r="EJ23">
            <v>-74</v>
          </cell>
          <cell r="EK23">
            <v>43575</v>
          </cell>
          <cell r="EL23" t="str">
            <v>..</v>
          </cell>
          <cell r="EM23" t="str">
            <v>..</v>
          </cell>
          <cell r="EN23">
            <v>4697</v>
          </cell>
          <cell r="EO23" t="str">
            <v>..</v>
          </cell>
          <cell r="EP23" t="str">
            <v>..</v>
          </cell>
          <cell r="EQ23" t="str">
            <v>..</v>
          </cell>
          <cell r="ER23">
            <v>39171</v>
          </cell>
          <cell r="ES23">
            <v>0</v>
          </cell>
          <cell r="ET23">
            <v>179</v>
          </cell>
          <cell r="EU23">
            <v>0</v>
          </cell>
          <cell r="EV23">
            <v>44047</v>
          </cell>
          <cell r="EW23" t="str">
            <v>..</v>
          </cell>
          <cell r="EX23" t="str">
            <v>..</v>
          </cell>
          <cell r="EY23">
            <v>1606</v>
          </cell>
          <cell r="EZ23" t="str">
            <v>..</v>
          </cell>
          <cell r="FA23" t="str">
            <v>..</v>
          </cell>
          <cell r="FB23" t="str">
            <v>..</v>
          </cell>
          <cell r="FC23">
            <v>12450</v>
          </cell>
          <cell r="FD23">
            <v>0</v>
          </cell>
          <cell r="FE23">
            <v>0</v>
          </cell>
          <cell r="FF23">
            <v>0</v>
          </cell>
          <cell r="FG23">
            <v>14056</v>
          </cell>
          <cell r="FH23">
            <v>-2982</v>
          </cell>
          <cell r="FI23">
            <v>-251</v>
          </cell>
          <cell r="FJ23">
            <v>-10</v>
          </cell>
          <cell r="FK23">
            <v>-2573</v>
          </cell>
          <cell r="FL23">
            <v>-126</v>
          </cell>
          <cell r="FM23">
            <v>15273</v>
          </cell>
          <cell r="FN23">
            <v>3955</v>
          </cell>
          <cell r="FO23">
            <v>8</v>
          </cell>
          <cell r="FP23">
            <v>13294</v>
          </cell>
          <cell r="FQ23">
            <v>467</v>
          </cell>
          <cell r="FR23">
            <v>0</v>
          </cell>
          <cell r="FS23">
            <v>-5794</v>
          </cell>
          <cell r="FT23">
            <v>-120</v>
          </cell>
          <cell r="FU23">
            <v>0</v>
          </cell>
          <cell r="FV23">
            <v>-2511</v>
          </cell>
          <cell r="FW23">
            <v>-100</v>
          </cell>
          <cell r="FX23">
            <v>16192</v>
          </cell>
          <cell r="FY23">
            <v>2791</v>
          </cell>
          <cell r="FZ23">
            <v>0</v>
          </cell>
          <cell r="GA23">
            <v>10458</v>
          </cell>
          <cell r="GB23">
            <v>482</v>
          </cell>
          <cell r="GC23">
            <v>0</v>
          </cell>
          <cell r="GD23">
            <v>1025</v>
          </cell>
          <cell r="GE23">
            <v>1053</v>
          </cell>
          <cell r="GF23">
            <v>28</v>
          </cell>
          <cell r="GG23">
            <v>3</v>
          </cell>
          <cell r="GH23">
            <v>89</v>
          </cell>
          <cell r="GI23">
            <v>8</v>
          </cell>
          <cell r="GJ23">
            <v>623</v>
          </cell>
          <cell r="GK23">
            <v>42</v>
          </cell>
          <cell r="GL23">
            <v>49</v>
          </cell>
          <cell r="GM23">
            <v>115</v>
          </cell>
          <cell r="GN23">
            <v>74</v>
          </cell>
          <cell r="GO23">
            <v>13</v>
          </cell>
          <cell r="GP23">
            <v>4600</v>
          </cell>
          <cell r="GQ23">
            <v>5270</v>
          </cell>
          <cell r="GR23">
            <v>197</v>
          </cell>
          <cell r="GS23">
            <v>4938</v>
          </cell>
          <cell r="GT23">
            <v>5251</v>
          </cell>
          <cell r="GU23">
            <v>0</v>
          </cell>
          <cell r="GV23">
            <v>0</v>
          </cell>
          <cell r="GW23">
            <v>0</v>
          </cell>
          <cell r="GX23">
            <v>0</v>
          </cell>
          <cell r="GY23">
            <v>804</v>
          </cell>
          <cell r="GZ23">
            <v>0</v>
          </cell>
          <cell r="HA23">
            <v>1565</v>
          </cell>
          <cell r="HB23">
            <v>263</v>
          </cell>
          <cell r="HC23">
            <v>0</v>
          </cell>
          <cell r="HD23">
            <v>0</v>
          </cell>
          <cell r="HE23">
            <v>0</v>
          </cell>
          <cell r="HF23">
            <v>15</v>
          </cell>
          <cell r="HG23">
            <v>425</v>
          </cell>
          <cell r="HH23">
            <v>250</v>
          </cell>
          <cell r="HI23">
            <v>0</v>
          </cell>
          <cell r="HJ23">
            <v>0</v>
          </cell>
          <cell r="HK23">
            <v>0</v>
          </cell>
          <cell r="HL23">
            <v>3322</v>
          </cell>
          <cell r="HM23">
            <v>0</v>
          </cell>
          <cell r="HN23">
            <v>0</v>
          </cell>
          <cell r="HO23">
            <v>0</v>
          </cell>
          <cell r="HP23">
            <v>595</v>
          </cell>
          <cell r="HQ23">
            <v>0</v>
          </cell>
          <cell r="HR23">
            <v>1556</v>
          </cell>
          <cell r="HS23">
            <v>200</v>
          </cell>
          <cell r="HT23">
            <v>0</v>
          </cell>
          <cell r="HU23">
            <v>0</v>
          </cell>
          <cell r="HV23">
            <v>0</v>
          </cell>
          <cell r="HW23">
            <v>37</v>
          </cell>
          <cell r="HX23">
            <v>297</v>
          </cell>
          <cell r="HY23">
            <v>286</v>
          </cell>
          <cell r="HZ23">
            <v>0</v>
          </cell>
          <cell r="IA23">
            <v>0</v>
          </cell>
          <cell r="IB23">
            <v>0</v>
          </cell>
          <cell r="IC23">
            <v>2971</v>
          </cell>
          <cell r="ID23">
            <v>1000</v>
          </cell>
          <cell r="IE23">
            <v>0</v>
          </cell>
          <cell r="IF23">
            <v>0</v>
          </cell>
          <cell r="IG23">
            <v>3664</v>
          </cell>
          <cell r="IH23">
            <v>0</v>
          </cell>
          <cell r="II23">
            <v>450</v>
          </cell>
          <cell r="IJ23">
            <v>499</v>
          </cell>
          <cell r="IK23">
            <v>0</v>
          </cell>
          <cell r="IL23">
            <v>0</v>
          </cell>
          <cell r="IM23">
            <v>0</v>
          </cell>
          <cell r="IN23">
            <v>0</v>
          </cell>
          <cell r="IO23">
            <v>926</v>
          </cell>
          <cell r="IP23">
            <v>69</v>
          </cell>
          <cell r="IQ23">
            <v>0</v>
          </cell>
          <cell r="IR23">
            <v>0</v>
          </cell>
          <cell r="IS23">
            <v>0</v>
          </cell>
          <cell r="IT23">
            <v>6608</v>
          </cell>
          <cell r="IU23" t="str">
            <v>One of our stations is currently attached to a newly built Integrates Care Centre within Hull which we lease from health. Going forward we are looking at co-location with the Police and Ambulance services at two other fire stations</v>
          </cell>
          <cell r="IV23" t="str">
            <v>2x TRV's, 2x Rescue Support Units</v>
          </cell>
          <cell r="IW23" t="str">
            <v>..</v>
          </cell>
          <cell r="IX23" t="str">
            <v>..</v>
          </cell>
          <cell r="IY23" t="str">
            <v>..</v>
          </cell>
          <cell r="IZ23" t="str">
            <v>Staff secondments / Aerial Rentals / Extingusiher Maintenance / Collaboration re. Falls Team</v>
          </cell>
          <cell r="JA23" t="str">
            <v>..</v>
          </cell>
          <cell r="JB23" t="str">
            <v>..</v>
          </cell>
        </row>
        <row r="24">
          <cell r="A24" t="str">
            <v>E1620</v>
          </cell>
          <cell r="B24" t="str">
            <v>Gloucestershire</v>
          </cell>
          <cell r="C24" t="str">
            <v>Dave Benson</v>
          </cell>
          <cell r="D24" t="str">
            <v>Group Manager</v>
          </cell>
          <cell r="E24" t="str">
            <v>07768493029</v>
          </cell>
          <cell r="F24" t="str">
            <v>dave.benson@glosfire.gov.uk</v>
          </cell>
          <cell r="G24" t="str">
            <v>Nicki Jones</v>
          </cell>
          <cell r="H24" t="str">
            <v>Senior Finance Officer</v>
          </cell>
          <cell r="I24" t="str">
            <v>01452 328914</v>
          </cell>
          <cell r="J24" t="str">
            <v>nicki.jones@gloucestershire.gov.uk</v>
          </cell>
          <cell r="K24" t="str">
            <v>..</v>
          </cell>
          <cell r="L24">
            <v>2</v>
          </cell>
          <cell r="M24">
            <v>16</v>
          </cell>
          <cell r="N24">
            <v>3</v>
          </cell>
          <cell r="O24">
            <v>0</v>
          </cell>
          <cell r="P24">
            <v>21</v>
          </cell>
          <cell r="Q24">
            <v>9</v>
          </cell>
          <cell r="R24">
            <v>2</v>
          </cell>
          <cell r="S24">
            <v>16</v>
          </cell>
          <cell r="T24">
            <v>3</v>
          </cell>
          <cell r="U24">
            <v>0</v>
          </cell>
          <cell r="V24">
            <v>21</v>
          </cell>
          <cell r="W24">
            <v>13</v>
          </cell>
          <cell r="X24">
            <v>31</v>
          </cell>
          <cell r="Y24">
            <v>31</v>
          </cell>
          <cell r="Z24">
            <v>2</v>
          </cell>
          <cell r="AA24">
            <v>13</v>
          </cell>
          <cell r="AB24">
            <v>26</v>
          </cell>
          <cell r="AC24">
            <v>0</v>
          </cell>
          <cell r="AD24">
            <v>3</v>
          </cell>
          <cell r="AE24">
            <v>75</v>
          </cell>
          <cell r="AF24">
            <v>53</v>
          </cell>
          <cell r="AG24">
            <v>4</v>
          </cell>
          <cell r="AH24">
            <v>2</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v>8253</v>
          </cell>
          <cell r="BC24">
            <v>2269</v>
          </cell>
          <cell r="BD24">
            <v>801</v>
          </cell>
          <cell r="BE24">
            <v>1102</v>
          </cell>
          <cell r="BF24">
            <v>616</v>
          </cell>
          <cell r="BG24">
            <v>142</v>
          </cell>
          <cell r="BH24">
            <v>13183</v>
          </cell>
          <cell r="BI24">
            <v>2336</v>
          </cell>
          <cell r="BJ24">
            <v>1145</v>
          </cell>
          <cell r="BK24">
            <v>2487</v>
          </cell>
          <cell r="BL24">
            <v>1554</v>
          </cell>
          <cell r="BM24">
            <v>0</v>
          </cell>
          <cell r="BN24">
            <v>2208</v>
          </cell>
          <cell r="BO24">
            <v>22913</v>
          </cell>
          <cell r="BP24">
            <v>5086</v>
          </cell>
          <cell r="BQ24">
            <v>0</v>
          </cell>
          <cell r="BR24">
            <v>668</v>
          </cell>
          <cell r="BS24">
            <v>5754</v>
          </cell>
          <cell r="BT24">
            <v>17159</v>
          </cell>
          <cell r="BU24">
            <v>-1542</v>
          </cell>
          <cell r="BV24">
            <v>13202</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v>
          </cell>
          <cell r="CO24">
            <v>8137</v>
          </cell>
          <cell r="CP24">
            <v>2177</v>
          </cell>
          <cell r="CQ24">
            <v>836</v>
          </cell>
          <cell r="CR24">
            <v>1212</v>
          </cell>
          <cell r="CS24">
            <v>539</v>
          </cell>
          <cell r="CT24">
            <v>357</v>
          </cell>
          <cell r="CU24">
            <v>13258</v>
          </cell>
          <cell r="CV24">
            <v>2347</v>
          </cell>
          <cell r="CW24">
            <v>1103</v>
          </cell>
          <cell r="CX24">
            <v>3296</v>
          </cell>
          <cell r="CY24">
            <v>1664</v>
          </cell>
          <cell r="CZ24">
            <v>0</v>
          </cell>
          <cell r="DA24">
            <v>2000</v>
          </cell>
          <cell r="DB24">
            <v>23668</v>
          </cell>
          <cell r="DC24">
            <v>6375</v>
          </cell>
          <cell r="DD24">
            <v>0</v>
          </cell>
          <cell r="DE24">
            <v>579</v>
          </cell>
          <cell r="DF24">
            <v>6954</v>
          </cell>
          <cell r="DG24">
            <v>16714</v>
          </cell>
          <cell r="DH24">
            <v>3280</v>
          </cell>
          <cell r="DI24">
            <v>2500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7</v>
          </cell>
          <cell r="EB24">
            <v>0</v>
          </cell>
          <cell r="EC24">
            <v>53</v>
          </cell>
          <cell r="ED24">
            <v>29.9</v>
          </cell>
          <cell r="EE24">
            <v>0</v>
          </cell>
          <cell r="EF24">
            <v>0</v>
          </cell>
          <cell r="EG24">
            <v>0</v>
          </cell>
          <cell r="EH24">
            <v>0</v>
          </cell>
          <cell r="EI24">
            <v>0</v>
          </cell>
          <cell r="EJ24">
            <v>0</v>
          </cell>
          <cell r="EK24">
            <v>0</v>
          </cell>
          <cell r="EL24">
            <v>809</v>
          </cell>
          <cell r="EM24">
            <v>260</v>
          </cell>
          <cell r="EN24">
            <v>1069</v>
          </cell>
          <cell r="EO24">
            <v>13323</v>
          </cell>
          <cell r="EP24">
            <v>920</v>
          </cell>
          <cell r="EQ24">
            <v>108</v>
          </cell>
          <cell r="ER24">
            <v>14351</v>
          </cell>
          <cell r="ES24">
            <v>-3</v>
          </cell>
          <cell r="ET24">
            <v>200</v>
          </cell>
          <cell r="EU24">
            <v>0</v>
          </cell>
          <cell r="EV24">
            <v>15617</v>
          </cell>
          <cell r="EW24">
            <v>657</v>
          </cell>
          <cell r="EX24">
            <v>8</v>
          </cell>
          <cell r="EY24">
            <v>665</v>
          </cell>
          <cell r="EZ24">
            <v>9988</v>
          </cell>
          <cell r="FA24">
            <v>3</v>
          </cell>
          <cell r="FB24">
            <v>4</v>
          </cell>
          <cell r="FC24">
            <v>9995</v>
          </cell>
          <cell r="FD24">
            <v>1</v>
          </cell>
          <cell r="FE24">
            <v>0</v>
          </cell>
          <cell r="FF24">
            <v>0</v>
          </cell>
          <cell r="FG24">
            <v>10661</v>
          </cell>
          <cell r="FH24">
            <v>-1269</v>
          </cell>
          <cell r="FI24">
            <v>0</v>
          </cell>
          <cell r="FJ24">
            <v>0</v>
          </cell>
          <cell r="FK24">
            <v>-1081</v>
          </cell>
          <cell r="FL24">
            <v>-198</v>
          </cell>
          <cell r="FM24">
            <v>5888</v>
          </cell>
          <cell r="FN24">
            <v>1160</v>
          </cell>
          <cell r="FO24">
            <v>0</v>
          </cell>
          <cell r="FP24">
            <v>4500</v>
          </cell>
          <cell r="FQ24">
            <v>145</v>
          </cell>
          <cell r="FR24">
            <v>0</v>
          </cell>
          <cell r="FS24">
            <v>-1261</v>
          </cell>
          <cell r="FT24">
            <v>0</v>
          </cell>
          <cell r="FU24">
            <v>0</v>
          </cell>
          <cell r="FV24">
            <v>-1053</v>
          </cell>
          <cell r="FW24">
            <v>0</v>
          </cell>
          <cell r="FX24">
            <v>6041</v>
          </cell>
          <cell r="FY24">
            <v>769</v>
          </cell>
          <cell r="FZ24">
            <v>0</v>
          </cell>
          <cell r="GA24">
            <v>4496</v>
          </cell>
          <cell r="GB24">
            <v>144</v>
          </cell>
          <cell r="GC24">
            <v>0</v>
          </cell>
          <cell r="GD24">
            <v>408</v>
          </cell>
          <cell r="GE24">
            <v>422</v>
          </cell>
          <cell r="GF24">
            <v>14</v>
          </cell>
          <cell r="GG24">
            <v>0</v>
          </cell>
          <cell r="GH24">
            <v>37</v>
          </cell>
          <cell r="GI24">
            <v>9</v>
          </cell>
          <cell r="GJ24">
            <v>343</v>
          </cell>
          <cell r="GK24">
            <v>10</v>
          </cell>
          <cell r="GL24">
            <v>33</v>
          </cell>
          <cell r="GM24">
            <v>204</v>
          </cell>
          <cell r="GN24">
            <v>124</v>
          </cell>
          <cell r="GO24">
            <v>20</v>
          </cell>
          <cell r="GP24">
            <v>4542</v>
          </cell>
          <cell r="GQ24">
            <v>0</v>
          </cell>
          <cell r="GR24">
            <v>10</v>
          </cell>
          <cell r="GS24">
            <v>4749</v>
          </cell>
          <cell r="GT24">
            <v>0</v>
          </cell>
          <cell r="GU24">
            <v>0</v>
          </cell>
          <cell r="GV24">
            <v>0</v>
          </cell>
          <cell r="GW24">
            <v>0</v>
          </cell>
          <cell r="GX24">
            <v>51</v>
          </cell>
          <cell r="GY24">
            <v>13</v>
          </cell>
          <cell r="GZ24">
            <v>0</v>
          </cell>
          <cell r="HA24">
            <v>304</v>
          </cell>
          <cell r="HB24">
            <v>0</v>
          </cell>
          <cell r="HC24">
            <v>0</v>
          </cell>
          <cell r="HD24">
            <v>0</v>
          </cell>
          <cell r="HE24">
            <v>100</v>
          </cell>
          <cell r="HF24">
            <v>47</v>
          </cell>
          <cell r="HG24">
            <v>0</v>
          </cell>
          <cell r="HH24">
            <v>679</v>
          </cell>
          <cell r="HI24">
            <v>0</v>
          </cell>
          <cell r="HJ24">
            <v>0</v>
          </cell>
          <cell r="HK24">
            <v>0</v>
          </cell>
          <cell r="HL24">
            <v>1194</v>
          </cell>
          <cell r="HM24">
            <v>0</v>
          </cell>
          <cell r="HN24">
            <v>0</v>
          </cell>
          <cell r="HO24">
            <v>0</v>
          </cell>
          <cell r="HP24">
            <v>0</v>
          </cell>
          <cell r="HQ24">
            <v>0</v>
          </cell>
          <cell r="HR24">
            <v>445</v>
          </cell>
          <cell r="HS24">
            <v>46</v>
          </cell>
          <cell r="HT24">
            <v>0</v>
          </cell>
          <cell r="HU24">
            <v>0</v>
          </cell>
          <cell r="HV24">
            <v>40</v>
          </cell>
          <cell r="HW24">
            <v>2</v>
          </cell>
          <cell r="HX24">
            <v>0</v>
          </cell>
          <cell r="HY24">
            <v>99</v>
          </cell>
          <cell r="HZ24">
            <v>0</v>
          </cell>
          <cell r="IA24">
            <v>0</v>
          </cell>
          <cell r="IB24">
            <v>0</v>
          </cell>
          <cell r="IC24">
            <v>632</v>
          </cell>
          <cell r="ID24">
            <v>600</v>
          </cell>
          <cell r="IE24">
            <v>0</v>
          </cell>
          <cell r="IF24">
            <v>124</v>
          </cell>
          <cell r="IG24">
            <v>0</v>
          </cell>
          <cell r="IH24">
            <v>0</v>
          </cell>
          <cell r="II24">
            <v>0</v>
          </cell>
          <cell r="IJ24">
            <v>86</v>
          </cell>
          <cell r="IK24">
            <v>0</v>
          </cell>
          <cell r="IL24">
            <v>0</v>
          </cell>
          <cell r="IM24">
            <v>300</v>
          </cell>
          <cell r="IN24">
            <v>0</v>
          </cell>
          <cell r="IO24">
            <v>0</v>
          </cell>
          <cell r="IP24">
            <v>300</v>
          </cell>
          <cell r="IQ24">
            <v>0</v>
          </cell>
          <cell r="IR24">
            <v>0</v>
          </cell>
          <cell r="IS24">
            <v>0</v>
          </cell>
          <cell r="IT24">
            <v>1410</v>
          </cell>
          <cell r="IU24" t="str">
            <v>Police, Ambulance, Red Cross, SARArescue</v>
          </cell>
          <cell r="IV24" t="str">
            <v>SISU, Water Carrier, EPU, Boats x 3, 4 x 4 (Rope Rescue), Fogging Unit, Command Unit, MDU</v>
          </cell>
          <cell r="IW24" t="str">
            <v>..</v>
          </cell>
          <cell r="IX24" t="str">
            <v>..</v>
          </cell>
          <cell r="IY24" t="str">
            <v>..</v>
          </cell>
          <cell r="IZ24" t="str">
            <v>..</v>
          </cell>
          <cell r="JA24" t="str">
            <v>..</v>
          </cell>
          <cell r="JB24" t="str">
            <v>..</v>
          </cell>
        </row>
        <row r="25">
          <cell r="A25" t="str">
            <v>E2520</v>
          </cell>
          <cell r="B25" t="str">
            <v>Lincolnshire</v>
          </cell>
          <cell r="C25" t="str">
            <v>Diane Sharp</v>
          </cell>
          <cell r="D25" t="str">
            <v>Community Risk Manager</v>
          </cell>
          <cell r="E25" t="str">
            <v>01522 555953</v>
          </cell>
          <cell r="F25" t="str">
            <v>diane.sharp@lincoln.fire-uk.org</v>
          </cell>
          <cell r="G25" t="str">
            <v>Donna Jessep</v>
          </cell>
          <cell r="H25" t="str">
            <v>Senior Finance Technician</v>
          </cell>
          <cell r="I25" t="str">
            <v>01522 554047</v>
          </cell>
          <cell r="J25" t="str">
            <v>..</v>
          </cell>
          <cell r="K25" t="str">
            <v>..</v>
          </cell>
          <cell r="L25">
            <v>0</v>
          </cell>
          <cell r="M25">
            <v>29</v>
          </cell>
          <cell r="N25">
            <v>9</v>
          </cell>
          <cell r="O25">
            <v>0</v>
          </cell>
          <cell r="P25">
            <v>38</v>
          </cell>
          <cell r="Q25">
            <v>4</v>
          </cell>
          <cell r="R25">
            <v>0</v>
          </cell>
          <cell r="S25">
            <v>29</v>
          </cell>
          <cell r="T25">
            <v>9</v>
          </cell>
          <cell r="U25">
            <v>0</v>
          </cell>
          <cell r="V25">
            <v>38</v>
          </cell>
          <cell r="W25">
            <v>5</v>
          </cell>
          <cell r="X25">
            <v>48</v>
          </cell>
          <cell r="Y25">
            <v>48</v>
          </cell>
          <cell r="Z25">
            <v>2</v>
          </cell>
          <cell r="AA25">
            <v>37</v>
          </cell>
          <cell r="AB25">
            <v>49</v>
          </cell>
          <cell r="AC25">
            <v>0</v>
          </cell>
          <cell r="AD25">
            <v>6</v>
          </cell>
          <cell r="AE25">
            <v>142</v>
          </cell>
          <cell r="AF25">
            <v>40</v>
          </cell>
          <cell r="AG25">
            <v>5</v>
          </cell>
          <cell r="AH25">
            <v>3</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v>10137</v>
          </cell>
          <cell r="BC25">
            <v>4300</v>
          </cell>
          <cell r="BD25">
            <v>683</v>
          </cell>
          <cell r="BE25">
            <v>1884</v>
          </cell>
          <cell r="BF25">
            <v>588</v>
          </cell>
          <cell r="BG25">
            <v>17</v>
          </cell>
          <cell r="BH25">
            <v>17609</v>
          </cell>
          <cell r="BI25">
            <v>1299</v>
          </cell>
          <cell r="BJ25">
            <v>1262</v>
          </cell>
          <cell r="BK25">
            <v>1822</v>
          </cell>
          <cell r="BL25">
            <v>2943</v>
          </cell>
          <cell r="BM25">
            <v>0</v>
          </cell>
          <cell r="BN25">
            <v>0</v>
          </cell>
          <cell r="BO25">
            <v>24935</v>
          </cell>
          <cell r="BP25">
            <v>1184</v>
          </cell>
          <cell r="BQ25">
            <v>0</v>
          </cell>
          <cell r="BR25">
            <v>1041</v>
          </cell>
          <cell r="BS25">
            <v>2225</v>
          </cell>
          <cell r="BT25">
            <v>22710</v>
          </cell>
          <cell r="BU25">
            <v>4108</v>
          </cell>
          <cell r="BV25">
            <v>685</v>
          </cell>
          <cell r="BW25">
            <v>0</v>
          </cell>
          <cell r="BX25">
            <v>0</v>
          </cell>
          <cell r="BY25">
            <v>0</v>
          </cell>
          <cell r="BZ25">
            <v>0</v>
          </cell>
          <cell r="CA25">
            <v>0</v>
          </cell>
          <cell r="CB25">
            <v>0</v>
          </cell>
          <cell r="CC25">
            <v>0</v>
          </cell>
          <cell r="CD25">
            <v>0</v>
          </cell>
          <cell r="CE25">
            <v>0</v>
          </cell>
          <cell r="CF25">
            <v>0</v>
          </cell>
          <cell r="CG25">
            <v>0</v>
          </cell>
          <cell r="CH25">
            <v>0</v>
          </cell>
          <cell r="CI25">
            <v>0</v>
          </cell>
          <cell r="CJ25">
            <v>96</v>
          </cell>
          <cell r="CK25">
            <v>0</v>
          </cell>
          <cell r="CL25">
            <v>0</v>
          </cell>
          <cell r="CM25">
            <v>0</v>
          </cell>
          <cell r="CN25">
            <v>27</v>
          </cell>
          <cell r="CO25">
            <v>10332</v>
          </cell>
          <cell r="CP25">
            <v>4629</v>
          </cell>
          <cell r="CQ25">
            <v>721</v>
          </cell>
          <cell r="CR25">
            <v>1559</v>
          </cell>
          <cell r="CS25">
            <v>502</v>
          </cell>
          <cell r="CT25">
            <v>21</v>
          </cell>
          <cell r="CU25">
            <v>17764</v>
          </cell>
          <cell r="CV25">
            <v>1299</v>
          </cell>
          <cell r="CW25">
            <v>1189</v>
          </cell>
          <cell r="CX25">
            <v>1975</v>
          </cell>
          <cell r="CY25">
            <v>2750</v>
          </cell>
          <cell r="CZ25">
            <v>0</v>
          </cell>
          <cell r="DA25">
            <v>0</v>
          </cell>
          <cell r="DB25">
            <v>24977</v>
          </cell>
          <cell r="DC25">
            <v>1191</v>
          </cell>
          <cell r="DD25">
            <v>0</v>
          </cell>
          <cell r="DE25">
            <v>1486</v>
          </cell>
          <cell r="DF25">
            <v>2677</v>
          </cell>
          <cell r="DG25">
            <v>22300</v>
          </cell>
          <cell r="DH25">
            <v>4108</v>
          </cell>
          <cell r="DI25">
            <v>685</v>
          </cell>
          <cell r="DJ25">
            <v>0</v>
          </cell>
          <cell r="DK25">
            <v>0</v>
          </cell>
          <cell r="DL25">
            <v>0</v>
          </cell>
          <cell r="DM25">
            <v>0</v>
          </cell>
          <cell r="DN25">
            <v>0</v>
          </cell>
          <cell r="DO25">
            <v>0</v>
          </cell>
          <cell r="DP25">
            <v>0</v>
          </cell>
          <cell r="DQ25">
            <v>0</v>
          </cell>
          <cell r="DR25">
            <v>0</v>
          </cell>
          <cell r="DS25">
            <v>0</v>
          </cell>
          <cell r="DT25">
            <v>0</v>
          </cell>
          <cell r="DU25">
            <v>0</v>
          </cell>
          <cell r="DV25">
            <v>0</v>
          </cell>
          <cell r="DW25">
            <v>86</v>
          </cell>
          <cell r="DX25">
            <v>0</v>
          </cell>
          <cell r="DY25">
            <v>0</v>
          </cell>
          <cell r="DZ25">
            <v>0</v>
          </cell>
          <cell r="EA25">
            <v>0</v>
          </cell>
          <cell r="EB25">
            <v>0</v>
          </cell>
          <cell r="EC25">
            <v>50</v>
          </cell>
          <cell r="ED25">
            <v>16.399999999999999</v>
          </cell>
          <cell r="EE25">
            <v>0</v>
          </cell>
          <cell r="EF25" t="str">
            <v>..</v>
          </cell>
          <cell r="EG25" t="str">
            <v>..</v>
          </cell>
          <cell r="EH25" t="str">
            <v>..</v>
          </cell>
          <cell r="EI25" t="str">
            <v>..</v>
          </cell>
          <cell r="EJ25" t="str">
            <v>..</v>
          </cell>
          <cell r="EK25" t="str">
            <v>..</v>
          </cell>
          <cell r="EL25" t="str">
            <v>..</v>
          </cell>
          <cell r="EM25" t="str">
            <v>..</v>
          </cell>
          <cell r="EN25">
            <v>1184</v>
          </cell>
          <cell r="EO25" t="str">
            <v>..</v>
          </cell>
          <cell r="EP25" t="str">
            <v>..</v>
          </cell>
          <cell r="EQ25" t="str">
            <v>..</v>
          </cell>
          <cell r="ER25">
            <v>25634</v>
          </cell>
          <cell r="ES25">
            <v>0</v>
          </cell>
          <cell r="ET25">
            <v>0</v>
          </cell>
          <cell r="EU25">
            <v>0</v>
          </cell>
          <cell r="EV25">
            <v>26818</v>
          </cell>
          <cell r="EW25" t="str">
            <v>..</v>
          </cell>
          <cell r="EX25" t="str">
            <v>..</v>
          </cell>
          <cell r="EY25">
            <v>203</v>
          </cell>
          <cell r="EZ25" t="str">
            <v>..</v>
          </cell>
          <cell r="FA25" t="str">
            <v>..</v>
          </cell>
          <cell r="FB25" t="str">
            <v>..</v>
          </cell>
          <cell r="FC25">
            <v>2723</v>
          </cell>
          <cell r="FD25">
            <v>0</v>
          </cell>
          <cell r="FE25">
            <v>0</v>
          </cell>
          <cell r="FF25">
            <v>0</v>
          </cell>
          <cell r="FG25">
            <v>2926</v>
          </cell>
          <cell r="FH25">
            <v>-1690</v>
          </cell>
          <cell r="FI25">
            <v>0</v>
          </cell>
          <cell r="FJ25">
            <v>0</v>
          </cell>
          <cell r="FK25">
            <v>-1405</v>
          </cell>
          <cell r="FL25">
            <v>-75</v>
          </cell>
          <cell r="FM25">
            <v>5348</v>
          </cell>
          <cell r="FN25">
            <v>2109</v>
          </cell>
          <cell r="FO25">
            <v>0</v>
          </cell>
          <cell r="FP25">
            <v>4287</v>
          </cell>
          <cell r="FQ25">
            <v>444</v>
          </cell>
          <cell r="FR25">
            <v>0</v>
          </cell>
          <cell r="FS25">
            <v>-1671</v>
          </cell>
          <cell r="FT25">
            <v>0</v>
          </cell>
          <cell r="FU25">
            <v>0</v>
          </cell>
          <cell r="FV25">
            <v>-1346</v>
          </cell>
          <cell r="FW25">
            <v>-35</v>
          </cell>
          <cell r="FX25">
            <v>5521</v>
          </cell>
          <cell r="FY25">
            <v>1588</v>
          </cell>
          <cell r="FZ25">
            <v>0</v>
          </cell>
          <cell r="GA25">
            <v>4057</v>
          </cell>
          <cell r="GB25">
            <v>444</v>
          </cell>
          <cell r="GC25">
            <v>0</v>
          </cell>
          <cell r="GD25">
            <v>392</v>
          </cell>
          <cell r="GE25">
            <v>392</v>
          </cell>
          <cell r="GF25">
            <v>18</v>
          </cell>
          <cell r="GG25">
            <v>0</v>
          </cell>
          <cell r="GH25">
            <v>40</v>
          </cell>
          <cell r="GI25">
            <v>19</v>
          </cell>
          <cell r="GJ25">
            <v>508</v>
          </cell>
          <cell r="GK25">
            <v>14</v>
          </cell>
          <cell r="GL25">
            <v>13</v>
          </cell>
          <cell r="GM25">
            <v>321</v>
          </cell>
          <cell r="GN25">
            <v>185</v>
          </cell>
          <cell r="GO25">
            <v>15</v>
          </cell>
          <cell r="GP25">
            <v>150</v>
          </cell>
          <cell r="GQ25">
            <v>0</v>
          </cell>
          <cell r="GR25">
            <v>0</v>
          </cell>
          <cell r="GS25">
            <v>150</v>
          </cell>
          <cell r="GT25">
            <v>0</v>
          </cell>
          <cell r="GU25">
            <v>0</v>
          </cell>
          <cell r="GV25">
            <v>73</v>
          </cell>
          <cell r="GW25">
            <v>0</v>
          </cell>
          <cell r="GX25">
            <v>0</v>
          </cell>
          <cell r="GY25">
            <v>331</v>
          </cell>
          <cell r="GZ25">
            <v>0</v>
          </cell>
          <cell r="HA25">
            <v>69</v>
          </cell>
          <cell r="HB25">
            <v>0</v>
          </cell>
          <cell r="HC25">
            <v>0</v>
          </cell>
          <cell r="HD25">
            <v>106</v>
          </cell>
          <cell r="HE25">
            <v>0</v>
          </cell>
          <cell r="HF25">
            <v>0</v>
          </cell>
          <cell r="HG25">
            <v>0</v>
          </cell>
          <cell r="HH25">
            <v>31</v>
          </cell>
          <cell r="HI25">
            <v>0</v>
          </cell>
          <cell r="HJ25">
            <v>0</v>
          </cell>
          <cell r="HK25">
            <v>0</v>
          </cell>
          <cell r="HL25">
            <v>610</v>
          </cell>
          <cell r="HM25">
            <v>183</v>
          </cell>
          <cell r="HN25">
            <v>0</v>
          </cell>
          <cell r="HO25">
            <v>5792.5129999999999</v>
          </cell>
          <cell r="HP25">
            <v>245</v>
          </cell>
          <cell r="HQ25">
            <v>0</v>
          </cell>
          <cell r="HR25">
            <v>1670</v>
          </cell>
          <cell r="HS25">
            <v>0</v>
          </cell>
          <cell r="HT25">
            <v>0</v>
          </cell>
          <cell r="HU25">
            <v>182</v>
          </cell>
          <cell r="HV25">
            <v>0</v>
          </cell>
          <cell r="HW25">
            <v>0</v>
          </cell>
          <cell r="HX25">
            <v>0</v>
          </cell>
          <cell r="HY25">
            <v>31</v>
          </cell>
          <cell r="HZ25">
            <v>0</v>
          </cell>
          <cell r="IA25">
            <v>0</v>
          </cell>
          <cell r="IB25">
            <v>0</v>
          </cell>
          <cell r="IC25">
            <v>8103.5129999999999</v>
          </cell>
          <cell r="ID25">
            <v>265</v>
          </cell>
          <cell r="IE25">
            <v>0</v>
          </cell>
          <cell r="IF25">
            <v>1351.2750000000001</v>
          </cell>
          <cell r="IG25">
            <v>234</v>
          </cell>
          <cell r="IH25">
            <v>0</v>
          </cell>
          <cell r="II25">
            <v>5775</v>
          </cell>
          <cell r="IJ25">
            <v>0</v>
          </cell>
          <cell r="IK25">
            <v>0</v>
          </cell>
          <cell r="IL25">
            <v>875</v>
          </cell>
          <cell r="IM25">
            <v>0</v>
          </cell>
          <cell r="IN25">
            <v>0</v>
          </cell>
          <cell r="IO25">
            <v>0</v>
          </cell>
          <cell r="IP25">
            <v>90</v>
          </cell>
          <cell r="IQ25">
            <v>0</v>
          </cell>
          <cell r="IR25">
            <v>0</v>
          </cell>
          <cell r="IS25">
            <v>0</v>
          </cell>
          <cell r="IT25">
            <v>8590.2749999999996</v>
          </cell>
          <cell r="IU25" t="str">
            <v>year end 31.3.19: 2 x stations shared with Lincs Police, 2 x stations shared with Ambulance. Est 31.3.20 Further 1 station shared with both Ambulance and Police.</v>
          </cell>
          <cell r="IV25" t="str">
            <v>23 x inflatable boats, 7 x swift water rescue vans, 2 x rescue support units, 1 x water carrier, 2 x canine units, 2 x mobile flood pump units</v>
          </cell>
          <cell r="IW25" t="str">
            <v>..</v>
          </cell>
          <cell r="IX25" t="str">
            <v>..</v>
          </cell>
          <cell r="IY25" t="str">
            <v>..</v>
          </cell>
          <cell r="IZ25" t="str">
            <v>..</v>
          </cell>
          <cell r="JA25" t="str">
            <v>..</v>
          </cell>
          <cell r="JB25" t="str">
            <v>..</v>
          </cell>
        </row>
        <row r="26">
          <cell r="A26" t="str">
            <v>E6127</v>
          </cell>
          <cell r="B26" t="str">
            <v>North Yorkshire</v>
          </cell>
          <cell r="C26" t="str">
            <v>Angela Hatton</v>
          </cell>
          <cell r="D26" t="str">
            <v>Business Analyst</v>
          </cell>
          <cell r="E26" t="str">
            <v>01609 788573</v>
          </cell>
          <cell r="F26" t="str">
            <v>Angela.Hatton@northyorksfire.gov.uk</v>
          </cell>
          <cell r="G26" t="str">
            <v>Carol Morrissey</v>
          </cell>
          <cell r="H26" t="str">
            <v>Management Accountant</v>
          </cell>
          <cell r="I26" t="str">
            <v>01609 780150</v>
          </cell>
          <cell r="J26" t="str">
            <v>Carol.Morrissey@northyorksfire.gov.uk</v>
          </cell>
          <cell r="K26" t="str">
            <v>Beverley.Foster@northyorksfire.gov.uk</v>
          </cell>
          <cell r="L26">
            <v>5</v>
          </cell>
          <cell r="M26">
            <v>24</v>
          </cell>
          <cell r="N26">
            <v>7</v>
          </cell>
          <cell r="O26">
            <v>2</v>
          </cell>
          <cell r="P26">
            <v>38</v>
          </cell>
          <cell r="Q26">
            <v>2</v>
          </cell>
          <cell r="R26">
            <v>5</v>
          </cell>
          <cell r="S26">
            <v>24</v>
          </cell>
          <cell r="T26">
            <v>7</v>
          </cell>
          <cell r="U26">
            <v>2</v>
          </cell>
          <cell r="V26">
            <v>38</v>
          </cell>
          <cell r="W26">
            <v>2</v>
          </cell>
          <cell r="X26">
            <v>46</v>
          </cell>
          <cell r="Y26">
            <v>46</v>
          </cell>
          <cell r="Z26">
            <v>3</v>
          </cell>
          <cell r="AA26">
            <v>8</v>
          </cell>
          <cell r="AB26">
            <v>47</v>
          </cell>
          <cell r="AC26">
            <v>0</v>
          </cell>
          <cell r="AD26">
            <v>8</v>
          </cell>
          <cell r="AE26">
            <v>112</v>
          </cell>
          <cell r="AF26">
            <v>71</v>
          </cell>
          <cell r="AG26">
            <v>4</v>
          </cell>
          <cell r="AH26">
            <v>3</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v>14781</v>
          </cell>
          <cell r="BC26">
            <v>2968</v>
          </cell>
          <cell r="BD26">
            <v>701</v>
          </cell>
          <cell r="BE26">
            <v>3077</v>
          </cell>
          <cell r="BF26">
            <v>1108</v>
          </cell>
          <cell r="BG26">
            <v>134</v>
          </cell>
          <cell r="BH26">
            <v>22769</v>
          </cell>
          <cell r="BI26">
            <v>2889</v>
          </cell>
          <cell r="BJ26">
            <v>1321</v>
          </cell>
          <cell r="BK26">
            <v>3150</v>
          </cell>
          <cell r="BL26">
            <v>228</v>
          </cell>
          <cell r="BM26">
            <v>0</v>
          </cell>
          <cell r="BN26">
            <v>0</v>
          </cell>
          <cell r="BO26">
            <v>30357</v>
          </cell>
          <cell r="BP26">
            <v>1245</v>
          </cell>
          <cell r="BQ26">
            <v>0</v>
          </cell>
          <cell r="BR26">
            <v>575</v>
          </cell>
          <cell r="BS26">
            <v>1820</v>
          </cell>
          <cell r="BT26">
            <v>28537</v>
          </cell>
          <cell r="BU26">
            <v>2995</v>
          </cell>
          <cell r="BV26">
            <v>3459</v>
          </cell>
          <cell r="BW26">
            <v>0</v>
          </cell>
          <cell r="BX26">
            <v>1454</v>
          </cell>
          <cell r="BY26">
            <v>0</v>
          </cell>
          <cell r="BZ26">
            <v>1019</v>
          </cell>
          <cell r="CA26">
            <v>0</v>
          </cell>
          <cell r="CB26">
            <v>660</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v>0</v>
          </cell>
          <cell r="CO26">
            <v>16657</v>
          </cell>
          <cell r="CP26">
            <v>3164</v>
          </cell>
          <cell r="CQ26">
            <v>790</v>
          </cell>
          <cell r="CR26">
            <v>3378</v>
          </cell>
          <cell r="CS26">
            <v>768</v>
          </cell>
          <cell r="CT26">
            <v>429</v>
          </cell>
          <cell r="CU26">
            <v>25186</v>
          </cell>
          <cell r="CV26">
            <v>3545</v>
          </cell>
          <cell r="CW26">
            <v>1115</v>
          </cell>
          <cell r="CX26">
            <v>3059</v>
          </cell>
          <cell r="CY26">
            <v>185</v>
          </cell>
          <cell r="CZ26">
            <v>0</v>
          </cell>
          <cell r="DA26">
            <v>0</v>
          </cell>
          <cell r="DB26">
            <v>33090</v>
          </cell>
          <cell r="DC26">
            <v>1290</v>
          </cell>
          <cell r="DD26">
            <v>0</v>
          </cell>
          <cell r="DE26">
            <v>490</v>
          </cell>
          <cell r="DF26">
            <v>1780</v>
          </cell>
          <cell r="DG26">
            <v>31310</v>
          </cell>
          <cell r="DH26">
            <v>2098</v>
          </cell>
          <cell r="DI26">
            <v>0</v>
          </cell>
          <cell r="DJ26">
            <v>0</v>
          </cell>
          <cell r="DK26">
            <v>1093</v>
          </cell>
          <cell r="DL26">
            <v>0</v>
          </cell>
          <cell r="DM26">
            <v>613</v>
          </cell>
          <cell r="DN26">
            <v>0</v>
          </cell>
          <cell r="DO26">
            <v>565</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v>0</v>
          </cell>
          <cell r="EB26">
            <v>0</v>
          </cell>
          <cell r="EC26">
            <v>0</v>
          </cell>
          <cell r="ED26">
            <v>16.899999999999999</v>
          </cell>
          <cell r="EE26">
            <v>98</v>
          </cell>
          <cell r="EF26">
            <v>7418</v>
          </cell>
          <cell r="EG26">
            <v>3011</v>
          </cell>
          <cell r="EH26">
            <v>21450</v>
          </cell>
          <cell r="EI26">
            <v>94</v>
          </cell>
          <cell r="EJ26">
            <v>-5</v>
          </cell>
          <cell r="EK26">
            <v>31968</v>
          </cell>
          <cell r="EL26" t="str">
            <v>..</v>
          </cell>
          <cell r="EM26" t="str">
            <v>..</v>
          </cell>
          <cell r="EN26">
            <v>2595</v>
          </cell>
          <cell r="EO26" t="str">
            <v>..</v>
          </cell>
          <cell r="EP26" t="str">
            <v>..</v>
          </cell>
          <cell r="EQ26" t="str">
            <v>..</v>
          </cell>
          <cell r="ER26">
            <v>27805</v>
          </cell>
          <cell r="ES26">
            <v>158</v>
          </cell>
          <cell r="ET26">
            <v>974</v>
          </cell>
          <cell r="EU26">
            <v>0</v>
          </cell>
          <cell r="EV26">
            <v>31532</v>
          </cell>
          <cell r="EW26" t="str">
            <v>..</v>
          </cell>
          <cell r="EX26" t="str">
            <v>..</v>
          </cell>
          <cell r="EY26">
            <v>585</v>
          </cell>
          <cell r="EZ26" t="str">
            <v>..</v>
          </cell>
          <cell r="FA26" t="str">
            <v>..</v>
          </cell>
          <cell r="FB26" t="str">
            <v>..</v>
          </cell>
          <cell r="FC26">
            <v>6267</v>
          </cell>
          <cell r="FD26">
            <v>36</v>
          </cell>
          <cell r="FE26">
            <v>220</v>
          </cell>
          <cell r="FF26">
            <v>0</v>
          </cell>
          <cell r="FG26">
            <v>7108</v>
          </cell>
          <cell r="FH26">
            <v>-2051</v>
          </cell>
          <cell r="FI26">
            <v>-105</v>
          </cell>
          <cell r="FJ26">
            <v>0</v>
          </cell>
          <cell r="FK26">
            <v>-1761</v>
          </cell>
          <cell r="FL26">
            <v>-194</v>
          </cell>
          <cell r="FM26">
            <v>8649</v>
          </cell>
          <cell r="FN26">
            <v>3194</v>
          </cell>
          <cell r="FO26">
            <v>0</v>
          </cell>
          <cell r="FP26">
            <v>7732</v>
          </cell>
          <cell r="FQ26">
            <v>746</v>
          </cell>
          <cell r="FR26">
            <v>0</v>
          </cell>
          <cell r="FS26">
            <v>-2117</v>
          </cell>
          <cell r="FT26">
            <v>-146</v>
          </cell>
          <cell r="FU26">
            <v>0</v>
          </cell>
          <cell r="FV26">
            <v>-1657</v>
          </cell>
          <cell r="FW26">
            <v>0</v>
          </cell>
          <cell r="FX26">
            <v>8897</v>
          </cell>
          <cell r="FY26">
            <v>1145</v>
          </cell>
          <cell r="FZ26">
            <v>0</v>
          </cell>
          <cell r="GA26">
            <v>6122</v>
          </cell>
          <cell r="GB26">
            <v>777</v>
          </cell>
          <cell r="GC26">
            <v>0</v>
          </cell>
          <cell r="GD26">
            <v>592</v>
          </cell>
          <cell r="GE26">
            <v>630</v>
          </cell>
          <cell r="GF26">
            <v>27</v>
          </cell>
          <cell r="GG26">
            <v>2</v>
          </cell>
          <cell r="GH26">
            <v>92</v>
          </cell>
          <cell r="GI26">
            <v>30</v>
          </cell>
          <cell r="GJ26">
            <v>541</v>
          </cell>
          <cell r="GK26">
            <v>18</v>
          </cell>
          <cell r="GL26">
            <v>29</v>
          </cell>
          <cell r="GM26">
            <v>173</v>
          </cell>
          <cell r="GN26">
            <v>133</v>
          </cell>
          <cell r="GO26">
            <v>30</v>
          </cell>
          <cell r="GP26">
            <v>3972</v>
          </cell>
          <cell r="GQ26">
            <v>3838</v>
          </cell>
          <cell r="GR26">
            <v>296</v>
          </cell>
          <cell r="GS26">
            <v>5163</v>
          </cell>
          <cell r="GT26">
            <v>1789</v>
          </cell>
          <cell r="GU26">
            <v>144</v>
          </cell>
          <cell r="GV26">
            <v>0</v>
          </cell>
          <cell r="GW26">
            <v>0</v>
          </cell>
          <cell r="GX26">
            <v>897</v>
          </cell>
          <cell r="GY26">
            <v>0</v>
          </cell>
          <cell r="GZ26">
            <v>168</v>
          </cell>
          <cell r="HA26">
            <v>385</v>
          </cell>
          <cell r="HB26">
            <v>123</v>
          </cell>
          <cell r="HC26">
            <v>13</v>
          </cell>
          <cell r="HD26">
            <v>71</v>
          </cell>
          <cell r="HE26">
            <v>0</v>
          </cell>
          <cell r="HF26">
            <v>246</v>
          </cell>
          <cell r="HG26">
            <v>0</v>
          </cell>
          <cell r="HH26">
            <v>0</v>
          </cell>
          <cell r="HI26">
            <v>0</v>
          </cell>
          <cell r="HJ26">
            <v>0</v>
          </cell>
          <cell r="HK26">
            <v>10</v>
          </cell>
          <cell r="HL26">
            <v>1913</v>
          </cell>
          <cell r="HM26">
            <v>0</v>
          </cell>
          <cell r="HN26">
            <v>0</v>
          </cell>
          <cell r="HO26">
            <v>76</v>
          </cell>
          <cell r="HP26">
            <v>0</v>
          </cell>
          <cell r="HQ26">
            <v>509</v>
          </cell>
          <cell r="HR26">
            <v>919</v>
          </cell>
          <cell r="HS26">
            <v>7</v>
          </cell>
          <cell r="HT26">
            <v>12</v>
          </cell>
          <cell r="HU26">
            <v>40</v>
          </cell>
          <cell r="HV26">
            <v>0</v>
          </cell>
          <cell r="HW26">
            <v>261</v>
          </cell>
          <cell r="HX26">
            <v>96</v>
          </cell>
          <cell r="HY26">
            <v>0</v>
          </cell>
          <cell r="HZ26">
            <v>0</v>
          </cell>
          <cell r="IA26">
            <v>0</v>
          </cell>
          <cell r="IB26">
            <v>0</v>
          </cell>
          <cell r="IC26">
            <v>1920</v>
          </cell>
          <cell r="ID26">
            <v>0</v>
          </cell>
          <cell r="IE26">
            <v>0</v>
          </cell>
          <cell r="IF26">
            <v>0</v>
          </cell>
          <cell r="IG26">
            <v>0</v>
          </cell>
          <cell r="IH26">
            <v>487</v>
          </cell>
          <cell r="II26">
            <v>1307</v>
          </cell>
          <cell r="IJ26">
            <v>392</v>
          </cell>
          <cell r="IK26">
            <v>0</v>
          </cell>
          <cell r="IL26">
            <v>229</v>
          </cell>
          <cell r="IM26">
            <v>0</v>
          </cell>
          <cell r="IN26">
            <v>229</v>
          </cell>
          <cell r="IO26">
            <v>484</v>
          </cell>
          <cell r="IP26">
            <v>0</v>
          </cell>
          <cell r="IQ26">
            <v>0</v>
          </cell>
          <cell r="IR26">
            <v>0</v>
          </cell>
          <cell r="IS26">
            <v>528</v>
          </cell>
          <cell r="IT26">
            <v>3656</v>
          </cell>
          <cell r="IU26" t="str">
            <v>Ripon &amp; Bedale shared with North Yorkshire Police</v>
          </cell>
          <cell r="IV26" t="str">
            <v>6 TRVs &amp; 2 Boats</v>
          </cell>
          <cell r="IW26" t="str">
            <v>..</v>
          </cell>
          <cell r="IX26" t="str">
            <v>..</v>
          </cell>
          <cell r="IY26" t="str">
            <v>..</v>
          </cell>
          <cell r="IZ26" t="str">
            <v>..</v>
          </cell>
          <cell r="JA26" t="str">
            <v>..</v>
          </cell>
          <cell r="JB26" t="str">
            <v>..</v>
          </cell>
        </row>
        <row r="27">
          <cell r="A27" t="str">
            <v>E0920</v>
          </cell>
          <cell r="B27" t="str">
            <v>Cumbria</v>
          </cell>
          <cell r="C27" t="str">
            <v>Nathaniel Hooton</v>
          </cell>
          <cell r="D27" t="str">
            <v>Area Manager</v>
          </cell>
          <cell r="E27" t="str">
            <v>"07766366079</v>
          </cell>
          <cell r="F27" t="str">
            <v>Nathaniel.Hooton@cumbria.gov.uk</v>
          </cell>
          <cell r="G27" t="str">
            <v>Wendy Forshaw</v>
          </cell>
          <cell r="H27" t="str">
            <v>Finance Manager</v>
          </cell>
          <cell r="I27" t="str">
            <v>"07786334849</v>
          </cell>
          <cell r="J27" t="str">
            <v>wendy.forshaw@cumbria.gov.uk</v>
          </cell>
          <cell r="K27" t="str">
            <v>..</v>
          </cell>
          <cell r="L27">
            <v>2</v>
          </cell>
          <cell r="M27">
            <v>30</v>
          </cell>
          <cell r="N27">
            <v>6</v>
          </cell>
          <cell r="O27">
            <v>0</v>
          </cell>
          <cell r="P27">
            <v>38</v>
          </cell>
          <cell r="Q27">
            <v>1</v>
          </cell>
          <cell r="R27">
            <v>2</v>
          </cell>
          <cell r="S27">
            <v>30</v>
          </cell>
          <cell r="T27">
            <v>6</v>
          </cell>
          <cell r="U27">
            <v>0</v>
          </cell>
          <cell r="V27">
            <v>38</v>
          </cell>
          <cell r="W27">
            <v>1</v>
          </cell>
          <cell r="X27">
            <v>45</v>
          </cell>
          <cell r="Y27">
            <v>45</v>
          </cell>
          <cell r="Z27">
            <v>2</v>
          </cell>
          <cell r="AA27">
            <v>20</v>
          </cell>
          <cell r="AB27">
            <v>49</v>
          </cell>
          <cell r="AC27">
            <v>0</v>
          </cell>
          <cell r="AD27">
            <v>4</v>
          </cell>
          <cell r="AE27">
            <v>120</v>
          </cell>
          <cell r="AF27">
            <v>32</v>
          </cell>
          <cell r="AG27">
            <v>5</v>
          </cell>
          <cell r="AH27">
            <v>4</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v>9260</v>
          </cell>
          <cell r="BC27">
            <v>2491</v>
          </cell>
          <cell r="BD27">
            <v>0</v>
          </cell>
          <cell r="BE27">
            <v>788</v>
          </cell>
          <cell r="BF27">
            <v>375</v>
          </cell>
          <cell r="BG27">
            <v>63</v>
          </cell>
          <cell r="BH27">
            <v>12977</v>
          </cell>
          <cell r="BI27">
            <v>1767</v>
          </cell>
          <cell r="BJ27">
            <v>813</v>
          </cell>
          <cell r="BK27">
            <v>836</v>
          </cell>
          <cell r="BL27">
            <v>2534</v>
          </cell>
          <cell r="BM27">
            <v>363</v>
          </cell>
          <cell r="BN27">
            <v>0</v>
          </cell>
          <cell r="BO27">
            <v>19290</v>
          </cell>
          <cell r="BP27" t="str">
            <v>..</v>
          </cell>
          <cell r="BQ27">
            <v>0</v>
          </cell>
          <cell r="BR27">
            <v>67</v>
          </cell>
          <cell r="BS27">
            <v>67</v>
          </cell>
          <cell r="BT27">
            <v>19223</v>
          </cell>
          <cell r="BU27">
            <v>1598</v>
          </cell>
          <cell r="BV27">
            <v>336</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10919</v>
          </cell>
          <cell r="CP27">
            <v>3039</v>
          </cell>
          <cell r="CQ27">
            <v>0</v>
          </cell>
          <cell r="CR27">
            <v>961</v>
          </cell>
          <cell r="CS27">
            <v>457</v>
          </cell>
          <cell r="CT27">
            <v>76</v>
          </cell>
          <cell r="CU27">
            <v>15452</v>
          </cell>
          <cell r="CV27">
            <v>1780</v>
          </cell>
          <cell r="CW27">
            <v>819</v>
          </cell>
          <cell r="CX27">
            <v>971</v>
          </cell>
          <cell r="CY27">
            <v>2540</v>
          </cell>
          <cell r="CZ27">
            <v>376</v>
          </cell>
          <cell r="DA27">
            <v>0</v>
          </cell>
          <cell r="DB27">
            <v>21938</v>
          </cell>
          <cell r="DC27">
            <v>100</v>
          </cell>
          <cell r="DD27">
            <v>0</v>
          </cell>
          <cell r="DE27">
            <v>70</v>
          </cell>
          <cell r="DF27">
            <v>170</v>
          </cell>
          <cell r="DG27">
            <v>21768</v>
          </cell>
          <cell r="DH27">
            <v>1599</v>
          </cell>
          <cell r="DI27">
            <v>370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14.9</v>
          </cell>
          <cell r="EE27">
            <v>0</v>
          </cell>
          <cell r="EF27">
            <v>0</v>
          </cell>
          <cell r="EG27">
            <v>0</v>
          </cell>
          <cell r="EH27">
            <v>0</v>
          </cell>
          <cell r="EI27">
            <v>0</v>
          </cell>
          <cell r="EJ27">
            <v>0</v>
          </cell>
          <cell r="EK27">
            <v>0</v>
          </cell>
          <cell r="EL27" t="str">
            <v>..</v>
          </cell>
          <cell r="EM27" t="str">
            <v>..</v>
          </cell>
          <cell r="EN27">
            <v>1026</v>
          </cell>
          <cell r="EO27" t="str">
            <v>..</v>
          </cell>
          <cell r="EP27" t="str">
            <v>..</v>
          </cell>
          <cell r="EQ27" t="str">
            <v>..</v>
          </cell>
          <cell r="ER27">
            <v>19795</v>
          </cell>
          <cell r="ES27">
            <v>0</v>
          </cell>
          <cell r="ET27">
            <v>0</v>
          </cell>
          <cell r="EU27">
            <v>0</v>
          </cell>
          <cell r="EV27">
            <v>20821</v>
          </cell>
          <cell r="EW27" t="str">
            <v>..</v>
          </cell>
          <cell r="EX27" t="str">
            <v>..</v>
          </cell>
          <cell r="EY27">
            <v>124</v>
          </cell>
          <cell r="EZ27" t="str">
            <v>..</v>
          </cell>
          <cell r="FA27" t="str">
            <v>..</v>
          </cell>
          <cell r="FB27" t="str">
            <v>..</v>
          </cell>
          <cell r="FC27">
            <v>2399</v>
          </cell>
          <cell r="FD27">
            <v>0</v>
          </cell>
          <cell r="FE27">
            <v>0</v>
          </cell>
          <cell r="FF27">
            <v>0</v>
          </cell>
          <cell r="FG27">
            <v>2523</v>
          </cell>
          <cell r="FH27">
            <v>-1434</v>
          </cell>
          <cell r="FI27">
            <v>0</v>
          </cell>
          <cell r="FJ27">
            <v>0</v>
          </cell>
          <cell r="FK27">
            <v>-1209</v>
          </cell>
          <cell r="FL27">
            <v>-38</v>
          </cell>
          <cell r="FM27">
            <v>6596</v>
          </cell>
          <cell r="FN27">
            <v>1435</v>
          </cell>
          <cell r="FO27">
            <v>0</v>
          </cell>
          <cell r="FP27">
            <v>5350</v>
          </cell>
          <cell r="FQ27">
            <v>0</v>
          </cell>
          <cell r="FR27">
            <v>0</v>
          </cell>
          <cell r="FS27">
            <v>-2801</v>
          </cell>
          <cell r="FT27">
            <v>0</v>
          </cell>
          <cell r="FU27">
            <v>0</v>
          </cell>
          <cell r="FV27">
            <v>-1194</v>
          </cell>
          <cell r="FW27">
            <v>0</v>
          </cell>
          <cell r="FX27">
            <v>6926</v>
          </cell>
          <cell r="FY27">
            <v>767</v>
          </cell>
          <cell r="FZ27">
            <v>0</v>
          </cell>
          <cell r="GA27">
            <v>3698</v>
          </cell>
          <cell r="GB27">
            <v>0</v>
          </cell>
          <cell r="GC27">
            <v>0</v>
          </cell>
          <cell r="GD27">
            <v>427</v>
          </cell>
          <cell r="GE27">
            <v>437</v>
          </cell>
          <cell r="GF27">
            <v>12</v>
          </cell>
          <cell r="GG27">
            <v>0</v>
          </cell>
          <cell r="GH27">
            <v>51</v>
          </cell>
          <cell r="GI27">
            <v>46</v>
          </cell>
          <cell r="GJ27">
            <v>414</v>
          </cell>
          <cell r="GK27">
            <v>60</v>
          </cell>
          <cell r="GL27">
            <v>36</v>
          </cell>
          <cell r="GM27">
            <v>166</v>
          </cell>
          <cell r="GN27">
            <v>76</v>
          </cell>
          <cell r="GO27">
            <v>35</v>
          </cell>
          <cell r="GP27">
            <v>240</v>
          </cell>
          <cell r="GQ27">
            <v>0</v>
          </cell>
          <cell r="GR27">
            <v>0</v>
          </cell>
          <cell r="GS27">
            <v>313</v>
          </cell>
          <cell r="GT27">
            <v>0</v>
          </cell>
          <cell r="GU27">
            <v>0</v>
          </cell>
          <cell r="GV27">
            <v>0</v>
          </cell>
          <cell r="GW27">
            <v>0</v>
          </cell>
          <cell r="GX27">
            <v>0</v>
          </cell>
          <cell r="GY27">
            <v>0</v>
          </cell>
          <cell r="GZ27">
            <v>0</v>
          </cell>
          <cell r="HA27">
            <v>465</v>
          </cell>
          <cell r="HB27">
            <v>0</v>
          </cell>
          <cell r="HC27">
            <v>0</v>
          </cell>
          <cell r="HD27">
            <v>0</v>
          </cell>
          <cell r="HE27">
            <v>0</v>
          </cell>
          <cell r="HF27">
            <v>0</v>
          </cell>
          <cell r="HG27">
            <v>0</v>
          </cell>
          <cell r="HH27">
            <v>111</v>
          </cell>
          <cell r="HI27">
            <v>0</v>
          </cell>
          <cell r="HJ27">
            <v>0</v>
          </cell>
          <cell r="HK27">
            <v>0</v>
          </cell>
          <cell r="HL27">
            <v>576</v>
          </cell>
          <cell r="HM27">
            <v>0</v>
          </cell>
          <cell r="HN27">
            <v>0</v>
          </cell>
          <cell r="HO27">
            <v>0</v>
          </cell>
          <cell r="HP27">
            <v>0</v>
          </cell>
          <cell r="HQ27">
            <v>0</v>
          </cell>
          <cell r="HR27">
            <v>1710</v>
          </cell>
          <cell r="HS27">
            <v>12</v>
          </cell>
          <cell r="HT27">
            <v>24</v>
          </cell>
          <cell r="HU27">
            <v>0</v>
          </cell>
          <cell r="HV27">
            <v>0</v>
          </cell>
          <cell r="HW27">
            <v>0</v>
          </cell>
          <cell r="HX27">
            <v>0</v>
          </cell>
          <cell r="HY27">
            <v>122</v>
          </cell>
          <cell r="HZ27">
            <v>0</v>
          </cell>
          <cell r="IA27">
            <v>0</v>
          </cell>
          <cell r="IB27">
            <v>0</v>
          </cell>
          <cell r="IC27">
            <v>1868</v>
          </cell>
          <cell r="ID27">
            <v>0</v>
          </cell>
          <cell r="IE27">
            <v>0</v>
          </cell>
          <cell r="IF27">
            <v>0</v>
          </cell>
          <cell r="IG27">
            <v>0</v>
          </cell>
          <cell r="IH27">
            <v>0</v>
          </cell>
          <cell r="II27">
            <v>729</v>
          </cell>
          <cell r="IJ27">
            <v>0</v>
          </cell>
          <cell r="IK27">
            <v>0</v>
          </cell>
          <cell r="IL27">
            <v>0</v>
          </cell>
          <cell r="IM27">
            <v>0</v>
          </cell>
          <cell r="IN27">
            <v>0</v>
          </cell>
          <cell r="IO27">
            <v>0</v>
          </cell>
          <cell r="IP27">
            <v>62</v>
          </cell>
          <cell r="IQ27">
            <v>0</v>
          </cell>
          <cell r="IR27">
            <v>0</v>
          </cell>
          <cell r="IS27">
            <v>0</v>
          </cell>
          <cell r="IT27">
            <v>791</v>
          </cell>
          <cell r="IU27" t="str">
            <v>North West Ambulance Service (NWAS)</v>
          </cell>
          <cell r="IV27" t="str">
            <v xml:space="preserve">2 x Water Bowsers, 1 x BA support Unit, 1 x Water Response vechicle, 3  x Joint Incident Command Units, 7 x Wildfire Land Rovers, 2 x Uni Mogs, 1 x Welfare Unit and 3 Rapid Response Vechicles </v>
          </cell>
          <cell r="IW27" t="str">
            <v>..</v>
          </cell>
          <cell r="IX27" t="str">
            <v>..</v>
          </cell>
          <cell r="IY27" t="str">
            <v>..</v>
          </cell>
          <cell r="IZ27">
            <v>0</v>
          </cell>
          <cell r="JA27" t="str">
            <v>..</v>
          </cell>
          <cell r="JB27" t="str">
            <v>..</v>
          </cell>
        </row>
        <row r="28">
          <cell r="A28" t="str">
            <v>E6144</v>
          </cell>
          <cell r="B28" t="str">
            <v>South Yorkshire</v>
          </cell>
          <cell r="C28" t="str">
            <v>Sara Slater</v>
          </cell>
          <cell r="D28" t="str">
            <v>Head of Finance</v>
          </cell>
          <cell r="E28" t="str">
            <v>0114 253 2330</v>
          </cell>
          <cell r="F28" t="str">
            <v>sslater@syfire.gov.uk</v>
          </cell>
          <cell r="G28" t="str">
            <v>Carl Pike</v>
          </cell>
          <cell r="H28" t="str">
            <v>Principal Accountant</v>
          </cell>
          <cell r="I28" t="str">
            <v>0114 253 2448</v>
          </cell>
          <cell r="J28" t="str">
            <v>cpike@syfire.gov.uk</v>
          </cell>
          <cell r="K28" t="str">
            <v>..</v>
          </cell>
          <cell r="L28">
            <v>14</v>
          </cell>
          <cell r="M28">
            <v>4</v>
          </cell>
          <cell r="N28">
            <v>3</v>
          </cell>
          <cell r="O28">
            <v>0</v>
          </cell>
          <cell r="P28">
            <v>21</v>
          </cell>
          <cell r="Q28">
            <v>1</v>
          </cell>
          <cell r="R28">
            <v>14</v>
          </cell>
          <cell r="S28">
            <v>4</v>
          </cell>
          <cell r="T28">
            <v>3</v>
          </cell>
          <cell r="U28">
            <v>0</v>
          </cell>
          <cell r="V28">
            <v>21</v>
          </cell>
          <cell r="W28">
            <v>1</v>
          </cell>
          <cell r="X28">
            <v>27</v>
          </cell>
          <cell r="Y28">
            <v>27</v>
          </cell>
          <cell r="Z28">
            <v>2</v>
          </cell>
          <cell r="AA28">
            <v>9</v>
          </cell>
          <cell r="AB28">
            <v>39</v>
          </cell>
          <cell r="AC28">
            <v>0</v>
          </cell>
          <cell r="AD28">
            <v>4</v>
          </cell>
          <cell r="AE28">
            <v>81</v>
          </cell>
          <cell r="AF28">
            <v>101</v>
          </cell>
          <cell r="AG28">
            <v>4</v>
          </cell>
          <cell r="AH28">
            <v>3</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v>27683</v>
          </cell>
          <cell r="BC28">
            <v>1346</v>
          </cell>
          <cell r="BD28">
            <v>1241</v>
          </cell>
          <cell r="BE28">
            <v>7137</v>
          </cell>
          <cell r="BF28">
            <v>466</v>
          </cell>
          <cell r="BG28">
            <v>1245</v>
          </cell>
          <cell r="BH28">
            <v>39118</v>
          </cell>
          <cell r="BI28">
            <v>3280</v>
          </cell>
          <cell r="BJ28">
            <v>1036</v>
          </cell>
          <cell r="BK28">
            <v>5470</v>
          </cell>
          <cell r="BL28">
            <v>121</v>
          </cell>
          <cell r="BM28">
            <v>374</v>
          </cell>
          <cell r="BN28">
            <v>0</v>
          </cell>
          <cell r="BO28">
            <v>49399</v>
          </cell>
          <cell r="BP28">
            <v>411</v>
          </cell>
          <cell r="BQ28">
            <v>0</v>
          </cell>
          <cell r="BR28">
            <v>1102</v>
          </cell>
          <cell r="BS28">
            <v>1513</v>
          </cell>
          <cell r="BT28">
            <v>47886</v>
          </cell>
          <cell r="BU28">
            <v>4299</v>
          </cell>
          <cell r="BV28">
            <v>7266</v>
          </cell>
          <cell r="BW28">
            <v>0</v>
          </cell>
          <cell r="BX28">
            <v>959</v>
          </cell>
          <cell r="BY28">
            <v>266</v>
          </cell>
          <cell r="BZ28">
            <v>1067</v>
          </cell>
          <cell r="CA28">
            <v>-91</v>
          </cell>
          <cell r="CB28">
            <v>0</v>
          </cell>
          <cell r="CC28">
            <v>376</v>
          </cell>
          <cell r="CD28">
            <v>0</v>
          </cell>
          <cell r="CE28">
            <v>0</v>
          </cell>
          <cell r="CF28">
            <v>1630</v>
          </cell>
          <cell r="CG28">
            <v>0</v>
          </cell>
          <cell r="CH28">
            <v>1</v>
          </cell>
          <cell r="CI28">
            <v>2007</v>
          </cell>
          <cell r="CJ28">
            <v>21</v>
          </cell>
          <cell r="CK28">
            <v>329</v>
          </cell>
          <cell r="CL28">
            <v>584</v>
          </cell>
          <cell r="CM28">
            <v>0</v>
          </cell>
          <cell r="CN28">
            <v>159</v>
          </cell>
          <cell r="CO28">
            <v>31633</v>
          </cell>
          <cell r="CP28">
            <v>1533</v>
          </cell>
          <cell r="CQ28">
            <v>1236</v>
          </cell>
          <cell r="CR28">
            <v>7529</v>
          </cell>
          <cell r="CS28">
            <v>475</v>
          </cell>
          <cell r="CT28">
            <v>1167</v>
          </cell>
          <cell r="CU28">
            <v>43573</v>
          </cell>
          <cell r="CV28">
            <v>2963</v>
          </cell>
          <cell r="CW28">
            <v>945</v>
          </cell>
          <cell r="CX28">
            <v>4131</v>
          </cell>
          <cell r="CY28">
            <v>132</v>
          </cell>
          <cell r="CZ28">
            <v>326</v>
          </cell>
          <cell r="DA28">
            <v>0</v>
          </cell>
          <cell r="DB28">
            <v>52070</v>
          </cell>
          <cell r="DC28">
            <v>246</v>
          </cell>
          <cell r="DD28">
            <v>0</v>
          </cell>
          <cell r="DE28">
            <v>1026</v>
          </cell>
          <cell r="DF28">
            <v>1272</v>
          </cell>
          <cell r="DG28">
            <v>50798</v>
          </cell>
          <cell r="DH28">
            <v>2766</v>
          </cell>
          <cell r="DI28">
            <v>7266</v>
          </cell>
          <cell r="DJ28">
            <v>0</v>
          </cell>
          <cell r="DK28">
            <v>1035</v>
          </cell>
          <cell r="DL28">
            <v>158</v>
          </cell>
          <cell r="DM28">
            <v>1013</v>
          </cell>
          <cell r="DN28">
            <v>-91</v>
          </cell>
          <cell r="DO28">
            <v>0</v>
          </cell>
          <cell r="DP28">
            <v>456</v>
          </cell>
          <cell r="DQ28">
            <v>0</v>
          </cell>
          <cell r="DR28">
            <v>0</v>
          </cell>
          <cell r="DS28">
            <v>2115</v>
          </cell>
          <cell r="DT28">
            <v>0</v>
          </cell>
          <cell r="DU28">
            <v>1</v>
          </cell>
          <cell r="DV28">
            <v>2572</v>
          </cell>
          <cell r="DW28">
            <v>79</v>
          </cell>
          <cell r="DX28">
            <v>261</v>
          </cell>
          <cell r="DY28">
            <v>829</v>
          </cell>
          <cell r="DZ28">
            <v>0</v>
          </cell>
          <cell r="EA28">
            <v>244</v>
          </cell>
          <cell r="EB28">
            <v>0</v>
          </cell>
          <cell r="EC28">
            <v>0</v>
          </cell>
          <cell r="ED28">
            <v>13.9</v>
          </cell>
          <cell r="EE28">
            <v>555</v>
          </cell>
          <cell r="EF28">
            <v>11575</v>
          </cell>
          <cell r="EG28">
            <v>15622</v>
          </cell>
          <cell r="EH28">
            <v>26027</v>
          </cell>
          <cell r="EI28">
            <v>762</v>
          </cell>
          <cell r="EJ28">
            <v>236</v>
          </cell>
          <cell r="EK28">
            <v>54222</v>
          </cell>
          <cell r="EL28">
            <v>1060</v>
          </cell>
          <cell r="EM28">
            <v>1920</v>
          </cell>
          <cell r="EN28">
            <v>2980</v>
          </cell>
          <cell r="EO28">
            <v>28056</v>
          </cell>
          <cell r="EP28">
            <v>1935</v>
          </cell>
          <cell r="EQ28">
            <v>340</v>
          </cell>
          <cell r="ER28">
            <v>30331</v>
          </cell>
          <cell r="ES28">
            <v>233</v>
          </cell>
          <cell r="ET28">
            <v>129</v>
          </cell>
          <cell r="EU28">
            <v>18512</v>
          </cell>
          <cell r="EV28">
            <v>52185</v>
          </cell>
          <cell r="EW28">
            <v>1159</v>
          </cell>
          <cell r="EX28">
            <v>2124</v>
          </cell>
          <cell r="EY28">
            <v>3283</v>
          </cell>
          <cell r="EZ28">
            <v>29191</v>
          </cell>
          <cell r="FA28">
            <v>2209</v>
          </cell>
          <cell r="FB28">
            <v>244</v>
          </cell>
          <cell r="FC28">
            <v>31644</v>
          </cell>
          <cell r="FD28">
            <v>183</v>
          </cell>
          <cell r="FE28">
            <v>140</v>
          </cell>
          <cell r="FF28">
            <v>18314</v>
          </cell>
          <cell r="FG28">
            <v>53564</v>
          </cell>
          <cell r="FH28">
            <v>-3222</v>
          </cell>
          <cell r="FI28">
            <v>-60</v>
          </cell>
          <cell r="FJ28">
            <v>0</v>
          </cell>
          <cell r="FK28">
            <v>-2642</v>
          </cell>
          <cell r="FL28">
            <v>-196</v>
          </cell>
          <cell r="FM28">
            <v>20715</v>
          </cell>
          <cell r="FN28">
            <v>4314</v>
          </cell>
          <cell r="FO28">
            <v>0</v>
          </cell>
          <cell r="FP28">
            <v>18909</v>
          </cell>
          <cell r="FQ28">
            <v>669</v>
          </cell>
          <cell r="FR28">
            <v>0</v>
          </cell>
          <cell r="FS28">
            <v>-6061</v>
          </cell>
          <cell r="FT28">
            <v>-20</v>
          </cell>
          <cell r="FU28">
            <v>0</v>
          </cell>
          <cell r="FV28">
            <v>-2726</v>
          </cell>
          <cell r="FW28">
            <v>0</v>
          </cell>
          <cell r="FX28">
            <v>21829</v>
          </cell>
          <cell r="FY28">
            <v>4925</v>
          </cell>
          <cell r="FZ28">
            <v>0</v>
          </cell>
          <cell r="GA28">
            <v>17947</v>
          </cell>
          <cell r="GB28">
            <v>726</v>
          </cell>
          <cell r="GC28">
            <v>0</v>
          </cell>
          <cell r="GD28">
            <v>1286</v>
          </cell>
          <cell r="GE28">
            <v>1334</v>
          </cell>
          <cell r="GF28">
            <v>28</v>
          </cell>
          <cell r="GG28">
            <v>0</v>
          </cell>
          <cell r="GH28">
            <v>113</v>
          </cell>
          <cell r="GI28">
            <v>0</v>
          </cell>
          <cell r="GJ28">
            <v>504</v>
          </cell>
          <cell r="GK28">
            <v>5</v>
          </cell>
          <cell r="GL28">
            <v>52</v>
          </cell>
          <cell r="GM28">
            <v>36</v>
          </cell>
          <cell r="GN28">
            <v>7</v>
          </cell>
          <cell r="GO28">
            <v>5</v>
          </cell>
          <cell r="GP28">
            <v>17400</v>
          </cell>
          <cell r="GQ28">
            <v>7117</v>
          </cell>
          <cell r="GR28">
            <v>196</v>
          </cell>
          <cell r="GS28">
            <v>17289</v>
          </cell>
          <cell r="GT28">
            <v>5604</v>
          </cell>
          <cell r="GU28">
            <v>410</v>
          </cell>
          <cell r="GV28">
            <v>44</v>
          </cell>
          <cell r="GW28">
            <v>0</v>
          </cell>
          <cell r="GX28">
            <v>599</v>
          </cell>
          <cell r="GY28">
            <v>1175</v>
          </cell>
          <cell r="GZ28">
            <v>0</v>
          </cell>
          <cell r="HA28">
            <v>378</v>
          </cell>
          <cell r="HB28">
            <v>97</v>
          </cell>
          <cell r="HC28">
            <v>0</v>
          </cell>
          <cell r="HD28">
            <v>171</v>
          </cell>
          <cell r="HE28">
            <v>58</v>
          </cell>
          <cell r="HF28">
            <v>241</v>
          </cell>
          <cell r="HG28">
            <v>136</v>
          </cell>
          <cell r="HH28">
            <v>219</v>
          </cell>
          <cell r="HI28">
            <v>0</v>
          </cell>
          <cell r="HJ28">
            <v>0</v>
          </cell>
          <cell r="HK28">
            <v>0</v>
          </cell>
          <cell r="HL28">
            <v>3118</v>
          </cell>
          <cell r="HM28">
            <v>18</v>
          </cell>
          <cell r="HN28">
            <v>0</v>
          </cell>
          <cell r="HO28">
            <v>130</v>
          </cell>
          <cell r="HP28">
            <v>555</v>
          </cell>
          <cell r="HQ28">
            <v>29</v>
          </cell>
          <cell r="HR28">
            <v>163</v>
          </cell>
          <cell r="HS28">
            <v>32</v>
          </cell>
          <cell r="HT28">
            <v>0</v>
          </cell>
          <cell r="HU28">
            <v>33</v>
          </cell>
          <cell r="HV28">
            <v>225</v>
          </cell>
          <cell r="HW28">
            <v>376</v>
          </cell>
          <cell r="HX28">
            <v>0</v>
          </cell>
          <cell r="HY28">
            <v>498</v>
          </cell>
          <cell r="HZ28">
            <v>0</v>
          </cell>
          <cell r="IA28">
            <v>0</v>
          </cell>
          <cell r="IB28">
            <v>0</v>
          </cell>
          <cell r="IC28">
            <v>2059</v>
          </cell>
          <cell r="ID28">
            <v>115</v>
          </cell>
          <cell r="IE28">
            <v>0</v>
          </cell>
          <cell r="IF28">
            <v>2895</v>
          </cell>
          <cell r="IG28">
            <v>2609</v>
          </cell>
          <cell r="IH28">
            <v>11</v>
          </cell>
          <cell r="II28">
            <v>1401</v>
          </cell>
          <cell r="IJ28">
            <v>406</v>
          </cell>
          <cell r="IK28">
            <v>0</v>
          </cell>
          <cell r="IL28">
            <v>0</v>
          </cell>
          <cell r="IM28">
            <v>341</v>
          </cell>
          <cell r="IN28">
            <v>752</v>
          </cell>
          <cell r="IO28">
            <v>0</v>
          </cell>
          <cell r="IP28">
            <v>522</v>
          </cell>
          <cell r="IQ28">
            <v>0</v>
          </cell>
          <cell r="IR28">
            <v>0</v>
          </cell>
          <cell r="IS28">
            <v>0</v>
          </cell>
          <cell r="IT28">
            <v>9052</v>
          </cell>
          <cell r="IU28" t="str">
            <v>Maltby Fire Station is a shared building with South Yorkshire Police</v>
          </cell>
          <cell r="IV28" t="str">
            <v>..</v>
          </cell>
          <cell r="IW28" t="str">
            <v>..</v>
          </cell>
          <cell r="IX28" t="str">
            <v>..</v>
          </cell>
          <cell r="IY28" t="str">
            <v>..</v>
          </cell>
          <cell r="IZ28" t="str">
            <v>..</v>
          </cell>
          <cell r="JA28" t="str">
            <v>..</v>
          </cell>
          <cell r="JB28" t="str">
            <v>..</v>
          </cell>
        </row>
        <row r="29">
          <cell r="A29" t="str">
            <v>E3520</v>
          </cell>
          <cell r="B29" t="str">
            <v>Suffolk</v>
          </cell>
          <cell r="C29" t="str">
            <v>Sally Hammond</v>
          </cell>
          <cell r="D29" t="str">
            <v>Performance Improvement Manager</v>
          </cell>
          <cell r="E29" t="str">
            <v>01473 260588</v>
          </cell>
          <cell r="F29" t="str">
            <v xml:space="preserve">sally.hammond@suffolk.gov.uk </v>
          </cell>
          <cell r="G29" t="str">
            <v>Michael Davis</v>
          </cell>
          <cell r="H29" t="str">
            <v>Senior Service Accountant</v>
          </cell>
          <cell r="I29" t="str">
            <v>01473 264584</v>
          </cell>
          <cell r="J29" t="str">
            <v>michael.davis@suffolk.gov.uk</v>
          </cell>
          <cell r="K29" t="str">
            <v>..</v>
          </cell>
          <cell r="L29">
            <v>0</v>
          </cell>
          <cell r="M29">
            <v>29</v>
          </cell>
          <cell r="N29">
            <v>6</v>
          </cell>
          <cell r="O29">
            <v>0</v>
          </cell>
          <cell r="P29">
            <v>35</v>
          </cell>
          <cell r="Q29">
            <v>16</v>
          </cell>
          <cell r="R29">
            <v>0</v>
          </cell>
          <cell r="S29">
            <v>29</v>
          </cell>
          <cell r="T29">
            <v>6</v>
          </cell>
          <cell r="U29">
            <v>0</v>
          </cell>
          <cell r="V29">
            <v>35</v>
          </cell>
          <cell r="W29">
            <v>16</v>
          </cell>
          <cell r="X29">
            <v>43</v>
          </cell>
          <cell r="Y29">
            <v>43</v>
          </cell>
          <cell r="Z29">
            <v>2</v>
          </cell>
          <cell r="AA29">
            <v>14</v>
          </cell>
          <cell r="AB29">
            <v>30</v>
          </cell>
          <cell r="AC29">
            <v>0</v>
          </cell>
          <cell r="AD29">
            <v>2</v>
          </cell>
          <cell r="AE29">
            <v>91</v>
          </cell>
          <cell r="AF29">
            <v>52</v>
          </cell>
          <cell r="AG29">
            <v>4</v>
          </cell>
          <cell r="AH29">
            <v>3</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v>9679</v>
          </cell>
          <cell r="BC29">
            <v>3625</v>
          </cell>
          <cell r="BD29">
            <v>0</v>
          </cell>
          <cell r="BE29">
            <v>1591</v>
          </cell>
          <cell r="BF29">
            <v>249</v>
          </cell>
          <cell r="BG29">
            <v>165</v>
          </cell>
          <cell r="BH29">
            <v>15309</v>
          </cell>
          <cell r="BI29">
            <v>1175</v>
          </cell>
          <cell r="BJ29">
            <v>1799</v>
          </cell>
          <cell r="BK29">
            <v>4737</v>
          </cell>
          <cell r="BL29">
            <v>1662</v>
          </cell>
          <cell r="BM29">
            <v>0</v>
          </cell>
          <cell r="BN29">
            <v>0</v>
          </cell>
          <cell r="BO29">
            <v>24682</v>
          </cell>
          <cell r="BP29">
            <v>2449</v>
          </cell>
          <cell r="BQ29">
            <v>55</v>
          </cell>
          <cell r="BR29">
            <v>265</v>
          </cell>
          <cell r="BS29">
            <v>2769</v>
          </cell>
          <cell r="BT29">
            <v>21913</v>
          </cell>
          <cell r="BU29">
            <v>3155</v>
          </cell>
          <cell r="BV29">
            <v>-1112</v>
          </cell>
          <cell r="BW29">
            <v>0</v>
          </cell>
          <cell r="BX29">
            <v>313</v>
          </cell>
          <cell r="BY29">
            <v>0</v>
          </cell>
          <cell r="BZ29">
            <v>1448</v>
          </cell>
          <cell r="CA29">
            <v>0</v>
          </cell>
          <cell r="CB29">
            <v>0</v>
          </cell>
          <cell r="CC29">
            <v>0</v>
          </cell>
          <cell r="CD29">
            <v>0</v>
          </cell>
          <cell r="CE29">
            <v>0</v>
          </cell>
          <cell r="CF29">
            <v>0</v>
          </cell>
          <cell r="CG29">
            <v>0</v>
          </cell>
          <cell r="CH29">
            <v>0</v>
          </cell>
          <cell r="CI29">
            <v>0</v>
          </cell>
          <cell r="CJ29">
            <v>0</v>
          </cell>
          <cell r="CK29">
            <v>0</v>
          </cell>
          <cell r="CL29">
            <v>873</v>
          </cell>
          <cell r="CM29">
            <v>0</v>
          </cell>
          <cell r="CN29">
            <v>185</v>
          </cell>
          <cell r="CO29">
            <v>10259</v>
          </cell>
          <cell r="CP29">
            <v>3573</v>
          </cell>
          <cell r="CQ29">
            <v>0</v>
          </cell>
          <cell r="CR29">
            <v>1640</v>
          </cell>
          <cell r="CS29">
            <v>255</v>
          </cell>
          <cell r="CT29">
            <v>103</v>
          </cell>
          <cell r="CU29">
            <v>15830</v>
          </cell>
          <cell r="CV29">
            <v>1208</v>
          </cell>
          <cell r="CW29">
            <v>921</v>
          </cell>
          <cell r="CX29">
            <v>4793</v>
          </cell>
          <cell r="CY29">
            <v>1695</v>
          </cell>
          <cell r="CZ29">
            <v>0</v>
          </cell>
          <cell r="DA29">
            <v>0</v>
          </cell>
          <cell r="DB29">
            <v>24447</v>
          </cell>
          <cell r="DC29">
            <v>2449</v>
          </cell>
          <cell r="DD29">
            <v>50</v>
          </cell>
          <cell r="DE29">
            <v>213</v>
          </cell>
          <cell r="DF29">
            <v>2712</v>
          </cell>
          <cell r="DG29">
            <v>21735</v>
          </cell>
          <cell r="DH29">
            <v>0</v>
          </cell>
          <cell r="DI29">
            <v>0</v>
          </cell>
          <cell r="DJ29">
            <v>0</v>
          </cell>
          <cell r="DK29">
            <v>322</v>
          </cell>
          <cell r="DL29">
            <v>0</v>
          </cell>
          <cell r="DM29">
            <v>1491</v>
          </cell>
          <cell r="DN29">
            <v>0</v>
          </cell>
          <cell r="DO29">
            <v>0</v>
          </cell>
          <cell r="DP29">
            <v>0</v>
          </cell>
          <cell r="DQ29">
            <v>0</v>
          </cell>
          <cell r="DR29">
            <v>0</v>
          </cell>
          <cell r="DS29">
            <v>0</v>
          </cell>
          <cell r="DT29">
            <v>0</v>
          </cell>
          <cell r="DU29">
            <v>0</v>
          </cell>
          <cell r="DV29">
            <v>0</v>
          </cell>
          <cell r="DW29">
            <v>0</v>
          </cell>
          <cell r="DX29">
            <v>0</v>
          </cell>
          <cell r="DY29">
            <v>900</v>
          </cell>
          <cell r="DZ29">
            <v>0</v>
          </cell>
          <cell r="EA29">
            <v>182</v>
          </cell>
          <cell r="EB29">
            <v>0</v>
          </cell>
          <cell r="EC29">
            <v>0</v>
          </cell>
          <cell r="ED29" t="str">
            <v>..</v>
          </cell>
          <cell r="EE29" t="str">
            <v>..</v>
          </cell>
          <cell r="EF29" t="str">
            <v>..</v>
          </cell>
          <cell r="EG29" t="str">
            <v>..</v>
          </cell>
          <cell r="EH29" t="str">
            <v>..</v>
          </cell>
          <cell r="EI29" t="str">
            <v>..</v>
          </cell>
          <cell r="EJ29" t="str">
            <v>..</v>
          </cell>
          <cell r="EK29" t="str">
            <v>..</v>
          </cell>
          <cell r="EL29">
            <v>1194</v>
          </cell>
          <cell r="EM29">
            <v>482</v>
          </cell>
          <cell r="EN29">
            <v>1676</v>
          </cell>
          <cell r="EO29">
            <v>20735</v>
          </cell>
          <cell r="EP29">
            <v>1983</v>
          </cell>
          <cell r="EQ29">
            <v>251</v>
          </cell>
          <cell r="ER29">
            <v>22969</v>
          </cell>
          <cell r="ES29">
            <v>371</v>
          </cell>
          <cell r="ET29">
            <v>52</v>
          </cell>
          <cell r="EU29">
            <v>0</v>
          </cell>
          <cell r="EV29">
            <v>25068</v>
          </cell>
          <cell r="EW29">
            <v>79</v>
          </cell>
          <cell r="EX29">
            <v>32</v>
          </cell>
          <cell r="EY29">
            <v>111</v>
          </cell>
          <cell r="EZ29">
            <v>1378</v>
          </cell>
          <cell r="FA29">
            <v>132</v>
          </cell>
          <cell r="FB29">
            <v>16</v>
          </cell>
          <cell r="FC29">
            <v>1526</v>
          </cell>
          <cell r="FD29">
            <v>25</v>
          </cell>
          <cell r="FE29">
            <v>0</v>
          </cell>
          <cell r="FF29">
            <v>0</v>
          </cell>
          <cell r="FG29">
            <v>1662</v>
          </cell>
          <cell r="FH29">
            <v>-1557</v>
          </cell>
          <cell r="FI29">
            <v>0</v>
          </cell>
          <cell r="FJ29">
            <v>0</v>
          </cell>
          <cell r="FK29">
            <v>-1299</v>
          </cell>
          <cell r="FL29">
            <v>-165</v>
          </cell>
          <cell r="FM29">
            <v>5885</v>
          </cell>
          <cell r="FN29">
            <v>2061</v>
          </cell>
          <cell r="FO29">
            <v>0</v>
          </cell>
          <cell r="FP29">
            <v>4925</v>
          </cell>
          <cell r="FQ29">
            <v>504</v>
          </cell>
          <cell r="FR29">
            <v>62</v>
          </cell>
          <cell r="FS29">
            <v>-3078</v>
          </cell>
          <cell r="FT29">
            <v>0</v>
          </cell>
          <cell r="FU29">
            <v>0</v>
          </cell>
          <cell r="FV29">
            <v>-1337</v>
          </cell>
          <cell r="FW29">
            <v>0</v>
          </cell>
          <cell r="FX29">
            <v>5938</v>
          </cell>
          <cell r="FY29">
            <v>1943</v>
          </cell>
          <cell r="FZ29">
            <v>0</v>
          </cell>
          <cell r="GA29">
            <v>3466</v>
          </cell>
          <cell r="GB29">
            <v>514</v>
          </cell>
          <cell r="GC29">
            <v>0</v>
          </cell>
          <cell r="GD29">
            <v>401</v>
          </cell>
          <cell r="GE29">
            <v>409</v>
          </cell>
          <cell r="GF29">
            <v>23</v>
          </cell>
          <cell r="GG29">
            <v>5</v>
          </cell>
          <cell r="GH29">
            <v>44</v>
          </cell>
          <cell r="GI29">
            <v>27</v>
          </cell>
          <cell r="GJ29">
            <v>456</v>
          </cell>
          <cell r="GK29">
            <v>12</v>
          </cell>
          <cell r="GL29">
            <v>24</v>
          </cell>
          <cell r="GM29">
            <v>173</v>
          </cell>
          <cell r="GN29">
            <v>167</v>
          </cell>
          <cell r="GO29">
            <v>19</v>
          </cell>
          <cell r="GP29">
            <v>3787</v>
          </cell>
          <cell r="GQ29">
            <v>1225</v>
          </cell>
          <cell r="GR29" t="str">
            <v>..</v>
          </cell>
          <cell r="GS29">
            <v>2579</v>
          </cell>
          <cell r="GT29">
            <v>0</v>
          </cell>
          <cell r="GU29">
            <v>29</v>
          </cell>
          <cell r="GV29">
            <v>0</v>
          </cell>
          <cell r="GW29">
            <v>0</v>
          </cell>
          <cell r="GX29">
            <v>0</v>
          </cell>
          <cell r="GY29">
            <v>1322</v>
          </cell>
          <cell r="GZ29">
            <v>0</v>
          </cell>
          <cell r="HA29">
            <v>1500</v>
          </cell>
          <cell r="HB29">
            <v>248</v>
          </cell>
          <cell r="HC29">
            <v>0</v>
          </cell>
          <cell r="HD29">
            <v>1</v>
          </cell>
          <cell r="HE29">
            <v>264</v>
          </cell>
          <cell r="HF29">
            <v>23</v>
          </cell>
          <cell r="HG29">
            <v>7</v>
          </cell>
          <cell r="HH29">
            <v>269</v>
          </cell>
          <cell r="HI29">
            <v>0</v>
          </cell>
          <cell r="HJ29">
            <v>0</v>
          </cell>
          <cell r="HK29">
            <v>69</v>
          </cell>
          <cell r="HL29">
            <v>3703</v>
          </cell>
          <cell r="HM29">
            <v>0</v>
          </cell>
          <cell r="HN29">
            <v>0</v>
          </cell>
          <cell r="HO29">
            <v>0</v>
          </cell>
          <cell r="HP29">
            <v>1487</v>
          </cell>
          <cell r="HQ29">
            <v>0</v>
          </cell>
          <cell r="HR29">
            <v>637</v>
          </cell>
          <cell r="HS29">
            <v>198</v>
          </cell>
          <cell r="HT29">
            <v>0</v>
          </cell>
          <cell r="HU29">
            <v>1</v>
          </cell>
          <cell r="HV29">
            <v>70</v>
          </cell>
          <cell r="HW29">
            <v>3</v>
          </cell>
          <cell r="HX29">
            <v>0</v>
          </cell>
          <cell r="HY29">
            <v>391</v>
          </cell>
          <cell r="HZ29">
            <v>0</v>
          </cell>
          <cell r="IA29">
            <v>0</v>
          </cell>
          <cell r="IB29">
            <v>8</v>
          </cell>
          <cell r="IC29">
            <v>2795</v>
          </cell>
          <cell r="ID29">
            <v>0</v>
          </cell>
          <cell r="IE29">
            <v>0</v>
          </cell>
          <cell r="IF29">
            <v>7340</v>
          </cell>
          <cell r="IG29">
            <v>1157</v>
          </cell>
          <cell r="IH29">
            <v>0</v>
          </cell>
          <cell r="II29">
            <v>705</v>
          </cell>
          <cell r="IJ29">
            <v>73</v>
          </cell>
          <cell r="IK29">
            <v>0</v>
          </cell>
          <cell r="IL29">
            <v>0</v>
          </cell>
          <cell r="IM29">
            <v>0</v>
          </cell>
          <cell r="IN29">
            <v>0</v>
          </cell>
          <cell r="IO29">
            <v>0</v>
          </cell>
          <cell r="IP29">
            <v>600</v>
          </cell>
          <cell r="IQ29">
            <v>0</v>
          </cell>
          <cell r="IR29">
            <v>0</v>
          </cell>
          <cell r="IS29">
            <v>50</v>
          </cell>
          <cell r="IT29">
            <v>9925</v>
          </cell>
          <cell r="IU29" t="str">
            <v>11 shared with Police, 5 shared with Ambulance.</v>
          </cell>
          <cell r="IV29" t="str">
            <v>X3 CSV. X3 UNIMOG 4X4. X1 WATER RESCUE VAN. X2 WATER CARRIER. X1 OSU. X4 RESCUE BOATS.</v>
          </cell>
          <cell r="IW29" t="str">
            <v>..</v>
          </cell>
          <cell r="IX29" t="str">
            <v>..</v>
          </cell>
          <cell r="IY29" t="str">
            <v xml:space="preserve">Cross Border Charges </v>
          </cell>
          <cell r="IZ29" t="str">
            <v>Mostly relates to income collected in relation to shared BLI stations</v>
          </cell>
          <cell r="JA29" t="str">
            <v>..</v>
          </cell>
          <cell r="JB29"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30">
          <cell r="A30" t="str">
            <v>E2620</v>
          </cell>
          <cell r="B30" t="str">
            <v>Norfolk</v>
          </cell>
          <cell r="C30" t="str">
            <v>Stephen Maxwell</v>
          </cell>
          <cell r="D30" t="str">
            <v>Intelligence and Performance Analyst</v>
          </cell>
          <cell r="E30" t="str">
            <v>0300 123 1396</v>
          </cell>
          <cell r="F30" t="str">
            <v>stephen.maxwell@fire.norfolk.gov.uk</v>
          </cell>
          <cell r="G30" t="str">
            <v>Sarah Williamson</v>
          </cell>
          <cell r="H30" t="str">
            <v>Senior Finance Assistant</v>
          </cell>
          <cell r="I30" t="str">
            <v>01603 222805</v>
          </cell>
          <cell r="J30" t="str">
            <v>mailto:sarah.williamson@norfolk.gov.uk</v>
          </cell>
          <cell r="K30" t="str">
            <v>..</v>
          </cell>
          <cell r="L30">
            <v>3</v>
          </cell>
          <cell r="M30">
            <v>33</v>
          </cell>
          <cell r="N30">
            <v>6</v>
          </cell>
          <cell r="O30">
            <v>0</v>
          </cell>
          <cell r="P30">
            <v>42</v>
          </cell>
          <cell r="Q30">
            <v>10</v>
          </cell>
          <cell r="R30">
            <v>3</v>
          </cell>
          <cell r="S30">
            <v>33</v>
          </cell>
          <cell r="T30">
            <v>6</v>
          </cell>
          <cell r="U30">
            <v>0</v>
          </cell>
          <cell r="V30">
            <v>42</v>
          </cell>
          <cell r="W30">
            <v>13</v>
          </cell>
          <cell r="X30">
            <v>53</v>
          </cell>
          <cell r="Y30">
            <v>53</v>
          </cell>
          <cell r="Z30">
            <v>4</v>
          </cell>
          <cell r="AA30">
            <v>12</v>
          </cell>
          <cell r="AB30">
            <v>47</v>
          </cell>
          <cell r="AC30">
            <v>0</v>
          </cell>
          <cell r="AD30">
            <v>10</v>
          </cell>
          <cell r="AE30">
            <v>126</v>
          </cell>
          <cell r="AF30">
            <v>51</v>
          </cell>
          <cell r="AG30">
            <v>4</v>
          </cell>
          <cell r="AH30">
            <v>6</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v>13382</v>
          </cell>
          <cell r="BC30">
            <v>5581</v>
          </cell>
          <cell r="BD30">
            <v>912</v>
          </cell>
          <cell r="BE30">
            <v>2468</v>
          </cell>
          <cell r="BF30">
            <v>256</v>
          </cell>
          <cell r="BG30">
            <v>270</v>
          </cell>
          <cell r="BH30">
            <v>22869</v>
          </cell>
          <cell r="BI30">
            <v>1513</v>
          </cell>
          <cell r="BJ30">
            <v>1502</v>
          </cell>
          <cell r="BK30">
            <v>2525</v>
          </cell>
          <cell r="BL30">
            <v>1254</v>
          </cell>
          <cell r="BM30">
            <v>29</v>
          </cell>
          <cell r="BN30">
            <v>0</v>
          </cell>
          <cell r="BO30">
            <v>29692</v>
          </cell>
          <cell r="BP30">
            <v>1128</v>
          </cell>
          <cell r="BQ30">
            <v>0</v>
          </cell>
          <cell r="BR30">
            <v>776</v>
          </cell>
          <cell r="BS30">
            <v>1904</v>
          </cell>
          <cell r="BT30">
            <v>27788</v>
          </cell>
          <cell r="BU30">
            <v>2511</v>
          </cell>
          <cell r="BV30">
            <v>1290</v>
          </cell>
          <cell r="BW30">
            <v>0</v>
          </cell>
          <cell r="BX30" t="str">
            <v>..</v>
          </cell>
          <cell r="BY30" t="str">
            <v>..</v>
          </cell>
          <cell r="BZ30" t="str">
            <v>..</v>
          </cell>
          <cell r="CA30" t="str">
            <v>..</v>
          </cell>
          <cell r="CB30">
            <v>0</v>
          </cell>
          <cell r="CC30" t="str">
            <v>..</v>
          </cell>
          <cell r="CD30" t="str">
            <v>..</v>
          </cell>
          <cell r="CE30" t="str">
            <v>..</v>
          </cell>
          <cell r="CF30" t="str">
            <v>..</v>
          </cell>
          <cell r="CG30" t="str">
            <v>..</v>
          </cell>
          <cell r="CH30" t="str">
            <v>..</v>
          </cell>
          <cell r="CI30" t="str">
            <v>..</v>
          </cell>
          <cell r="CJ30" t="str">
            <v>..</v>
          </cell>
          <cell r="CK30" t="str">
            <v>..</v>
          </cell>
          <cell r="CL30">
            <v>625</v>
          </cell>
          <cell r="CM30" t="str">
            <v>..</v>
          </cell>
          <cell r="CN30" t="str">
            <v>..</v>
          </cell>
          <cell r="CO30">
            <v>14548</v>
          </cell>
          <cell r="CP30">
            <v>5940</v>
          </cell>
          <cell r="CQ30">
            <v>866</v>
          </cell>
          <cell r="CR30">
            <v>2658</v>
          </cell>
          <cell r="CS30">
            <v>225</v>
          </cell>
          <cell r="CT30">
            <v>293</v>
          </cell>
          <cell r="CU30">
            <v>24530</v>
          </cell>
          <cell r="CV30">
            <v>1374</v>
          </cell>
          <cell r="CW30">
            <v>1485</v>
          </cell>
          <cell r="CX30">
            <v>2979</v>
          </cell>
          <cell r="CY30">
            <v>1254</v>
          </cell>
          <cell r="CZ30">
            <v>26</v>
          </cell>
          <cell r="DA30">
            <v>0</v>
          </cell>
          <cell r="DB30">
            <v>31648</v>
          </cell>
          <cell r="DC30">
            <v>2437</v>
          </cell>
          <cell r="DD30">
            <v>0</v>
          </cell>
          <cell r="DE30">
            <v>752</v>
          </cell>
          <cell r="DF30">
            <v>3189</v>
          </cell>
          <cell r="DG30">
            <v>28459</v>
          </cell>
          <cell r="DH30">
            <v>2170</v>
          </cell>
          <cell r="DI30">
            <v>1290</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v>907</v>
          </cell>
          <cell r="DZ30" t="str">
            <v>..</v>
          </cell>
          <cell r="EA30">
            <v>77</v>
          </cell>
          <cell r="EB30" t="str">
            <v>..</v>
          </cell>
          <cell r="EC30" t="str">
            <v>..</v>
          </cell>
          <cell r="ED30">
            <v>15.5</v>
          </cell>
          <cell r="EE30" t="str">
            <v>..</v>
          </cell>
          <cell r="EF30" t="str">
            <v>..</v>
          </cell>
          <cell r="EG30" t="str">
            <v>..</v>
          </cell>
          <cell r="EH30" t="str">
            <v>..</v>
          </cell>
          <cell r="EI30" t="str">
            <v>..</v>
          </cell>
          <cell r="EJ30" t="str">
            <v>..</v>
          </cell>
          <cell r="EK30" t="str">
            <v>..</v>
          </cell>
          <cell r="EL30">
            <v>756</v>
          </cell>
          <cell r="EM30">
            <v>614</v>
          </cell>
          <cell r="EN30">
            <v>1370</v>
          </cell>
          <cell r="EO30">
            <v>24043</v>
          </cell>
          <cell r="EP30">
            <v>2916</v>
          </cell>
          <cell r="EQ30">
            <v>315</v>
          </cell>
          <cell r="ER30">
            <v>27274</v>
          </cell>
          <cell r="ES30">
            <v>401</v>
          </cell>
          <cell r="ET30">
            <v>1254</v>
          </cell>
          <cell r="EU30">
            <v>0</v>
          </cell>
          <cell r="EV30">
            <v>30299</v>
          </cell>
          <cell r="EW30">
            <v>261</v>
          </cell>
          <cell r="EX30">
            <v>155</v>
          </cell>
          <cell r="EY30">
            <v>416</v>
          </cell>
          <cell r="EZ30">
            <v>8214</v>
          </cell>
          <cell r="FA30">
            <v>990</v>
          </cell>
          <cell r="FB30">
            <v>107</v>
          </cell>
          <cell r="FC30">
            <v>9311</v>
          </cell>
          <cell r="FD30">
            <v>136</v>
          </cell>
          <cell r="FE30">
            <v>1254</v>
          </cell>
          <cell r="FF30">
            <v>0</v>
          </cell>
          <cell r="FG30">
            <v>11117</v>
          </cell>
          <cell r="FH30">
            <v>-1842</v>
          </cell>
          <cell r="FI30">
            <v>-158</v>
          </cell>
          <cell r="FJ30">
            <v>0</v>
          </cell>
          <cell r="FK30">
            <v>-1560</v>
          </cell>
          <cell r="FL30">
            <v>-15</v>
          </cell>
          <cell r="FM30">
            <v>7226</v>
          </cell>
          <cell r="FN30">
            <v>1494</v>
          </cell>
          <cell r="FO30">
            <v>0</v>
          </cell>
          <cell r="FP30">
            <v>5145</v>
          </cell>
          <cell r="FQ30">
            <v>1076</v>
          </cell>
          <cell r="FR30">
            <v>0</v>
          </cell>
          <cell r="FS30">
            <v>-3712</v>
          </cell>
          <cell r="FT30">
            <v>-158</v>
          </cell>
          <cell r="FU30">
            <v>0</v>
          </cell>
          <cell r="FV30">
            <v>-1616</v>
          </cell>
          <cell r="FW30">
            <v>0</v>
          </cell>
          <cell r="FX30">
            <v>7481</v>
          </cell>
          <cell r="FY30">
            <v>1647</v>
          </cell>
          <cell r="FZ30">
            <v>0</v>
          </cell>
          <cell r="GA30">
            <v>3642</v>
          </cell>
          <cell r="GB30">
            <v>1128</v>
          </cell>
          <cell r="GC30">
            <v>0</v>
          </cell>
          <cell r="GD30">
            <v>617</v>
          </cell>
          <cell r="GE30">
            <v>633</v>
          </cell>
          <cell r="GF30">
            <v>17</v>
          </cell>
          <cell r="GG30">
            <v>4</v>
          </cell>
          <cell r="GH30">
            <v>45</v>
          </cell>
          <cell r="GI30">
            <v>25</v>
          </cell>
          <cell r="GJ30">
            <v>515</v>
          </cell>
          <cell r="GK30">
            <v>7</v>
          </cell>
          <cell r="GL30">
            <v>48</v>
          </cell>
          <cell r="GM30">
            <v>114</v>
          </cell>
          <cell r="GN30">
            <v>61</v>
          </cell>
          <cell r="GO30">
            <v>10</v>
          </cell>
          <cell r="GP30">
            <v>1160</v>
          </cell>
          <cell r="GQ30">
            <v>0</v>
          </cell>
          <cell r="GR30">
            <v>48</v>
          </cell>
          <cell r="GS30">
            <v>1356</v>
          </cell>
          <cell r="GT30">
            <v>0</v>
          </cell>
          <cell r="GU30">
            <v>48</v>
          </cell>
          <cell r="GV30">
            <v>0</v>
          </cell>
          <cell r="GW30">
            <v>13</v>
          </cell>
          <cell r="GX30">
            <v>739</v>
          </cell>
          <cell r="GY30">
            <v>82</v>
          </cell>
          <cell r="GZ30">
            <v>24</v>
          </cell>
          <cell r="HA30">
            <v>118</v>
          </cell>
          <cell r="HB30">
            <v>0</v>
          </cell>
          <cell r="HC30">
            <v>0</v>
          </cell>
          <cell r="HD30">
            <v>0</v>
          </cell>
          <cell r="HE30">
            <v>235</v>
          </cell>
          <cell r="HF30">
            <v>0</v>
          </cell>
          <cell r="HG30">
            <v>0</v>
          </cell>
          <cell r="HH30">
            <v>82</v>
          </cell>
          <cell r="HI30">
            <v>0</v>
          </cell>
          <cell r="HJ30">
            <v>476</v>
          </cell>
          <cell r="HK30">
            <v>0</v>
          </cell>
          <cell r="HL30">
            <v>1769</v>
          </cell>
          <cell r="HM30">
            <v>0</v>
          </cell>
          <cell r="HN30">
            <v>34</v>
          </cell>
          <cell r="HO30">
            <v>113</v>
          </cell>
          <cell r="HP30">
            <v>45</v>
          </cell>
          <cell r="HQ30">
            <v>0</v>
          </cell>
          <cell r="HR30">
            <v>210</v>
          </cell>
          <cell r="HS30">
            <v>0</v>
          </cell>
          <cell r="HT30">
            <v>0</v>
          </cell>
          <cell r="HU30">
            <v>9</v>
          </cell>
          <cell r="HV30">
            <v>0</v>
          </cell>
          <cell r="HW30">
            <v>0</v>
          </cell>
          <cell r="HX30">
            <v>0</v>
          </cell>
          <cell r="HY30">
            <v>125</v>
          </cell>
          <cell r="HZ30">
            <v>0</v>
          </cell>
          <cell r="IA30">
            <v>26</v>
          </cell>
          <cell r="IB30">
            <v>0</v>
          </cell>
          <cell r="IC30">
            <v>562</v>
          </cell>
          <cell r="ID30">
            <v>0</v>
          </cell>
          <cell r="IE30">
            <v>0</v>
          </cell>
          <cell r="IF30">
            <v>542</v>
          </cell>
          <cell r="IG30">
            <v>800</v>
          </cell>
          <cell r="IH30">
            <v>221</v>
          </cell>
          <cell r="II30">
            <v>500</v>
          </cell>
          <cell r="IJ30">
            <v>0</v>
          </cell>
          <cell r="IK30">
            <v>0</v>
          </cell>
          <cell r="IL30">
            <v>0</v>
          </cell>
          <cell r="IM30">
            <v>203</v>
          </cell>
          <cell r="IN30">
            <v>100</v>
          </cell>
          <cell r="IO30">
            <v>140</v>
          </cell>
          <cell r="IP30">
            <v>352</v>
          </cell>
          <cell r="IQ30">
            <v>0</v>
          </cell>
          <cell r="IR30">
            <v>133</v>
          </cell>
          <cell r="IS30">
            <v>0</v>
          </cell>
          <cell r="IT30">
            <v>2991</v>
          </cell>
          <cell r="IU30" t="str">
            <v>..</v>
          </cell>
          <cell r="IV30" t="str">
            <v>..</v>
          </cell>
          <cell r="IW30" t="str">
            <v>cross border activity with Cambridgeshire Fire &amp; Rescue Service</v>
          </cell>
          <cell r="IX30" t="str">
            <v>..</v>
          </cell>
          <cell r="IY30" t="str">
            <v>..</v>
          </cell>
          <cell r="IZ30" t="str">
            <v>..</v>
          </cell>
          <cell r="JA30" t="str">
            <v>..</v>
          </cell>
          <cell r="JB30"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31">
          <cell r="A31" t="str">
            <v>E2520</v>
          </cell>
          <cell r="B31" t="str">
            <v>Lincolnshire</v>
          </cell>
          <cell r="C31" t="str">
            <v>Diane Sharp</v>
          </cell>
          <cell r="D31" t="str">
            <v>Community Risk Manager</v>
          </cell>
          <cell r="E31" t="str">
            <v>01522 555953</v>
          </cell>
          <cell r="F31" t="str">
            <v>diane.sharp@lincoln.fire-uk.org</v>
          </cell>
          <cell r="G31" t="str">
            <v>Donna Jessep</v>
          </cell>
          <cell r="H31" t="str">
            <v>Senior Finance Technician</v>
          </cell>
          <cell r="I31" t="str">
            <v>01522 554047</v>
          </cell>
          <cell r="J31" t="str">
            <v>..</v>
          </cell>
          <cell r="K31" t="str">
            <v>..</v>
          </cell>
          <cell r="L31">
            <v>0</v>
          </cell>
          <cell r="M31">
            <v>29</v>
          </cell>
          <cell r="N31">
            <v>9</v>
          </cell>
          <cell r="O31">
            <v>0</v>
          </cell>
          <cell r="P31">
            <v>38</v>
          </cell>
          <cell r="Q31">
            <v>4</v>
          </cell>
          <cell r="R31">
            <v>0</v>
          </cell>
          <cell r="S31">
            <v>29</v>
          </cell>
          <cell r="T31">
            <v>9</v>
          </cell>
          <cell r="U31">
            <v>0</v>
          </cell>
          <cell r="V31">
            <v>38</v>
          </cell>
          <cell r="W31">
            <v>5</v>
          </cell>
          <cell r="X31">
            <v>48</v>
          </cell>
          <cell r="Y31">
            <v>48</v>
          </cell>
          <cell r="Z31">
            <v>2</v>
          </cell>
          <cell r="AA31">
            <v>37</v>
          </cell>
          <cell r="AB31">
            <v>49</v>
          </cell>
          <cell r="AC31">
            <v>0</v>
          </cell>
          <cell r="AD31">
            <v>6</v>
          </cell>
          <cell r="AE31">
            <v>142</v>
          </cell>
          <cell r="AF31">
            <v>40</v>
          </cell>
          <cell r="AG31">
            <v>5</v>
          </cell>
          <cell r="AH31">
            <v>3</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v>10137</v>
          </cell>
          <cell r="BC31">
            <v>4300</v>
          </cell>
          <cell r="BD31">
            <v>683</v>
          </cell>
          <cell r="BE31">
            <v>1884</v>
          </cell>
          <cell r="BF31">
            <v>588</v>
          </cell>
          <cell r="BG31">
            <v>17</v>
          </cell>
          <cell r="BH31">
            <v>17609</v>
          </cell>
          <cell r="BI31">
            <v>1299</v>
          </cell>
          <cell r="BJ31">
            <v>1262</v>
          </cell>
          <cell r="BK31">
            <v>1822</v>
          </cell>
          <cell r="BL31">
            <v>2943</v>
          </cell>
          <cell r="BM31">
            <v>0</v>
          </cell>
          <cell r="BN31">
            <v>0</v>
          </cell>
          <cell r="BO31">
            <v>24935</v>
          </cell>
          <cell r="BP31">
            <v>1184</v>
          </cell>
          <cell r="BQ31">
            <v>0</v>
          </cell>
          <cell r="BR31">
            <v>1041</v>
          </cell>
          <cell r="BS31">
            <v>2225</v>
          </cell>
          <cell r="BT31">
            <v>22710</v>
          </cell>
          <cell r="BU31">
            <v>4108</v>
          </cell>
          <cell r="BV31">
            <v>685</v>
          </cell>
          <cell r="BW31">
            <v>0</v>
          </cell>
          <cell r="BX31">
            <v>0</v>
          </cell>
          <cell r="BY31">
            <v>0</v>
          </cell>
          <cell r="BZ31">
            <v>0</v>
          </cell>
          <cell r="CA31">
            <v>0</v>
          </cell>
          <cell r="CB31">
            <v>0</v>
          </cell>
          <cell r="CC31">
            <v>0</v>
          </cell>
          <cell r="CD31">
            <v>0</v>
          </cell>
          <cell r="CE31">
            <v>0</v>
          </cell>
          <cell r="CF31">
            <v>0</v>
          </cell>
          <cell r="CG31">
            <v>0</v>
          </cell>
          <cell r="CH31">
            <v>0</v>
          </cell>
          <cell r="CI31">
            <v>0</v>
          </cell>
          <cell r="CJ31">
            <v>96</v>
          </cell>
          <cell r="CK31">
            <v>0</v>
          </cell>
          <cell r="CL31">
            <v>0</v>
          </cell>
          <cell r="CM31">
            <v>0</v>
          </cell>
          <cell r="CN31">
            <v>27</v>
          </cell>
          <cell r="CO31">
            <v>10332</v>
          </cell>
          <cell r="CP31">
            <v>4629</v>
          </cell>
          <cell r="CQ31">
            <v>721</v>
          </cell>
          <cell r="CR31">
            <v>1559</v>
          </cell>
          <cell r="CS31">
            <v>502</v>
          </cell>
          <cell r="CT31">
            <v>21</v>
          </cell>
          <cell r="CU31">
            <v>17764</v>
          </cell>
          <cell r="CV31">
            <v>1299</v>
          </cell>
          <cell r="CW31">
            <v>1189</v>
          </cell>
          <cell r="CX31">
            <v>1975</v>
          </cell>
          <cell r="CY31">
            <v>2750</v>
          </cell>
          <cell r="CZ31">
            <v>0</v>
          </cell>
          <cell r="DA31">
            <v>0</v>
          </cell>
          <cell r="DB31">
            <v>24977</v>
          </cell>
          <cell r="DC31">
            <v>1191</v>
          </cell>
          <cell r="DD31">
            <v>0</v>
          </cell>
          <cell r="DE31">
            <v>1486</v>
          </cell>
          <cell r="DF31">
            <v>2677</v>
          </cell>
          <cell r="DG31">
            <v>22300</v>
          </cell>
          <cell r="DH31">
            <v>4108</v>
          </cell>
          <cell r="DI31">
            <v>685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86</v>
          </cell>
          <cell r="DX31">
            <v>0</v>
          </cell>
          <cell r="DY31">
            <v>0</v>
          </cell>
          <cell r="DZ31">
            <v>0</v>
          </cell>
          <cell r="EA31">
            <v>0</v>
          </cell>
          <cell r="EB31">
            <v>0</v>
          </cell>
          <cell r="EC31">
            <v>50</v>
          </cell>
          <cell r="ED31">
            <v>0</v>
          </cell>
          <cell r="EE31">
            <v>0</v>
          </cell>
          <cell r="EF31" t="str">
            <v>..</v>
          </cell>
          <cell r="EG31" t="str">
            <v>..</v>
          </cell>
          <cell r="EH31" t="str">
            <v>..</v>
          </cell>
          <cell r="EI31" t="str">
            <v>..</v>
          </cell>
          <cell r="EJ31" t="str">
            <v>..</v>
          </cell>
          <cell r="EK31" t="str">
            <v>..</v>
          </cell>
          <cell r="EL31" t="str">
            <v>..</v>
          </cell>
          <cell r="EM31" t="str">
            <v>..</v>
          </cell>
          <cell r="EN31">
            <v>1184</v>
          </cell>
          <cell r="EO31" t="str">
            <v>..</v>
          </cell>
          <cell r="EP31" t="str">
            <v>..</v>
          </cell>
          <cell r="EQ31" t="str">
            <v>..</v>
          </cell>
          <cell r="ER31">
            <v>25634</v>
          </cell>
          <cell r="ES31">
            <v>0</v>
          </cell>
          <cell r="ET31">
            <v>0</v>
          </cell>
          <cell r="EU31">
            <v>0</v>
          </cell>
          <cell r="EV31">
            <v>26818</v>
          </cell>
          <cell r="EW31" t="str">
            <v>..</v>
          </cell>
          <cell r="EX31" t="str">
            <v>..</v>
          </cell>
          <cell r="EY31">
            <v>1178</v>
          </cell>
          <cell r="EZ31" t="str">
            <v>..</v>
          </cell>
          <cell r="FA31" t="str">
            <v>..</v>
          </cell>
          <cell r="FB31" t="str">
            <v>..</v>
          </cell>
          <cell r="FC31">
            <v>25230</v>
          </cell>
          <cell r="FD31">
            <v>0</v>
          </cell>
          <cell r="FE31">
            <v>0</v>
          </cell>
          <cell r="FF31">
            <v>0</v>
          </cell>
          <cell r="FG31">
            <v>26408</v>
          </cell>
          <cell r="FH31">
            <v>-1690</v>
          </cell>
          <cell r="FI31">
            <v>0</v>
          </cell>
          <cell r="FJ31">
            <v>0</v>
          </cell>
          <cell r="FK31">
            <v>-1405</v>
          </cell>
          <cell r="FL31">
            <v>-75</v>
          </cell>
          <cell r="FM31">
            <v>5348</v>
          </cell>
          <cell r="FN31">
            <v>2109</v>
          </cell>
          <cell r="FO31">
            <v>0</v>
          </cell>
          <cell r="FP31">
            <v>4287</v>
          </cell>
          <cell r="FQ31">
            <v>444</v>
          </cell>
          <cell r="FR31">
            <v>0</v>
          </cell>
          <cell r="FS31">
            <v>-1671</v>
          </cell>
          <cell r="FT31">
            <v>0</v>
          </cell>
          <cell r="FU31">
            <v>0</v>
          </cell>
          <cell r="FV31">
            <v>-1346</v>
          </cell>
          <cell r="FW31">
            <v>-35</v>
          </cell>
          <cell r="FX31">
            <v>5521</v>
          </cell>
          <cell r="FY31">
            <v>1588</v>
          </cell>
          <cell r="FZ31">
            <v>0</v>
          </cell>
          <cell r="GA31">
            <v>4057</v>
          </cell>
          <cell r="GB31">
            <v>444</v>
          </cell>
          <cell r="GC31">
            <v>0</v>
          </cell>
          <cell r="GD31">
            <v>392</v>
          </cell>
          <cell r="GE31">
            <v>392</v>
          </cell>
          <cell r="GF31">
            <v>18</v>
          </cell>
          <cell r="GG31">
            <v>0</v>
          </cell>
          <cell r="GH31">
            <v>40</v>
          </cell>
          <cell r="GI31">
            <v>19</v>
          </cell>
          <cell r="GJ31">
            <v>508</v>
          </cell>
          <cell r="GK31">
            <v>14</v>
          </cell>
          <cell r="GL31">
            <v>13</v>
          </cell>
          <cell r="GM31">
            <v>321</v>
          </cell>
          <cell r="GN31">
            <v>185</v>
          </cell>
          <cell r="GO31">
            <v>15</v>
          </cell>
          <cell r="GP31">
            <v>150</v>
          </cell>
          <cell r="GQ31">
            <v>0</v>
          </cell>
          <cell r="GR31">
            <v>0</v>
          </cell>
          <cell r="GS31">
            <v>150</v>
          </cell>
          <cell r="GT31">
            <v>0</v>
          </cell>
          <cell r="GU31">
            <v>0</v>
          </cell>
          <cell r="GV31">
            <v>73</v>
          </cell>
          <cell r="GW31">
            <v>0</v>
          </cell>
          <cell r="GX31">
            <v>0</v>
          </cell>
          <cell r="GY31">
            <v>331</v>
          </cell>
          <cell r="GZ31">
            <v>0</v>
          </cell>
          <cell r="HA31">
            <v>69</v>
          </cell>
          <cell r="HB31">
            <v>0</v>
          </cell>
          <cell r="HC31">
            <v>0</v>
          </cell>
          <cell r="HD31">
            <v>106</v>
          </cell>
          <cell r="HE31">
            <v>0</v>
          </cell>
          <cell r="HF31">
            <v>0</v>
          </cell>
          <cell r="HG31">
            <v>0</v>
          </cell>
          <cell r="HH31">
            <v>31</v>
          </cell>
          <cell r="HI31">
            <v>0</v>
          </cell>
          <cell r="HJ31">
            <v>0</v>
          </cell>
          <cell r="HK31">
            <v>0</v>
          </cell>
          <cell r="HL31">
            <v>610</v>
          </cell>
          <cell r="HM31">
            <v>183</v>
          </cell>
          <cell r="HN31">
            <v>0</v>
          </cell>
          <cell r="HO31">
            <v>5792.5129999999999</v>
          </cell>
          <cell r="HP31">
            <v>245</v>
          </cell>
          <cell r="HQ31">
            <v>0</v>
          </cell>
          <cell r="HR31">
            <v>1670</v>
          </cell>
          <cell r="HS31">
            <v>0</v>
          </cell>
          <cell r="HT31">
            <v>0</v>
          </cell>
          <cell r="HU31">
            <v>182</v>
          </cell>
          <cell r="HV31">
            <v>0</v>
          </cell>
          <cell r="HW31">
            <v>0</v>
          </cell>
          <cell r="HX31">
            <v>0</v>
          </cell>
          <cell r="HY31">
            <v>31</v>
          </cell>
          <cell r="HZ31">
            <v>0</v>
          </cell>
          <cell r="IA31">
            <v>0</v>
          </cell>
          <cell r="IB31">
            <v>0</v>
          </cell>
          <cell r="IC31">
            <v>8103.5129999999999</v>
          </cell>
          <cell r="ID31">
            <v>265</v>
          </cell>
          <cell r="IE31">
            <v>0</v>
          </cell>
          <cell r="IF31">
            <v>1351.2750000000001</v>
          </cell>
          <cell r="IG31">
            <v>234</v>
          </cell>
          <cell r="IH31">
            <v>0</v>
          </cell>
          <cell r="II31">
            <v>5775</v>
          </cell>
          <cell r="IJ31">
            <v>0</v>
          </cell>
          <cell r="IK31">
            <v>0</v>
          </cell>
          <cell r="IL31">
            <v>875</v>
          </cell>
          <cell r="IM31">
            <v>0</v>
          </cell>
          <cell r="IN31">
            <v>0</v>
          </cell>
          <cell r="IO31">
            <v>0</v>
          </cell>
          <cell r="IP31">
            <v>90</v>
          </cell>
          <cell r="IQ31">
            <v>0</v>
          </cell>
          <cell r="IR31">
            <v>0</v>
          </cell>
          <cell r="IS31">
            <v>0</v>
          </cell>
          <cell r="IT31">
            <v>8590.2749999999996</v>
          </cell>
          <cell r="IU31" t="str">
            <v>year end 31.3.19: 2 x stations shared with Lincs Police, 2 x stations shared with Ambulance. Est 31.3.20 Further 1 station shared with both Ambulance and Police.</v>
          </cell>
          <cell r="IV31" t="str">
            <v>23 x inflatable boats, 7 x swift water rescue vans, 2 x rescue support units, 1 x water carrier, 2 x canine units, 2 x mobile flood pump units</v>
          </cell>
          <cell r="IW31" t="str">
            <v>..</v>
          </cell>
          <cell r="IX31" t="str">
            <v>..</v>
          </cell>
          <cell r="IY31" t="str">
            <v>..</v>
          </cell>
          <cell r="IZ31" t="str">
            <v>..</v>
          </cell>
          <cell r="JA31" t="str">
            <v>..</v>
          </cell>
          <cell r="JB31" t="str">
            <v>..</v>
          </cell>
        </row>
        <row r="32">
          <cell r="A32" t="str">
            <v>E6124</v>
          </cell>
          <cell r="B32" t="str">
            <v>Leicestershire</v>
          </cell>
          <cell r="C32" t="str">
            <v>Philippa Brown</v>
          </cell>
          <cell r="D32" t="str">
            <v>Accountant</v>
          </cell>
          <cell r="E32" t="str">
            <v>0116 2105509</v>
          </cell>
          <cell r="F32" t="str">
            <v>philippa.brown@lfrs.org</v>
          </cell>
          <cell r="G32" t="str">
            <v>Philippa Brown</v>
          </cell>
          <cell r="H32" t="str">
            <v>Accountant</v>
          </cell>
          <cell r="I32" t="str">
            <v>0116 2105509</v>
          </cell>
          <cell r="J32" t="str">
            <v>philippa.brown@lfrs.org</v>
          </cell>
          <cell r="K32" t="str">
            <v>..</v>
          </cell>
          <cell r="L32">
            <v>7</v>
          </cell>
          <cell r="M32">
            <v>6</v>
          </cell>
          <cell r="N32">
            <v>7</v>
          </cell>
          <cell r="O32">
            <v>0</v>
          </cell>
          <cell r="P32">
            <v>20</v>
          </cell>
          <cell r="Q32">
            <v>2</v>
          </cell>
          <cell r="R32">
            <v>7</v>
          </cell>
          <cell r="S32">
            <v>6</v>
          </cell>
          <cell r="T32">
            <v>7</v>
          </cell>
          <cell r="U32">
            <v>0</v>
          </cell>
          <cell r="V32">
            <v>20</v>
          </cell>
          <cell r="W32">
            <v>3</v>
          </cell>
          <cell r="X32">
            <v>30</v>
          </cell>
          <cell r="Y32">
            <v>32</v>
          </cell>
          <cell r="Z32">
            <v>2</v>
          </cell>
          <cell r="AA32">
            <v>18</v>
          </cell>
          <cell r="AB32">
            <v>33</v>
          </cell>
          <cell r="AC32">
            <v>0</v>
          </cell>
          <cell r="AD32">
            <v>10</v>
          </cell>
          <cell r="AE32">
            <v>95</v>
          </cell>
          <cell r="AF32">
            <v>69</v>
          </cell>
          <cell r="AG32">
            <v>3</v>
          </cell>
          <cell r="AH32">
            <v>5</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v>17180</v>
          </cell>
          <cell r="BC32">
            <v>1802</v>
          </cell>
          <cell r="BD32">
            <v>1148</v>
          </cell>
          <cell r="BE32">
            <v>4505</v>
          </cell>
          <cell r="BF32">
            <v>370</v>
          </cell>
          <cell r="BG32">
            <v>635</v>
          </cell>
          <cell r="BH32">
            <v>25640</v>
          </cell>
          <cell r="BI32">
            <v>2399</v>
          </cell>
          <cell r="BJ32">
            <v>952</v>
          </cell>
          <cell r="BK32">
            <v>3441</v>
          </cell>
          <cell r="BL32">
            <v>159</v>
          </cell>
          <cell r="BM32">
            <v>0</v>
          </cell>
          <cell r="BN32">
            <v>0</v>
          </cell>
          <cell r="BO32">
            <v>32591</v>
          </cell>
          <cell r="BP32">
            <v>2104</v>
          </cell>
          <cell r="BQ32">
            <v>0</v>
          </cell>
          <cell r="BR32">
            <v>701</v>
          </cell>
          <cell r="BS32">
            <v>2805</v>
          </cell>
          <cell r="BT32">
            <v>29786</v>
          </cell>
          <cell r="BU32">
            <v>2404</v>
          </cell>
          <cell r="BV32">
            <v>27014</v>
          </cell>
          <cell r="BW32">
            <v>0</v>
          </cell>
          <cell r="BX32">
            <v>1316</v>
          </cell>
          <cell r="BY32">
            <v>90</v>
          </cell>
          <cell r="BZ32">
            <v>574</v>
          </cell>
          <cell r="CA32">
            <v>115</v>
          </cell>
          <cell r="CB32">
            <v>0</v>
          </cell>
          <cell r="CC32">
            <v>0</v>
          </cell>
          <cell r="CD32">
            <v>0</v>
          </cell>
          <cell r="CE32">
            <v>0</v>
          </cell>
          <cell r="CF32">
            <v>0</v>
          </cell>
          <cell r="CG32">
            <v>0</v>
          </cell>
          <cell r="CH32">
            <v>144</v>
          </cell>
          <cell r="CI32">
            <v>144</v>
          </cell>
          <cell r="CJ32">
            <v>23</v>
          </cell>
          <cell r="CK32">
            <v>135</v>
          </cell>
          <cell r="CL32">
            <v>267</v>
          </cell>
          <cell r="CM32">
            <v>183</v>
          </cell>
          <cell r="CN32">
            <v>222</v>
          </cell>
          <cell r="CO32">
            <v>19395</v>
          </cell>
          <cell r="CP32">
            <v>2341</v>
          </cell>
          <cell r="CQ32">
            <v>1062</v>
          </cell>
          <cell r="CR32">
            <v>4772</v>
          </cell>
          <cell r="CS32">
            <v>318</v>
          </cell>
          <cell r="CT32">
            <v>348</v>
          </cell>
          <cell r="CU32">
            <v>28236</v>
          </cell>
          <cell r="CV32">
            <v>2348</v>
          </cell>
          <cell r="CW32">
            <v>983</v>
          </cell>
          <cell r="CX32">
            <v>3109</v>
          </cell>
          <cell r="CY32">
            <v>179</v>
          </cell>
          <cell r="CZ32">
            <v>0</v>
          </cell>
          <cell r="DA32">
            <v>0</v>
          </cell>
          <cell r="DB32">
            <v>34855</v>
          </cell>
          <cell r="DC32">
            <v>3282</v>
          </cell>
          <cell r="DD32">
            <v>0</v>
          </cell>
          <cell r="DE32">
            <v>395</v>
          </cell>
          <cell r="DF32">
            <v>3677</v>
          </cell>
          <cell r="DG32">
            <v>31178</v>
          </cell>
          <cell r="DH32">
            <v>2400</v>
          </cell>
          <cell r="DI32">
            <v>27000</v>
          </cell>
          <cell r="DJ32">
            <v>0</v>
          </cell>
          <cell r="DK32">
            <v>1136</v>
          </cell>
          <cell r="DL32">
            <v>163</v>
          </cell>
          <cell r="DM32">
            <v>474</v>
          </cell>
          <cell r="DN32">
            <v>162</v>
          </cell>
          <cell r="DO32">
            <v>0</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v>0</v>
          </cell>
          <cell r="EC32">
            <v>0</v>
          </cell>
          <cell r="ED32">
            <v>22.5</v>
          </cell>
          <cell r="EE32">
            <v>0</v>
          </cell>
          <cell r="EF32" t="str">
            <v>..</v>
          </cell>
          <cell r="EG32">
            <v>13358</v>
          </cell>
          <cell r="EH32">
            <v>21512</v>
          </cell>
          <cell r="EI32">
            <v>145</v>
          </cell>
          <cell r="EJ32">
            <v>0</v>
          </cell>
          <cell r="EK32">
            <v>35015</v>
          </cell>
          <cell r="EL32" t="str">
            <v>..</v>
          </cell>
          <cell r="EM32" t="str">
            <v>..</v>
          </cell>
          <cell r="EN32">
            <v>3627</v>
          </cell>
          <cell r="EO32" t="str">
            <v>..</v>
          </cell>
          <cell r="EP32" t="str">
            <v>..</v>
          </cell>
          <cell r="EQ32" t="str">
            <v>..</v>
          </cell>
          <cell r="ER32">
            <v>27269</v>
          </cell>
          <cell r="ES32">
            <v>535</v>
          </cell>
          <cell r="ET32">
            <v>759</v>
          </cell>
          <cell r="EU32">
            <v>0</v>
          </cell>
          <cell r="EV32">
            <v>32190</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v>-2212</v>
          </cell>
          <cell r="FI32">
            <v>-37</v>
          </cell>
          <cell r="FJ32">
            <v>0</v>
          </cell>
          <cell r="FK32">
            <v>-1799</v>
          </cell>
          <cell r="FL32">
            <v>0</v>
          </cell>
          <cell r="FM32">
            <v>10700</v>
          </cell>
          <cell r="FN32">
            <v>2158</v>
          </cell>
          <cell r="FO32">
            <v>150</v>
          </cell>
          <cell r="FP32">
            <v>8960</v>
          </cell>
          <cell r="FQ32">
            <v>117</v>
          </cell>
          <cell r="FR32">
            <v>0</v>
          </cell>
          <cell r="FS32">
            <v>-2020</v>
          </cell>
          <cell r="FT32">
            <v>-56</v>
          </cell>
          <cell r="FU32">
            <v>0</v>
          </cell>
          <cell r="FV32">
            <v>-1720</v>
          </cell>
          <cell r="FW32">
            <v>0</v>
          </cell>
          <cell r="FX32">
            <v>11442</v>
          </cell>
          <cell r="FY32">
            <v>655</v>
          </cell>
          <cell r="FZ32">
            <v>0</v>
          </cell>
          <cell r="GA32">
            <v>8301</v>
          </cell>
          <cell r="GB32">
            <v>112</v>
          </cell>
          <cell r="GC32">
            <v>0</v>
          </cell>
          <cell r="GD32">
            <v>658</v>
          </cell>
          <cell r="GE32">
            <v>661</v>
          </cell>
          <cell r="GF32">
            <v>23</v>
          </cell>
          <cell r="GG32">
            <v>1</v>
          </cell>
          <cell r="GH32">
            <v>83</v>
          </cell>
          <cell r="GI32">
            <v>10</v>
          </cell>
          <cell r="GJ32">
            <v>405</v>
          </cell>
          <cell r="GK32">
            <v>10</v>
          </cell>
          <cell r="GL32">
            <v>44</v>
          </cell>
          <cell r="GM32">
            <v>206</v>
          </cell>
          <cell r="GN32">
            <v>70</v>
          </cell>
          <cell r="GO32">
            <v>21</v>
          </cell>
          <cell r="GP32">
            <v>11599</v>
          </cell>
          <cell r="GQ32">
            <v>2247</v>
          </cell>
          <cell r="GR32">
            <v>375</v>
          </cell>
          <cell r="GS32">
            <v>12449</v>
          </cell>
          <cell r="GT32">
            <v>2610</v>
          </cell>
          <cell r="GU32">
            <v>475</v>
          </cell>
          <cell r="GV32">
            <v>0</v>
          </cell>
          <cell r="GW32">
            <v>0</v>
          </cell>
          <cell r="GX32">
            <v>16</v>
          </cell>
          <cell r="GY32">
            <v>1367</v>
          </cell>
          <cell r="GZ32">
            <v>0</v>
          </cell>
          <cell r="HA32">
            <v>585</v>
          </cell>
          <cell r="HB32">
            <v>407</v>
          </cell>
          <cell r="HC32">
            <v>0</v>
          </cell>
          <cell r="HD32">
            <v>0</v>
          </cell>
          <cell r="HE32">
            <v>0</v>
          </cell>
          <cell r="HF32">
            <v>69</v>
          </cell>
          <cell r="HG32">
            <v>0</v>
          </cell>
          <cell r="HH32">
            <v>305</v>
          </cell>
          <cell r="HI32">
            <v>0</v>
          </cell>
          <cell r="HJ32">
            <v>0</v>
          </cell>
          <cell r="HK32">
            <v>0</v>
          </cell>
          <cell r="HL32">
            <v>2749</v>
          </cell>
          <cell r="HM32">
            <v>0</v>
          </cell>
          <cell r="HN32">
            <v>0</v>
          </cell>
          <cell r="HO32">
            <v>0</v>
          </cell>
          <cell r="HP32">
            <v>1175</v>
          </cell>
          <cell r="HQ32">
            <v>0</v>
          </cell>
          <cell r="HR32">
            <v>296</v>
          </cell>
          <cell r="HS32">
            <v>30</v>
          </cell>
          <cell r="HT32">
            <v>0</v>
          </cell>
          <cell r="HU32">
            <v>66</v>
          </cell>
          <cell r="HV32">
            <v>0</v>
          </cell>
          <cell r="HW32">
            <v>95</v>
          </cell>
          <cell r="HX32">
            <v>0</v>
          </cell>
          <cell r="HY32">
            <v>108</v>
          </cell>
          <cell r="HZ32">
            <v>0</v>
          </cell>
          <cell r="IA32">
            <v>0</v>
          </cell>
          <cell r="IB32">
            <v>0</v>
          </cell>
          <cell r="IC32">
            <v>1770</v>
          </cell>
          <cell r="ID32">
            <v>0</v>
          </cell>
          <cell r="IE32">
            <v>0</v>
          </cell>
          <cell r="IF32">
            <v>0</v>
          </cell>
          <cell r="IG32">
            <v>347</v>
          </cell>
          <cell r="IH32">
            <v>0</v>
          </cell>
          <cell r="II32">
            <v>1594</v>
          </cell>
          <cell r="IJ32">
            <v>0</v>
          </cell>
          <cell r="IK32">
            <v>0</v>
          </cell>
          <cell r="IL32">
            <v>0</v>
          </cell>
          <cell r="IM32">
            <v>0</v>
          </cell>
          <cell r="IN32">
            <v>793</v>
          </cell>
          <cell r="IO32">
            <v>0</v>
          </cell>
          <cell r="IP32">
            <v>793</v>
          </cell>
          <cell r="IQ32">
            <v>0</v>
          </cell>
          <cell r="IR32">
            <v>0</v>
          </cell>
          <cell r="IS32">
            <v>0</v>
          </cell>
          <cell r="IT32">
            <v>3527</v>
          </cell>
          <cell r="IU32" t="str">
            <v>Police/Emas</v>
          </cell>
          <cell r="IV32" t="str">
            <v>To advise later</v>
          </cell>
          <cell r="IW32" t="str">
            <v>..</v>
          </cell>
          <cell r="IX32">
            <v>0</v>
          </cell>
          <cell r="IY32" t="str">
            <v>..</v>
          </cell>
          <cell r="IZ32" t="str">
            <v>..</v>
          </cell>
          <cell r="JA32" t="str">
            <v>..</v>
          </cell>
          <cell r="JB32" t="str">
            <v>..</v>
          </cell>
        </row>
        <row r="33">
          <cell r="A33" t="str">
            <v>E6162</v>
          </cell>
          <cell r="B33" t="str">
            <v>Dorset and Wiltshire</v>
          </cell>
          <cell r="C33" t="str">
            <v>Jane Barnes</v>
          </cell>
          <cell r="D33" t="str">
            <v>Performance Information Manager</v>
          </cell>
          <cell r="E33" t="str">
            <v>01722 691095</v>
          </cell>
          <cell r="F33" t="str">
            <v>jane.barnes@dwfire.org.uk</v>
          </cell>
          <cell r="G33" t="str">
            <v>Ian Cotter</v>
          </cell>
          <cell r="H33" t="str">
            <v>Head of Financial Services</v>
          </cell>
          <cell r="I33" t="str">
            <v>01722 691109</v>
          </cell>
          <cell r="J33" t="str">
            <v>Ian.cotter@dwfire.org.uk</v>
          </cell>
          <cell r="K33" t="str">
            <v>..</v>
          </cell>
          <cell r="L33">
            <v>3</v>
          </cell>
          <cell r="M33">
            <v>37</v>
          </cell>
          <cell r="N33">
            <v>10</v>
          </cell>
          <cell r="O33">
            <v>0</v>
          </cell>
          <cell r="P33">
            <v>50</v>
          </cell>
          <cell r="Q33">
            <v>6</v>
          </cell>
          <cell r="R33">
            <v>3</v>
          </cell>
          <cell r="S33">
            <v>37</v>
          </cell>
          <cell r="T33">
            <v>10</v>
          </cell>
          <cell r="U33">
            <v>0</v>
          </cell>
          <cell r="V33">
            <v>50</v>
          </cell>
          <cell r="W33">
            <v>6</v>
          </cell>
          <cell r="X33">
            <v>74</v>
          </cell>
          <cell r="Y33">
            <v>74</v>
          </cell>
          <cell r="Z33">
            <v>4</v>
          </cell>
          <cell r="AA33">
            <v>58</v>
          </cell>
          <cell r="AB33">
            <v>50</v>
          </cell>
          <cell r="AC33">
            <v>4</v>
          </cell>
          <cell r="AD33">
            <v>3</v>
          </cell>
          <cell r="AE33">
            <v>193</v>
          </cell>
          <cell r="AF33">
            <v>195</v>
          </cell>
          <cell r="AG33">
            <v>8</v>
          </cell>
          <cell r="AH33">
            <v>7</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v>23568</v>
          </cell>
          <cell r="BC33">
            <v>7267</v>
          </cell>
          <cell r="BD33">
            <v>1430</v>
          </cell>
          <cell r="BE33">
            <v>9719</v>
          </cell>
          <cell r="BF33">
            <v>520</v>
          </cell>
          <cell r="BG33">
            <v>1358</v>
          </cell>
          <cell r="BH33">
            <v>43862</v>
          </cell>
          <cell r="BI33">
            <v>3781</v>
          </cell>
          <cell r="BJ33">
            <v>1410</v>
          </cell>
          <cell r="BK33">
            <v>5145</v>
          </cell>
          <cell r="BL33">
            <v>1727</v>
          </cell>
          <cell r="BM33">
            <v>0</v>
          </cell>
          <cell r="BN33">
            <v>0</v>
          </cell>
          <cell r="BO33">
            <v>55925</v>
          </cell>
          <cell r="BP33">
            <v>2164</v>
          </cell>
          <cell r="BQ33">
            <v>0</v>
          </cell>
          <cell r="BR33">
            <v>1460</v>
          </cell>
          <cell r="BS33">
            <v>3624</v>
          </cell>
          <cell r="BT33">
            <v>52301</v>
          </cell>
          <cell r="BU33">
            <v>4013</v>
          </cell>
          <cell r="BV33">
            <v>5815</v>
          </cell>
          <cell r="BW33">
            <v>1103</v>
          </cell>
          <cell r="BX33">
            <v>1406</v>
          </cell>
          <cell r="BY33">
            <v>110</v>
          </cell>
          <cell r="BZ33">
            <v>434</v>
          </cell>
          <cell r="CA33">
            <v>-53</v>
          </cell>
          <cell r="CB33">
            <v>840</v>
          </cell>
          <cell r="CC33">
            <v>0</v>
          </cell>
          <cell r="CD33">
            <v>0</v>
          </cell>
          <cell r="CE33">
            <v>1430</v>
          </cell>
          <cell r="CF33">
            <v>353</v>
          </cell>
          <cell r="CG33">
            <v>2</v>
          </cell>
          <cell r="CH33">
            <v>4</v>
          </cell>
          <cell r="CI33">
            <v>1789</v>
          </cell>
          <cell r="CJ33">
            <v>0</v>
          </cell>
          <cell r="CK33">
            <v>6</v>
          </cell>
          <cell r="CL33">
            <v>702</v>
          </cell>
          <cell r="CM33">
            <v>57</v>
          </cell>
          <cell r="CN33">
            <v>584</v>
          </cell>
          <cell r="CO33">
            <v>24611</v>
          </cell>
          <cell r="CP33">
            <v>8235</v>
          </cell>
          <cell r="CQ33">
            <v>1513</v>
          </cell>
          <cell r="CR33">
            <v>10664</v>
          </cell>
          <cell r="CS33">
            <v>679</v>
          </cell>
          <cell r="CT33">
            <v>879</v>
          </cell>
          <cell r="CU33">
            <v>46581</v>
          </cell>
          <cell r="CV33">
            <v>3884</v>
          </cell>
          <cell r="CW33">
            <v>1455</v>
          </cell>
          <cell r="CX33">
            <v>4987</v>
          </cell>
          <cell r="CY33">
            <v>1677</v>
          </cell>
          <cell r="CZ33">
            <v>0</v>
          </cell>
          <cell r="DA33">
            <v>0</v>
          </cell>
          <cell r="DB33">
            <v>58584</v>
          </cell>
          <cell r="DC33">
            <v>5231</v>
          </cell>
          <cell r="DD33">
            <v>0</v>
          </cell>
          <cell r="DE33">
            <v>1004</v>
          </cell>
          <cell r="DF33">
            <v>6235</v>
          </cell>
          <cell r="DG33">
            <v>52349</v>
          </cell>
          <cell r="DH33">
            <v>0</v>
          </cell>
          <cell r="DI33">
            <v>0</v>
          </cell>
          <cell r="DJ33">
            <v>0</v>
          </cell>
          <cell r="DK33">
            <v>1503</v>
          </cell>
          <cell r="DL33">
            <v>0</v>
          </cell>
          <cell r="DM33">
            <v>709</v>
          </cell>
          <cell r="DN33">
            <v>-60</v>
          </cell>
          <cell r="DO33">
            <v>858</v>
          </cell>
          <cell r="DP33">
            <v>0</v>
          </cell>
          <cell r="DQ33">
            <v>0</v>
          </cell>
          <cell r="DR33">
            <v>1513</v>
          </cell>
          <cell r="DS33">
            <v>381</v>
          </cell>
          <cell r="DT33">
            <v>5</v>
          </cell>
          <cell r="DU33">
            <v>4</v>
          </cell>
          <cell r="DV33">
            <v>1903</v>
          </cell>
          <cell r="DW33">
            <v>0</v>
          </cell>
          <cell r="DX33">
            <v>8</v>
          </cell>
          <cell r="DY33">
            <v>631</v>
          </cell>
          <cell r="DZ33">
            <v>87</v>
          </cell>
          <cell r="EA33">
            <v>464</v>
          </cell>
          <cell r="EB33">
            <v>0</v>
          </cell>
          <cell r="EC33">
            <v>21</v>
          </cell>
          <cell r="ED33">
            <v>18.8</v>
          </cell>
          <cell r="EE33">
            <v>232</v>
          </cell>
          <cell r="EF33">
            <v>9085</v>
          </cell>
          <cell r="EG33">
            <v>4996</v>
          </cell>
          <cell r="EH33">
            <v>41763</v>
          </cell>
          <cell r="EI33" t="str">
            <v>..</v>
          </cell>
          <cell r="EJ33">
            <v>0</v>
          </cell>
          <cell r="EK33">
            <v>55844</v>
          </cell>
          <cell r="EL33" t="str">
            <v>..</v>
          </cell>
          <cell r="EM33" t="str">
            <v>..</v>
          </cell>
          <cell r="EN33">
            <v>9309</v>
          </cell>
          <cell r="EO33" t="str">
            <v>..</v>
          </cell>
          <cell r="EP33" t="str">
            <v>..</v>
          </cell>
          <cell r="EQ33" t="str">
            <v>..</v>
          </cell>
          <cell r="ER33">
            <v>44635</v>
          </cell>
          <cell r="ES33">
            <v>79</v>
          </cell>
          <cell r="ET33">
            <v>552</v>
          </cell>
          <cell r="EU33">
            <v>1739</v>
          </cell>
          <cell r="EV33">
            <v>56314</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v>-3265</v>
          </cell>
          <cell r="FI33">
            <v>-31</v>
          </cell>
          <cell r="FJ33">
            <v>0</v>
          </cell>
          <cell r="FK33">
            <v>-2813</v>
          </cell>
          <cell r="FL33">
            <v>0</v>
          </cell>
          <cell r="FM33">
            <v>12313</v>
          </cell>
          <cell r="FN33">
            <v>2493</v>
          </cell>
          <cell r="FO33">
            <v>0</v>
          </cell>
          <cell r="FP33">
            <v>8697</v>
          </cell>
          <cell r="FQ33">
            <v>1313</v>
          </cell>
          <cell r="FR33">
            <v>13</v>
          </cell>
          <cell r="FS33">
            <v>-3225</v>
          </cell>
          <cell r="FT33">
            <v>-45</v>
          </cell>
          <cell r="FU33">
            <v>0</v>
          </cell>
          <cell r="FV33">
            <v>-2782</v>
          </cell>
          <cell r="FW33">
            <v>0</v>
          </cell>
          <cell r="FX33">
            <v>13068</v>
          </cell>
          <cell r="FY33">
            <v>3658</v>
          </cell>
          <cell r="FZ33">
            <v>0</v>
          </cell>
          <cell r="GA33">
            <v>10674</v>
          </cell>
          <cell r="GB33">
            <v>1409</v>
          </cell>
          <cell r="GC33">
            <v>0</v>
          </cell>
          <cell r="GD33">
            <v>883</v>
          </cell>
          <cell r="GE33">
            <v>900</v>
          </cell>
          <cell r="GF33">
            <v>34</v>
          </cell>
          <cell r="GG33">
            <v>7</v>
          </cell>
          <cell r="GH33">
            <v>80</v>
          </cell>
          <cell r="GI33">
            <v>73</v>
          </cell>
          <cell r="GJ33">
            <v>846</v>
          </cell>
          <cell r="GK33">
            <v>59</v>
          </cell>
          <cell r="GL33">
            <v>47</v>
          </cell>
          <cell r="GM33">
            <v>277</v>
          </cell>
          <cell r="GN33">
            <v>172</v>
          </cell>
          <cell r="GO33">
            <v>57</v>
          </cell>
          <cell r="GP33">
            <v>15611</v>
          </cell>
          <cell r="GQ33">
            <v>6686</v>
          </cell>
          <cell r="GR33">
            <v>638</v>
          </cell>
          <cell r="GS33">
            <v>15131</v>
          </cell>
          <cell r="GT33">
            <v>2726</v>
          </cell>
          <cell r="GU33">
            <v>813</v>
          </cell>
          <cell r="GV33">
            <v>0</v>
          </cell>
          <cell r="GW33">
            <v>0</v>
          </cell>
          <cell r="GX33">
            <v>0</v>
          </cell>
          <cell r="GY33">
            <v>552</v>
          </cell>
          <cell r="GZ33">
            <v>0</v>
          </cell>
          <cell r="HA33">
            <v>3046</v>
          </cell>
          <cell r="HB33">
            <v>674</v>
          </cell>
          <cell r="HC33">
            <v>0</v>
          </cell>
          <cell r="HD33">
            <v>21</v>
          </cell>
          <cell r="HE33">
            <v>754</v>
          </cell>
          <cell r="HF33">
            <v>150</v>
          </cell>
          <cell r="HG33">
            <v>527</v>
          </cell>
          <cell r="HH33">
            <v>271</v>
          </cell>
          <cell r="HI33">
            <v>0</v>
          </cell>
          <cell r="HJ33">
            <v>0</v>
          </cell>
          <cell r="HK33">
            <v>0</v>
          </cell>
          <cell r="HL33">
            <v>5995</v>
          </cell>
          <cell r="HM33">
            <v>593</v>
          </cell>
          <cell r="HN33">
            <v>0</v>
          </cell>
          <cell r="HO33">
            <v>0</v>
          </cell>
          <cell r="HP33">
            <v>924</v>
          </cell>
          <cell r="HQ33">
            <v>0</v>
          </cell>
          <cell r="HR33">
            <v>3267</v>
          </cell>
          <cell r="HS33">
            <v>509</v>
          </cell>
          <cell r="HT33">
            <v>0</v>
          </cell>
          <cell r="HU33">
            <v>3</v>
          </cell>
          <cell r="HV33">
            <v>324</v>
          </cell>
          <cell r="HW33">
            <v>14</v>
          </cell>
          <cell r="HX33">
            <v>335</v>
          </cell>
          <cell r="HY33">
            <v>97</v>
          </cell>
          <cell r="HZ33">
            <v>0</v>
          </cell>
          <cell r="IA33">
            <v>0</v>
          </cell>
          <cell r="IB33">
            <v>0</v>
          </cell>
          <cell r="IC33">
            <v>6066</v>
          </cell>
          <cell r="ID33">
            <v>813</v>
          </cell>
          <cell r="IE33">
            <v>0</v>
          </cell>
          <cell r="IF33">
            <v>0</v>
          </cell>
          <cell r="IG33">
            <v>1329</v>
          </cell>
          <cell r="IH33">
            <v>0</v>
          </cell>
          <cell r="II33">
            <v>5017</v>
          </cell>
          <cell r="IJ33">
            <v>591</v>
          </cell>
          <cell r="IK33">
            <v>0</v>
          </cell>
          <cell r="IL33">
            <v>0</v>
          </cell>
          <cell r="IM33">
            <v>267</v>
          </cell>
          <cell r="IN33">
            <v>0</v>
          </cell>
          <cell r="IO33">
            <v>282</v>
          </cell>
          <cell r="IP33">
            <v>105</v>
          </cell>
          <cell r="IQ33">
            <v>0</v>
          </cell>
          <cell r="IR33">
            <v>0</v>
          </cell>
          <cell r="IS33">
            <v>0</v>
          </cell>
          <cell r="IT33">
            <v>8404</v>
          </cell>
          <cell r="IU33" t="str">
            <v>Mere, Bradford On Avon, Lyme Regis, Beaminster, Portland, Christchurch</v>
          </cell>
          <cell r="IV33" t="str">
            <v>4x4s, Water Carriers, Tech Rescue, Ops Supp Unit, Control Units, Trailers</v>
          </cell>
          <cell r="IW33" t="str">
            <v>..</v>
          </cell>
          <cell r="IX33" t="str">
            <v>..</v>
          </cell>
          <cell r="IY33" t="str">
            <v>..</v>
          </cell>
          <cell r="IZ33" t="str">
            <v>..</v>
          </cell>
          <cell r="JA33" t="str">
            <v>..</v>
          </cell>
          <cell r="JB33" t="str">
            <v>..</v>
          </cell>
        </row>
        <row r="34">
          <cell r="A34" t="str">
            <v>E0801</v>
          </cell>
          <cell r="B34" t="str">
            <v>Cornwall</v>
          </cell>
          <cell r="C34" t="str">
            <v>Richard Kerswell</v>
          </cell>
          <cell r="D34" t="str">
            <v>Business Systems Specialist</v>
          </cell>
          <cell r="E34" t="str">
            <v>01872 322790</v>
          </cell>
          <cell r="F34" t="str">
            <v>rkerswell@fire.cornwall.gov.uk</v>
          </cell>
          <cell r="G34" t="str">
            <v>Shelly Bates</v>
          </cell>
          <cell r="H34" t="str">
            <v>Service Accountant</v>
          </cell>
          <cell r="I34" t="str">
            <v xml:space="preserve">01872 323048 </v>
          </cell>
          <cell r="J34" t="str">
            <v>Shelly.Bates@cornwall.gov.uk</v>
          </cell>
          <cell r="K34" t="str">
            <v>mdavies@cornwall.gov.uk; astone@fire.cornwall.gov.uk; theayn@fire.cornwall.gov.uk</v>
          </cell>
          <cell r="L34">
            <v>2</v>
          </cell>
          <cell r="M34">
            <v>23</v>
          </cell>
          <cell r="N34">
            <v>6</v>
          </cell>
          <cell r="O34">
            <v>0</v>
          </cell>
          <cell r="P34">
            <v>31</v>
          </cell>
          <cell r="Q34">
            <v>5</v>
          </cell>
          <cell r="R34">
            <v>2</v>
          </cell>
          <cell r="S34">
            <v>23</v>
          </cell>
          <cell r="T34">
            <v>6</v>
          </cell>
          <cell r="U34">
            <v>0</v>
          </cell>
          <cell r="V34">
            <v>31</v>
          </cell>
          <cell r="W34">
            <v>5</v>
          </cell>
          <cell r="X34">
            <v>43</v>
          </cell>
          <cell r="Y34">
            <v>43</v>
          </cell>
          <cell r="Z34">
            <v>2</v>
          </cell>
          <cell r="AA34">
            <v>46</v>
          </cell>
          <cell r="AB34">
            <v>34</v>
          </cell>
          <cell r="AC34">
            <v>0</v>
          </cell>
          <cell r="AD34">
            <v>5</v>
          </cell>
          <cell r="AE34">
            <v>130</v>
          </cell>
          <cell r="AF34">
            <v>64</v>
          </cell>
          <cell r="AG34">
            <v>8</v>
          </cell>
          <cell r="AH34">
            <v>4</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v>9443.1550799999804</v>
          </cell>
          <cell r="BC34">
            <v>4219.25785</v>
          </cell>
          <cell r="BD34">
            <v>766.22735999999998</v>
          </cell>
          <cell r="BE34">
            <v>2524.5617600000005</v>
          </cell>
          <cell r="BF34">
            <v>320.06900000000002</v>
          </cell>
          <cell r="BG34">
            <v>357.00828000000001</v>
          </cell>
          <cell r="BH34">
            <v>17630.279329999983</v>
          </cell>
          <cell r="BI34">
            <v>1166.4449999999999</v>
          </cell>
          <cell r="BJ34">
            <v>835.34267</v>
          </cell>
          <cell r="BK34">
            <v>1746.566</v>
          </cell>
          <cell r="BL34">
            <v>3065</v>
          </cell>
          <cell r="BM34">
            <v>0</v>
          </cell>
          <cell r="BN34">
            <v>0</v>
          </cell>
          <cell r="BO34">
            <v>24443.63299999998</v>
          </cell>
          <cell r="BP34">
            <v>241</v>
          </cell>
          <cell r="BQ34">
            <v>675.98099999999999</v>
          </cell>
          <cell r="BR34">
            <v>1224.5609999999999</v>
          </cell>
          <cell r="BS34">
            <v>2141.5419999999999</v>
          </cell>
          <cell r="BT34">
            <v>22302.090999999979</v>
          </cell>
          <cell r="BU34">
            <v>943</v>
          </cell>
          <cell r="BV34">
            <v>0</v>
          </cell>
          <cell r="BW34">
            <v>0</v>
          </cell>
          <cell r="BX34">
            <v>0</v>
          </cell>
          <cell r="BY34">
            <v>0</v>
          </cell>
          <cell r="BZ34">
            <v>0</v>
          </cell>
          <cell r="CA34">
            <v>0</v>
          </cell>
          <cell r="CB34">
            <v>0</v>
          </cell>
          <cell r="CC34">
            <v>31.89648</v>
          </cell>
          <cell r="CD34">
            <v>212.15100000000001</v>
          </cell>
          <cell r="CE34">
            <v>0</v>
          </cell>
          <cell r="CF34">
            <v>0</v>
          </cell>
          <cell r="CG34">
            <v>0</v>
          </cell>
          <cell r="CH34">
            <v>0.8</v>
          </cell>
          <cell r="CI34">
            <v>244.84748000000002</v>
          </cell>
          <cell r="CJ34">
            <v>0</v>
          </cell>
          <cell r="CK34">
            <v>2</v>
          </cell>
          <cell r="CL34">
            <v>6.9</v>
          </cell>
          <cell r="CM34">
            <v>0</v>
          </cell>
          <cell r="CN34" t="str">
            <v>..</v>
          </cell>
          <cell r="CO34">
            <v>9632.0181815999804</v>
          </cell>
          <cell r="CP34">
            <v>4303.6430069999997</v>
          </cell>
          <cell r="CQ34">
            <v>781.55190719999996</v>
          </cell>
          <cell r="CR34">
            <v>2575.0529952000006</v>
          </cell>
          <cell r="CS34">
            <v>340</v>
          </cell>
          <cell r="CT34">
            <v>360</v>
          </cell>
          <cell r="CU34">
            <v>17992.266090999983</v>
          </cell>
          <cell r="CV34">
            <v>1170</v>
          </cell>
          <cell r="CW34">
            <v>820</v>
          </cell>
          <cell r="CX34">
            <v>1780</v>
          </cell>
          <cell r="CY34">
            <v>3065</v>
          </cell>
          <cell r="CZ34">
            <v>0</v>
          </cell>
          <cell r="DA34">
            <v>0</v>
          </cell>
          <cell r="DB34">
            <v>24827.266090999983</v>
          </cell>
          <cell r="DC34">
            <v>250</v>
          </cell>
          <cell r="DD34">
            <v>1033.3</v>
          </cell>
          <cell r="DE34">
            <v>1400</v>
          </cell>
          <cell r="DF34">
            <v>2683.3</v>
          </cell>
          <cell r="DG34">
            <v>22143.966090999984</v>
          </cell>
          <cell r="DH34">
            <v>1000</v>
          </cell>
          <cell r="DI34">
            <v>0</v>
          </cell>
          <cell r="DJ34">
            <v>0</v>
          </cell>
          <cell r="DK34">
            <v>0</v>
          </cell>
          <cell r="DL34">
            <v>0</v>
          </cell>
          <cell r="DM34">
            <v>0</v>
          </cell>
          <cell r="DN34">
            <v>0</v>
          </cell>
          <cell r="DO34">
            <v>0</v>
          </cell>
          <cell r="DP34">
            <v>370</v>
          </cell>
          <cell r="DQ34">
            <v>0</v>
          </cell>
          <cell r="DR34">
            <v>0</v>
          </cell>
          <cell r="DS34">
            <v>0</v>
          </cell>
          <cell r="DT34">
            <v>0</v>
          </cell>
          <cell r="DU34">
            <v>0</v>
          </cell>
          <cell r="DV34">
            <v>370</v>
          </cell>
          <cell r="DW34">
            <v>0</v>
          </cell>
          <cell r="DX34">
            <v>0</v>
          </cell>
          <cell r="DY34">
            <v>0</v>
          </cell>
          <cell r="DZ34">
            <v>0</v>
          </cell>
          <cell r="EA34" t="str">
            <v>..</v>
          </cell>
          <cell r="EB34">
            <v>0</v>
          </cell>
          <cell r="EC34">
            <v>44</v>
          </cell>
          <cell r="ED34">
            <v>17.5</v>
          </cell>
          <cell r="EE34">
            <v>0</v>
          </cell>
          <cell r="EF34">
            <v>0</v>
          </cell>
          <cell r="EG34">
            <v>0</v>
          </cell>
          <cell r="EH34">
            <v>0</v>
          </cell>
          <cell r="EI34">
            <v>0</v>
          </cell>
          <cell r="EJ34">
            <v>0</v>
          </cell>
          <cell r="EK34">
            <v>0</v>
          </cell>
          <cell r="EL34" t="str">
            <v>..</v>
          </cell>
          <cell r="EM34" t="str">
            <v>..</v>
          </cell>
          <cell r="EN34">
            <v>1500</v>
          </cell>
          <cell r="EO34" t="str">
            <v>..</v>
          </cell>
          <cell r="EP34" t="str">
            <v>..</v>
          </cell>
          <cell r="EQ34" t="str">
            <v>..</v>
          </cell>
          <cell r="ER34">
            <v>18680</v>
          </cell>
          <cell r="ES34">
            <v>0</v>
          </cell>
          <cell r="ET34">
            <v>3065</v>
          </cell>
          <cell r="EU34">
            <v>0</v>
          </cell>
          <cell r="EV34">
            <v>23245</v>
          </cell>
          <cell r="EW34">
            <v>0</v>
          </cell>
          <cell r="EX34">
            <v>0</v>
          </cell>
          <cell r="EY34">
            <v>0</v>
          </cell>
          <cell r="EZ34">
            <v>0</v>
          </cell>
          <cell r="FA34">
            <v>0</v>
          </cell>
          <cell r="FB34">
            <v>0</v>
          </cell>
          <cell r="FC34">
            <v>0</v>
          </cell>
          <cell r="FD34">
            <v>0</v>
          </cell>
          <cell r="FE34">
            <v>0</v>
          </cell>
          <cell r="FF34">
            <v>0</v>
          </cell>
          <cell r="FG34">
            <v>0</v>
          </cell>
          <cell r="FH34">
            <v>-1538</v>
          </cell>
          <cell r="FI34">
            <v>0</v>
          </cell>
          <cell r="FJ34">
            <v>0</v>
          </cell>
          <cell r="FK34">
            <v>-1319</v>
          </cell>
          <cell r="FL34">
            <v>-40</v>
          </cell>
          <cell r="FM34">
            <v>4943</v>
          </cell>
          <cell r="FN34">
            <v>716</v>
          </cell>
          <cell r="FO34">
            <v>27</v>
          </cell>
          <cell r="FP34">
            <v>2789</v>
          </cell>
          <cell r="FQ34">
            <v>0</v>
          </cell>
          <cell r="FR34">
            <v>0</v>
          </cell>
          <cell r="FS34">
            <v>-1800</v>
          </cell>
          <cell r="FT34">
            <v>-80</v>
          </cell>
          <cell r="FU34">
            <v>0</v>
          </cell>
          <cell r="FV34">
            <v>-1203</v>
          </cell>
          <cell r="FW34">
            <v>-30</v>
          </cell>
          <cell r="FX34">
            <v>4814</v>
          </cell>
          <cell r="FY34">
            <v>918</v>
          </cell>
          <cell r="FZ34">
            <v>0</v>
          </cell>
          <cell r="GA34">
            <v>2619</v>
          </cell>
          <cell r="GB34">
            <v>0</v>
          </cell>
          <cell r="GC34">
            <v>0</v>
          </cell>
          <cell r="GD34">
            <v>341</v>
          </cell>
          <cell r="GE34" t="str">
            <v>..</v>
          </cell>
          <cell r="GF34">
            <v>5</v>
          </cell>
          <cell r="GG34">
            <v>1</v>
          </cell>
          <cell r="GH34">
            <v>30</v>
          </cell>
          <cell r="GI34">
            <v>22</v>
          </cell>
          <cell r="GJ34">
            <v>550</v>
          </cell>
          <cell r="GK34">
            <v>27</v>
          </cell>
          <cell r="GL34">
            <v>17</v>
          </cell>
          <cell r="GM34">
            <v>176</v>
          </cell>
          <cell r="GN34">
            <v>109</v>
          </cell>
          <cell r="GO34">
            <v>11</v>
          </cell>
          <cell r="GP34">
            <v>0</v>
          </cell>
          <cell r="GQ34">
            <v>0</v>
          </cell>
          <cell r="GR34">
            <v>100</v>
          </cell>
          <cell r="GS34">
            <v>0</v>
          </cell>
          <cell r="GT34">
            <v>0</v>
          </cell>
          <cell r="GU34">
            <v>100</v>
          </cell>
          <cell r="GV34">
            <v>52</v>
          </cell>
          <cell r="GW34">
            <v>0</v>
          </cell>
          <cell r="GX34">
            <v>0</v>
          </cell>
          <cell r="GY34">
            <v>414</v>
          </cell>
          <cell r="GZ34">
            <v>0</v>
          </cell>
          <cell r="HA34">
            <v>610</v>
          </cell>
          <cell r="HB34">
            <v>237</v>
          </cell>
          <cell r="HC34">
            <v>28</v>
          </cell>
          <cell r="HD34">
            <v>7</v>
          </cell>
          <cell r="HE34">
            <v>0</v>
          </cell>
          <cell r="HF34">
            <v>0</v>
          </cell>
          <cell r="HG34">
            <v>0</v>
          </cell>
          <cell r="HH34">
            <v>226</v>
          </cell>
          <cell r="HI34">
            <v>0</v>
          </cell>
          <cell r="HJ34">
            <v>0</v>
          </cell>
          <cell r="HK34">
            <v>0</v>
          </cell>
          <cell r="HL34">
            <v>1574</v>
          </cell>
          <cell r="HM34">
            <v>128</v>
          </cell>
          <cell r="HN34">
            <v>0</v>
          </cell>
          <cell r="HO34">
            <v>0</v>
          </cell>
          <cell r="HP34">
            <v>5</v>
          </cell>
          <cell r="HQ34">
            <v>0</v>
          </cell>
          <cell r="HR34">
            <v>1900</v>
          </cell>
          <cell r="HS34">
            <v>87</v>
          </cell>
          <cell r="HT34">
            <v>6</v>
          </cell>
          <cell r="HU34">
            <v>72</v>
          </cell>
          <cell r="HV34">
            <v>0</v>
          </cell>
          <cell r="HW34">
            <v>0</v>
          </cell>
          <cell r="HX34">
            <v>0</v>
          </cell>
          <cell r="HY34">
            <v>357</v>
          </cell>
          <cell r="HZ34">
            <v>0</v>
          </cell>
          <cell r="IA34">
            <v>425</v>
          </cell>
          <cell r="IB34">
            <v>0</v>
          </cell>
          <cell r="IC34">
            <v>2980</v>
          </cell>
          <cell r="ID34">
            <v>1400</v>
          </cell>
          <cell r="IE34">
            <v>0</v>
          </cell>
          <cell r="IF34">
            <v>0</v>
          </cell>
          <cell r="IG34">
            <v>577</v>
          </cell>
          <cell r="IH34">
            <v>0</v>
          </cell>
          <cell r="II34">
            <v>2491</v>
          </cell>
          <cell r="IJ34">
            <v>154</v>
          </cell>
          <cell r="IK34">
            <v>60</v>
          </cell>
          <cell r="IL34">
            <v>235</v>
          </cell>
          <cell r="IM34">
            <v>519</v>
          </cell>
          <cell r="IN34">
            <v>0</v>
          </cell>
          <cell r="IO34">
            <v>0</v>
          </cell>
          <cell r="IP34">
            <v>516</v>
          </cell>
          <cell r="IQ34">
            <v>0</v>
          </cell>
          <cell r="IR34">
            <v>464</v>
          </cell>
          <cell r="IS34">
            <v>0</v>
          </cell>
          <cell r="IT34">
            <v>6416</v>
          </cell>
          <cell r="IU34" t="str">
            <v>Tri-Service Stations (Police &amp; Ambulance): 2.4 Hayle
Shared Ambulance facility/dispatch point: 4.2 Truro, 2.0 Tolvaddon
Shared Police facility: 5.2 St Columb
Space Provided for Marine and Coastguard Agency: 5.3 Padstow</v>
          </cell>
          <cell r="IV34" t="str">
            <v>FOAM RESPONCE UNIT x1,MERC WRC &amp; GP LORRY x3,MERC RESCUE TENDER x1,OPERATIONAL SUPPORT x2,MERCEDES RESCUE x3,TOYOTA HI-LUX x22,ALL TERRAIN VEHICLE x1,VAUXHALL BRAVA x 8,WELFARE VEHICLE x1,RIB BOAT x1,VAN VAUXHALL MOVANO x3</v>
          </cell>
          <cell r="IW34" t="str">
            <v>..</v>
          </cell>
          <cell r="IX34" t="str">
            <v>..</v>
          </cell>
          <cell r="IY34" t="str">
            <v>Tri Safety Officers- £143K, IOS - £60K, Other Secondments x 3 = £90K, Phoenix Services</v>
          </cell>
          <cell r="IZ34" t="str">
            <v>..</v>
          </cell>
          <cell r="JA34" t="str">
            <v>..</v>
          </cell>
          <cell r="JB34" t="str">
            <v>I was surprised the split of details was not consistent with the NFCC Survey</v>
          </cell>
        </row>
        <row r="35">
          <cell r="A35" t="str">
            <v>E6132</v>
          </cell>
          <cell r="B35" t="str">
            <v>Shropshire</v>
          </cell>
          <cell r="C35" t="str">
            <v>Claire Ellis</v>
          </cell>
          <cell r="D35" t="str">
            <v>Accountant</v>
          </cell>
          <cell r="E35" t="str">
            <v>01743 260213</v>
          </cell>
          <cell r="F35" t="str">
            <v>claire.ellis@shropshirefire.gov.uk</v>
          </cell>
          <cell r="G35" t="str">
            <v>Joanne Coadey</v>
          </cell>
          <cell r="H35" t="str">
            <v>Head of Finance</v>
          </cell>
          <cell r="I35" t="str">
            <v>01743 260215</v>
          </cell>
          <cell r="J35" t="str">
            <v>joanne.coadey@shropshirefire.gov.uk</v>
          </cell>
          <cell r="K35" t="str">
            <v>..</v>
          </cell>
          <cell r="L35">
            <v>1</v>
          </cell>
          <cell r="M35">
            <v>20</v>
          </cell>
          <cell r="N35">
            <v>2</v>
          </cell>
          <cell r="O35">
            <v>0</v>
          </cell>
          <cell r="P35">
            <v>23</v>
          </cell>
          <cell r="Q35">
            <v>23</v>
          </cell>
          <cell r="R35">
            <v>1</v>
          </cell>
          <cell r="S35">
            <v>20</v>
          </cell>
          <cell r="T35">
            <v>2</v>
          </cell>
          <cell r="U35">
            <v>0</v>
          </cell>
          <cell r="V35">
            <v>23</v>
          </cell>
          <cell r="W35">
            <v>23</v>
          </cell>
          <cell r="X35" t="str">
            <v>..</v>
          </cell>
          <cell r="Y35">
            <v>28</v>
          </cell>
          <cell r="Z35">
            <v>2</v>
          </cell>
          <cell r="AA35">
            <v>19</v>
          </cell>
          <cell r="AB35">
            <v>10</v>
          </cell>
          <cell r="AC35">
            <v>14</v>
          </cell>
          <cell r="AD35">
            <v>2</v>
          </cell>
          <cell r="AE35">
            <v>75</v>
          </cell>
          <cell r="AF35">
            <v>33</v>
          </cell>
          <cell r="AG35">
            <v>5</v>
          </cell>
          <cell r="AH35">
            <v>2</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v>8677</v>
          </cell>
          <cell r="BC35">
            <v>3501</v>
          </cell>
          <cell r="BD35">
            <v>715</v>
          </cell>
          <cell r="BE35">
            <v>2538</v>
          </cell>
          <cell r="BF35">
            <v>491</v>
          </cell>
          <cell r="BG35">
            <v>209</v>
          </cell>
          <cell r="BH35">
            <v>16131</v>
          </cell>
          <cell r="BI35">
            <v>1057</v>
          </cell>
          <cell r="BJ35">
            <v>720</v>
          </cell>
          <cell r="BK35">
            <v>2321</v>
          </cell>
          <cell r="BL35">
            <v>317</v>
          </cell>
          <cell r="BM35">
            <v>0</v>
          </cell>
          <cell r="BN35">
            <v>0</v>
          </cell>
          <cell r="BO35">
            <v>20546</v>
          </cell>
          <cell r="BP35">
            <v>86</v>
          </cell>
          <cell r="BQ35">
            <v>0</v>
          </cell>
          <cell r="BR35">
            <v>190</v>
          </cell>
          <cell r="BS35">
            <v>276</v>
          </cell>
          <cell r="BT35">
            <v>20270</v>
          </cell>
          <cell r="BU35">
            <v>2796</v>
          </cell>
          <cell r="BV35">
            <v>94</v>
          </cell>
          <cell r="BW35">
            <v>0</v>
          </cell>
          <cell r="BX35">
            <v>259</v>
          </cell>
          <cell r="BY35">
            <v>8</v>
          </cell>
          <cell r="BZ35">
            <v>256</v>
          </cell>
          <cell r="CA35">
            <v>-130</v>
          </cell>
          <cell r="CB35">
            <v>0</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v>0</v>
          </cell>
          <cell r="CO35">
            <v>10562</v>
          </cell>
          <cell r="CP35">
            <v>3378</v>
          </cell>
          <cell r="CQ35">
            <v>724</v>
          </cell>
          <cell r="CR35">
            <v>2776</v>
          </cell>
          <cell r="CS35">
            <v>310</v>
          </cell>
          <cell r="CT35">
            <v>180</v>
          </cell>
          <cell r="CU35">
            <v>17930</v>
          </cell>
          <cell r="CV35">
            <v>1067</v>
          </cell>
          <cell r="CW35">
            <v>595</v>
          </cell>
          <cell r="CX35">
            <v>2097</v>
          </cell>
          <cell r="CY35">
            <v>231</v>
          </cell>
          <cell r="CZ35">
            <v>0</v>
          </cell>
          <cell r="DA35">
            <v>0</v>
          </cell>
          <cell r="DB35">
            <v>21920</v>
          </cell>
          <cell r="DC35">
            <v>1150</v>
          </cell>
          <cell r="DD35">
            <v>0</v>
          </cell>
          <cell r="DE35">
            <v>85</v>
          </cell>
          <cell r="DF35">
            <v>1235</v>
          </cell>
          <cell r="DG35">
            <v>20685</v>
          </cell>
          <cell r="DH35">
            <v>2100</v>
          </cell>
          <cell r="DI35">
            <v>94</v>
          </cell>
          <cell r="DJ35">
            <v>0</v>
          </cell>
          <cell r="DK35">
            <v>417</v>
          </cell>
          <cell r="DL35">
            <v>17</v>
          </cell>
          <cell r="DM35">
            <v>22</v>
          </cell>
          <cell r="DN35">
            <v>-50</v>
          </cell>
          <cell r="DO35">
            <v>0</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v>0</v>
          </cell>
          <cell r="EB35">
            <v>0</v>
          </cell>
          <cell r="EC35">
            <v>0</v>
          </cell>
          <cell r="ED35">
            <v>13.9</v>
          </cell>
          <cell r="EE35">
            <v>103.9</v>
          </cell>
          <cell r="EF35" t="str">
            <v>..</v>
          </cell>
          <cell r="EG35" t="str">
            <v>..</v>
          </cell>
          <cell r="EH35" t="str">
            <v>..</v>
          </cell>
          <cell r="EI35" t="str">
            <v>..</v>
          </cell>
          <cell r="EJ35" t="str">
            <v>..</v>
          </cell>
          <cell r="EK35" t="str">
            <v>..</v>
          </cell>
          <cell r="EL35" t="str">
            <v>..</v>
          </cell>
          <cell r="EM35" t="str">
            <v>..</v>
          </cell>
          <cell r="EN35">
            <v>1384</v>
          </cell>
          <cell r="EO35" t="str">
            <v>..</v>
          </cell>
          <cell r="EP35" t="str">
            <v>..</v>
          </cell>
          <cell r="EQ35" t="str">
            <v>..</v>
          </cell>
          <cell r="ER35">
            <v>21119</v>
          </cell>
          <cell r="ES35">
            <v>70</v>
          </cell>
          <cell r="ET35">
            <v>470</v>
          </cell>
          <cell r="EU35">
            <v>23</v>
          </cell>
          <cell r="EV35">
            <v>23066</v>
          </cell>
          <cell r="EW35" t="str">
            <v>..</v>
          </cell>
          <cell r="EX35" t="str">
            <v>..</v>
          </cell>
          <cell r="EY35">
            <v>0</v>
          </cell>
          <cell r="EZ35" t="str">
            <v>..</v>
          </cell>
          <cell r="FA35" t="str">
            <v>..</v>
          </cell>
          <cell r="FB35" t="str">
            <v>..</v>
          </cell>
          <cell r="FC35">
            <v>0</v>
          </cell>
          <cell r="FD35">
            <v>0</v>
          </cell>
          <cell r="FE35">
            <v>0</v>
          </cell>
          <cell r="FF35">
            <v>0</v>
          </cell>
          <cell r="FG35">
            <v>0</v>
          </cell>
          <cell r="FH35">
            <v>-1268</v>
          </cell>
          <cell r="FI35">
            <v>-86</v>
          </cell>
          <cell r="FJ35">
            <v>0</v>
          </cell>
          <cell r="FK35">
            <v>-1161</v>
          </cell>
          <cell r="FL35">
            <v>-84</v>
          </cell>
          <cell r="FM35">
            <v>4704</v>
          </cell>
          <cell r="FN35">
            <v>740</v>
          </cell>
          <cell r="FO35">
            <v>0</v>
          </cell>
          <cell r="FP35">
            <v>2845</v>
          </cell>
          <cell r="FQ35">
            <v>315</v>
          </cell>
          <cell r="FR35">
            <v>0</v>
          </cell>
          <cell r="FS35">
            <v>-1278</v>
          </cell>
          <cell r="FT35">
            <v>-120</v>
          </cell>
          <cell r="FU35">
            <v>0</v>
          </cell>
          <cell r="FV35">
            <v>-1070</v>
          </cell>
          <cell r="FW35">
            <v>0</v>
          </cell>
          <cell r="FX35">
            <v>4860</v>
          </cell>
          <cell r="FY35">
            <v>1429</v>
          </cell>
          <cell r="FZ35">
            <v>0</v>
          </cell>
          <cell r="GA35">
            <v>3821</v>
          </cell>
          <cell r="GB35">
            <v>253</v>
          </cell>
          <cell r="GC35">
            <v>0</v>
          </cell>
          <cell r="GD35">
            <v>337</v>
          </cell>
          <cell r="GE35">
            <v>340</v>
          </cell>
          <cell r="GF35">
            <v>12</v>
          </cell>
          <cell r="GG35">
            <v>1</v>
          </cell>
          <cell r="GH35">
            <v>29</v>
          </cell>
          <cell r="GI35">
            <v>12</v>
          </cell>
          <cell r="GJ35">
            <v>417</v>
          </cell>
          <cell r="GK35">
            <v>15</v>
          </cell>
          <cell r="GL35">
            <v>22</v>
          </cell>
          <cell r="GM35">
            <v>217</v>
          </cell>
          <cell r="GN35">
            <v>60</v>
          </cell>
          <cell r="GO35">
            <v>20</v>
          </cell>
          <cell r="GP35">
            <v>15029</v>
          </cell>
          <cell r="GQ35">
            <v>1105</v>
          </cell>
          <cell r="GR35">
            <v>0</v>
          </cell>
          <cell r="GS35">
            <v>14445</v>
          </cell>
          <cell r="GT35">
            <v>1152</v>
          </cell>
          <cell r="GU35">
            <v>0</v>
          </cell>
          <cell r="GV35">
            <v>0</v>
          </cell>
          <cell r="GW35">
            <v>0</v>
          </cell>
          <cell r="GX35">
            <v>0</v>
          </cell>
          <cell r="GY35">
            <v>222</v>
          </cell>
          <cell r="GZ35">
            <v>0</v>
          </cell>
          <cell r="HA35">
            <v>31</v>
          </cell>
          <cell r="HB35">
            <v>0</v>
          </cell>
          <cell r="HC35">
            <v>0</v>
          </cell>
          <cell r="HD35">
            <v>104</v>
          </cell>
          <cell r="HE35">
            <v>0</v>
          </cell>
          <cell r="HF35">
            <v>0</v>
          </cell>
          <cell r="HG35">
            <v>272</v>
          </cell>
          <cell r="HH35">
            <v>0</v>
          </cell>
          <cell r="HI35">
            <v>0</v>
          </cell>
          <cell r="HJ35">
            <v>0</v>
          </cell>
          <cell r="HK35">
            <v>0</v>
          </cell>
          <cell r="HL35">
            <v>629</v>
          </cell>
          <cell r="HM35">
            <v>0</v>
          </cell>
          <cell r="HN35">
            <v>0</v>
          </cell>
          <cell r="HO35">
            <v>0</v>
          </cell>
          <cell r="HP35">
            <v>1136</v>
          </cell>
          <cell r="HQ35">
            <v>0</v>
          </cell>
          <cell r="HR35">
            <v>1555</v>
          </cell>
          <cell r="HS35">
            <v>0</v>
          </cell>
          <cell r="HT35">
            <v>0</v>
          </cell>
          <cell r="HU35">
            <v>167</v>
          </cell>
          <cell r="HV35">
            <v>152</v>
          </cell>
          <cell r="HW35">
            <v>66</v>
          </cell>
          <cell r="HX35">
            <v>0</v>
          </cell>
          <cell r="HY35">
            <v>17</v>
          </cell>
          <cell r="HZ35">
            <v>0</v>
          </cell>
          <cell r="IA35">
            <v>0</v>
          </cell>
          <cell r="IB35">
            <v>0</v>
          </cell>
          <cell r="IC35">
            <v>3093</v>
          </cell>
          <cell r="ID35">
            <v>0</v>
          </cell>
          <cell r="IE35">
            <v>0</v>
          </cell>
          <cell r="IF35">
            <v>0</v>
          </cell>
          <cell r="IG35">
            <v>4706</v>
          </cell>
          <cell r="IH35">
            <v>60</v>
          </cell>
          <cell r="II35">
            <v>1756</v>
          </cell>
          <cell r="IJ35">
            <v>100</v>
          </cell>
          <cell r="IK35">
            <v>0</v>
          </cell>
          <cell r="IL35">
            <v>626</v>
          </cell>
          <cell r="IM35">
            <v>0</v>
          </cell>
          <cell r="IN35">
            <v>371</v>
          </cell>
          <cell r="IO35">
            <v>0</v>
          </cell>
          <cell r="IP35">
            <v>128</v>
          </cell>
          <cell r="IQ35">
            <v>0</v>
          </cell>
          <cell r="IR35">
            <v>0</v>
          </cell>
          <cell r="IS35">
            <v>0</v>
          </cell>
          <cell r="IT35">
            <v>7747</v>
          </cell>
          <cell r="IU35" t="str">
            <v xml:space="preserve">Police </v>
          </cell>
          <cell r="IV35" t="str">
            <v>2 pumping units, 1 L6P, 1 Water Carrier, 2 Incident Command Unit, 1 WRU, 12 Incident Support Units.</v>
          </cell>
          <cell r="IW35" t="str">
            <v>..</v>
          </cell>
          <cell r="IX35" t="str">
            <v>..</v>
          </cell>
          <cell r="IY35" t="str">
            <v>..</v>
          </cell>
          <cell r="IZ35" t="str">
            <v>..</v>
          </cell>
          <cell r="JA35" t="str">
            <v>..</v>
          </cell>
          <cell r="JB35" t="str">
            <v>..</v>
          </cell>
        </row>
        <row r="36">
          <cell r="A36" t="str">
            <v>E6142</v>
          </cell>
          <cell r="B36" t="str">
            <v>Greater Manchester</v>
          </cell>
          <cell r="C36">
            <v>0</v>
          </cell>
          <cell r="D36">
            <v>0</v>
          </cell>
          <cell r="E36">
            <v>0</v>
          </cell>
          <cell r="F36">
            <v>0</v>
          </cell>
          <cell r="G36" t="str">
            <v>Martyn Benson</v>
          </cell>
          <cell r="H36" t="str">
            <v xml:space="preserve">Management Accountant </v>
          </cell>
          <cell r="I36" t="str">
            <v>0161 608 4431</v>
          </cell>
          <cell r="J36" t="str">
            <v>bensonm@manchesterfire.gov.uk</v>
          </cell>
          <cell r="K36" t="str">
            <v>..</v>
          </cell>
          <cell r="L36">
            <v>35</v>
          </cell>
          <cell r="M36">
            <v>0</v>
          </cell>
          <cell r="N36">
            <v>6</v>
          </cell>
          <cell r="O36">
            <v>0</v>
          </cell>
          <cell r="P36">
            <v>41</v>
          </cell>
          <cell r="Q36">
            <v>7</v>
          </cell>
          <cell r="R36">
            <v>35</v>
          </cell>
          <cell r="S36">
            <v>0</v>
          </cell>
          <cell r="T36">
            <v>6</v>
          </cell>
          <cell r="U36">
            <v>0</v>
          </cell>
          <cell r="V36">
            <v>41</v>
          </cell>
          <cell r="W36" t="str">
            <v>..</v>
          </cell>
          <cell r="X36">
            <v>54</v>
          </cell>
          <cell r="Y36">
            <v>54</v>
          </cell>
          <cell r="Z36">
            <v>6</v>
          </cell>
          <cell r="AA36">
            <v>11</v>
          </cell>
          <cell r="AB36">
            <v>0</v>
          </cell>
          <cell r="AC36">
            <v>65</v>
          </cell>
          <cell r="AD36">
            <v>7</v>
          </cell>
          <cell r="AE36">
            <v>143</v>
          </cell>
          <cell r="AF36">
            <v>129</v>
          </cell>
          <cell r="AG36">
            <v>12</v>
          </cell>
          <cell r="AH36">
            <v>2</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v>65809</v>
          </cell>
          <cell r="BC36">
            <v>0</v>
          </cell>
          <cell r="BD36">
            <v>0</v>
          </cell>
          <cell r="BE36">
            <v>10597</v>
          </cell>
          <cell r="BF36">
            <v>864</v>
          </cell>
          <cell r="BG36">
            <v>1012</v>
          </cell>
          <cell r="BH36">
            <v>78282</v>
          </cell>
          <cell r="BI36">
            <v>4955</v>
          </cell>
          <cell r="BJ36">
            <v>2604</v>
          </cell>
          <cell r="BK36">
            <v>6272</v>
          </cell>
          <cell r="BL36">
            <v>6977</v>
          </cell>
          <cell r="BM36">
            <v>2237</v>
          </cell>
          <cell r="BN36">
            <v>0</v>
          </cell>
          <cell r="BO36">
            <v>101327</v>
          </cell>
          <cell r="BP36">
            <v>2048</v>
          </cell>
          <cell r="BQ36">
            <v>0</v>
          </cell>
          <cell r="BR36">
            <v>2140</v>
          </cell>
          <cell r="BS36">
            <v>4188</v>
          </cell>
          <cell r="BT36">
            <v>97139</v>
          </cell>
          <cell r="BU36">
            <v>6061</v>
          </cell>
          <cell r="BV36">
            <v>-27990</v>
          </cell>
          <cell r="BW36">
            <v>0</v>
          </cell>
          <cell r="BX36">
            <v>1619</v>
          </cell>
          <cell r="BY36">
            <v>0</v>
          </cell>
          <cell r="BZ36">
            <v>150</v>
          </cell>
          <cell r="CA36">
            <v>0</v>
          </cell>
          <cell r="CB36">
            <v>0</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v>72435</v>
          </cell>
          <cell r="CP36">
            <v>0</v>
          </cell>
          <cell r="CQ36">
            <v>0</v>
          </cell>
          <cell r="CR36">
            <v>10452</v>
          </cell>
          <cell r="CS36">
            <v>804</v>
          </cell>
          <cell r="CT36">
            <v>1018</v>
          </cell>
          <cell r="CU36">
            <v>84709</v>
          </cell>
          <cell r="CV36">
            <v>4569</v>
          </cell>
          <cell r="CW36">
            <v>2356</v>
          </cell>
          <cell r="CX36">
            <v>4935</v>
          </cell>
          <cell r="CY36">
            <v>6658</v>
          </cell>
          <cell r="CZ36">
            <v>2265</v>
          </cell>
          <cell r="DA36">
            <v>0</v>
          </cell>
          <cell r="DB36">
            <v>105492</v>
          </cell>
          <cell r="DC36">
            <v>743</v>
          </cell>
          <cell r="DD36">
            <v>0</v>
          </cell>
          <cell r="DE36">
            <v>1508</v>
          </cell>
          <cell r="DF36">
            <v>2251</v>
          </cell>
          <cell r="DG36">
            <v>103241</v>
          </cell>
          <cell r="DH36">
            <v>6400</v>
          </cell>
          <cell r="DI36">
            <v>0</v>
          </cell>
          <cell r="DJ36">
            <v>0</v>
          </cell>
          <cell r="DK36">
            <v>1541</v>
          </cell>
          <cell r="DL36">
            <v>0</v>
          </cell>
          <cell r="DM36">
            <v>139</v>
          </cell>
          <cell r="DN36">
            <v>0</v>
          </cell>
          <cell r="DO36">
            <v>0</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v>0</v>
          </cell>
          <cell r="EC36">
            <v>0</v>
          </cell>
          <cell r="ED36">
            <v>21.2</v>
          </cell>
          <cell r="EE36">
            <v>65</v>
          </cell>
          <cell r="EF36">
            <v>45766</v>
          </cell>
          <cell r="EG36">
            <v>10311</v>
          </cell>
          <cell r="EH36">
            <v>44975</v>
          </cell>
          <cell r="EI36">
            <v>289</v>
          </cell>
          <cell r="EJ36">
            <v>0</v>
          </cell>
          <cell r="EK36">
            <v>101341</v>
          </cell>
          <cell r="EL36" t="str">
            <v>..</v>
          </cell>
          <cell r="EM36" t="str">
            <v>..</v>
          </cell>
          <cell r="EN36">
            <v>16787</v>
          </cell>
          <cell r="EO36">
            <v>82736</v>
          </cell>
          <cell r="EP36">
            <v>2237</v>
          </cell>
          <cell r="EQ36">
            <v>379</v>
          </cell>
          <cell r="ER36">
            <v>85352</v>
          </cell>
          <cell r="ES36">
            <v>996</v>
          </cell>
          <cell r="ET36">
            <v>0</v>
          </cell>
          <cell r="EU36">
            <v>65</v>
          </cell>
          <cell r="EV36">
            <v>103200</v>
          </cell>
          <cell r="EW36" t="str">
            <v>..</v>
          </cell>
          <cell r="EX36" t="str">
            <v>..</v>
          </cell>
          <cell r="EY36">
            <v>2398</v>
          </cell>
          <cell r="EZ36">
            <v>16605</v>
          </cell>
          <cell r="FA36">
            <v>0</v>
          </cell>
          <cell r="FB36">
            <v>70</v>
          </cell>
          <cell r="FC36">
            <v>16675</v>
          </cell>
          <cell r="FD36">
            <v>127</v>
          </cell>
          <cell r="FE36">
            <v>0</v>
          </cell>
          <cell r="FF36">
            <v>0</v>
          </cell>
          <cell r="FG36">
            <v>19200</v>
          </cell>
          <cell r="FH36">
            <v>-6476.8050000000003</v>
          </cell>
          <cell r="FI36">
            <v>-430.73500000000001</v>
          </cell>
          <cell r="FJ36">
            <v>0</v>
          </cell>
          <cell r="FK36">
            <v>-5405.5450000000001</v>
          </cell>
          <cell r="FL36">
            <v>-281.48099999999999</v>
          </cell>
          <cell r="FM36">
            <v>43536.288999999997</v>
          </cell>
          <cell r="FN36">
            <v>8036.9189999999999</v>
          </cell>
          <cell r="FO36">
            <v>110.298</v>
          </cell>
          <cell r="FP36">
            <v>39088.94</v>
          </cell>
          <cell r="FQ36">
            <v>2079.8220000000001</v>
          </cell>
          <cell r="FR36">
            <v>0</v>
          </cell>
          <cell r="FS36">
            <v>-10938.56</v>
          </cell>
          <cell r="FT36">
            <v>-404.07600000000002</v>
          </cell>
          <cell r="FU36">
            <v>0</v>
          </cell>
          <cell r="FV36">
            <v>-5319.0870000000004</v>
          </cell>
          <cell r="FW36">
            <v>-100</v>
          </cell>
          <cell r="FX36">
            <v>44985.540999999997</v>
          </cell>
          <cell r="FY36">
            <v>9172.8940000000002</v>
          </cell>
          <cell r="FZ36">
            <v>0</v>
          </cell>
          <cell r="GA36">
            <v>37396.712</v>
          </cell>
          <cell r="GB36">
            <v>2119.9380000000001</v>
          </cell>
          <cell r="GC36">
            <v>0</v>
          </cell>
          <cell r="GD36">
            <v>2768</v>
          </cell>
          <cell r="GE36">
            <v>2812</v>
          </cell>
          <cell r="GF36">
            <v>66</v>
          </cell>
          <cell r="GG36">
            <v>4</v>
          </cell>
          <cell r="GH36">
            <v>206</v>
          </cell>
          <cell r="GI36">
            <v>1</v>
          </cell>
          <cell r="GJ36">
            <v>1099</v>
          </cell>
          <cell r="GK36">
            <v>0</v>
          </cell>
          <cell r="GL36">
            <v>160</v>
          </cell>
          <cell r="GM36">
            <v>147</v>
          </cell>
          <cell r="GN36">
            <v>90</v>
          </cell>
          <cell r="GO36">
            <v>3</v>
          </cell>
          <cell r="GP36">
            <v>27541</v>
          </cell>
          <cell r="GQ36">
            <v>15173</v>
          </cell>
          <cell r="GR36">
            <v>975</v>
          </cell>
          <cell r="GS36">
            <v>22776</v>
          </cell>
          <cell r="GT36">
            <v>11664</v>
          </cell>
          <cell r="GU36">
            <v>2351</v>
          </cell>
          <cell r="GV36">
            <v>0</v>
          </cell>
          <cell r="GW36">
            <v>0</v>
          </cell>
          <cell r="GX36">
            <v>926.79100000000005</v>
          </cell>
          <cell r="GY36">
            <v>1132.9580000000001</v>
          </cell>
          <cell r="GZ36">
            <v>31.920999999999999</v>
          </cell>
          <cell r="HA36">
            <v>1203.8610000000001</v>
          </cell>
          <cell r="HB36">
            <v>0</v>
          </cell>
          <cell r="HC36">
            <v>0</v>
          </cell>
          <cell r="HD36">
            <v>0</v>
          </cell>
          <cell r="HE36">
            <v>0</v>
          </cell>
          <cell r="HF36">
            <v>285.78199999999998</v>
          </cell>
          <cell r="HG36">
            <v>0</v>
          </cell>
          <cell r="HH36">
            <v>656.64599999999996</v>
          </cell>
          <cell r="HI36">
            <v>0</v>
          </cell>
          <cell r="HJ36">
            <v>0</v>
          </cell>
          <cell r="HK36">
            <v>0</v>
          </cell>
          <cell r="HL36">
            <v>4237.9589999999998</v>
          </cell>
          <cell r="HM36">
            <v>0</v>
          </cell>
          <cell r="HN36">
            <v>0</v>
          </cell>
          <cell r="HO36">
            <v>0</v>
          </cell>
          <cell r="HP36">
            <v>358.86200000000002</v>
          </cell>
          <cell r="HQ36">
            <v>0</v>
          </cell>
          <cell r="HR36">
            <v>4088.4430000000002</v>
          </cell>
          <cell r="HS36">
            <v>0</v>
          </cell>
          <cell r="HT36">
            <v>0</v>
          </cell>
          <cell r="HU36">
            <v>0</v>
          </cell>
          <cell r="HV36">
            <v>0</v>
          </cell>
          <cell r="HW36">
            <v>173.542</v>
          </cell>
          <cell r="HX36">
            <v>0</v>
          </cell>
          <cell r="HY36">
            <v>345.505</v>
          </cell>
          <cell r="HZ36">
            <v>0</v>
          </cell>
          <cell r="IA36">
            <v>0</v>
          </cell>
          <cell r="IB36">
            <v>0</v>
          </cell>
          <cell r="IC36">
            <v>4966.3520000000008</v>
          </cell>
          <cell r="ID36">
            <v>0</v>
          </cell>
          <cell r="IE36">
            <v>0</v>
          </cell>
          <cell r="IF36">
            <v>0</v>
          </cell>
          <cell r="IG36">
            <v>1346.229</v>
          </cell>
          <cell r="IH36">
            <v>150</v>
          </cell>
          <cell r="II36">
            <v>3176.9679999999998</v>
          </cell>
          <cell r="IJ36">
            <v>234</v>
          </cell>
          <cell r="IK36">
            <v>0</v>
          </cell>
          <cell r="IL36">
            <v>0</v>
          </cell>
          <cell r="IM36">
            <v>0</v>
          </cell>
          <cell r="IN36">
            <v>200</v>
          </cell>
          <cell r="IO36">
            <v>0</v>
          </cell>
          <cell r="IP36">
            <v>639.88300000000004</v>
          </cell>
          <cell r="IQ36">
            <v>0</v>
          </cell>
          <cell r="IR36">
            <v>0</v>
          </cell>
          <cell r="IS36">
            <v>55</v>
          </cell>
          <cell r="IT36">
            <v>5802.08</v>
          </cell>
          <cell r="IU36" t="str">
            <v>Ambulance - Atherton, Irlam , Hindley, Whitefield,Leigh, Phillips Park, Wigan</v>
          </cell>
          <cell r="IV36" t="str">
            <v>4 x TRU vehicles plus 1 x spare TRU. 6 x Mercedes Sprinter Van Appliances used for TRU support and Wildfire Applications.</v>
          </cell>
          <cell r="IW36" t="str">
            <v xml:space="preserve">North West Fire Control </v>
          </cell>
          <cell r="IX36">
            <v>0</v>
          </cell>
          <cell r="IY36">
            <v>0</v>
          </cell>
          <cell r="IZ36" t="str">
            <v>..</v>
          </cell>
          <cell r="JA36" t="str">
            <v>..</v>
          </cell>
          <cell r="JB36" t="str">
            <v>..</v>
          </cell>
        </row>
        <row r="37">
          <cell r="A37" t="str">
            <v>E6124</v>
          </cell>
          <cell r="B37" t="str">
            <v>Leicestershire</v>
          </cell>
          <cell r="C37" t="str">
            <v>Philippa Brown</v>
          </cell>
          <cell r="D37" t="str">
            <v>Accountant</v>
          </cell>
          <cell r="E37" t="str">
            <v>0116 2105509</v>
          </cell>
          <cell r="F37" t="str">
            <v>philippa.brown@lfrs.org</v>
          </cell>
          <cell r="G37" t="str">
            <v>Philippa Brown</v>
          </cell>
          <cell r="H37" t="str">
            <v>Accountant</v>
          </cell>
          <cell r="I37" t="str">
            <v>0116 2105509</v>
          </cell>
          <cell r="J37" t="str">
            <v>philippa.brown@lfrs.org</v>
          </cell>
          <cell r="K37" t="str">
            <v>..</v>
          </cell>
          <cell r="L37">
            <v>7</v>
          </cell>
          <cell r="M37">
            <v>6</v>
          </cell>
          <cell r="N37">
            <v>7</v>
          </cell>
          <cell r="O37">
            <v>0</v>
          </cell>
          <cell r="P37">
            <v>20</v>
          </cell>
          <cell r="Q37">
            <v>2</v>
          </cell>
          <cell r="R37">
            <v>7</v>
          </cell>
          <cell r="S37">
            <v>6</v>
          </cell>
          <cell r="T37">
            <v>7</v>
          </cell>
          <cell r="U37">
            <v>0</v>
          </cell>
          <cell r="V37">
            <v>20</v>
          </cell>
          <cell r="W37">
            <v>3</v>
          </cell>
          <cell r="X37">
            <v>30</v>
          </cell>
          <cell r="Y37">
            <v>32</v>
          </cell>
          <cell r="Z37">
            <v>2</v>
          </cell>
          <cell r="AA37">
            <v>18</v>
          </cell>
          <cell r="AB37">
            <v>33</v>
          </cell>
          <cell r="AC37">
            <v>0</v>
          </cell>
          <cell r="AD37">
            <v>10</v>
          </cell>
          <cell r="AE37">
            <v>95</v>
          </cell>
          <cell r="AF37">
            <v>69</v>
          </cell>
          <cell r="AG37">
            <v>3</v>
          </cell>
          <cell r="AH37">
            <v>5</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v>17180</v>
          </cell>
          <cell r="BC37">
            <v>1802</v>
          </cell>
          <cell r="BD37">
            <v>1148</v>
          </cell>
          <cell r="BE37">
            <v>4505</v>
          </cell>
          <cell r="BF37">
            <v>370</v>
          </cell>
          <cell r="BG37">
            <v>635</v>
          </cell>
          <cell r="BH37">
            <v>25640</v>
          </cell>
          <cell r="BI37">
            <v>2399</v>
          </cell>
          <cell r="BJ37">
            <v>952</v>
          </cell>
          <cell r="BK37">
            <v>3441</v>
          </cell>
          <cell r="BL37">
            <v>159</v>
          </cell>
          <cell r="BM37">
            <v>0</v>
          </cell>
          <cell r="BN37">
            <v>0</v>
          </cell>
          <cell r="BO37">
            <v>32591</v>
          </cell>
          <cell r="BP37">
            <v>2104</v>
          </cell>
          <cell r="BQ37">
            <v>0</v>
          </cell>
          <cell r="BR37">
            <v>701</v>
          </cell>
          <cell r="BS37">
            <v>2805</v>
          </cell>
          <cell r="BT37">
            <v>29786</v>
          </cell>
          <cell r="BU37">
            <v>2404</v>
          </cell>
          <cell r="BV37">
            <v>27014</v>
          </cell>
          <cell r="BW37">
            <v>0</v>
          </cell>
          <cell r="BX37">
            <v>1316</v>
          </cell>
          <cell r="BY37">
            <v>90</v>
          </cell>
          <cell r="BZ37">
            <v>574</v>
          </cell>
          <cell r="CA37">
            <v>115</v>
          </cell>
          <cell r="CB37">
            <v>0</v>
          </cell>
          <cell r="CC37">
            <v>0</v>
          </cell>
          <cell r="CD37">
            <v>0</v>
          </cell>
          <cell r="CE37">
            <v>0</v>
          </cell>
          <cell r="CF37">
            <v>0</v>
          </cell>
          <cell r="CG37">
            <v>0</v>
          </cell>
          <cell r="CH37">
            <v>144</v>
          </cell>
          <cell r="CI37">
            <v>144</v>
          </cell>
          <cell r="CJ37">
            <v>23</v>
          </cell>
          <cell r="CK37">
            <v>135</v>
          </cell>
          <cell r="CL37">
            <v>267</v>
          </cell>
          <cell r="CM37">
            <v>183</v>
          </cell>
          <cell r="CN37">
            <v>222</v>
          </cell>
          <cell r="CO37">
            <v>19395</v>
          </cell>
          <cell r="CP37">
            <v>2341</v>
          </cell>
          <cell r="CQ37">
            <v>1062</v>
          </cell>
          <cell r="CR37">
            <v>4772</v>
          </cell>
          <cell r="CS37">
            <v>318</v>
          </cell>
          <cell r="CT37">
            <v>348</v>
          </cell>
          <cell r="CU37">
            <v>28236</v>
          </cell>
          <cell r="CV37">
            <v>2348</v>
          </cell>
          <cell r="CW37">
            <v>983</v>
          </cell>
          <cell r="CX37">
            <v>3109</v>
          </cell>
          <cell r="CY37">
            <v>179</v>
          </cell>
          <cell r="CZ37">
            <v>0</v>
          </cell>
          <cell r="DA37">
            <v>0</v>
          </cell>
          <cell r="DB37">
            <v>34855</v>
          </cell>
          <cell r="DC37">
            <v>3282</v>
          </cell>
          <cell r="DD37">
            <v>0</v>
          </cell>
          <cell r="DE37">
            <v>395</v>
          </cell>
          <cell r="DF37">
            <v>3677</v>
          </cell>
          <cell r="DG37">
            <v>31178</v>
          </cell>
          <cell r="DH37">
            <v>2400</v>
          </cell>
          <cell r="DI37">
            <v>27000</v>
          </cell>
          <cell r="DJ37">
            <v>0</v>
          </cell>
          <cell r="DK37">
            <v>1136</v>
          </cell>
          <cell r="DL37">
            <v>163</v>
          </cell>
          <cell r="DM37">
            <v>474</v>
          </cell>
          <cell r="DN37">
            <v>162</v>
          </cell>
          <cell r="DO37">
            <v>0</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0</v>
          </cell>
          <cell r="EC37">
            <v>0</v>
          </cell>
          <cell r="ED37">
            <v>22.5</v>
          </cell>
          <cell r="EE37">
            <v>0</v>
          </cell>
          <cell r="EF37">
            <v>0</v>
          </cell>
          <cell r="EG37">
            <v>13358</v>
          </cell>
          <cell r="EH37">
            <v>21512</v>
          </cell>
          <cell r="EI37">
            <v>145</v>
          </cell>
          <cell r="EJ37">
            <v>0</v>
          </cell>
          <cell r="EK37">
            <v>35015</v>
          </cell>
          <cell r="EL37" t="str">
            <v>..</v>
          </cell>
          <cell r="EM37" t="str">
            <v>..</v>
          </cell>
          <cell r="EN37">
            <v>3627</v>
          </cell>
          <cell r="EO37" t="str">
            <v>..</v>
          </cell>
          <cell r="EP37" t="str">
            <v>..</v>
          </cell>
          <cell r="EQ37" t="str">
            <v>..</v>
          </cell>
          <cell r="ER37">
            <v>27269</v>
          </cell>
          <cell r="ES37">
            <v>535</v>
          </cell>
          <cell r="ET37">
            <v>759</v>
          </cell>
          <cell r="EU37">
            <v>0</v>
          </cell>
          <cell r="EV37">
            <v>32190</v>
          </cell>
          <cell r="EW37" t="str">
            <v>..</v>
          </cell>
          <cell r="EX37" t="str">
            <v>..</v>
          </cell>
          <cell r="EY37" t="str">
            <v>..</v>
          </cell>
          <cell r="EZ37" t="str">
            <v>..</v>
          </cell>
          <cell r="FA37" t="str">
            <v>..</v>
          </cell>
          <cell r="FB37" t="str">
            <v>..</v>
          </cell>
          <cell r="FC37" t="str">
            <v>..</v>
          </cell>
          <cell r="FD37" t="str">
            <v>..</v>
          </cell>
          <cell r="FE37" t="str">
            <v>..</v>
          </cell>
          <cell r="FF37" t="str">
            <v>..</v>
          </cell>
          <cell r="FG37" t="str">
            <v>..</v>
          </cell>
          <cell r="FH37">
            <v>-2212</v>
          </cell>
          <cell r="FI37">
            <v>-37</v>
          </cell>
          <cell r="FJ37">
            <v>0</v>
          </cell>
          <cell r="FK37">
            <v>-1799</v>
          </cell>
          <cell r="FL37">
            <v>0</v>
          </cell>
          <cell r="FM37">
            <v>10700</v>
          </cell>
          <cell r="FN37">
            <v>2158</v>
          </cell>
          <cell r="FO37">
            <v>150</v>
          </cell>
          <cell r="FP37">
            <v>8960</v>
          </cell>
          <cell r="FQ37">
            <v>117</v>
          </cell>
          <cell r="FR37">
            <v>0</v>
          </cell>
          <cell r="FS37">
            <v>-2020</v>
          </cell>
          <cell r="FT37">
            <v>56</v>
          </cell>
          <cell r="FU37">
            <v>0</v>
          </cell>
          <cell r="FV37">
            <v>-1720</v>
          </cell>
          <cell r="FW37">
            <v>0</v>
          </cell>
          <cell r="FX37">
            <v>11442</v>
          </cell>
          <cell r="FY37">
            <v>655</v>
          </cell>
          <cell r="FZ37">
            <v>0</v>
          </cell>
          <cell r="GA37">
            <v>8413</v>
          </cell>
          <cell r="GB37">
            <v>112</v>
          </cell>
          <cell r="GC37">
            <v>0</v>
          </cell>
          <cell r="GD37">
            <v>658</v>
          </cell>
          <cell r="GE37">
            <v>661</v>
          </cell>
          <cell r="GF37">
            <v>23</v>
          </cell>
          <cell r="GG37">
            <v>1</v>
          </cell>
          <cell r="GH37">
            <v>83</v>
          </cell>
          <cell r="GI37">
            <v>10</v>
          </cell>
          <cell r="GJ37">
            <v>405</v>
          </cell>
          <cell r="GK37">
            <v>10</v>
          </cell>
          <cell r="GL37">
            <v>44</v>
          </cell>
          <cell r="GM37">
            <v>206</v>
          </cell>
          <cell r="GN37">
            <v>70</v>
          </cell>
          <cell r="GO37">
            <v>21</v>
          </cell>
          <cell r="GP37">
            <v>11599</v>
          </cell>
          <cell r="GQ37">
            <v>2247</v>
          </cell>
          <cell r="GR37">
            <v>375</v>
          </cell>
          <cell r="GS37">
            <v>12449</v>
          </cell>
          <cell r="GT37">
            <v>2610</v>
          </cell>
          <cell r="GU37">
            <v>475</v>
          </cell>
          <cell r="GV37">
            <v>0</v>
          </cell>
          <cell r="GW37">
            <v>0</v>
          </cell>
          <cell r="GX37">
            <v>16</v>
          </cell>
          <cell r="GY37">
            <v>1367</v>
          </cell>
          <cell r="GZ37">
            <v>0</v>
          </cell>
          <cell r="HA37">
            <v>585</v>
          </cell>
          <cell r="HB37">
            <v>407</v>
          </cell>
          <cell r="HC37">
            <v>0</v>
          </cell>
          <cell r="HD37">
            <v>0</v>
          </cell>
          <cell r="HE37">
            <v>0</v>
          </cell>
          <cell r="HF37">
            <v>69</v>
          </cell>
          <cell r="HG37">
            <v>0</v>
          </cell>
          <cell r="HH37">
            <v>305</v>
          </cell>
          <cell r="HI37">
            <v>0</v>
          </cell>
          <cell r="HJ37">
            <v>0</v>
          </cell>
          <cell r="HK37">
            <v>0</v>
          </cell>
          <cell r="HL37">
            <v>2749</v>
          </cell>
          <cell r="HM37">
            <v>0</v>
          </cell>
          <cell r="HN37">
            <v>0</v>
          </cell>
          <cell r="HO37">
            <v>0</v>
          </cell>
          <cell r="HP37">
            <v>1175</v>
          </cell>
          <cell r="HQ37">
            <v>0</v>
          </cell>
          <cell r="HR37">
            <v>296</v>
          </cell>
          <cell r="HS37">
            <v>30</v>
          </cell>
          <cell r="HT37">
            <v>0</v>
          </cell>
          <cell r="HU37">
            <v>66</v>
          </cell>
          <cell r="HV37">
            <v>0</v>
          </cell>
          <cell r="HW37">
            <v>95</v>
          </cell>
          <cell r="HX37">
            <v>0</v>
          </cell>
          <cell r="HY37">
            <v>108</v>
          </cell>
          <cell r="HZ37">
            <v>0</v>
          </cell>
          <cell r="IA37">
            <v>0</v>
          </cell>
          <cell r="IB37">
            <v>0</v>
          </cell>
          <cell r="IC37">
            <v>1770</v>
          </cell>
          <cell r="ID37">
            <v>0</v>
          </cell>
          <cell r="IE37">
            <v>0</v>
          </cell>
          <cell r="IF37">
            <v>0</v>
          </cell>
          <cell r="IG37">
            <v>347</v>
          </cell>
          <cell r="IH37">
            <v>0</v>
          </cell>
          <cell r="II37">
            <v>1594</v>
          </cell>
          <cell r="IJ37">
            <v>0</v>
          </cell>
          <cell r="IK37">
            <v>0</v>
          </cell>
          <cell r="IL37">
            <v>0</v>
          </cell>
          <cell r="IM37">
            <v>0</v>
          </cell>
          <cell r="IN37">
            <v>793</v>
          </cell>
          <cell r="IO37">
            <v>0</v>
          </cell>
          <cell r="IP37">
            <v>793</v>
          </cell>
          <cell r="IQ37">
            <v>0</v>
          </cell>
          <cell r="IR37">
            <v>0</v>
          </cell>
          <cell r="IS37">
            <v>0</v>
          </cell>
          <cell r="IT37">
            <v>3527</v>
          </cell>
          <cell r="IU37" t="str">
            <v>Police/Emas</v>
          </cell>
          <cell r="IV37" t="str">
            <v>To advise later</v>
          </cell>
          <cell r="IW37" t="str">
            <v>..</v>
          </cell>
          <cell r="IX37">
            <v>0</v>
          </cell>
          <cell r="IY37" t="str">
            <v>..</v>
          </cell>
          <cell r="IZ37" t="str">
            <v>..</v>
          </cell>
          <cell r="JA37" t="str">
            <v>..</v>
          </cell>
          <cell r="JB37" t="str">
            <v>..</v>
          </cell>
        </row>
        <row r="38">
          <cell r="A38" t="str">
            <v>E6128</v>
          </cell>
          <cell r="B38" t="str">
            <v>Northamptonshire</v>
          </cell>
          <cell r="C38" t="str">
            <v>Jelena Motte</v>
          </cell>
          <cell r="D38" t="str">
            <v>OPFCC and Fire Accountant</v>
          </cell>
          <cell r="E38" t="str">
            <v>03000 111 222</v>
          </cell>
          <cell r="F38" t="str">
            <v>Jelena.Motte@northantspfcc.pnn.gov.uk</v>
          </cell>
          <cell r="G38" t="str">
            <v>..</v>
          </cell>
          <cell r="H38" t="str">
            <v>..</v>
          </cell>
          <cell r="I38" t="str">
            <v>..</v>
          </cell>
          <cell r="J38" t="str">
            <v>..</v>
          </cell>
          <cell r="K38" t="str">
            <v>..</v>
          </cell>
          <cell r="L38">
            <v>3</v>
          </cell>
          <cell r="M38">
            <v>14</v>
          </cell>
          <cell r="N38">
            <v>5</v>
          </cell>
          <cell r="O38">
            <v>0</v>
          </cell>
          <cell r="P38">
            <v>22</v>
          </cell>
          <cell r="Q38">
            <v>3</v>
          </cell>
          <cell r="R38">
            <v>3</v>
          </cell>
          <cell r="S38">
            <v>14</v>
          </cell>
          <cell r="T38">
            <v>5</v>
          </cell>
          <cell r="U38">
            <v>0</v>
          </cell>
          <cell r="V38">
            <v>22</v>
          </cell>
          <cell r="W38">
            <v>3</v>
          </cell>
          <cell r="X38">
            <v>26</v>
          </cell>
          <cell r="Y38">
            <v>26</v>
          </cell>
          <cell r="Z38">
            <v>2</v>
          </cell>
          <cell r="AA38">
            <v>28</v>
          </cell>
          <cell r="AB38">
            <v>36</v>
          </cell>
          <cell r="AC38">
            <v>0</v>
          </cell>
          <cell r="AD38">
            <v>6</v>
          </cell>
          <cell r="AE38">
            <v>98</v>
          </cell>
          <cell r="AF38">
            <v>50</v>
          </cell>
          <cell r="AG38">
            <v>4</v>
          </cell>
          <cell r="AH38">
            <v>3</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v>11737.170290000002</v>
          </cell>
          <cell r="BC38">
            <v>1779.70732</v>
          </cell>
          <cell r="BD38">
            <v>723.07609000000014</v>
          </cell>
          <cell r="BE38">
            <v>2078.4061499999998</v>
          </cell>
          <cell r="BF38">
            <v>356.11381999999998</v>
          </cell>
          <cell r="BG38">
            <v>82.515959999999993</v>
          </cell>
          <cell r="BH38">
            <v>16756.98963</v>
          </cell>
          <cell r="BI38">
            <v>1571.71165</v>
          </cell>
          <cell r="BJ38">
            <v>700.33970999999997</v>
          </cell>
          <cell r="BK38">
            <v>3359.1512700000003</v>
          </cell>
          <cell r="BL38">
            <v>2026.0975975137474</v>
          </cell>
          <cell r="BM38">
            <v>0</v>
          </cell>
          <cell r="BN38">
            <v>0</v>
          </cell>
          <cell r="BO38">
            <v>24414.289857513751</v>
          </cell>
          <cell r="BP38">
            <v>-662.51016000000004</v>
          </cell>
          <cell r="BQ38">
            <v>0</v>
          </cell>
          <cell r="BR38">
            <v>-360.38259000000011</v>
          </cell>
          <cell r="BS38">
            <v>-1022.8927500000002</v>
          </cell>
          <cell r="BT38">
            <v>25437.182607513751</v>
          </cell>
          <cell r="BU38">
            <v>4694.7294099999999</v>
          </cell>
          <cell r="BV38">
            <v>0</v>
          </cell>
          <cell r="BW38">
            <v>0</v>
          </cell>
          <cell r="BX38">
            <v>0</v>
          </cell>
          <cell r="BY38">
            <v>0</v>
          </cell>
          <cell r="BZ38">
            <v>0</v>
          </cell>
          <cell r="CA38">
            <v>0</v>
          </cell>
          <cell r="CB38">
            <v>0</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v>13597.815000000001</v>
          </cell>
          <cell r="CP38">
            <v>2124.9969999999998</v>
          </cell>
          <cell r="CQ38">
            <v>722.97900000000004</v>
          </cell>
          <cell r="CR38">
            <v>2476.3359999999998</v>
          </cell>
          <cell r="CS38">
            <v>367.86200000000002</v>
          </cell>
          <cell r="CT38">
            <v>67.766000000000005</v>
          </cell>
          <cell r="CU38">
            <v>19357.755000000001</v>
          </cell>
          <cell r="CV38">
            <v>1289.0930000000001</v>
          </cell>
          <cell r="CW38">
            <v>614.74400000000003</v>
          </cell>
          <cell r="CX38">
            <v>3916.3649999999998</v>
          </cell>
          <cell r="CY38">
            <v>0</v>
          </cell>
          <cell r="CZ38">
            <v>0</v>
          </cell>
          <cell r="DA38">
            <v>0</v>
          </cell>
          <cell r="DB38">
            <v>25177.957000000002</v>
          </cell>
          <cell r="DC38">
            <v>442.21800000000002</v>
          </cell>
          <cell r="DD38">
            <v>0</v>
          </cell>
          <cell r="DE38">
            <v>392.73899999999998</v>
          </cell>
          <cell r="DF38">
            <v>-834.95699999999999</v>
          </cell>
          <cell r="DG38">
            <v>26012.914000000001</v>
          </cell>
          <cell r="DH38">
            <v>275</v>
          </cell>
          <cell r="DI38">
            <v>0</v>
          </cell>
          <cell r="DJ38">
            <v>0</v>
          </cell>
          <cell r="DK38">
            <v>0</v>
          </cell>
          <cell r="DL38">
            <v>0</v>
          </cell>
          <cell r="DM38">
            <v>0</v>
          </cell>
          <cell r="DN38">
            <v>0</v>
          </cell>
          <cell r="DO38">
            <v>0</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v>0</v>
          </cell>
          <cell r="EC38">
            <v>0</v>
          </cell>
          <cell r="ED38" t="str">
            <v>..</v>
          </cell>
          <cell r="EE38" t="str">
            <v>..</v>
          </cell>
          <cell r="EF38">
            <v>6374.0000000000009</v>
          </cell>
          <cell r="EG38">
            <v>2955</v>
          </cell>
          <cell r="EH38">
            <v>14910</v>
          </cell>
          <cell r="EI38">
            <v>379</v>
          </cell>
          <cell r="EJ38">
            <v>0</v>
          </cell>
          <cell r="EK38">
            <v>24618</v>
          </cell>
          <cell r="EL38" t="str">
            <v>..</v>
          </cell>
          <cell r="EM38" t="str">
            <v>..</v>
          </cell>
          <cell r="EN38" t="str">
            <v>..</v>
          </cell>
          <cell r="EO38" t="str">
            <v>..</v>
          </cell>
          <cell r="EP38" t="str">
            <v>..</v>
          </cell>
          <cell r="EQ38" t="str">
            <v>..</v>
          </cell>
          <cell r="ER38" t="str">
            <v>..</v>
          </cell>
          <cell r="ES38" t="str">
            <v>..</v>
          </cell>
          <cell r="ET38" t="str">
            <v>..</v>
          </cell>
          <cell r="EU38" t="str">
            <v>..</v>
          </cell>
          <cell r="EV38" t="str">
            <v>..</v>
          </cell>
          <cell r="EW38" t="str">
            <v>..</v>
          </cell>
          <cell r="EX38" t="str">
            <v>..</v>
          </cell>
          <cell r="EY38" t="str">
            <v>..</v>
          </cell>
          <cell r="EZ38" t="str">
            <v>..</v>
          </cell>
          <cell r="FA38" t="str">
            <v>..</v>
          </cell>
          <cell r="FB38" t="str">
            <v>..</v>
          </cell>
          <cell r="FC38" t="str">
            <v>..</v>
          </cell>
          <cell r="FD38" t="str">
            <v>..</v>
          </cell>
          <cell r="FE38" t="str">
            <v>..</v>
          </cell>
          <cell r="FF38" t="str">
            <v>..</v>
          </cell>
          <cell r="FG38" t="str">
            <v>..</v>
          </cell>
          <cell r="FH38">
            <v>-1357</v>
          </cell>
          <cell r="FI38">
            <v>0</v>
          </cell>
          <cell r="FJ38">
            <v>0</v>
          </cell>
          <cell r="FK38">
            <v>-933</v>
          </cell>
          <cell r="FL38">
            <v>0</v>
          </cell>
          <cell r="FM38">
            <v>6368</v>
          </cell>
          <cell r="FN38">
            <v>1585</v>
          </cell>
          <cell r="FO38">
            <v>0</v>
          </cell>
          <cell r="FP38">
            <v>5663</v>
          </cell>
          <cell r="FQ38">
            <v>0</v>
          </cell>
          <cell r="FR38">
            <v>0</v>
          </cell>
          <cell r="FS38" t="str">
            <v>..</v>
          </cell>
          <cell r="FT38" t="str">
            <v>..</v>
          </cell>
          <cell r="FU38" t="str">
            <v>..</v>
          </cell>
          <cell r="FV38" t="str">
            <v>..</v>
          </cell>
          <cell r="FW38" t="str">
            <v>..</v>
          </cell>
          <cell r="FX38" t="str">
            <v>..</v>
          </cell>
          <cell r="FY38" t="str">
            <v>..</v>
          </cell>
          <cell r="FZ38" t="str">
            <v>..</v>
          </cell>
          <cell r="GA38" t="str">
            <v>..</v>
          </cell>
          <cell r="GB38" t="str">
            <v>..</v>
          </cell>
          <cell r="GC38" t="str">
            <v>..</v>
          </cell>
          <cell r="GD38">
            <v>416</v>
          </cell>
          <cell r="GE38" t="str">
            <v>..</v>
          </cell>
          <cell r="GF38">
            <v>14</v>
          </cell>
          <cell r="GG38">
            <v>0</v>
          </cell>
          <cell r="GH38">
            <v>33</v>
          </cell>
          <cell r="GI38">
            <v>11</v>
          </cell>
          <cell r="GJ38">
            <v>345</v>
          </cell>
          <cell r="GK38">
            <v>14</v>
          </cell>
          <cell r="GL38">
            <v>24</v>
          </cell>
          <cell r="GM38">
            <v>130</v>
          </cell>
          <cell r="GN38">
            <v>55</v>
          </cell>
          <cell r="GO38">
            <v>11</v>
          </cell>
          <cell r="GP38">
            <v>0</v>
          </cell>
          <cell r="GQ38">
            <v>0</v>
          </cell>
          <cell r="GR38">
            <v>0</v>
          </cell>
          <cell r="GS38">
            <v>-1289</v>
          </cell>
          <cell r="GT38">
            <v>-688</v>
          </cell>
          <cell r="GU38">
            <v>0</v>
          </cell>
          <cell r="GV38" t="str">
            <v>..</v>
          </cell>
          <cell r="GW38" t="str">
            <v>..</v>
          </cell>
          <cell r="GX38" t="str">
            <v>…</v>
          </cell>
          <cell r="GY38" t="str">
            <v>..</v>
          </cell>
          <cell r="GZ38" t="str">
            <v>..</v>
          </cell>
          <cell r="HA38" t="str">
            <v>..</v>
          </cell>
          <cell r="HB38" t="str">
            <v>..</v>
          </cell>
          <cell r="HC38" t="str">
            <v>..</v>
          </cell>
          <cell r="HD38" t="str">
            <v>..</v>
          </cell>
          <cell r="HE38" t="str">
            <v>..</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t="str">
            <v>..</v>
          </cell>
          <cell r="HS38" t="str">
            <v>..</v>
          </cell>
          <cell r="HT38" t="str">
            <v>..</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t="str">
            <v>..</v>
          </cell>
          <cell r="IH38" t="str">
            <v>..</v>
          </cell>
          <cell r="II38" t="str">
            <v>..</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t="str">
            <v>..</v>
          </cell>
          <cell r="IW38" t="str">
            <v>..</v>
          </cell>
          <cell r="IX38" t="str">
            <v>..</v>
          </cell>
          <cell r="IY38" t="str">
            <v>..</v>
          </cell>
          <cell r="IZ38" t="str">
            <v>..</v>
          </cell>
          <cell r="JA38" t="str">
            <v>..</v>
          </cell>
          <cell r="JB38" t="str">
            <v>..</v>
          </cell>
        </row>
        <row r="39">
          <cell r="A39" t="str">
            <v>E6160</v>
          </cell>
          <cell r="B39" t="str">
            <v>London (LFC)</v>
          </cell>
          <cell r="C39">
            <v>0</v>
          </cell>
          <cell r="D39">
            <v>0</v>
          </cell>
          <cell r="E39">
            <v>2085551200</v>
          </cell>
          <cell r="F39">
            <v>0</v>
          </cell>
          <cell r="G39" t="str">
            <v>Ben Powell</v>
          </cell>
          <cell r="H39" t="str">
            <v>Lead Finance Business Partner</v>
          </cell>
          <cell r="I39">
            <v>2085551200</v>
          </cell>
          <cell r="J39" t="str">
            <v>ben.powell@london-fire.gov.uk</v>
          </cell>
          <cell r="K39" t="str">
            <v>..</v>
          </cell>
          <cell r="L39">
            <v>103</v>
          </cell>
          <cell r="M39">
            <v>0</v>
          </cell>
          <cell r="N39">
            <v>0</v>
          </cell>
          <cell r="O39">
            <v>0</v>
          </cell>
          <cell r="P39">
            <v>103</v>
          </cell>
          <cell r="Q39">
            <v>5</v>
          </cell>
          <cell r="R39">
            <v>103</v>
          </cell>
          <cell r="S39">
            <v>0</v>
          </cell>
          <cell r="T39">
            <v>0</v>
          </cell>
          <cell r="U39">
            <v>0</v>
          </cell>
          <cell r="V39">
            <v>103</v>
          </cell>
          <cell r="W39">
            <v>5</v>
          </cell>
          <cell r="X39">
            <v>143</v>
          </cell>
          <cell r="Y39">
            <v>142</v>
          </cell>
          <cell r="Z39">
            <v>11</v>
          </cell>
          <cell r="AA39">
            <v>50</v>
          </cell>
          <cell r="AB39">
            <v>57</v>
          </cell>
          <cell r="AC39">
            <v>0</v>
          </cell>
          <cell r="AD39">
            <v>86</v>
          </cell>
          <cell r="AE39">
            <v>346</v>
          </cell>
          <cell r="AF39">
            <v>32</v>
          </cell>
          <cell r="AG39">
            <v>54</v>
          </cell>
          <cell r="AH39">
            <v>42</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v>239924</v>
          </cell>
          <cell r="BC39">
            <v>0</v>
          </cell>
          <cell r="BD39">
            <v>5676.5659999999998</v>
          </cell>
          <cell r="BE39">
            <v>48934.279000000002</v>
          </cell>
          <cell r="BF39">
            <v>17624.871999999999</v>
          </cell>
          <cell r="BG39">
            <v>2994.5920000000001</v>
          </cell>
          <cell r="BH39">
            <v>315154.30899999995</v>
          </cell>
          <cell r="BI39">
            <v>37361.873</v>
          </cell>
          <cell r="BJ39">
            <v>15449.251</v>
          </cell>
          <cell r="BK39">
            <v>30011.014999999999</v>
          </cell>
          <cell r="BL39">
            <v>34003</v>
          </cell>
          <cell r="BM39">
            <v>2206.64</v>
          </cell>
          <cell r="BN39">
            <v>0</v>
          </cell>
          <cell r="BO39">
            <v>434186.08799999999</v>
          </cell>
          <cell r="BP39">
            <v>16826.062999999998</v>
          </cell>
          <cell r="BQ39">
            <v>332.86199999999997</v>
          </cell>
          <cell r="BR39">
            <v>40100.731</v>
          </cell>
          <cell r="BS39">
            <v>57259.656000000003</v>
          </cell>
          <cell r="BT39">
            <v>376926.43199999997</v>
          </cell>
          <cell r="BU39">
            <v>45267.525080000007</v>
          </cell>
          <cell r="BV39">
            <v>344775.13199999998</v>
          </cell>
          <cell r="BW39">
            <v>0</v>
          </cell>
          <cell r="BX39">
            <v>7262.223</v>
          </cell>
          <cell r="BY39">
            <v>3195</v>
          </cell>
          <cell r="BZ39">
            <v>6238</v>
          </cell>
          <cell r="CA39">
            <v>-861</v>
          </cell>
          <cell r="CB39">
            <v>1192</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v>271327</v>
          </cell>
          <cell r="CP39">
            <v>0</v>
          </cell>
          <cell r="CQ39">
            <v>5543.5029999999997</v>
          </cell>
          <cell r="CR39">
            <v>54380.9</v>
          </cell>
          <cell r="CS39">
            <v>16216.814</v>
          </cell>
          <cell r="CT39">
            <v>3040.0650000000001</v>
          </cell>
          <cell r="CU39">
            <v>350508.28200000006</v>
          </cell>
          <cell r="CV39">
            <v>40030</v>
          </cell>
          <cell r="CW39">
            <v>18913</v>
          </cell>
          <cell r="CX39">
            <v>29605</v>
          </cell>
          <cell r="CY39">
            <v>33411</v>
          </cell>
          <cell r="CZ39">
            <v>1863</v>
          </cell>
          <cell r="DA39">
            <v>0</v>
          </cell>
          <cell r="DB39">
            <v>474330.28200000006</v>
          </cell>
          <cell r="DC39">
            <v>35308</v>
          </cell>
          <cell r="DD39">
            <v>580.19399999999996</v>
          </cell>
          <cell r="DE39">
            <v>40381.805999999997</v>
          </cell>
          <cell r="DF39">
            <v>76270</v>
          </cell>
          <cell r="DG39">
            <v>398060.28200000006</v>
          </cell>
          <cell r="DH39">
            <v>0</v>
          </cell>
          <cell r="DI39">
            <v>0</v>
          </cell>
          <cell r="DJ39">
            <v>0</v>
          </cell>
          <cell r="DK39">
            <v>7167.0079500000002</v>
          </cell>
          <cell r="DL39">
            <v>3113.2192799999998</v>
          </cell>
          <cell r="DM39">
            <v>6341</v>
          </cell>
          <cell r="DN39">
            <v>-800</v>
          </cell>
          <cell r="DO39">
            <v>1257.6269500000001</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392385.08199999999</v>
          </cell>
          <cell r="EG39">
            <v>215000</v>
          </cell>
          <cell r="EH39">
            <v>147500</v>
          </cell>
          <cell r="EI39">
            <v>0</v>
          </cell>
          <cell r="EJ39">
            <v>0</v>
          </cell>
          <cell r="EK39">
            <v>754885.08200000005</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v>-25701.953000000001</v>
          </cell>
          <cell r="FI39">
            <v>-682.03800000000001</v>
          </cell>
          <cell r="FJ39">
            <v>-134.898</v>
          </cell>
          <cell r="FK39">
            <v>-21449.353999999999</v>
          </cell>
          <cell r="FL39">
            <v>-758.58500000000004</v>
          </cell>
          <cell r="FM39">
            <v>143090.29500000001</v>
          </cell>
          <cell r="FN39">
            <v>20873.952000000001</v>
          </cell>
          <cell r="FO39">
            <v>69.096000000000004</v>
          </cell>
          <cell r="FP39">
            <v>115306.51500000001</v>
          </cell>
          <cell r="FQ39">
            <v>19720.006000000001</v>
          </cell>
          <cell r="FR39">
            <v>0</v>
          </cell>
          <cell r="FS39">
            <v>-48343.205999999998</v>
          </cell>
          <cell r="FT39">
            <v>-949.476</v>
          </cell>
          <cell r="FU39">
            <v>0</v>
          </cell>
          <cell r="FV39">
            <v>-21229.306</v>
          </cell>
          <cell r="FW39">
            <v>0</v>
          </cell>
          <cell r="FX39">
            <v>147475.024</v>
          </cell>
          <cell r="FY39">
            <v>25554.722000000002</v>
          </cell>
          <cell r="FZ39">
            <v>84.019000000000005</v>
          </cell>
          <cell r="GA39">
            <v>102591.777</v>
          </cell>
          <cell r="GB39">
            <v>19955.259999999998</v>
          </cell>
          <cell r="GC39">
            <v>0</v>
          </cell>
          <cell r="GD39">
            <v>8792</v>
          </cell>
          <cell r="GE39">
            <v>8941</v>
          </cell>
          <cell r="GF39">
            <v>149</v>
          </cell>
          <cell r="GG39">
            <v>10</v>
          </cell>
          <cell r="GH39">
            <v>783</v>
          </cell>
          <cell r="GI39">
            <v>18</v>
          </cell>
          <cell r="GJ39">
            <v>3522</v>
          </cell>
          <cell r="GK39">
            <v>0</v>
          </cell>
          <cell r="GL39">
            <v>780</v>
          </cell>
          <cell r="GM39">
            <v>396</v>
          </cell>
          <cell r="GN39">
            <v>264</v>
          </cell>
          <cell r="GO39">
            <v>0</v>
          </cell>
          <cell r="GP39">
            <v>30201</v>
          </cell>
          <cell r="GQ39">
            <v>20356</v>
          </cell>
          <cell r="GR39">
            <v>5058</v>
          </cell>
          <cell r="GS39">
            <v>52230</v>
          </cell>
          <cell r="GT39">
            <v>23204</v>
          </cell>
          <cell r="GU39">
            <v>11324</v>
          </cell>
          <cell r="GV39">
            <v>0</v>
          </cell>
          <cell r="GW39">
            <v>0</v>
          </cell>
          <cell r="GX39">
            <v>560.83947999999998</v>
          </cell>
          <cell r="GY39">
            <v>481.66775999999987</v>
          </cell>
          <cell r="GZ39">
            <v>4308.8122499999981</v>
          </cell>
          <cell r="HA39">
            <v>6003.0126800000007</v>
          </cell>
          <cell r="HB39">
            <v>7293.391880000001</v>
          </cell>
          <cell r="HC39">
            <v>0</v>
          </cell>
          <cell r="HD39">
            <v>114.89268000000001</v>
          </cell>
          <cell r="HE39">
            <v>14.689249999999999</v>
          </cell>
          <cell r="HF39">
            <v>333.02186000000006</v>
          </cell>
          <cell r="HG39">
            <v>1020.6333500000001</v>
          </cell>
          <cell r="HH39">
            <v>885.18905000000007</v>
          </cell>
          <cell r="HI39">
            <v>0</v>
          </cell>
          <cell r="HJ39">
            <v>0</v>
          </cell>
          <cell r="HK39">
            <v>0</v>
          </cell>
          <cell r="HL39">
            <v>21016.150239999999</v>
          </cell>
          <cell r="HM39">
            <v>0</v>
          </cell>
          <cell r="HN39">
            <v>0</v>
          </cell>
          <cell r="HO39">
            <v>44.809719999999999</v>
          </cell>
          <cell r="HP39">
            <v>1013.1027600000001</v>
          </cell>
          <cell r="HQ39">
            <v>2153.9017599999997</v>
          </cell>
          <cell r="HR39">
            <v>6086.7494900000002</v>
          </cell>
          <cell r="HS39">
            <v>1566.5000500000001</v>
          </cell>
          <cell r="HT39">
            <v>0</v>
          </cell>
          <cell r="HU39">
            <v>49.025640000000003</v>
          </cell>
          <cell r="HV39">
            <v>0</v>
          </cell>
          <cell r="HW39">
            <v>392.69509000000005</v>
          </cell>
          <cell r="HX39">
            <v>140.44382000000002</v>
          </cell>
          <cell r="HY39">
            <v>1984.62508</v>
          </cell>
          <cell r="HZ39">
            <v>0</v>
          </cell>
          <cell r="IA39">
            <v>0</v>
          </cell>
          <cell r="IB39">
            <v>0</v>
          </cell>
          <cell r="IC39">
            <v>13431.85341</v>
          </cell>
          <cell r="ID39">
            <v>0</v>
          </cell>
          <cell r="IE39">
            <v>0</v>
          </cell>
          <cell r="IF39">
            <v>5049</v>
          </cell>
          <cell r="IG39">
            <v>813</v>
          </cell>
          <cell r="IH39">
            <v>5133</v>
          </cell>
          <cell r="II39">
            <v>14710</v>
          </cell>
          <cell r="IJ39">
            <v>4761</v>
          </cell>
          <cell r="IK39">
            <v>500</v>
          </cell>
          <cell r="IL39">
            <v>150</v>
          </cell>
          <cell r="IM39">
            <v>100</v>
          </cell>
          <cell r="IN39">
            <v>1189</v>
          </cell>
          <cell r="IO39">
            <v>1472</v>
          </cell>
          <cell r="IP39">
            <v>563</v>
          </cell>
          <cell r="IQ39">
            <v>0</v>
          </cell>
          <cell r="IR39">
            <v>0</v>
          </cell>
          <cell r="IS39">
            <v>0</v>
          </cell>
          <cell r="IT39">
            <v>34440</v>
          </cell>
          <cell r="IU39" t="str">
            <v>London Ambulance and MOPAC</v>
          </cell>
          <cell r="IV39" t="str">
            <v>AWD, Bulk Foam Unit, Fireboat, Fire Rescue Unit,  Heavy Distribution Unit, Hose Layer, Operational Support Unit, Fire Investigation Van, Fire Investigation Dog Van, Special AWD, GP Van, Cold Cut Van, Medium Rescue Support, Panel Van</v>
          </cell>
          <cell r="IW39" t="str">
            <v>Other Local Authorities and Agencies</v>
          </cell>
          <cell r="IX39" t="str">
            <v>..</v>
          </cell>
          <cell r="IY39" t="str">
            <v>Mutual Assistance and Shared Service Income</v>
          </cell>
          <cell r="IZ39" t="str">
            <v>..</v>
          </cell>
          <cell r="JA39" t="str">
            <v>..</v>
          </cell>
          <cell r="JB39" t="str">
            <v>..</v>
          </cell>
        </row>
        <row r="40">
          <cell r="A40" t="str">
            <v>E6142</v>
          </cell>
          <cell r="B40" t="str">
            <v>Greater Manchester</v>
          </cell>
          <cell r="C40">
            <v>0</v>
          </cell>
          <cell r="D40">
            <v>0</v>
          </cell>
          <cell r="E40">
            <v>0</v>
          </cell>
          <cell r="F40">
            <v>0</v>
          </cell>
          <cell r="G40" t="str">
            <v>Martyn Benson</v>
          </cell>
          <cell r="H40" t="str">
            <v xml:space="preserve">Management Accountant </v>
          </cell>
          <cell r="I40" t="str">
            <v>0161 608 4431</v>
          </cell>
          <cell r="J40" t="str">
            <v>bensonm@manchesterfire.gov.uk</v>
          </cell>
          <cell r="K40" t="str">
            <v>..</v>
          </cell>
          <cell r="L40">
            <v>35</v>
          </cell>
          <cell r="M40">
            <v>0</v>
          </cell>
          <cell r="N40">
            <v>6</v>
          </cell>
          <cell r="O40">
            <v>0</v>
          </cell>
          <cell r="P40">
            <v>41</v>
          </cell>
          <cell r="Q40">
            <v>7</v>
          </cell>
          <cell r="R40">
            <v>35</v>
          </cell>
          <cell r="S40">
            <v>0</v>
          </cell>
          <cell r="T40">
            <v>6</v>
          </cell>
          <cell r="U40">
            <v>0</v>
          </cell>
          <cell r="V40">
            <v>41</v>
          </cell>
          <cell r="W40" t="str">
            <v>..</v>
          </cell>
          <cell r="X40">
            <v>54</v>
          </cell>
          <cell r="Y40">
            <v>54</v>
          </cell>
          <cell r="Z40">
            <v>6</v>
          </cell>
          <cell r="AA40">
            <v>11</v>
          </cell>
          <cell r="AB40">
            <v>0</v>
          </cell>
          <cell r="AC40">
            <v>65</v>
          </cell>
          <cell r="AD40" t="str">
            <v>7 x Strategic Reserve pumping appliances that are also used as training vehicles.</v>
          </cell>
          <cell r="AE40">
            <v>71</v>
          </cell>
          <cell r="AF40" t="str">
            <v>GMFRS operate 129 non-operational support fleet vehicles that include cars, vans and light commercial vehicles that support front line services.</v>
          </cell>
          <cell r="AG40" t="str">
            <v xml:space="preserve">12 x Transport reserve vehicles to cover for planned and non-planned maintenance </v>
          </cell>
          <cell r="AH40" t="str">
            <v>2 x Training Appliances that are used for EFAD driver training</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v>65809</v>
          </cell>
          <cell r="BC40">
            <v>0</v>
          </cell>
          <cell r="BD40">
            <v>0</v>
          </cell>
          <cell r="BE40">
            <v>10597</v>
          </cell>
          <cell r="BF40">
            <v>864</v>
          </cell>
          <cell r="BG40">
            <v>1012</v>
          </cell>
          <cell r="BH40">
            <v>78282</v>
          </cell>
          <cell r="BI40">
            <v>4955</v>
          </cell>
          <cell r="BJ40">
            <v>2604</v>
          </cell>
          <cell r="BK40">
            <v>6272</v>
          </cell>
          <cell r="BL40">
            <v>6977</v>
          </cell>
          <cell r="BM40">
            <v>2237</v>
          </cell>
          <cell r="BN40">
            <v>0</v>
          </cell>
          <cell r="BO40">
            <v>101327</v>
          </cell>
          <cell r="BP40">
            <v>2048</v>
          </cell>
          <cell r="BQ40">
            <v>0</v>
          </cell>
          <cell r="BR40">
            <v>2140</v>
          </cell>
          <cell r="BS40">
            <v>4188</v>
          </cell>
          <cell r="BT40">
            <v>97139</v>
          </cell>
          <cell r="BU40">
            <v>6061</v>
          </cell>
          <cell r="BV40">
            <v>-27990</v>
          </cell>
          <cell r="BW40">
            <v>0</v>
          </cell>
          <cell r="BX40">
            <v>1619</v>
          </cell>
          <cell r="BY40">
            <v>0</v>
          </cell>
          <cell r="BZ40">
            <v>150</v>
          </cell>
          <cell r="CA40">
            <v>0</v>
          </cell>
          <cell r="CB40">
            <v>0</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v>72435</v>
          </cell>
          <cell r="CP40">
            <v>0</v>
          </cell>
          <cell r="CQ40">
            <v>0</v>
          </cell>
          <cell r="CR40">
            <v>10452</v>
          </cell>
          <cell r="CS40">
            <v>804</v>
          </cell>
          <cell r="CT40">
            <v>1018</v>
          </cell>
          <cell r="CU40">
            <v>84709</v>
          </cell>
          <cell r="CV40">
            <v>4569</v>
          </cell>
          <cell r="CW40">
            <v>2356</v>
          </cell>
          <cell r="CX40">
            <v>4935</v>
          </cell>
          <cell r="CY40">
            <v>6658</v>
          </cell>
          <cell r="CZ40">
            <v>2265</v>
          </cell>
          <cell r="DA40">
            <v>0</v>
          </cell>
          <cell r="DB40">
            <v>105492</v>
          </cell>
          <cell r="DC40">
            <v>743</v>
          </cell>
          <cell r="DD40">
            <v>0</v>
          </cell>
          <cell r="DE40">
            <v>1508</v>
          </cell>
          <cell r="DF40">
            <v>2251</v>
          </cell>
          <cell r="DG40">
            <v>103241</v>
          </cell>
          <cell r="DH40">
            <v>6400</v>
          </cell>
          <cell r="DI40">
            <v>0</v>
          </cell>
          <cell r="DJ40">
            <v>0</v>
          </cell>
          <cell r="DK40">
            <v>1541</v>
          </cell>
          <cell r="DL40">
            <v>0</v>
          </cell>
          <cell r="DM40">
            <v>139</v>
          </cell>
          <cell r="DN40">
            <v>0</v>
          </cell>
          <cell r="DO40">
            <v>0</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v>0</v>
          </cell>
          <cell r="EC40">
            <v>0</v>
          </cell>
          <cell r="ED40">
            <v>21.2</v>
          </cell>
          <cell r="EE40">
            <v>65</v>
          </cell>
          <cell r="EF40">
            <v>45766</v>
          </cell>
          <cell r="EG40">
            <v>10311</v>
          </cell>
          <cell r="EH40">
            <v>44975</v>
          </cell>
          <cell r="EI40">
            <v>289</v>
          </cell>
          <cell r="EJ40">
            <v>0</v>
          </cell>
          <cell r="EK40">
            <v>101341</v>
          </cell>
          <cell r="EL40" t="str">
            <v>..</v>
          </cell>
          <cell r="EM40" t="str">
            <v>..</v>
          </cell>
          <cell r="EN40">
            <v>16787</v>
          </cell>
          <cell r="EO40">
            <v>82736</v>
          </cell>
          <cell r="EP40">
            <v>2237</v>
          </cell>
          <cell r="EQ40">
            <v>379</v>
          </cell>
          <cell r="ER40">
            <v>85352</v>
          </cell>
          <cell r="ES40">
            <v>996</v>
          </cell>
          <cell r="ET40">
            <v>0</v>
          </cell>
          <cell r="EU40">
            <v>65</v>
          </cell>
          <cell r="EV40">
            <v>103200</v>
          </cell>
          <cell r="EW40" t="str">
            <v>..</v>
          </cell>
          <cell r="EX40" t="str">
            <v>..</v>
          </cell>
          <cell r="EY40">
            <v>2398</v>
          </cell>
          <cell r="EZ40">
            <v>16605</v>
          </cell>
          <cell r="FA40">
            <v>0</v>
          </cell>
          <cell r="FB40">
            <v>70</v>
          </cell>
          <cell r="FC40">
            <v>16675</v>
          </cell>
          <cell r="FD40">
            <v>127</v>
          </cell>
          <cell r="FE40">
            <v>0</v>
          </cell>
          <cell r="FF40">
            <v>0</v>
          </cell>
          <cell r="FG40">
            <v>19200</v>
          </cell>
          <cell r="FH40">
            <v>-6476.8050000000003</v>
          </cell>
          <cell r="FI40">
            <v>-430.73500000000001</v>
          </cell>
          <cell r="FJ40">
            <v>0</v>
          </cell>
          <cell r="FK40">
            <v>-5405.5450000000001</v>
          </cell>
          <cell r="FL40">
            <v>-281.48099999999999</v>
          </cell>
          <cell r="FM40">
            <v>43536.288999999997</v>
          </cell>
          <cell r="FN40">
            <v>8036.9189999999999</v>
          </cell>
          <cell r="FO40">
            <v>110.298</v>
          </cell>
          <cell r="FP40">
            <v>39088.94</v>
          </cell>
          <cell r="FQ40">
            <v>2079.8220000000001</v>
          </cell>
          <cell r="FR40">
            <v>0</v>
          </cell>
          <cell r="FS40">
            <v>-10938.56</v>
          </cell>
          <cell r="FT40">
            <v>-404.07600000000002</v>
          </cell>
          <cell r="FU40">
            <v>0</v>
          </cell>
          <cell r="FV40">
            <v>-5319.0870000000004</v>
          </cell>
          <cell r="FW40">
            <v>-100</v>
          </cell>
          <cell r="FX40">
            <v>44985.540999999997</v>
          </cell>
          <cell r="FY40">
            <v>9172.8940000000002</v>
          </cell>
          <cell r="FZ40">
            <v>0</v>
          </cell>
          <cell r="GA40">
            <v>37396.712</v>
          </cell>
          <cell r="GB40">
            <v>2119.9380000000001</v>
          </cell>
          <cell r="GC40">
            <v>0</v>
          </cell>
          <cell r="GD40">
            <v>2768</v>
          </cell>
          <cell r="GE40">
            <v>2812</v>
          </cell>
          <cell r="GF40">
            <v>66</v>
          </cell>
          <cell r="GG40">
            <v>4</v>
          </cell>
          <cell r="GH40">
            <v>206</v>
          </cell>
          <cell r="GI40">
            <v>1</v>
          </cell>
          <cell r="GJ40">
            <v>1099</v>
          </cell>
          <cell r="GK40">
            <v>0</v>
          </cell>
          <cell r="GL40">
            <v>160</v>
          </cell>
          <cell r="GM40">
            <v>147</v>
          </cell>
          <cell r="GN40">
            <v>90</v>
          </cell>
          <cell r="GO40">
            <v>3</v>
          </cell>
          <cell r="GP40">
            <v>27541</v>
          </cell>
          <cell r="GQ40">
            <v>15173</v>
          </cell>
          <cell r="GR40">
            <v>975</v>
          </cell>
          <cell r="GS40">
            <v>22776</v>
          </cell>
          <cell r="GT40">
            <v>11664</v>
          </cell>
          <cell r="GU40">
            <v>2351</v>
          </cell>
          <cell r="GV40">
            <v>0</v>
          </cell>
          <cell r="GW40">
            <v>0</v>
          </cell>
          <cell r="GX40">
            <v>926.79100000000005</v>
          </cell>
          <cell r="GY40">
            <v>1132.9580000000001</v>
          </cell>
          <cell r="GZ40">
            <v>31.920999999999999</v>
          </cell>
          <cell r="HA40">
            <v>1203.8610000000001</v>
          </cell>
          <cell r="HB40">
            <v>0</v>
          </cell>
          <cell r="HC40">
            <v>0</v>
          </cell>
          <cell r="HD40">
            <v>0</v>
          </cell>
          <cell r="HE40">
            <v>0</v>
          </cell>
          <cell r="HF40">
            <v>285.78199999999998</v>
          </cell>
          <cell r="HG40">
            <v>0</v>
          </cell>
          <cell r="HH40">
            <v>656.64599999999996</v>
          </cell>
          <cell r="HI40">
            <v>0</v>
          </cell>
          <cell r="HJ40">
            <v>0</v>
          </cell>
          <cell r="HK40">
            <v>0</v>
          </cell>
          <cell r="HL40">
            <v>4237.9589999999998</v>
          </cell>
          <cell r="HM40">
            <v>0</v>
          </cell>
          <cell r="HN40">
            <v>0</v>
          </cell>
          <cell r="HO40">
            <v>0</v>
          </cell>
          <cell r="HP40">
            <v>358.86200000000002</v>
          </cell>
          <cell r="HQ40">
            <v>0</v>
          </cell>
          <cell r="HR40">
            <v>4088.4430000000002</v>
          </cell>
          <cell r="HS40">
            <v>0</v>
          </cell>
          <cell r="HT40">
            <v>0</v>
          </cell>
          <cell r="HU40">
            <v>0</v>
          </cell>
          <cell r="HV40">
            <v>0</v>
          </cell>
          <cell r="HW40">
            <v>173.542</v>
          </cell>
          <cell r="HX40">
            <v>0</v>
          </cell>
          <cell r="HY40">
            <v>345.505</v>
          </cell>
          <cell r="HZ40">
            <v>0</v>
          </cell>
          <cell r="IA40">
            <v>0</v>
          </cell>
          <cell r="IB40">
            <v>0</v>
          </cell>
          <cell r="IC40">
            <v>4966.3520000000008</v>
          </cell>
          <cell r="ID40">
            <v>0</v>
          </cell>
          <cell r="IE40">
            <v>0</v>
          </cell>
          <cell r="IF40">
            <v>0</v>
          </cell>
          <cell r="IG40">
            <v>1346.229</v>
          </cell>
          <cell r="IH40">
            <v>150</v>
          </cell>
          <cell r="II40">
            <v>3176.9679999999998</v>
          </cell>
          <cell r="IJ40">
            <v>234</v>
          </cell>
          <cell r="IK40">
            <v>0</v>
          </cell>
          <cell r="IL40">
            <v>0</v>
          </cell>
          <cell r="IM40">
            <v>0</v>
          </cell>
          <cell r="IN40">
            <v>200</v>
          </cell>
          <cell r="IO40">
            <v>0</v>
          </cell>
          <cell r="IP40">
            <v>639.88300000000004</v>
          </cell>
          <cell r="IQ40">
            <v>0</v>
          </cell>
          <cell r="IR40">
            <v>0</v>
          </cell>
          <cell r="IS40">
            <v>55</v>
          </cell>
          <cell r="IT40">
            <v>5802.08</v>
          </cell>
          <cell r="IU40" t="str">
            <v>Ambulance - Atherton, Irlam , Hindley, Whitefield,Leigh, Phillips Park, Wigan</v>
          </cell>
          <cell r="IV40" t="str">
            <v>4 x TRU vehicles plus 1 x spare TRU. 6 x Mercedes Sprinter Van Appliances used for TRU support and Wildfire Applications.</v>
          </cell>
          <cell r="IW40" t="str">
            <v xml:space="preserve">North West Fire Control </v>
          </cell>
          <cell r="IX40">
            <v>0</v>
          </cell>
          <cell r="IY40">
            <v>0</v>
          </cell>
          <cell r="IZ40" t="str">
            <v>..</v>
          </cell>
          <cell r="JA40" t="str">
            <v>..</v>
          </cell>
          <cell r="JB40" t="str">
            <v>..</v>
          </cell>
        </row>
        <row r="41">
          <cell r="A41" t="str">
            <v>E6147</v>
          </cell>
          <cell r="B41" t="str">
            <v>West Yorkshire</v>
          </cell>
          <cell r="C41" t="str">
            <v>Alison Wood</v>
          </cell>
          <cell r="D41" t="str">
            <v>Chief Finance &amp; Procurement Officer</v>
          </cell>
          <cell r="E41" t="str">
            <v>01274655711</v>
          </cell>
          <cell r="F41" t="str">
            <v>Alison.Wood@Westyorksfire.gov.uk</v>
          </cell>
          <cell r="G41" t="str">
            <v>Caroline Johnson</v>
          </cell>
          <cell r="H41" t="str">
            <v xml:space="preserve">Capital Accountant </v>
          </cell>
          <cell r="I41" t="str">
            <v>01274655713</v>
          </cell>
          <cell r="J41" t="str">
            <v>Caroline.Johnson@Westyorksfire.gov.uk</v>
          </cell>
          <cell r="K41" t="str">
            <v>James.Buttery@Westyorksfire.gov.uk</v>
          </cell>
          <cell r="L41">
            <v>25</v>
          </cell>
          <cell r="M41">
            <v>8</v>
          </cell>
          <cell r="N41">
            <v>7</v>
          </cell>
          <cell r="O41">
            <v>0</v>
          </cell>
          <cell r="P41">
            <v>40</v>
          </cell>
          <cell r="Q41">
            <v>11</v>
          </cell>
          <cell r="R41">
            <v>25</v>
          </cell>
          <cell r="S41">
            <v>8</v>
          </cell>
          <cell r="T41">
            <v>7</v>
          </cell>
          <cell r="U41">
            <v>0</v>
          </cell>
          <cell r="V41">
            <v>40</v>
          </cell>
          <cell r="W41">
            <v>11</v>
          </cell>
          <cell r="X41">
            <v>43</v>
          </cell>
          <cell r="Y41">
            <v>43</v>
          </cell>
          <cell r="Z41">
            <v>5</v>
          </cell>
          <cell r="AA41">
            <v>31</v>
          </cell>
          <cell r="AB41">
            <v>66</v>
          </cell>
          <cell r="AC41">
            <v>0</v>
          </cell>
          <cell r="AD41">
            <v>11</v>
          </cell>
          <cell r="AE41">
            <v>156</v>
          </cell>
          <cell r="AF41">
            <v>142</v>
          </cell>
          <cell r="AG41">
            <v>8</v>
          </cell>
          <cell r="AH41">
            <v>5</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v>44728</v>
          </cell>
          <cell r="BC41">
            <v>1628</v>
          </cell>
          <cell r="BD41">
            <v>1773</v>
          </cell>
          <cell r="BE41">
            <v>9365</v>
          </cell>
          <cell r="BF41">
            <v>743</v>
          </cell>
          <cell r="BG41">
            <v>2593</v>
          </cell>
          <cell r="BH41">
            <v>60830</v>
          </cell>
          <cell r="BI41">
            <v>4234</v>
          </cell>
          <cell r="BJ41">
            <v>2368</v>
          </cell>
          <cell r="BK41">
            <v>2977</v>
          </cell>
          <cell r="BL41">
            <v>2062</v>
          </cell>
          <cell r="BM41">
            <v>0</v>
          </cell>
          <cell r="BN41">
            <v>517</v>
          </cell>
          <cell r="BO41">
            <v>72988</v>
          </cell>
          <cell r="BP41">
            <v>1953</v>
          </cell>
          <cell r="BQ41">
            <v>835</v>
          </cell>
          <cell r="BR41">
            <v>0</v>
          </cell>
          <cell r="BS41">
            <v>2788</v>
          </cell>
          <cell r="BT41">
            <v>70200</v>
          </cell>
          <cell r="BU41">
            <v>11595</v>
          </cell>
          <cell r="BV41">
            <v>-24092</v>
          </cell>
          <cell r="BW41">
            <v>0</v>
          </cell>
          <cell r="BX41">
            <v>4361</v>
          </cell>
          <cell r="BY41">
            <v>0</v>
          </cell>
          <cell r="BZ41">
            <v>274</v>
          </cell>
          <cell r="CA41">
            <v>264</v>
          </cell>
          <cell r="CB41">
            <v>0</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v>48634</v>
          </cell>
          <cell r="CP41">
            <v>1847</v>
          </cell>
          <cell r="CQ41">
            <v>1806</v>
          </cell>
          <cell r="CR41">
            <v>10031</v>
          </cell>
          <cell r="CS41">
            <v>787</v>
          </cell>
          <cell r="CT41">
            <v>2390</v>
          </cell>
          <cell r="CU41">
            <v>65495</v>
          </cell>
          <cell r="CV41">
            <v>4417</v>
          </cell>
          <cell r="CW41">
            <v>2392</v>
          </cell>
          <cell r="CX41">
            <v>2771</v>
          </cell>
          <cell r="CY41">
            <v>2425</v>
          </cell>
          <cell r="CZ41">
            <v>0</v>
          </cell>
          <cell r="DA41">
            <v>2271</v>
          </cell>
          <cell r="DB41">
            <v>79771</v>
          </cell>
          <cell r="DC41">
            <v>1777</v>
          </cell>
          <cell r="DD41">
            <v>794</v>
          </cell>
          <cell r="DE41">
            <v>0</v>
          </cell>
          <cell r="DF41">
            <v>2571</v>
          </cell>
          <cell r="DG41">
            <v>77200</v>
          </cell>
          <cell r="DH41">
            <v>7948</v>
          </cell>
          <cell r="DI41">
            <v>-24092</v>
          </cell>
          <cell r="DJ41">
            <v>0</v>
          </cell>
          <cell r="DK41">
            <v>3796</v>
          </cell>
          <cell r="DL41">
            <v>0</v>
          </cell>
          <cell r="DM41">
            <v>235</v>
          </cell>
          <cell r="DN41">
            <v>264</v>
          </cell>
          <cell r="DO41">
            <v>0</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0</v>
          </cell>
          <cell r="EC41">
            <v>0</v>
          </cell>
          <cell r="ED41">
            <v>17.2</v>
          </cell>
          <cell r="EE41" t="str">
            <v>..</v>
          </cell>
          <cell r="EF41" t="str">
            <v>..</v>
          </cell>
          <cell r="EG41" t="str">
            <v>..</v>
          </cell>
          <cell r="EH41" t="str">
            <v>..</v>
          </cell>
          <cell r="EI41" t="str">
            <v>..</v>
          </cell>
          <cell r="EJ41" t="str">
            <v>..</v>
          </cell>
          <cell r="EK41" t="str">
            <v>..</v>
          </cell>
          <cell r="EL41" t="str">
            <v>..</v>
          </cell>
          <cell r="EM41" t="str">
            <v>..</v>
          </cell>
          <cell r="EN41">
            <v>3152</v>
          </cell>
          <cell r="EO41" t="str">
            <v>..</v>
          </cell>
          <cell r="EP41" t="str">
            <v>..</v>
          </cell>
          <cell r="EQ41" t="str">
            <v>..</v>
          </cell>
          <cell r="ER41">
            <v>77708</v>
          </cell>
          <cell r="ES41">
            <v>0</v>
          </cell>
          <cell r="ET41">
            <v>685</v>
          </cell>
          <cell r="EU41">
            <v>250</v>
          </cell>
          <cell r="EV41">
            <v>81795</v>
          </cell>
          <cell r="EW41">
            <v>0</v>
          </cell>
          <cell r="EX41">
            <v>0</v>
          </cell>
          <cell r="EY41">
            <v>1009</v>
          </cell>
          <cell r="EZ41">
            <v>0</v>
          </cell>
          <cell r="FA41">
            <v>0</v>
          </cell>
          <cell r="FB41">
            <v>0</v>
          </cell>
          <cell r="FC41">
            <v>24865</v>
          </cell>
          <cell r="FD41">
            <v>0</v>
          </cell>
          <cell r="FE41">
            <v>0</v>
          </cell>
          <cell r="FF41">
            <v>0</v>
          </cell>
          <cell r="FG41">
            <v>25874</v>
          </cell>
          <cell r="FH41">
            <v>-5177</v>
          </cell>
          <cell r="FI41">
            <v>-349</v>
          </cell>
          <cell r="FJ41">
            <v>0</v>
          </cell>
          <cell r="FK41">
            <v>-4323</v>
          </cell>
          <cell r="FL41">
            <v>-336</v>
          </cell>
          <cell r="FM41">
            <v>36892</v>
          </cell>
          <cell r="FN41">
            <v>8471</v>
          </cell>
          <cell r="FO41">
            <v>0</v>
          </cell>
          <cell r="FP41">
            <v>35178</v>
          </cell>
          <cell r="FQ41">
            <v>1208</v>
          </cell>
          <cell r="FR41">
            <v>0</v>
          </cell>
          <cell r="FS41">
            <v>-4707</v>
          </cell>
          <cell r="FT41">
            <v>-402</v>
          </cell>
          <cell r="FU41">
            <v>0</v>
          </cell>
          <cell r="FV41">
            <v>-3919</v>
          </cell>
          <cell r="FW41">
            <v>-99</v>
          </cell>
          <cell r="FX41">
            <v>38553</v>
          </cell>
          <cell r="FY41">
            <v>9239</v>
          </cell>
          <cell r="FZ41">
            <v>0</v>
          </cell>
          <cell r="GA41">
            <v>38665</v>
          </cell>
          <cell r="GB41">
            <v>1208</v>
          </cell>
          <cell r="GC41">
            <v>0</v>
          </cell>
          <cell r="GD41">
            <v>2403</v>
          </cell>
          <cell r="GE41">
            <v>2440</v>
          </cell>
          <cell r="GF41">
            <v>66</v>
          </cell>
          <cell r="GG41">
            <v>4</v>
          </cell>
          <cell r="GH41">
            <v>152</v>
          </cell>
          <cell r="GI41">
            <v>2</v>
          </cell>
          <cell r="GJ41">
            <v>828</v>
          </cell>
          <cell r="GK41">
            <v>19</v>
          </cell>
          <cell r="GL41">
            <v>105</v>
          </cell>
          <cell r="GM41">
            <v>96</v>
          </cell>
          <cell r="GN41">
            <v>81</v>
          </cell>
          <cell r="GO41">
            <v>17</v>
          </cell>
          <cell r="GP41">
            <v>21355</v>
          </cell>
          <cell r="GQ41">
            <v>14388</v>
          </cell>
          <cell r="GR41">
            <v>493</v>
          </cell>
          <cell r="GS41">
            <v>31173</v>
          </cell>
          <cell r="GT41">
            <v>5177</v>
          </cell>
          <cell r="GU41">
            <v>768</v>
          </cell>
          <cell r="GV41">
            <v>0</v>
          </cell>
          <cell r="GW41">
            <v>0</v>
          </cell>
          <cell r="GX41">
            <v>6</v>
          </cell>
          <cell r="GY41">
            <v>2169</v>
          </cell>
          <cell r="GZ41">
            <v>0</v>
          </cell>
          <cell r="HA41">
            <v>2395</v>
          </cell>
          <cell r="HB41">
            <v>0</v>
          </cell>
          <cell r="HC41">
            <v>22</v>
          </cell>
          <cell r="HD41">
            <v>19</v>
          </cell>
          <cell r="HE41">
            <v>75</v>
          </cell>
          <cell r="HF41">
            <v>455</v>
          </cell>
          <cell r="HG41">
            <v>0</v>
          </cell>
          <cell r="HH41">
            <v>857</v>
          </cell>
          <cell r="HI41">
            <v>462</v>
          </cell>
          <cell r="HJ41">
            <v>112</v>
          </cell>
          <cell r="HK41">
            <v>0</v>
          </cell>
          <cell r="HL41">
            <v>6572</v>
          </cell>
          <cell r="HM41">
            <v>30</v>
          </cell>
          <cell r="HN41">
            <v>0</v>
          </cell>
          <cell r="HO41">
            <v>118</v>
          </cell>
          <cell r="HP41">
            <v>1191</v>
          </cell>
          <cell r="HQ41">
            <v>0</v>
          </cell>
          <cell r="HR41">
            <v>731</v>
          </cell>
          <cell r="HS41">
            <v>0</v>
          </cell>
          <cell r="HT41">
            <v>0</v>
          </cell>
          <cell r="HU41">
            <v>55</v>
          </cell>
          <cell r="HV41">
            <v>109</v>
          </cell>
          <cell r="HW41">
            <v>139</v>
          </cell>
          <cell r="HX41">
            <v>31</v>
          </cell>
          <cell r="HY41">
            <v>1416</v>
          </cell>
          <cell r="HZ41">
            <v>398</v>
          </cell>
          <cell r="IA41">
            <v>35</v>
          </cell>
          <cell r="IB41">
            <v>0</v>
          </cell>
          <cell r="IC41">
            <v>4253</v>
          </cell>
          <cell r="ID41">
            <v>1195</v>
          </cell>
          <cell r="IE41">
            <v>0</v>
          </cell>
          <cell r="IF41">
            <v>2822</v>
          </cell>
          <cell r="IG41">
            <v>2531</v>
          </cell>
          <cell r="IH41">
            <v>0</v>
          </cell>
          <cell r="II41">
            <v>1699</v>
          </cell>
          <cell r="IJ41">
            <v>0</v>
          </cell>
          <cell r="IK41">
            <v>16</v>
          </cell>
          <cell r="IL41">
            <v>163</v>
          </cell>
          <cell r="IM41">
            <v>397</v>
          </cell>
          <cell r="IN41">
            <v>1134</v>
          </cell>
          <cell r="IO41">
            <v>487</v>
          </cell>
          <cell r="IP41">
            <v>1213</v>
          </cell>
          <cell r="IQ41">
            <v>520</v>
          </cell>
          <cell r="IR41">
            <v>0</v>
          </cell>
          <cell r="IS41">
            <v>0</v>
          </cell>
          <cell r="IT41">
            <v>12177</v>
          </cell>
          <cell r="IU41" t="str">
            <v xml:space="preserve">West Yorkshire Police, Yorkshire Ambulance </v>
          </cell>
          <cell r="IV41" t="str">
            <v>..</v>
          </cell>
          <cell r="IW41" t="str">
            <v>..</v>
          </cell>
          <cell r="IX41" t="str">
            <v>..</v>
          </cell>
          <cell r="IY41" t="str">
            <v>..</v>
          </cell>
          <cell r="IZ41" t="str">
            <v>..</v>
          </cell>
          <cell r="JA41" t="str">
            <v>..</v>
          </cell>
          <cell r="JB41" t="str">
            <v>..</v>
          </cell>
        </row>
        <row r="42">
          <cell r="A42" t="str">
            <v>E2901</v>
          </cell>
          <cell r="B42" t="str">
            <v>Northumberland</v>
          </cell>
          <cell r="C42" t="str">
            <v>Graham Atkinson</v>
          </cell>
          <cell r="D42" t="str">
            <v>IRMP Officer</v>
          </cell>
          <cell r="E42" t="str">
            <v>01670 621165</v>
          </cell>
          <cell r="F42" t="str">
            <v>graham.atkinson@northumberland.gov.uk</v>
          </cell>
          <cell r="G42" t="str">
            <v>Natalie McDermott</v>
          </cell>
          <cell r="H42" t="str">
            <v>Senior Accountant</v>
          </cell>
          <cell r="I42" t="str">
            <v>01670 622170</v>
          </cell>
          <cell r="J42" t="str">
            <v>natalie.mcdermott@northumberland.gov.uk</v>
          </cell>
          <cell r="K42" t="str">
            <v>..</v>
          </cell>
          <cell r="L42">
            <v>1</v>
          </cell>
          <cell r="M42">
            <v>11</v>
          </cell>
          <cell r="N42">
            <v>3</v>
          </cell>
          <cell r="O42">
            <v>0</v>
          </cell>
          <cell r="P42">
            <v>15</v>
          </cell>
          <cell r="Q42">
            <v>7</v>
          </cell>
          <cell r="R42">
            <v>1</v>
          </cell>
          <cell r="S42">
            <v>11</v>
          </cell>
          <cell r="T42">
            <v>3</v>
          </cell>
          <cell r="U42">
            <v>0</v>
          </cell>
          <cell r="V42">
            <v>15</v>
          </cell>
          <cell r="W42">
            <v>7</v>
          </cell>
          <cell r="X42">
            <v>22</v>
          </cell>
          <cell r="Y42">
            <v>22</v>
          </cell>
          <cell r="Z42">
            <v>0</v>
          </cell>
          <cell r="AA42">
            <v>0</v>
          </cell>
          <cell r="AB42">
            <v>19</v>
          </cell>
          <cell r="AC42">
            <v>0</v>
          </cell>
          <cell r="AD42">
            <v>14</v>
          </cell>
          <cell r="AE42">
            <v>55</v>
          </cell>
          <cell r="AF42">
            <v>21</v>
          </cell>
          <cell r="AG42">
            <v>3</v>
          </cell>
          <cell r="AH42">
            <v>3</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v>6959</v>
          </cell>
          <cell r="BC42">
            <v>1883</v>
          </cell>
          <cell r="BD42">
            <v>653</v>
          </cell>
          <cell r="BE42">
            <v>1093</v>
          </cell>
          <cell r="BF42">
            <v>188</v>
          </cell>
          <cell r="BG42">
            <v>150</v>
          </cell>
          <cell r="BH42">
            <v>10926</v>
          </cell>
          <cell r="BI42">
            <v>1832</v>
          </cell>
          <cell r="BJ42">
            <v>259</v>
          </cell>
          <cell r="BK42">
            <v>1559</v>
          </cell>
          <cell r="BL42">
            <v>0</v>
          </cell>
          <cell r="BM42">
            <v>436</v>
          </cell>
          <cell r="BN42">
            <v>0</v>
          </cell>
          <cell r="BO42">
            <v>15012</v>
          </cell>
          <cell r="BP42">
            <v>1825</v>
          </cell>
          <cell r="BQ42">
            <v>0</v>
          </cell>
          <cell r="BR42">
            <v>680</v>
          </cell>
          <cell r="BS42">
            <v>2505</v>
          </cell>
          <cell r="BT42">
            <v>12507</v>
          </cell>
          <cell r="BU42">
            <v>1505</v>
          </cell>
          <cell r="BV42">
            <v>1519</v>
          </cell>
          <cell r="BW42">
            <v>0</v>
          </cell>
          <cell r="BX42">
            <v>0</v>
          </cell>
          <cell r="BY42">
            <v>0</v>
          </cell>
          <cell r="BZ42">
            <v>0</v>
          </cell>
          <cell r="CA42">
            <v>0</v>
          </cell>
          <cell r="CB42">
            <v>1770</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v>7176</v>
          </cell>
          <cell r="CP42">
            <v>1862</v>
          </cell>
          <cell r="CQ42">
            <v>659</v>
          </cell>
          <cell r="CR42">
            <v>1250</v>
          </cell>
          <cell r="CS42">
            <v>147</v>
          </cell>
          <cell r="CT42">
            <v>88</v>
          </cell>
          <cell r="CU42">
            <v>11182</v>
          </cell>
          <cell r="CV42">
            <v>3498</v>
          </cell>
          <cell r="CW42">
            <v>269</v>
          </cell>
          <cell r="CX42">
            <v>1188</v>
          </cell>
          <cell r="CY42">
            <v>0</v>
          </cell>
          <cell r="CZ42">
            <v>317</v>
          </cell>
          <cell r="DA42">
            <v>0</v>
          </cell>
          <cell r="DB42">
            <v>16454</v>
          </cell>
          <cell r="DC42">
            <v>1795</v>
          </cell>
          <cell r="DD42">
            <v>0</v>
          </cell>
          <cell r="DE42">
            <v>661</v>
          </cell>
          <cell r="DF42">
            <v>2456</v>
          </cell>
          <cell r="DG42">
            <v>13998</v>
          </cell>
          <cell r="DH42">
            <v>1385</v>
          </cell>
          <cell r="DI42">
            <v>1519</v>
          </cell>
          <cell r="DJ42" t="str">
            <v>..</v>
          </cell>
          <cell r="DK42" t="str">
            <v>..</v>
          </cell>
          <cell r="DL42" t="str">
            <v>..</v>
          </cell>
          <cell r="DM42" t="str">
            <v>..</v>
          </cell>
          <cell r="DN42" t="str">
            <v>..</v>
          </cell>
          <cell r="DO42">
            <v>1800</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v>18.5</v>
          </cell>
          <cell r="EE42" t="str">
            <v>..</v>
          </cell>
          <cell r="EF42">
            <v>0</v>
          </cell>
          <cell r="EG42">
            <v>0</v>
          </cell>
          <cell r="EH42">
            <v>0</v>
          </cell>
          <cell r="EI42">
            <v>0</v>
          </cell>
          <cell r="EJ42">
            <v>0</v>
          </cell>
          <cell r="EK42">
            <v>0</v>
          </cell>
          <cell r="EL42" t="str">
            <v>..</v>
          </cell>
          <cell r="EM42" t="str">
            <v>..</v>
          </cell>
          <cell r="EN42">
            <v>459</v>
          </cell>
          <cell r="EO42" t="str">
            <v>..</v>
          </cell>
          <cell r="EP42" t="str">
            <v>..</v>
          </cell>
          <cell r="EQ42" t="str">
            <v>..</v>
          </cell>
          <cell r="ER42">
            <v>13322</v>
          </cell>
          <cell r="ES42">
            <v>231</v>
          </cell>
          <cell r="ET42">
            <v>0</v>
          </cell>
          <cell r="EU42">
            <v>0</v>
          </cell>
          <cell r="EV42">
            <v>14012</v>
          </cell>
          <cell r="EW42" t="str">
            <v>..</v>
          </cell>
          <cell r="EX42" t="str">
            <v>..</v>
          </cell>
          <cell r="EY42">
            <v>0</v>
          </cell>
          <cell r="EZ42" t="str">
            <v>..</v>
          </cell>
          <cell r="FA42" t="str">
            <v>..</v>
          </cell>
          <cell r="FB42" t="str">
            <v>..</v>
          </cell>
          <cell r="FC42">
            <v>0</v>
          </cell>
          <cell r="FD42">
            <v>0</v>
          </cell>
          <cell r="FE42">
            <v>0</v>
          </cell>
          <cell r="FF42">
            <v>0</v>
          </cell>
          <cell r="FG42">
            <v>0</v>
          </cell>
          <cell r="FH42">
            <v>-950</v>
          </cell>
          <cell r="FI42">
            <v>0</v>
          </cell>
          <cell r="FJ42">
            <v>0</v>
          </cell>
          <cell r="FK42">
            <v>-777</v>
          </cell>
          <cell r="FL42">
            <v>0</v>
          </cell>
          <cell r="FM42">
            <v>5329</v>
          </cell>
          <cell r="FN42">
            <v>1625</v>
          </cell>
          <cell r="FO42">
            <v>5</v>
          </cell>
          <cell r="FP42">
            <v>5232</v>
          </cell>
          <cell r="FQ42">
            <v>284</v>
          </cell>
          <cell r="FR42">
            <v>0</v>
          </cell>
          <cell r="FS42">
            <v>-1800</v>
          </cell>
          <cell r="FT42">
            <v>0</v>
          </cell>
          <cell r="FU42">
            <v>0</v>
          </cell>
          <cell r="FV42">
            <v>-792</v>
          </cell>
          <cell r="FW42">
            <v>0</v>
          </cell>
          <cell r="FX42">
            <v>5430</v>
          </cell>
          <cell r="FY42">
            <v>1625</v>
          </cell>
          <cell r="FZ42">
            <v>5</v>
          </cell>
          <cell r="GA42">
            <v>4468</v>
          </cell>
          <cell r="GB42">
            <v>290</v>
          </cell>
          <cell r="GC42">
            <v>0</v>
          </cell>
          <cell r="GD42">
            <v>361</v>
          </cell>
          <cell r="GE42">
            <v>363</v>
          </cell>
          <cell r="GF42">
            <v>15</v>
          </cell>
          <cell r="GG42">
            <v>0</v>
          </cell>
          <cell r="GH42">
            <v>37</v>
          </cell>
          <cell r="GI42">
            <v>7</v>
          </cell>
          <cell r="GJ42">
            <v>206</v>
          </cell>
          <cell r="GK42">
            <v>10</v>
          </cell>
          <cell r="GL42">
            <v>21</v>
          </cell>
          <cell r="GM42">
            <v>117</v>
          </cell>
          <cell r="GN42">
            <v>57</v>
          </cell>
          <cell r="GO42">
            <v>18</v>
          </cell>
          <cell r="GP42">
            <v>448</v>
          </cell>
          <cell r="GQ42">
            <v>0</v>
          </cell>
          <cell r="GR42">
            <v>0</v>
          </cell>
          <cell r="GS42">
            <v>438</v>
          </cell>
          <cell r="GT42">
            <v>0</v>
          </cell>
          <cell r="GU42">
            <v>0</v>
          </cell>
          <cell r="GV42">
            <v>0</v>
          </cell>
          <cell r="GW42">
            <v>0</v>
          </cell>
          <cell r="GX42">
            <v>100</v>
          </cell>
          <cell r="GY42">
            <v>0</v>
          </cell>
          <cell r="GZ42">
            <v>0</v>
          </cell>
          <cell r="HA42">
            <v>73</v>
          </cell>
          <cell r="HB42">
            <v>60</v>
          </cell>
          <cell r="HC42">
            <v>0</v>
          </cell>
          <cell r="HD42">
            <v>0</v>
          </cell>
          <cell r="HE42">
            <v>30</v>
          </cell>
          <cell r="HF42">
            <v>0</v>
          </cell>
          <cell r="HG42">
            <v>0</v>
          </cell>
          <cell r="HH42">
            <v>0</v>
          </cell>
          <cell r="HI42">
            <v>0</v>
          </cell>
          <cell r="HJ42">
            <v>0</v>
          </cell>
          <cell r="HK42">
            <v>0</v>
          </cell>
          <cell r="HL42">
            <v>263</v>
          </cell>
          <cell r="HM42">
            <v>82</v>
          </cell>
          <cell r="HN42">
            <v>0</v>
          </cell>
          <cell r="HO42">
            <v>45</v>
          </cell>
          <cell r="HP42">
            <v>5</v>
          </cell>
          <cell r="HQ42">
            <v>0</v>
          </cell>
          <cell r="HR42">
            <v>502</v>
          </cell>
          <cell r="HS42">
            <v>209</v>
          </cell>
          <cell r="HT42">
            <v>0</v>
          </cell>
          <cell r="HU42">
            <v>0</v>
          </cell>
          <cell r="HV42">
            <v>0</v>
          </cell>
          <cell r="HW42">
            <v>0</v>
          </cell>
          <cell r="HX42">
            <v>0</v>
          </cell>
          <cell r="HY42">
            <v>0</v>
          </cell>
          <cell r="HZ42">
            <v>0</v>
          </cell>
          <cell r="IA42">
            <v>0</v>
          </cell>
          <cell r="IB42">
            <v>0</v>
          </cell>
          <cell r="IC42">
            <v>843</v>
          </cell>
          <cell r="ID42">
            <v>71</v>
          </cell>
          <cell r="IE42">
            <v>0</v>
          </cell>
          <cell r="IF42">
            <v>0</v>
          </cell>
          <cell r="IG42">
            <v>31</v>
          </cell>
          <cell r="IH42">
            <v>0</v>
          </cell>
          <cell r="II42">
            <v>1767</v>
          </cell>
          <cell r="IJ42">
            <v>33</v>
          </cell>
          <cell r="IK42">
            <v>0</v>
          </cell>
          <cell r="IL42">
            <v>0</v>
          </cell>
          <cell r="IM42">
            <v>11</v>
          </cell>
          <cell r="IN42">
            <v>0</v>
          </cell>
          <cell r="IO42">
            <v>0</v>
          </cell>
          <cell r="IP42">
            <v>0</v>
          </cell>
          <cell r="IQ42">
            <v>0</v>
          </cell>
          <cell r="IR42">
            <v>0</v>
          </cell>
          <cell r="IS42">
            <v>0</v>
          </cell>
          <cell r="IT42">
            <v>1913</v>
          </cell>
          <cell r="IU42" t="str">
            <v>Police, Ambulance, Mountain Rescue</v>
          </cell>
          <cell r="IV42" t="str">
            <v>6 x RTC/Fogging Units. 3 x Water Rescue Units, Special Rescue Unit, Incident Support Unit</v>
          </cell>
          <cell r="IW42" t="str">
            <v>..</v>
          </cell>
          <cell r="IX42" t="str">
            <v>..</v>
          </cell>
          <cell r="IY42" t="str">
            <v>..</v>
          </cell>
          <cell r="IZ42" t="str">
            <v>..</v>
          </cell>
          <cell r="JA42" t="str">
            <v>..</v>
          </cell>
          <cell r="JB42" t="str">
            <v>..</v>
          </cell>
        </row>
        <row r="43">
          <cell r="A43" t="str">
            <v>E2520</v>
          </cell>
          <cell r="B43" t="str">
            <v>Lincolnshire</v>
          </cell>
          <cell r="C43" t="str">
            <v>Diane Sharp</v>
          </cell>
          <cell r="D43" t="str">
            <v>Community Risk Manager</v>
          </cell>
          <cell r="E43" t="str">
            <v>01522 555953</v>
          </cell>
          <cell r="F43" t="str">
            <v>diane.sharp@lincoln.fire-uk.org</v>
          </cell>
          <cell r="G43" t="str">
            <v>Donna Jessep</v>
          </cell>
          <cell r="H43" t="str">
            <v>Senior Finance Technician</v>
          </cell>
          <cell r="I43" t="str">
            <v>01522 554047</v>
          </cell>
          <cell r="J43" t="str">
            <v>..</v>
          </cell>
          <cell r="K43" t="str">
            <v>..</v>
          </cell>
          <cell r="L43">
            <v>0</v>
          </cell>
          <cell r="M43">
            <v>29</v>
          </cell>
          <cell r="N43">
            <v>9</v>
          </cell>
          <cell r="O43">
            <v>0</v>
          </cell>
          <cell r="P43">
            <v>38</v>
          </cell>
          <cell r="Q43">
            <v>4</v>
          </cell>
          <cell r="R43">
            <v>0</v>
          </cell>
          <cell r="S43">
            <v>29</v>
          </cell>
          <cell r="T43">
            <v>9</v>
          </cell>
          <cell r="U43">
            <v>0</v>
          </cell>
          <cell r="V43">
            <v>38</v>
          </cell>
          <cell r="W43">
            <v>5</v>
          </cell>
          <cell r="X43">
            <v>48</v>
          </cell>
          <cell r="Y43">
            <v>48</v>
          </cell>
          <cell r="Z43">
            <v>2</v>
          </cell>
          <cell r="AA43">
            <v>37</v>
          </cell>
          <cell r="AB43">
            <v>49</v>
          </cell>
          <cell r="AC43">
            <v>0</v>
          </cell>
          <cell r="AD43">
            <v>6</v>
          </cell>
          <cell r="AE43">
            <v>142</v>
          </cell>
          <cell r="AF43">
            <v>40</v>
          </cell>
          <cell r="AG43">
            <v>5</v>
          </cell>
          <cell r="AH43">
            <v>3</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v>10137</v>
          </cell>
          <cell r="BC43">
            <v>4300</v>
          </cell>
          <cell r="BD43">
            <v>683</v>
          </cell>
          <cell r="BE43">
            <v>1884</v>
          </cell>
          <cell r="BF43">
            <v>588</v>
          </cell>
          <cell r="BG43">
            <v>17</v>
          </cell>
          <cell r="BH43">
            <v>17609</v>
          </cell>
          <cell r="BI43">
            <v>1299</v>
          </cell>
          <cell r="BJ43">
            <v>1262</v>
          </cell>
          <cell r="BK43">
            <v>1822</v>
          </cell>
          <cell r="BL43">
            <v>2943</v>
          </cell>
          <cell r="BM43">
            <v>0</v>
          </cell>
          <cell r="BN43">
            <v>0</v>
          </cell>
          <cell r="BO43">
            <v>24935</v>
          </cell>
          <cell r="BP43">
            <v>1184</v>
          </cell>
          <cell r="BQ43">
            <v>0</v>
          </cell>
          <cell r="BR43">
            <v>1041</v>
          </cell>
          <cell r="BS43">
            <v>2225</v>
          </cell>
          <cell r="BT43">
            <v>22710</v>
          </cell>
          <cell r="BU43">
            <v>4108</v>
          </cell>
          <cell r="BV43">
            <v>685</v>
          </cell>
          <cell r="BW43">
            <v>0</v>
          </cell>
          <cell r="BX43">
            <v>0</v>
          </cell>
          <cell r="BY43">
            <v>0</v>
          </cell>
          <cell r="BZ43">
            <v>0</v>
          </cell>
          <cell r="CA43">
            <v>0</v>
          </cell>
          <cell r="CB43">
            <v>0</v>
          </cell>
          <cell r="CC43">
            <v>0</v>
          </cell>
          <cell r="CD43">
            <v>0</v>
          </cell>
          <cell r="CE43">
            <v>0</v>
          </cell>
          <cell r="CF43">
            <v>0</v>
          </cell>
          <cell r="CG43">
            <v>0</v>
          </cell>
          <cell r="CH43">
            <v>0</v>
          </cell>
          <cell r="CI43">
            <v>0</v>
          </cell>
          <cell r="CJ43">
            <v>96</v>
          </cell>
          <cell r="CK43">
            <v>0</v>
          </cell>
          <cell r="CL43">
            <v>0</v>
          </cell>
          <cell r="CM43">
            <v>0</v>
          </cell>
          <cell r="CN43">
            <v>27</v>
          </cell>
          <cell r="CO43">
            <v>10332</v>
          </cell>
          <cell r="CP43">
            <v>4629</v>
          </cell>
          <cell r="CQ43">
            <v>721</v>
          </cell>
          <cell r="CR43">
            <v>1559</v>
          </cell>
          <cell r="CS43">
            <v>502</v>
          </cell>
          <cell r="CT43">
            <v>21</v>
          </cell>
          <cell r="CU43">
            <v>17764</v>
          </cell>
          <cell r="CV43">
            <v>1299</v>
          </cell>
          <cell r="CW43">
            <v>1189</v>
          </cell>
          <cell r="CX43">
            <v>1975</v>
          </cell>
          <cell r="CY43">
            <v>2750</v>
          </cell>
          <cell r="CZ43">
            <v>0</v>
          </cell>
          <cell r="DA43">
            <v>0</v>
          </cell>
          <cell r="DB43">
            <v>24977</v>
          </cell>
          <cell r="DC43">
            <v>1191</v>
          </cell>
          <cell r="DD43">
            <v>0</v>
          </cell>
          <cell r="DE43">
            <v>1486</v>
          </cell>
          <cell r="DF43">
            <v>2677</v>
          </cell>
          <cell r="DG43">
            <v>22300</v>
          </cell>
          <cell r="DH43">
            <v>4108</v>
          </cell>
          <cell r="DI43">
            <v>685</v>
          </cell>
          <cell r="DJ43">
            <v>0</v>
          </cell>
          <cell r="DK43">
            <v>0</v>
          </cell>
          <cell r="DL43">
            <v>0</v>
          </cell>
          <cell r="DM43">
            <v>0</v>
          </cell>
          <cell r="DN43">
            <v>0</v>
          </cell>
          <cell r="DO43">
            <v>0</v>
          </cell>
          <cell r="DP43">
            <v>0</v>
          </cell>
          <cell r="DQ43">
            <v>0</v>
          </cell>
          <cell r="DR43">
            <v>0</v>
          </cell>
          <cell r="DS43">
            <v>0</v>
          </cell>
          <cell r="DT43">
            <v>0</v>
          </cell>
          <cell r="DU43">
            <v>0</v>
          </cell>
          <cell r="DV43">
            <v>0</v>
          </cell>
          <cell r="DW43">
            <v>86</v>
          </cell>
          <cell r="DX43">
            <v>0</v>
          </cell>
          <cell r="DY43">
            <v>0</v>
          </cell>
          <cell r="DZ43">
            <v>0</v>
          </cell>
          <cell r="EA43">
            <v>0</v>
          </cell>
          <cell r="EB43">
            <v>0</v>
          </cell>
          <cell r="EC43">
            <v>50</v>
          </cell>
          <cell r="ED43">
            <v>0</v>
          </cell>
          <cell r="EE43">
            <v>0</v>
          </cell>
          <cell r="EF43">
            <v>0</v>
          </cell>
          <cell r="EG43">
            <v>0</v>
          </cell>
          <cell r="EH43">
            <v>0</v>
          </cell>
          <cell r="EI43">
            <v>0</v>
          </cell>
          <cell r="EJ43">
            <v>0</v>
          </cell>
          <cell r="EK43">
            <v>0</v>
          </cell>
          <cell r="EL43" t="str">
            <v>..</v>
          </cell>
          <cell r="EM43" t="str">
            <v>..</v>
          </cell>
          <cell r="EN43">
            <v>1178</v>
          </cell>
          <cell r="EO43" t="str">
            <v>..</v>
          </cell>
          <cell r="EP43" t="str">
            <v>..</v>
          </cell>
          <cell r="EQ43" t="str">
            <v>..</v>
          </cell>
          <cell r="ER43">
            <v>25692</v>
          </cell>
          <cell r="ES43">
            <v>0</v>
          </cell>
          <cell r="ET43">
            <v>0</v>
          </cell>
          <cell r="EU43">
            <v>0</v>
          </cell>
          <cell r="EV43">
            <v>26870</v>
          </cell>
          <cell r="EW43" t="str">
            <v>..</v>
          </cell>
          <cell r="EX43" t="str">
            <v>..</v>
          </cell>
          <cell r="EY43">
            <v>1178</v>
          </cell>
          <cell r="EZ43" t="str">
            <v>..</v>
          </cell>
          <cell r="FA43" t="str">
            <v>..</v>
          </cell>
          <cell r="FB43" t="str">
            <v>..</v>
          </cell>
          <cell r="FC43">
            <v>25692</v>
          </cell>
          <cell r="FD43">
            <v>0</v>
          </cell>
          <cell r="FE43">
            <v>0</v>
          </cell>
          <cell r="FF43">
            <v>0</v>
          </cell>
          <cell r="FG43">
            <v>26870</v>
          </cell>
          <cell r="FH43">
            <v>-1690</v>
          </cell>
          <cell r="FI43">
            <v>0</v>
          </cell>
          <cell r="FJ43">
            <v>0</v>
          </cell>
          <cell r="FK43">
            <v>-1405</v>
          </cell>
          <cell r="FL43">
            <v>-75</v>
          </cell>
          <cell r="FM43">
            <v>5348</v>
          </cell>
          <cell r="FN43">
            <v>2109</v>
          </cell>
          <cell r="FO43">
            <v>0</v>
          </cell>
          <cell r="FP43">
            <v>4287</v>
          </cell>
          <cell r="FQ43">
            <v>444</v>
          </cell>
          <cell r="FR43">
            <v>0</v>
          </cell>
          <cell r="FS43">
            <v>-1671</v>
          </cell>
          <cell r="FT43">
            <v>0</v>
          </cell>
          <cell r="FU43">
            <v>0</v>
          </cell>
          <cell r="FV43">
            <v>-1346</v>
          </cell>
          <cell r="FW43">
            <v>-35</v>
          </cell>
          <cell r="FX43">
            <v>5521</v>
          </cell>
          <cell r="FY43">
            <v>1588</v>
          </cell>
          <cell r="FZ43">
            <v>0</v>
          </cell>
          <cell r="GA43">
            <v>4057</v>
          </cell>
          <cell r="GB43">
            <v>444</v>
          </cell>
          <cell r="GC43">
            <v>0</v>
          </cell>
          <cell r="GD43">
            <v>392</v>
          </cell>
          <cell r="GE43">
            <v>392</v>
          </cell>
          <cell r="GF43">
            <v>18</v>
          </cell>
          <cell r="GG43">
            <v>0</v>
          </cell>
          <cell r="GH43">
            <v>40</v>
          </cell>
          <cell r="GI43">
            <v>19</v>
          </cell>
          <cell r="GJ43">
            <v>508</v>
          </cell>
          <cell r="GK43">
            <v>14</v>
          </cell>
          <cell r="GL43">
            <v>13</v>
          </cell>
          <cell r="GM43">
            <v>321</v>
          </cell>
          <cell r="GN43">
            <v>185</v>
          </cell>
          <cell r="GO43">
            <v>15</v>
          </cell>
          <cell r="GP43">
            <v>150</v>
          </cell>
          <cell r="GQ43">
            <v>0</v>
          </cell>
          <cell r="GR43">
            <v>0</v>
          </cell>
          <cell r="GS43">
            <v>150</v>
          </cell>
          <cell r="GT43">
            <v>0</v>
          </cell>
          <cell r="GU43">
            <v>0</v>
          </cell>
          <cell r="GV43">
            <v>73</v>
          </cell>
          <cell r="GW43">
            <v>0</v>
          </cell>
          <cell r="GX43">
            <v>0</v>
          </cell>
          <cell r="GY43">
            <v>331</v>
          </cell>
          <cell r="GZ43">
            <v>0</v>
          </cell>
          <cell r="HA43">
            <v>69</v>
          </cell>
          <cell r="HB43">
            <v>0</v>
          </cell>
          <cell r="HC43">
            <v>0</v>
          </cell>
          <cell r="HD43">
            <v>106</v>
          </cell>
          <cell r="HE43">
            <v>0</v>
          </cell>
          <cell r="HF43">
            <v>0</v>
          </cell>
          <cell r="HG43">
            <v>0</v>
          </cell>
          <cell r="HH43">
            <v>31</v>
          </cell>
          <cell r="HI43">
            <v>0</v>
          </cell>
          <cell r="HJ43">
            <v>0</v>
          </cell>
          <cell r="HK43">
            <v>0</v>
          </cell>
          <cell r="HL43">
            <v>610</v>
          </cell>
          <cell r="HM43">
            <v>183</v>
          </cell>
          <cell r="HN43">
            <v>0</v>
          </cell>
          <cell r="HO43">
            <v>5792.5129999999999</v>
          </cell>
          <cell r="HP43">
            <v>245</v>
          </cell>
          <cell r="HQ43">
            <v>0</v>
          </cell>
          <cell r="HR43">
            <v>1670</v>
          </cell>
          <cell r="HS43">
            <v>0</v>
          </cell>
          <cell r="HT43">
            <v>0</v>
          </cell>
          <cell r="HU43">
            <v>182</v>
          </cell>
          <cell r="HV43">
            <v>0</v>
          </cell>
          <cell r="HW43">
            <v>0</v>
          </cell>
          <cell r="HX43">
            <v>0</v>
          </cell>
          <cell r="HY43">
            <v>31</v>
          </cell>
          <cell r="HZ43">
            <v>0</v>
          </cell>
          <cell r="IA43">
            <v>0</v>
          </cell>
          <cell r="IB43">
            <v>0</v>
          </cell>
          <cell r="IC43">
            <v>8103.5129999999999</v>
          </cell>
          <cell r="ID43">
            <v>265</v>
          </cell>
          <cell r="IE43">
            <v>0</v>
          </cell>
          <cell r="IF43">
            <v>1351.2750000000001</v>
          </cell>
          <cell r="IG43">
            <v>234</v>
          </cell>
          <cell r="IH43">
            <v>0</v>
          </cell>
          <cell r="II43">
            <v>5775</v>
          </cell>
          <cell r="IJ43">
            <v>0</v>
          </cell>
          <cell r="IK43">
            <v>0</v>
          </cell>
          <cell r="IL43">
            <v>875</v>
          </cell>
          <cell r="IM43">
            <v>0</v>
          </cell>
          <cell r="IN43">
            <v>0</v>
          </cell>
          <cell r="IO43">
            <v>0</v>
          </cell>
          <cell r="IP43">
            <v>90</v>
          </cell>
          <cell r="IQ43">
            <v>0</v>
          </cell>
          <cell r="IR43">
            <v>0</v>
          </cell>
          <cell r="IS43">
            <v>0</v>
          </cell>
          <cell r="IT43">
            <v>8590.2749999999996</v>
          </cell>
          <cell r="IU43" t="str">
            <v>year end 31.3.19: 2 x stations shared with Lincs Police, 2 x stations shared with Ambulance. Est 31.3.20 Further 1 station shared with both Ambulance and Police.</v>
          </cell>
          <cell r="IV43" t="str">
            <v>23 x inflatable boats, 7 x swift water rescue vans, 2 x rescue support units, 1 x water carrier, 2 x canine units, 2 x mobile flood pump units</v>
          </cell>
          <cell r="IW43" t="str">
            <v>..</v>
          </cell>
          <cell r="IX43" t="str">
            <v>..</v>
          </cell>
          <cell r="IY43" t="str">
            <v>..</v>
          </cell>
          <cell r="IZ43" t="str">
            <v>..</v>
          </cell>
          <cell r="JA43" t="str">
            <v>..</v>
          </cell>
          <cell r="JB43" t="str">
            <v>..</v>
          </cell>
        </row>
        <row r="44">
          <cell r="A44" t="str">
            <v>E6142</v>
          </cell>
          <cell r="B44" t="str">
            <v>Greater Manchester</v>
          </cell>
          <cell r="C44">
            <v>0</v>
          </cell>
          <cell r="D44">
            <v>0</v>
          </cell>
          <cell r="E44">
            <v>0</v>
          </cell>
          <cell r="F44">
            <v>0</v>
          </cell>
          <cell r="G44" t="str">
            <v>Martyn Benson</v>
          </cell>
          <cell r="H44" t="str">
            <v xml:space="preserve">Management Accountant </v>
          </cell>
          <cell r="I44" t="str">
            <v>0161 608 4431</v>
          </cell>
          <cell r="J44" t="str">
            <v>bensonm@manchesterfire.gov.uk</v>
          </cell>
          <cell r="K44" t="str">
            <v>..</v>
          </cell>
          <cell r="L44">
            <v>35</v>
          </cell>
          <cell r="M44">
            <v>0</v>
          </cell>
          <cell r="N44">
            <v>6</v>
          </cell>
          <cell r="O44">
            <v>0</v>
          </cell>
          <cell r="P44">
            <v>41</v>
          </cell>
          <cell r="Q44">
            <v>7</v>
          </cell>
          <cell r="R44">
            <v>35</v>
          </cell>
          <cell r="S44">
            <v>0</v>
          </cell>
          <cell r="T44">
            <v>6</v>
          </cell>
          <cell r="U44">
            <v>0</v>
          </cell>
          <cell r="V44">
            <v>41</v>
          </cell>
          <cell r="W44" t="str">
            <v>..</v>
          </cell>
          <cell r="X44">
            <v>54</v>
          </cell>
          <cell r="Y44">
            <v>54</v>
          </cell>
          <cell r="Z44">
            <v>6</v>
          </cell>
          <cell r="AA44">
            <v>11</v>
          </cell>
          <cell r="AB44">
            <v>0</v>
          </cell>
          <cell r="AC44">
            <v>65</v>
          </cell>
          <cell r="AD44">
            <v>7</v>
          </cell>
          <cell r="AE44">
            <v>71</v>
          </cell>
          <cell r="AF44">
            <v>129</v>
          </cell>
          <cell r="AG44">
            <v>12</v>
          </cell>
          <cell r="AH44">
            <v>2</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v>65809</v>
          </cell>
          <cell r="BC44">
            <v>0</v>
          </cell>
          <cell r="BD44">
            <v>0</v>
          </cell>
          <cell r="BE44">
            <v>10597</v>
          </cell>
          <cell r="BF44">
            <v>864</v>
          </cell>
          <cell r="BG44">
            <v>1012</v>
          </cell>
          <cell r="BH44">
            <v>78282</v>
          </cell>
          <cell r="BI44">
            <v>4955</v>
          </cell>
          <cell r="BJ44">
            <v>2604</v>
          </cell>
          <cell r="BK44">
            <v>6272</v>
          </cell>
          <cell r="BL44">
            <v>6977</v>
          </cell>
          <cell r="BM44">
            <v>2237</v>
          </cell>
          <cell r="BN44">
            <v>0</v>
          </cell>
          <cell r="BO44">
            <v>101327</v>
          </cell>
          <cell r="BP44">
            <v>2048</v>
          </cell>
          <cell r="BQ44">
            <v>0</v>
          </cell>
          <cell r="BR44">
            <v>2140</v>
          </cell>
          <cell r="BS44">
            <v>4188</v>
          </cell>
          <cell r="BT44">
            <v>97139</v>
          </cell>
          <cell r="BU44">
            <v>6061</v>
          </cell>
          <cell r="BV44">
            <v>-27990</v>
          </cell>
          <cell r="BW44">
            <v>0</v>
          </cell>
          <cell r="BX44">
            <v>1619</v>
          </cell>
          <cell r="BY44">
            <v>0</v>
          </cell>
          <cell r="BZ44">
            <v>150</v>
          </cell>
          <cell r="CA44">
            <v>0</v>
          </cell>
          <cell r="CB44">
            <v>0</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v>72435</v>
          </cell>
          <cell r="CP44">
            <v>0</v>
          </cell>
          <cell r="CQ44">
            <v>0</v>
          </cell>
          <cell r="CR44">
            <v>10452</v>
          </cell>
          <cell r="CS44">
            <v>804</v>
          </cell>
          <cell r="CT44">
            <v>1018</v>
          </cell>
          <cell r="CU44">
            <v>84709</v>
          </cell>
          <cell r="CV44">
            <v>4569</v>
          </cell>
          <cell r="CW44">
            <v>2356</v>
          </cell>
          <cell r="CX44">
            <v>4935</v>
          </cell>
          <cell r="CY44">
            <v>6658</v>
          </cell>
          <cell r="CZ44">
            <v>2265</v>
          </cell>
          <cell r="DA44">
            <v>0</v>
          </cell>
          <cell r="DB44">
            <v>105492</v>
          </cell>
          <cell r="DC44">
            <v>743</v>
          </cell>
          <cell r="DD44">
            <v>0</v>
          </cell>
          <cell r="DE44">
            <v>1508</v>
          </cell>
          <cell r="DF44">
            <v>2251</v>
          </cell>
          <cell r="DG44">
            <v>103241</v>
          </cell>
          <cell r="DH44">
            <v>6400</v>
          </cell>
          <cell r="DI44">
            <v>0</v>
          </cell>
          <cell r="DJ44">
            <v>0</v>
          </cell>
          <cell r="DK44">
            <v>1541</v>
          </cell>
          <cell r="DL44">
            <v>0</v>
          </cell>
          <cell r="DM44">
            <v>139</v>
          </cell>
          <cell r="DN44">
            <v>0</v>
          </cell>
          <cell r="DO44">
            <v>0</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v>0</v>
          </cell>
          <cell r="EC44">
            <v>0</v>
          </cell>
          <cell r="ED44">
            <v>21.2</v>
          </cell>
          <cell r="EE44">
            <v>65</v>
          </cell>
          <cell r="EF44">
            <v>45766</v>
          </cell>
          <cell r="EG44">
            <v>10311</v>
          </cell>
          <cell r="EH44">
            <v>44975</v>
          </cell>
          <cell r="EI44">
            <v>289</v>
          </cell>
          <cell r="EJ44">
            <v>0</v>
          </cell>
          <cell r="EK44">
            <v>101341</v>
          </cell>
          <cell r="EL44" t="str">
            <v>..</v>
          </cell>
          <cell r="EM44" t="str">
            <v>..</v>
          </cell>
          <cell r="EN44">
            <v>16787</v>
          </cell>
          <cell r="EO44">
            <v>82736</v>
          </cell>
          <cell r="EP44">
            <v>2237</v>
          </cell>
          <cell r="EQ44">
            <v>379</v>
          </cell>
          <cell r="ER44">
            <v>85352</v>
          </cell>
          <cell r="ES44">
            <v>996</v>
          </cell>
          <cell r="ET44">
            <v>0</v>
          </cell>
          <cell r="EU44">
            <v>65</v>
          </cell>
          <cell r="EV44">
            <v>103200</v>
          </cell>
          <cell r="EW44" t="str">
            <v>..</v>
          </cell>
          <cell r="EX44" t="str">
            <v>..</v>
          </cell>
          <cell r="EY44">
            <v>2398</v>
          </cell>
          <cell r="EZ44">
            <v>16605</v>
          </cell>
          <cell r="FA44">
            <v>0</v>
          </cell>
          <cell r="FB44">
            <v>70</v>
          </cell>
          <cell r="FC44">
            <v>16675</v>
          </cell>
          <cell r="FD44">
            <v>127</v>
          </cell>
          <cell r="FE44">
            <v>0</v>
          </cell>
          <cell r="FF44">
            <v>0</v>
          </cell>
          <cell r="FG44">
            <v>19200</v>
          </cell>
          <cell r="FH44">
            <v>-6476805</v>
          </cell>
          <cell r="FI44">
            <v>-430735</v>
          </cell>
          <cell r="FJ44">
            <v>0</v>
          </cell>
          <cell r="FK44">
            <v>-5405545</v>
          </cell>
          <cell r="FL44">
            <v>-281481</v>
          </cell>
          <cell r="FM44">
            <v>43536289</v>
          </cell>
          <cell r="FN44">
            <v>8036919</v>
          </cell>
          <cell r="FO44">
            <v>110298</v>
          </cell>
          <cell r="FP44">
            <v>39088940</v>
          </cell>
          <cell r="FQ44">
            <v>2079822</v>
          </cell>
          <cell r="FR44">
            <v>0</v>
          </cell>
          <cell r="FS44">
            <v>-10938560</v>
          </cell>
          <cell r="FT44">
            <v>-404076</v>
          </cell>
          <cell r="FU44">
            <v>0</v>
          </cell>
          <cell r="FV44">
            <v>-5319087</v>
          </cell>
          <cell r="FW44">
            <v>-100000</v>
          </cell>
          <cell r="FX44">
            <v>44985541</v>
          </cell>
          <cell r="FY44">
            <v>9172894</v>
          </cell>
          <cell r="FZ44">
            <v>0</v>
          </cell>
          <cell r="GA44">
            <v>37396712</v>
          </cell>
          <cell r="GB44">
            <v>2119938</v>
          </cell>
          <cell r="GC44">
            <v>0</v>
          </cell>
          <cell r="GD44">
            <v>2768</v>
          </cell>
          <cell r="GE44">
            <v>2812</v>
          </cell>
          <cell r="GF44">
            <v>66</v>
          </cell>
          <cell r="GG44">
            <v>4</v>
          </cell>
          <cell r="GH44">
            <v>206</v>
          </cell>
          <cell r="GI44">
            <v>1</v>
          </cell>
          <cell r="GJ44">
            <v>1099</v>
          </cell>
          <cell r="GK44">
            <v>0</v>
          </cell>
          <cell r="GL44">
            <v>160</v>
          </cell>
          <cell r="GM44">
            <v>147</v>
          </cell>
          <cell r="GN44">
            <v>90</v>
          </cell>
          <cell r="GO44">
            <v>3</v>
          </cell>
          <cell r="GP44">
            <v>27541</v>
          </cell>
          <cell r="GQ44">
            <v>15173</v>
          </cell>
          <cell r="GR44">
            <v>975</v>
          </cell>
          <cell r="GS44">
            <v>22776</v>
          </cell>
          <cell r="GT44">
            <v>11664</v>
          </cell>
          <cell r="GU44">
            <v>2351</v>
          </cell>
          <cell r="GV44">
            <v>0</v>
          </cell>
          <cell r="GW44">
            <v>0</v>
          </cell>
          <cell r="GX44">
            <v>926791</v>
          </cell>
          <cell r="GY44">
            <v>1132958</v>
          </cell>
          <cell r="GZ44">
            <v>31921</v>
          </cell>
          <cell r="HA44">
            <v>1203861</v>
          </cell>
          <cell r="HB44">
            <v>0</v>
          </cell>
          <cell r="HC44">
            <v>0</v>
          </cell>
          <cell r="HD44">
            <v>0</v>
          </cell>
          <cell r="HE44">
            <v>0</v>
          </cell>
          <cell r="HF44">
            <v>285782</v>
          </cell>
          <cell r="HG44">
            <v>0</v>
          </cell>
          <cell r="HH44">
            <v>656646</v>
          </cell>
          <cell r="HI44">
            <v>0</v>
          </cell>
          <cell r="HJ44">
            <v>0</v>
          </cell>
          <cell r="HK44">
            <v>0</v>
          </cell>
          <cell r="HL44">
            <v>4237959</v>
          </cell>
          <cell r="HM44">
            <v>0</v>
          </cell>
          <cell r="HN44">
            <v>0</v>
          </cell>
          <cell r="HO44">
            <v>0</v>
          </cell>
          <cell r="HP44">
            <v>358862</v>
          </cell>
          <cell r="HQ44">
            <v>0</v>
          </cell>
          <cell r="HR44">
            <v>4088443</v>
          </cell>
          <cell r="HS44">
            <v>0</v>
          </cell>
          <cell r="HT44">
            <v>0</v>
          </cell>
          <cell r="HU44">
            <v>0</v>
          </cell>
          <cell r="HV44">
            <v>0</v>
          </cell>
          <cell r="HW44">
            <v>173542</v>
          </cell>
          <cell r="HX44">
            <v>0</v>
          </cell>
          <cell r="HY44">
            <v>345505</v>
          </cell>
          <cell r="HZ44">
            <v>0</v>
          </cell>
          <cell r="IA44">
            <v>0</v>
          </cell>
          <cell r="IB44">
            <v>0</v>
          </cell>
          <cell r="IC44">
            <v>4966352</v>
          </cell>
          <cell r="ID44">
            <v>0</v>
          </cell>
          <cell r="IE44">
            <v>0</v>
          </cell>
          <cell r="IF44">
            <v>0</v>
          </cell>
          <cell r="IG44">
            <v>1346229</v>
          </cell>
          <cell r="IH44">
            <v>150000</v>
          </cell>
          <cell r="II44">
            <v>3176968</v>
          </cell>
          <cell r="IJ44">
            <v>234000</v>
          </cell>
          <cell r="IK44">
            <v>0</v>
          </cell>
          <cell r="IL44">
            <v>0</v>
          </cell>
          <cell r="IM44">
            <v>0</v>
          </cell>
          <cell r="IN44">
            <v>200000</v>
          </cell>
          <cell r="IO44">
            <v>0</v>
          </cell>
          <cell r="IP44">
            <v>639883</v>
          </cell>
          <cell r="IQ44">
            <v>0</v>
          </cell>
          <cell r="IR44">
            <v>0</v>
          </cell>
          <cell r="IS44">
            <v>55000</v>
          </cell>
          <cell r="IT44">
            <v>5802080</v>
          </cell>
          <cell r="IU44" t="str">
            <v>Ambulance - Atherton, Irlam , Hindley, Whitefield,Leigh, Phillips Park, Wigan</v>
          </cell>
          <cell r="IV44" t="str">
            <v>4 x TRU vehicles plus 1 x spare TRU. 6 x Mercedes Sprinter Van Appliances used for TRU support and Wildfire Applications.</v>
          </cell>
          <cell r="IW44" t="str">
            <v xml:space="preserve">North West Fire Control </v>
          </cell>
          <cell r="IX44">
            <v>0</v>
          </cell>
          <cell r="IY44">
            <v>0</v>
          </cell>
          <cell r="IZ44" t="str">
            <v>..</v>
          </cell>
          <cell r="JA44" t="str">
            <v>..</v>
          </cell>
          <cell r="JB44" t="str">
            <v>..</v>
          </cell>
        </row>
        <row r="45">
          <cell r="A45" t="str">
            <v>E3620</v>
          </cell>
          <cell r="B45" t="str">
            <v>Surrey</v>
          </cell>
          <cell r="C45" t="str">
            <v>Sally Wilson</v>
          </cell>
          <cell r="D45" t="str">
            <v>Head of Professional Services</v>
          </cell>
          <cell r="E45" t="str">
            <v>01737 242444</v>
          </cell>
          <cell r="F45" t="str">
            <v>sally.wilson@surreycc.gov.uk</v>
          </cell>
          <cell r="G45" t="str">
            <v>Timothy Bannister</v>
          </cell>
          <cell r="H45" t="str">
            <v>Senior Accountant</v>
          </cell>
          <cell r="I45">
            <v>2085418060</v>
          </cell>
          <cell r="J45" t="str">
            <v>timothy.bannister@surreycc.gov.uk</v>
          </cell>
          <cell r="K45" t="str">
            <v>laura.noorbaccus@surreycc.gov.uk; fiona.ramsay@surreycc.gov.uk</v>
          </cell>
          <cell r="L45">
            <v>18</v>
          </cell>
          <cell r="M45">
            <v>7</v>
          </cell>
          <cell r="N45">
            <v>1</v>
          </cell>
          <cell r="O45">
            <v>0</v>
          </cell>
          <cell r="P45">
            <v>26</v>
          </cell>
          <cell r="Q45">
            <v>8</v>
          </cell>
          <cell r="R45">
            <v>17</v>
          </cell>
          <cell r="S45">
            <v>7</v>
          </cell>
          <cell r="T45">
            <v>1</v>
          </cell>
          <cell r="U45">
            <v>0</v>
          </cell>
          <cell r="V45">
            <v>25</v>
          </cell>
          <cell r="W45">
            <v>7</v>
          </cell>
          <cell r="X45">
            <v>30</v>
          </cell>
          <cell r="Y45">
            <v>30</v>
          </cell>
          <cell r="Z45">
            <v>2</v>
          </cell>
          <cell r="AA45">
            <v>42</v>
          </cell>
          <cell r="AB45">
            <v>39</v>
          </cell>
          <cell r="AC45">
            <v>0</v>
          </cell>
          <cell r="AD45">
            <v>4</v>
          </cell>
          <cell r="AE45">
            <v>117</v>
          </cell>
          <cell r="AF45">
            <v>77</v>
          </cell>
          <cell r="AG45">
            <v>7</v>
          </cell>
          <cell r="AH45">
            <v>4</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v>25614</v>
          </cell>
          <cell r="BC45">
            <v>1508</v>
          </cell>
          <cell r="BD45">
            <v>1052</v>
          </cell>
          <cell r="BE45">
            <v>2631</v>
          </cell>
          <cell r="BF45">
            <v>445</v>
          </cell>
          <cell r="BG45">
            <v>367</v>
          </cell>
          <cell r="BH45">
            <v>31617</v>
          </cell>
          <cell r="BI45">
            <v>73</v>
          </cell>
          <cell r="BJ45">
            <v>931</v>
          </cell>
          <cell r="BK45">
            <v>1854</v>
          </cell>
          <cell r="BL45">
            <v>7212</v>
          </cell>
          <cell r="BM45">
            <v>0</v>
          </cell>
          <cell r="BN45">
            <v>110</v>
          </cell>
          <cell r="BO45">
            <v>41797</v>
          </cell>
          <cell r="BP45">
            <v>681</v>
          </cell>
          <cell r="BQ45">
            <v>133</v>
          </cell>
          <cell r="BR45">
            <v>247</v>
          </cell>
          <cell r="BS45">
            <v>1061</v>
          </cell>
          <cell r="BT45">
            <v>40736</v>
          </cell>
          <cell r="BU45">
            <v>1323</v>
          </cell>
          <cell r="BV45">
            <v>-850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28001</v>
          </cell>
          <cell r="CP45">
            <v>2007</v>
          </cell>
          <cell r="CQ45">
            <v>957</v>
          </cell>
          <cell r="CR45">
            <v>2652</v>
          </cell>
          <cell r="CS45">
            <v>559</v>
          </cell>
          <cell r="CT45">
            <v>190</v>
          </cell>
          <cell r="CU45">
            <v>34366</v>
          </cell>
          <cell r="CV45">
            <v>22</v>
          </cell>
          <cell r="CW45">
            <v>762</v>
          </cell>
          <cell r="CX45">
            <v>1834</v>
          </cell>
          <cell r="CY45">
            <v>5477</v>
          </cell>
          <cell r="CZ45">
            <v>0</v>
          </cell>
          <cell r="DA45">
            <v>-60</v>
          </cell>
          <cell r="DB45">
            <v>42401</v>
          </cell>
          <cell r="DC45">
            <v>2524</v>
          </cell>
          <cell r="DD45">
            <v>0</v>
          </cell>
          <cell r="DE45">
            <v>870</v>
          </cell>
          <cell r="DF45">
            <v>3394</v>
          </cell>
          <cell r="DG45">
            <v>39007</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14.8</v>
          </cell>
          <cell r="EE45">
            <v>0</v>
          </cell>
          <cell r="EF45">
            <v>0</v>
          </cell>
          <cell r="EG45">
            <v>0</v>
          </cell>
          <cell r="EH45">
            <v>0</v>
          </cell>
          <cell r="EI45">
            <v>0</v>
          </cell>
          <cell r="EJ45">
            <v>0</v>
          </cell>
          <cell r="EK45">
            <v>0</v>
          </cell>
          <cell r="EL45" t="str">
            <v>..</v>
          </cell>
          <cell r="EM45" t="str">
            <v>..</v>
          </cell>
          <cell r="EN45">
            <v>2108</v>
          </cell>
          <cell r="EO45" t="str">
            <v>..</v>
          </cell>
          <cell r="EP45" t="str">
            <v>..</v>
          </cell>
          <cell r="EQ45" t="str">
            <v>..</v>
          </cell>
          <cell r="ER45">
            <v>29139</v>
          </cell>
          <cell r="ES45">
            <v>235</v>
          </cell>
          <cell r="ET45">
            <v>0</v>
          </cell>
          <cell r="EU45">
            <v>10577</v>
          </cell>
          <cell r="EV45">
            <v>42059</v>
          </cell>
          <cell r="EW45">
            <v>0</v>
          </cell>
          <cell r="EX45">
            <v>0</v>
          </cell>
          <cell r="EY45">
            <v>0</v>
          </cell>
          <cell r="EZ45">
            <v>0</v>
          </cell>
          <cell r="FA45">
            <v>0</v>
          </cell>
          <cell r="FB45">
            <v>0</v>
          </cell>
          <cell r="FC45">
            <v>7212</v>
          </cell>
          <cell r="FD45">
            <v>0</v>
          </cell>
          <cell r="FE45">
            <v>0</v>
          </cell>
          <cell r="FF45">
            <v>0</v>
          </cell>
          <cell r="FG45">
            <v>7212</v>
          </cell>
          <cell r="FH45">
            <v>-2787</v>
          </cell>
          <cell r="FI45">
            <v>-26</v>
          </cell>
          <cell r="FJ45">
            <v>0</v>
          </cell>
          <cell r="FK45">
            <v>-2277</v>
          </cell>
          <cell r="FL45">
            <v>0</v>
          </cell>
          <cell r="FM45">
            <v>13297</v>
          </cell>
          <cell r="FN45">
            <v>2160</v>
          </cell>
          <cell r="FO45">
            <v>0</v>
          </cell>
          <cell r="FP45">
            <v>10367</v>
          </cell>
          <cell r="FQ45">
            <v>1322</v>
          </cell>
          <cell r="FR45">
            <v>0</v>
          </cell>
          <cell r="FS45">
            <v>-3117</v>
          </cell>
          <cell r="FT45">
            <v>-26</v>
          </cell>
          <cell r="FU45">
            <v>0</v>
          </cell>
          <cell r="FV45">
            <v>-2047</v>
          </cell>
          <cell r="FW45">
            <v>0</v>
          </cell>
          <cell r="FX45">
            <v>13593</v>
          </cell>
          <cell r="FY45">
            <v>2799</v>
          </cell>
          <cell r="FZ45">
            <v>0</v>
          </cell>
          <cell r="GA45">
            <v>11202</v>
          </cell>
          <cell r="GB45">
            <v>1300</v>
          </cell>
          <cell r="GC45">
            <v>0</v>
          </cell>
          <cell r="GD45">
            <v>919</v>
          </cell>
          <cell r="GE45">
            <v>43</v>
          </cell>
          <cell r="GF45">
            <v>14</v>
          </cell>
          <cell r="GG45">
            <v>0</v>
          </cell>
          <cell r="GH45">
            <v>314</v>
          </cell>
          <cell r="GI45">
            <v>257</v>
          </cell>
          <cell r="GJ45">
            <v>0</v>
          </cell>
          <cell r="GK45">
            <v>0</v>
          </cell>
          <cell r="GL45">
            <v>76</v>
          </cell>
          <cell r="GM45">
            <v>83</v>
          </cell>
          <cell r="GN45">
            <v>0</v>
          </cell>
          <cell r="GO45">
            <v>0</v>
          </cell>
          <cell r="GP45">
            <v>0</v>
          </cell>
          <cell r="GQ45">
            <v>0</v>
          </cell>
          <cell r="GR45">
            <v>0</v>
          </cell>
          <cell r="GS45">
            <v>0</v>
          </cell>
          <cell r="GT45">
            <v>0</v>
          </cell>
          <cell r="GU45">
            <v>0</v>
          </cell>
          <cell r="GV45">
            <v>0</v>
          </cell>
          <cell r="GW45">
            <v>0</v>
          </cell>
          <cell r="GX45">
            <v>2275</v>
          </cell>
          <cell r="GY45">
            <v>0</v>
          </cell>
          <cell r="GZ45">
            <v>0</v>
          </cell>
          <cell r="HA45">
            <v>910</v>
          </cell>
          <cell r="HB45">
            <v>0</v>
          </cell>
          <cell r="HC45">
            <v>51</v>
          </cell>
          <cell r="HD45">
            <v>50</v>
          </cell>
          <cell r="HE45">
            <v>0</v>
          </cell>
          <cell r="HF45">
            <v>0</v>
          </cell>
          <cell r="HG45">
            <v>0</v>
          </cell>
          <cell r="HH45">
            <v>192</v>
          </cell>
          <cell r="HI45">
            <v>0</v>
          </cell>
          <cell r="HJ45">
            <v>0</v>
          </cell>
          <cell r="HK45">
            <v>0</v>
          </cell>
          <cell r="HL45">
            <v>3478</v>
          </cell>
          <cell r="HM45">
            <v>0</v>
          </cell>
          <cell r="HN45">
            <v>0</v>
          </cell>
          <cell r="HO45">
            <v>2139</v>
          </cell>
          <cell r="HP45">
            <v>0</v>
          </cell>
          <cell r="HQ45">
            <v>0</v>
          </cell>
          <cell r="HR45">
            <v>549</v>
          </cell>
          <cell r="HS45">
            <v>0</v>
          </cell>
          <cell r="HT45">
            <v>108</v>
          </cell>
          <cell r="HU45">
            <v>113</v>
          </cell>
          <cell r="HV45">
            <v>0</v>
          </cell>
          <cell r="HW45">
            <v>0</v>
          </cell>
          <cell r="HX45">
            <v>0</v>
          </cell>
          <cell r="HY45">
            <v>356</v>
          </cell>
          <cell r="HZ45">
            <v>0</v>
          </cell>
          <cell r="IA45">
            <v>0</v>
          </cell>
          <cell r="IB45">
            <v>0</v>
          </cell>
          <cell r="IC45">
            <v>3265</v>
          </cell>
          <cell r="ID45">
            <v>0</v>
          </cell>
          <cell r="IE45">
            <v>0</v>
          </cell>
          <cell r="IF45">
            <v>2000</v>
          </cell>
          <cell r="IG45">
            <v>1000</v>
          </cell>
          <cell r="IH45">
            <v>0</v>
          </cell>
          <cell r="II45">
            <v>1850</v>
          </cell>
          <cell r="IJ45">
            <v>0</v>
          </cell>
          <cell r="IK45">
            <v>5</v>
          </cell>
          <cell r="IL45">
            <v>0</v>
          </cell>
          <cell r="IM45">
            <v>0</v>
          </cell>
          <cell r="IN45">
            <v>0</v>
          </cell>
          <cell r="IO45">
            <v>0</v>
          </cell>
          <cell r="IP45">
            <v>327</v>
          </cell>
          <cell r="IQ45">
            <v>0</v>
          </cell>
          <cell r="IR45">
            <v>0</v>
          </cell>
          <cell r="IS45">
            <v>0</v>
          </cell>
          <cell r="IT45">
            <v>5182</v>
          </cell>
          <cell r="IU45" t="str">
            <v xml:space="preserve">Chertsey, Esher, Godstone, Reigate fire stations shared with South East Coast Ambulance service (SECAmb). Egham, Farnham, Leatherhead fire stations shared with Surrey Police. Staines fire station shared with SECAmb due to close 31 August 2019. </v>
          </cell>
          <cell r="IV45" t="str">
            <v>3 x water tankers, 1 x EPU, 4 x H4Ts, 2 x H4Cs, 25 x MRVs, 2 x Boats, 2 x Rescue L/R, 2 x IRVs, 1 x PM</v>
          </cell>
          <cell r="IW45" t="str">
            <v>..</v>
          </cell>
          <cell r="IX45" t="str">
            <v>Cross border expenses</v>
          </cell>
          <cell r="IY45" t="str">
            <v>Cross border income</v>
          </cell>
          <cell r="IZ45" t="str">
            <v>Special Services/Reports/Secondments/Rent/Sponsorship/SEBS dividend</v>
          </cell>
          <cell r="JA45" t="str">
            <v>..</v>
          </cell>
          <cell r="JB4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46">
          <cell r="A46" t="str">
            <v>E6147</v>
          </cell>
          <cell r="B46" t="str">
            <v>West Yorkshire</v>
          </cell>
          <cell r="C46" t="str">
            <v>Alison Wood</v>
          </cell>
          <cell r="D46" t="str">
            <v>Chief Finance &amp; Procurement Officer</v>
          </cell>
          <cell r="E46" t="str">
            <v>01274655711</v>
          </cell>
          <cell r="F46" t="str">
            <v>Alison.Wood@Westyorksfire.gov.uk</v>
          </cell>
          <cell r="G46" t="str">
            <v>Caroline Johnson</v>
          </cell>
          <cell r="H46" t="str">
            <v xml:space="preserve">Capital Accountant </v>
          </cell>
          <cell r="I46" t="str">
            <v>01274655713</v>
          </cell>
          <cell r="J46" t="str">
            <v>Caroline.Johnson@Westyorksfire.gov.uk</v>
          </cell>
          <cell r="K46" t="str">
            <v>James.Buttery@Westyorksfire.gov.uk</v>
          </cell>
          <cell r="L46">
            <v>25</v>
          </cell>
          <cell r="M46">
            <v>8</v>
          </cell>
          <cell r="N46">
            <v>7</v>
          </cell>
          <cell r="O46">
            <v>0</v>
          </cell>
          <cell r="P46">
            <v>40</v>
          </cell>
          <cell r="Q46">
            <v>11</v>
          </cell>
          <cell r="R46">
            <v>25</v>
          </cell>
          <cell r="S46">
            <v>8</v>
          </cell>
          <cell r="T46">
            <v>7</v>
          </cell>
          <cell r="U46">
            <v>0</v>
          </cell>
          <cell r="V46">
            <v>40</v>
          </cell>
          <cell r="W46">
            <v>11</v>
          </cell>
          <cell r="X46">
            <v>43</v>
          </cell>
          <cell r="Y46">
            <v>43</v>
          </cell>
          <cell r="Z46">
            <v>5</v>
          </cell>
          <cell r="AA46">
            <v>31</v>
          </cell>
          <cell r="AB46">
            <v>66</v>
          </cell>
          <cell r="AC46">
            <v>0</v>
          </cell>
          <cell r="AD46">
            <v>11</v>
          </cell>
          <cell r="AE46">
            <v>156</v>
          </cell>
          <cell r="AF46">
            <v>142</v>
          </cell>
          <cell r="AG46">
            <v>8</v>
          </cell>
          <cell r="AH46">
            <v>5</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v>44728</v>
          </cell>
          <cell r="BC46">
            <v>1628</v>
          </cell>
          <cell r="BD46">
            <v>1773</v>
          </cell>
          <cell r="BE46">
            <v>9365</v>
          </cell>
          <cell r="BF46">
            <v>743</v>
          </cell>
          <cell r="BG46">
            <v>2593</v>
          </cell>
          <cell r="BH46">
            <v>60830</v>
          </cell>
          <cell r="BI46">
            <v>4234</v>
          </cell>
          <cell r="BJ46">
            <v>2368</v>
          </cell>
          <cell r="BK46">
            <v>2977</v>
          </cell>
          <cell r="BL46">
            <v>2062</v>
          </cell>
          <cell r="BM46">
            <v>0</v>
          </cell>
          <cell r="BN46">
            <v>517</v>
          </cell>
          <cell r="BO46">
            <v>72988</v>
          </cell>
          <cell r="BP46">
            <v>1953</v>
          </cell>
          <cell r="BQ46">
            <v>835</v>
          </cell>
          <cell r="BR46">
            <v>0</v>
          </cell>
          <cell r="BS46">
            <v>2788</v>
          </cell>
          <cell r="BT46">
            <v>70200</v>
          </cell>
          <cell r="BU46">
            <v>11595</v>
          </cell>
          <cell r="BV46">
            <v>-24092</v>
          </cell>
          <cell r="BW46">
            <v>0</v>
          </cell>
          <cell r="BX46">
            <v>4361</v>
          </cell>
          <cell r="BY46">
            <v>0</v>
          </cell>
          <cell r="BZ46">
            <v>274</v>
          </cell>
          <cell r="CA46">
            <v>264</v>
          </cell>
          <cell r="CB46">
            <v>0</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v>48634</v>
          </cell>
          <cell r="CP46">
            <v>1847</v>
          </cell>
          <cell r="CQ46">
            <v>1806</v>
          </cell>
          <cell r="CR46">
            <v>10031</v>
          </cell>
          <cell r="CS46">
            <v>787</v>
          </cell>
          <cell r="CT46">
            <v>2390</v>
          </cell>
          <cell r="CU46">
            <v>65495</v>
          </cell>
          <cell r="CV46">
            <v>4417</v>
          </cell>
          <cell r="CW46">
            <v>2392</v>
          </cell>
          <cell r="CX46">
            <v>2771</v>
          </cell>
          <cell r="CY46">
            <v>2425</v>
          </cell>
          <cell r="CZ46">
            <v>0</v>
          </cell>
          <cell r="DA46">
            <v>2271</v>
          </cell>
          <cell r="DB46">
            <v>79771</v>
          </cell>
          <cell r="DC46">
            <v>1777</v>
          </cell>
          <cell r="DD46">
            <v>794</v>
          </cell>
          <cell r="DE46">
            <v>0</v>
          </cell>
          <cell r="DF46">
            <v>2571</v>
          </cell>
          <cell r="DG46">
            <v>77200</v>
          </cell>
          <cell r="DH46">
            <v>7948</v>
          </cell>
          <cell r="DI46">
            <v>-24092</v>
          </cell>
          <cell r="DJ46">
            <v>0</v>
          </cell>
          <cell r="DK46">
            <v>3796</v>
          </cell>
          <cell r="DL46">
            <v>0</v>
          </cell>
          <cell r="DM46">
            <v>235</v>
          </cell>
          <cell r="DN46">
            <v>264</v>
          </cell>
          <cell r="DO46">
            <v>0</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v>0</v>
          </cell>
          <cell r="EC46">
            <v>0</v>
          </cell>
          <cell r="ED46">
            <v>17.2</v>
          </cell>
          <cell r="EE46" t="str">
            <v>..</v>
          </cell>
          <cell r="EF46" t="str">
            <v>..</v>
          </cell>
          <cell r="EG46" t="str">
            <v>..</v>
          </cell>
          <cell r="EH46" t="str">
            <v>..</v>
          </cell>
          <cell r="EI46" t="str">
            <v>..</v>
          </cell>
          <cell r="EJ46" t="str">
            <v>..</v>
          </cell>
          <cell r="EK46" t="str">
            <v>..</v>
          </cell>
          <cell r="EL46" t="str">
            <v>..</v>
          </cell>
          <cell r="EM46" t="str">
            <v>..</v>
          </cell>
          <cell r="EN46">
            <v>3152</v>
          </cell>
          <cell r="EO46" t="str">
            <v>..</v>
          </cell>
          <cell r="EP46" t="str">
            <v>..</v>
          </cell>
          <cell r="EQ46" t="str">
            <v>..</v>
          </cell>
          <cell r="ER46">
            <v>77708</v>
          </cell>
          <cell r="ES46">
            <v>0</v>
          </cell>
          <cell r="ET46">
            <v>685</v>
          </cell>
          <cell r="EU46">
            <v>250</v>
          </cell>
          <cell r="EV46">
            <v>81795</v>
          </cell>
          <cell r="EW46">
            <v>0</v>
          </cell>
          <cell r="EX46">
            <v>0</v>
          </cell>
          <cell r="EY46">
            <v>1009</v>
          </cell>
          <cell r="EZ46">
            <v>0</v>
          </cell>
          <cell r="FA46">
            <v>0</v>
          </cell>
          <cell r="FB46">
            <v>0</v>
          </cell>
          <cell r="FC46">
            <v>24865</v>
          </cell>
          <cell r="FD46">
            <v>0</v>
          </cell>
          <cell r="FE46">
            <v>0</v>
          </cell>
          <cell r="FF46">
            <v>0</v>
          </cell>
          <cell r="FG46">
            <v>25874</v>
          </cell>
          <cell r="FH46">
            <v>-5177</v>
          </cell>
          <cell r="FI46">
            <v>-349</v>
          </cell>
          <cell r="FJ46">
            <v>0</v>
          </cell>
          <cell r="FK46">
            <v>-4323</v>
          </cell>
          <cell r="FL46">
            <v>-336</v>
          </cell>
          <cell r="FM46">
            <v>36892</v>
          </cell>
          <cell r="FN46">
            <v>8471</v>
          </cell>
          <cell r="FO46">
            <v>0</v>
          </cell>
          <cell r="FP46">
            <v>35178</v>
          </cell>
          <cell r="FQ46">
            <v>1208</v>
          </cell>
          <cell r="FR46">
            <v>0</v>
          </cell>
          <cell r="FS46">
            <v>-4707</v>
          </cell>
          <cell r="FT46">
            <v>-402</v>
          </cell>
          <cell r="FU46">
            <v>0</v>
          </cell>
          <cell r="FV46">
            <v>-3919</v>
          </cell>
          <cell r="FW46">
            <v>-99</v>
          </cell>
          <cell r="FX46">
            <v>38553</v>
          </cell>
          <cell r="FY46">
            <v>9239</v>
          </cell>
          <cell r="FZ46">
            <v>0</v>
          </cell>
          <cell r="GA46">
            <v>38665</v>
          </cell>
          <cell r="GB46">
            <v>1208</v>
          </cell>
          <cell r="GC46">
            <v>0</v>
          </cell>
          <cell r="GD46">
            <v>2403</v>
          </cell>
          <cell r="GE46">
            <v>2440</v>
          </cell>
          <cell r="GF46">
            <v>66</v>
          </cell>
          <cell r="GG46">
            <v>4</v>
          </cell>
          <cell r="GH46">
            <v>152</v>
          </cell>
          <cell r="GI46">
            <v>2</v>
          </cell>
          <cell r="GJ46">
            <v>828</v>
          </cell>
          <cell r="GK46">
            <v>19</v>
          </cell>
          <cell r="GL46">
            <v>105</v>
          </cell>
          <cell r="GM46">
            <v>96</v>
          </cell>
          <cell r="GN46">
            <v>81</v>
          </cell>
          <cell r="GO46">
            <v>17</v>
          </cell>
          <cell r="GP46">
            <v>21355</v>
          </cell>
          <cell r="GQ46">
            <v>14388</v>
          </cell>
          <cell r="GR46">
            <v>493</v>
          </cell>
          <cell r="GS46">
            <v>31173</v>
          </cell>
          <cell r="GT46">
            <v>5177</v>
          </cell>
          <cell r="GU46">
            <v>768</v>
          </cell>
          <cell r="GV46">
            <v>0</v>
          </cell>
          <cell r="GW46">
            <v>0</v>
          </cell>
          <cell r="GX46">
            <v>6</v>
          </cell>
          <cell r="GY46">
            <v>2169</v>
          </cell>
          <cell r="GZ46">
            <v>0</v>
          </cell>
          <cell r="HA46">
            <v>2395</v>
          </cell>
          <cell r="HB46">
            <v>0</v>
          </cell>
          <cell r="HC46">
            <v>22</v>
          </cell>
          <cell r="HD46">
            <v>19</v>
          </cell>
          <cell r="HE46">
            <v>75</v>
          </cell>
          <cell r="HF46">
            <v>455</v>
          </cell>
          <cell r="HG46">
            <v>0</v>
          </cell>
          <cell r="HH46">
            <v>857</v>
          </cell>
          <cell r="HI46">
            <v>462</v>
          </cell>
          <cell r="HJ46">
            <v>112</v>
          </cell>
          <cell r="HK46">
            <v>0</v>
          </cell>
          <cell r="HL46">
            <v>6572</v>
          </cell>
          <cell r="HM46">
            <v>30</v>
          </cell>
          <cell r="HN46">
            <v>0</v>
          </cell>
          <cell r="HO46">
            <v>118</v>
          </cell>
          <cell r="HP46">
            <v>1191</v>
          </cell>
          <cell r="HQ46">
            <v>0</v>
          </cell>
          <cell r="HR46">
            <v>731</v>
          </cell>
          <cell r="HS46">
            <v>0</v>
          </cell>
          <cell r="HT46">
            <v>0</v>
          </cell>
          <cell r="HU46">
            <v>55</v>
          </cell>
          <cell r="HV46">
            <v>109</v>
          </cell>
          <cell r="HW46">
            <v>139</v>
          </cell>
          <cell r="HX46">
            <v>31</v>
          </cell>
          <cell r="HY46">
            <v>1416</v>
          </cell>
          <cell r="HZ46">
            <v>398</v>
          </cell>
          <cell r="IA46">
            <v>35</v>
          </cell>
          <cell r="IB46">
            <v>0</v>
          </cell>
          <cell r="IC46">
            <v>4253</v>
          </cell>
          <cell r="ID46">
            <v>1195</v>
          </cell>
          <cell r="IE46">
            <v>0</v>
          </cell>
          <cell r="IF46">
            <v>2822</v>
          </cell>
          <cell r="IG46">
            <v>2531</v>
          </cell>
          <cell r="IH46">
            <v>0</v>
          </cell>
          <cell r="II46">
            <v>1699</v>
          </cell>
          <cell r="IJ46">
            <v>0</v>
          </cell>
          <cell r="IK46">
            <v>16</v>
          </cell>
          <cell r="IL46">
            <v>163</v>
          </cell>
          <cell r="IM46">
            <v>397</v>
          </cell>
          <cell r="IN46">
            <v>1134</v>
          </cell>
          <cell r="IO46">
            <v>487</v>
          </cell>
          <cell r="IP46">
            <v>1213</v>
          </cell>
          <cell r="IQ46">
            <v>520</v>
          </cell>
          <cell r="IR46">
            <v>0</v>
          </cell>
          <cell r="IS46">
            <v>0</v>
          </cell>
          <cell r="IT46">
            <v>12177</v>
          </cell>
          <cell r="IU46" t="str">
            <v xml:space="preserve">West Yorkshire Police, Yorkshire Ambulance </v>
          </cell>
          <cell r="IV46" t="str">
            <v>..</v>
          </cell>
          <cell r="IW46" t="str">
            <v>..</v>
          </cell>
          <cell r="IX46" t="str">
            <v>..</v>
          </cell>
          <cell r="IY46" t="str">
            <v>..</v>
          </cell>
          <cell r="IZ46" t="str">
            <v>..</v>
          </cell>
          <cell r="JA46" t="str">
            <v>..</v>
          </cell>
          <cell r="JB46" t="str">
            <v>..</v>
          </cell>
        </row>
        <row r="47">
          <cell r="A47" t="str">
            <v>E1920</v>
          </cell>
          <cell r="B47" t="str">
            <v>Hertfordshire</v>
          </cell>
          <cell r="C47" t="str">
            <v>Brian Middleton</v>
          </cell>
          <cell r="D47" t="str">
            <v>Fleet Manager</v>
          </cell>
          <cell r="E47" t="str">
            <v>01992 507637</v>
          </cell>
          <cell r="F47" t="str">
            <v>Brian.Middleton@hertfordshire.gov.uk</v>
          </cell>
          <cell r="G47" t="str">
            <v>Liz Farquhar</v>
          </cell>
          <cell r="H47" t="str">
            <v>Senior Accountant</v>
          </cell>
          <cell r="I47" t="str">
            <v>01992 556797</v>
          </cell>
          <cell r="J47" t="str">
            <v>elizabeth.farquhar@hertfordshire.gov.uk</v>
          </cell>
          <cell r="K47">
            <v>0</v>
          </cell>
          <cell r="L47">
            <v>13</v>
          </cell>
          <cell r="M47">
            <v>9</v>
          </cell>
          <cell r="N47">
            <v>7</v>
          </cell>
          <cell r="O47">
            <v>0</v>
          </cell>
          <cell r="P47">
            <v>29</v>
          </cell>
          <cell r="Q47">
            <v>19</v>
          </cell>
          <cell r="R47">
            <v>13</v>
          </cell>
          <cell r="S47">
            <v>9</v>
          </cell>
          <cell r="T47">
            <v>7</v>
          </cell>
          <cell r="U47">
            <v>0</v>
          </cell>
          <cell r="V47">
            <v>29</v>
          </cell>
          <cell r="W47">
            <v>19</v>
          </cell>
          <cell r="X47">
            <v>40</v>
          </cell>
          <cell r="Y47">
            <v>40</v>
          </cell>
          <cell r="Z47">
            <v>2</v>
          </cell>
          <cell r="AA47">
            <v>2</v>
          </cell>
          <cell r="AB47">
            <v>44</v>
          </cell>
          <cell r="AC47">
            <v>0</v>
          </cell>
          <cell r="AD47">
            <v>6</v>
          </cell>
          <cell r="AE47">
            <v>94</v>
          </cell>
          <cell r="AF47">
            <v>54</v>
          </cell>
          <cell r="AG47">
            <v>7</v>
          </cell>
          <cell r="AH47">
            <v>6</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v>22081</v>
          </cell>
          <cell r="BC47">
            <v>1951</v>
          </cell>
          <cell r="BD47">
            <v>1056</v>
          </cell>
          <cell r="BE47">
            <v>4025</v>
          </cell>
          <cell r="BF47">
            <v>1040</v>
          </cell>
          <cell r="BG47">
            <v>139</v>
          </cell>
          <cell r="BH47">
            <v>30292</v>
          </cell>
          <cell r="BI47">
            <v>2671</v>
          </cell>
          <cell r="BJ47">
            <v>1326</v>
          </cell>
          <cell r="BK47">
            <v>2878</v>
          </cell>
          <cell r="BL47">
            <v>2567</v>
          </cell>
          <cell r="BM47">
            <v>8</v>
          </cell>
          <cell r="BN47">
            <v>0</v>
          </cell>
          <cell r="BO47">
            <v>39742</v>
          </cell>
          <cell r="BP47">
            <v>0</v>
          </cell>
          <cell r="BQ47">
            <v>307</v>
          </cell>
          <cell r="BR47">
            <v>1442</v>
          </cell>
          <cell r="BS47">
            <v>1749</v>
          </cell>
          <cell r="BT47">
            <v>37993</v>
          </cell>
          <cell r="BU47">
            <v>2726</v>
          </cell>
          <cell r="BV47">
            <v>6695</v>
          </cell>
          <cell r="BW47">
            <v>0</v>
          </cell>
          <cell r="BX47">
            <v>0</v>
          </cell>
          <cell r="BY47">
            <v>0</v>
          </cell>
          <cell r="BZ47">
            <v>0</v>
          </cell>
          <cell r="CA47">
            <v>0</v>
          </cell>
          <cell r="CB47">
            <v>0</v>
          </cell>
          <cell r="CC47">
            <v>0</v>
          </cell>
          <cell r="CD47">
            <v>0</v>
          </cell>
          <cell r="CE47">
            <v>173</v>
          </cell>
          <cell r="CF47">
            <v>260</v>
          </cell>
          <cell r="CG47">
            <v>0</v>
          </cell>
          <cell r="CH47">
            <v>0</v>
          </cell>
          <cell r="CI47">
            <v>433</v>
          </cell>
          <cell r="CJ47">
            <v>0</v>
          </cell>
          <cell r="CK47">
            <v>5</v>
          </cell>
          <cell r="CL47">
            <v>624</v>
          </cell>
          <cell r="CM47">
            <v>0</v>
          </cell>
          <cell r="CN47">
            <v>720</v>
          </cell>
          <cell r="CO47">
            <v>24915</v>
          </cell>
          <cell r="CP47">
            <v>2047</v>
          </cell>
          <cell r="CQ47">
            <v>1162</v>
          </cell>
          <cell r="CR47">
            <v>3883</v>
          </cell>
          <cell r="CS47">
            <v>1005</v>
          </cell>
          <cell r="CT47">
            <v>128</v>
          </cell>
          <cell r="CU47">
            <v>33140</v>
          </cell>
          <cell r="CV47">
            <v>2868</v>
          </cell>
          <cell r="CW47">
            <v>1322</v>
          </cell>
          <cell r="CX47">
            <v>2922</v>
          </cell>
          <cell r="CY47">
            <v>2391</v>
          </cell>
          <cell r="CZ47">
            <v>0</v>
          </cell>
          <cell r="DA47">
            <v>0</v>
          </cell>
          <cell r="DB47">
            <v>42643</v>
          </cell>
          <cell r="DC47">
            <v>0</v>
          </cell>
          <cell r="DD47">
            <v>310</v>
          </cell>
          <cell r="DE47">
            <v>1449</v>
          </cell>
          <cell r="DF47">
            <v>1759</v>
          </cell>
          <cell r="DG47">
            <v>40884</v>
          </cell>
          <cell r="DH47">
            <v>0</v>
          </cell>
          <cell r="DI47">
            <v>0</v>
          </cell>
          <cell r="DJ47">
            <v>0</v>
          </cell>
          <cell r="DK47">
            <v>0</v>
          </cell>
          <cell r="DL47">
            <v>0</v>
          </cell>
          <cell r="DM47">
            <v>0</v>
          </cell>
          <cell r="DN47">
            <v>0</v>
          </cell>
          <cell r="DO47">
            <v>0</v>
          </cell>
          <cell r="DP47">
            <v>0</v>
          </cell>
          <cell r="DQ47">
            <v>0</v>
          </cell>
          <cell r="DR47">
            <v>173</v>
          </cell>
          <cell r="DS47">
            <v>189</v>
          </cell>
          <cell r="DT47">
            <v>0</v>
          </cell>
          <cell r="DU47">
            <v>0</v>
          </cell>
          <cell r="DV47">
            <v>362</v>
          </cell>
          <cell r="DW47">
            <v>0</v>
          </cell>
          <cell r="DX47">
            <v>0</v>
          </cell>
          <cell r="DY47">
            <v>370</v>
          </cell>
          <cell r="DZ47">
            <v>0</v>
          </cell>
          <cell r="EA47">
            <v>720</v>
          </cell>
          <cell r="EB47">
            <v>0</v>
          </cell>
          <cell r="EC47">
            <v>0</v>
          </cell>
          <cell r="ED47">
            <v>20.6</v>
          </cell>
          <cell r="EE47">
            <v>0</v>
          </cell>
          <cell r="EF47">
            <v>0</v>
          </cell>
          <cell r="EG47">
            <v>0</v>
          </cell>
          <cell r="EH47">
            <v>0</v>
          </cell>
          <cell r="EI47">
            <v>0</v>
          </cell>
          <cell r="EJ47">
            <v>0</v>
          </cell>
          <cell r="EK47">
            <v>0</v>
          </cell>
          <cell r="EL47">
            <v>1859</v>
          </cell>
          <cell r="EM47">
            <v>853</v>
          </cell>
          <cell r="EN47">
            <v>2712</v>
          </cell>
          <cell r="EO47">
            <v>36660</v>
          </cell>
          <cell r="EP47">
            <v>1124</v>
          </cell>
          <cell r="EQ47">
            <v>101</v>
          </cell>
          <cell r="ER47">
            <v>37885</v>
          </cell>
          <cell r="ES47">
            <v>0</v>
          </cell>
          <cell r="ET47">
            <v>-78</v>
          </cell>
          <cell r="EU47">
            <v>200</v>
          </cell>
          <cell r="EV47">
            <v>40719</v>
          </cell>
          <cell r="EW47">
            <v>406</v>
          </cell>
          <cell r="EX47">
            <v>186</v>
          </cell>
          <cell r="EY47">
            <v>592</v>
          </cell>
          <cell r="EZ47">
            <v>4219</v>
          </cell>
          <cell r="FA47">
            <v>129</v>
          </cell>
          <cell r="FB47">
            <v>12</v>
          </cell>
          <cell r="FC47">
            <v>4360</v>
          </cell>
          <cell r="FD47">
            <v>0</v>
          </cell>
          <cell r="FE47">
            <v>-78</v>
          </cell>
          <cell r="FF47">
            <v>23</v>
          </cell>
          <cell r="FG47">
            <v>4897</v>
          </cell>
          <cell r="FH47">
            <v>-2696</v>
          </cell>
          <cell r="FI47">
            <v>-41</v>
          </cell>
          <cell r="FJ47">
            <v>0</v>
          </cell>
          <cell r="FK47">
            <v>-2208</v>
          </cell>
          <cell r="FL47">
            <v>-20</v>
          </cell>
          <cell r="FM47">
            <v>11072</v>
          </cell>
          <cell r="FN47">
            <v>3964</v>
          </cell>
          <cell r="FO47">
            <v>0</v>
          </cell>
          <cell r="FP47">
            <v>10071</v>
          </cell>
          <cell r="FQ47">
            <v>685</v>
          </cell>
          <cell r="FR47">
            <v>0</v>
          </cell>
          <cell r="FS47">
            <v>-4857.2</v>
          </cell>
          <cell r="FT47">
            <v>-22.4</v>
          </cell>
          <cell r="FU47">
            <v>0</v>
          </cell>
          <cell r="FV47">
            <v>-2110.5</v>
          </cell>
          <cell r="FW47">
            <v>-3.38</v>
          </cell>
          <cell r="FX47">
            <v>11329.2</v>
          </cell>
          <cell r="FY47">
            <v>2260.8000000000002</v>
          </cell>
          <cell r="FZ47">
            <v>2.3199999999999998</v>
          </cell>
          <cell r="GA47">
            <v>6598.8400000000011</v>
          </cell>
          <cell r="GB47">
            <v>738</v>
          </cell>
          <cell r="GC47">
            <v>0</v>
          </cell>
          <cell r="GD47">
            <v>684</v>
          </cell>
          <cell r="GE47">
            <v>700</v>
          </cell>
          <cell r="GF47">
            <v>30</v>
          </cell>
          <cell r="GG47">
            <v>0</v>
          </cell>
          <cell r="GH47">
            <v>70</v>
          </cell>
          <cell r="GI47">
            <v>11</v>
          </cell>
          <cell r="GJ47">
            <v>523</v>
          </cell>
          <cell r="GK47">
            <v>11</v>
          </cell>
          <cell r="GL47">
            <v>79</v>
          </cell>
          <cell r="GM47">
            <v>157</v>
          </cell>
          <cell r="GN47">
            <v>73</v>
          </cell>
          <cell r="GO47">
            <v>0</v>
          </cell>
          <cell r="GP47">
            <v>286</v>
          </cell>
          <cell r="GQ47">
            <v>0</v>
          </cell>
          <cell r="GR47">
            <v>15</v>
          </cell>
          <cell r="GS47">
            <v>286</v>
          </cell>
          <cell r="GT47">
            <v>0</v>
          </cell>
          <cell r="GU47">
            <v>10</v>
          </cell>
          <cell r="GV47">
            <v>0</v>
          </cell>
          <cell r="GW47">
            <v>0</v>
          </cell>
          <cell r="GX47">
            <v>0</v>
          </cell>
          <cell r="GY47">
            <v>0</v>
          </cell>
          <cell r="GZ47">
            <v>174</v>
          </cell>
          <cell r="HA47">
            <v>1872</v>
          </cell>
          <cell r="HB47">
            <v>0</v>
          </cell>
          <cell r="HC47">
            <v>0</v>
          </cell>
          <cell r="HD47">
            <v>14</v>
          </cell>
          <cell r="HE47">
            <v>115</v>
          </cell>
          <cell r="HF47">
            <v>3</v>
          </cell>
          <cell r="HG47">
            <v>49</v>
          </cell>
          <cell r="HH47">
            <v>662</v>
          </cell>
          <cell r="HI47">
            <v>0</v>
          </cell>
          <cell r="HJ47">
            <v>0</v>
          </cell>
          <cell r="HK47">
            <v>0</v>
          </cell>
          <cell r="HL47">
            <v>2889</v>
          </cell>
          <cell r="HM47">
            <v>0</v>
          </cell>
          <cell r="HN47">
            <v>0</v>
          </cell>
          <cell r="HO47">
            <v>0</v>
          </cell>
          <cell r="HP47">
            <v>0</v>
          </cell>
          <cell r="HQ47">
            <v>129</v>
          </cell>
          <cell r="HR47">
            <v>648</v>
          </cell>
          <cell r="HS47">
            <v>0</v>
          </cell>
          <cell r="HT47">
            <v>0</v>
          </cell>
          <cell r="HU47">
            <v>46</v>
          </cell>
          <cell r="HV47">
            <v>239</v>
          </cell>
          <cell r="HW47">
            <v>219</v>
          </cell>
          <cell r="HX47">
            <v>58</v>
          </cell>
          <cell r="HY47">
            <v>412</v>
          </cell>
          <cell r="HZ47">
            <v>0</v>
          </cell>
          <cell r="IA47">
            <v>0</v>
          </cell>
          <cell r="IB47">
            <v>0</v>
          </cell>
          <cell r="IC47">
            <v>1751</v>
          </cell>
          <cell r="ID47">
            <v>0</v>
          </cell>
          <cell r="IE47">
            <v>0</v>
          </cell>
          <cell r="IF47">
            <v>0</v>
          </cell>
          <cell r="IG47">
            <v>0</v>
          </cell>
          <cell r="IH47">
            <v>105</v>
          </cell>
          <cell r="II47">
            <v>2519</v>
          </cell>
          <cell r="IJ47">
            <v>0</v>
          </cell>
          <cell r="IK47">
            <v>0</v>
          </cell>
          <cell r="IL47">
            <v>0</v>
          </cell>
          <cell r="IM47">
            <v>100</v>
          </cell>
          <cell r="IN47">
            <v>377</v>
          </cell>
          <cell r="IO47">
            <v>113</v>
          </cell>
          <cell r="IP47">
            <v>286</v>
          </cell>
          <cell r="IQ47">
            <v>0</v>
          </cell>
          <cell r="IR47">
            <v>0</v>
          </cell>
          <cell r="IS47">
            <v>0</v>
          </cell>
          <cell r="IT47">
            <v>3500</v>
          </cell>
          <cell r="IU47" t="str">
            <v>Ambulance - 18 &amp; ambulance/police - 1</v>
          </cell>
          <cell r="IV47" t="str">
            <v>Water Rescue Unit, Rescue Support Unit</v>
          </cell>
          <cell r="IW47" t="str">
            <v>Cross border charges</v>
          </cell>
          <cell r="IX47" t="str">
            <v>..</v>
          </cell>
          <cell r="IY47" t="str">
            <v>Cross border charges, other grants, sponsorship &amp; bank interest</v>
          </cell>
          <cell r="IZ47" t="str">
            <v>Secondments, rental income, training, fire hydrant testing, non-emergency operational incidents, licence fees, room hire &amp; catering</v>
          </cell>
          <cell r="JA47" t="str">
            <v>..</v>
          </cell>
          <cell r="JB47"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row>
        <row r="48">
          <cell r="A48" t="str">
            <v>E6160</v>
          </cell>
          <cell r="B48" t="str">
            <v>London (LFC)</v>
          </cell>
          <cell r="C48">
            <v>0</v>
          </cell>
          <cell r="D48">
            <v>0</v>
          </cell>
          <cell r="E48">
            <v>2085551200</v>
          </cell>
          <cell r="F48">
            <v>0</v>
          </cell>
          <cell r="G48" t="str">
            <v>Ben Powell</v>
          </cell>
          <cell r="H48" t="str">
            <v>Lead Finance Business Partner</v>
          </cell>
          <cell r="I48">
            <v>2085551200</v>
          </cell>
          <cell r="J48" t="str">
            <v>ben.powell@london-fire.gov.uk</v>
          </cell>
          <cell r="K48" t="str">
            <v>..</v>
          </cell>
          <cell r="L48">
            <v>103</v>
          </cell>
          <cell r="M48">
            <v>0</v>
          </cell>
          <cell r="N48">
            <v>0</v>
          </cell>
          <cell r="O48">
            <v>0</v>
          </cell>
          <cell r="P48">
            <v>103</v>
          </cell>
          <cell r="Q48">
            <v>5</v>
          </cell>
          <cell r="R48">
            <v>103</v>
          </cell>
          <cell r="S48">
            <v>0</v>
          </cell>
          <cell r="T48">
            <v>0</v>
          </cell>
          <cell r="U48">
            <v>0</v>
          </cell>
          <cell r="V48">
            <v>103</v>
          </cell>
          <cell r="W48">
            <v>5</v>
          </cell>
          <cell r="X48">
            <v>143</v>
          </cell>
          <cell r="Y48">
            <v>142</v>
          </cell>
          <cell r="Z48">
            <v>11</v>
          </cell>
          <cell r="AA48">
            <v>50</v>
          </cell>
          <cell r="AB48">
            <v>57</v>
          </cell>
          <cell r="AC48">
            <v>0</v>
          </cell>
          <cell r="AD48">
            <v>86</v>
          </cell>
          <cell r="AE48">
            <v>346</v>
          </cell>
          <cell r="AF48">
            <v>32</v>
          </cell>
          <cell r="AG48">
            <v>54</v>
          </cell>
          <cell r="AH48">
            <v>42</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v>239924</v>
          </cell>
          <cell r="BC48">
            <v>0</v>
          </cell>
          <cell r="BD48">
            <v>5676.5659999999998</v>
          </cell>
          <cell r="BE48">
            <v>48934.279000000002</v>
          </cell>
          <cell r="BF48">
            <v>17624.871999999999</v>
          </cell>
          <cell r="BG48">
            <v>2994.5920000000001</v>
          </cell>
          <cell r="BH48">
            <v>315154.30899999995</v>
          </cell>
          <cell r="BI48">
            <v>37361.873</v>
          </cell>
          <cell r="BJ48">
            <v>15449.251</v>
          </cell>
          <cell r="BK48">
            <v>30011.014999999999</v>
          </cell>
          <cell r="BL48">
            <v>34003</v>
          </cell>
          <cell r="BM48">
            <v>2206.64</v>
          </cell>
          <cell r="BN48">
            <v>0</v>
          </cell>
          <cell r="BO48">
            <v>434186.08799999999</v>
          </cell>
          <cell r="BP48">
            <v>16826.062999999998</v>
          </cell>
          <cell r="BQ48">
            <v>332.86199999999997</v>
          </cell>
          <cell r="BR48">
            <v>40100.731</v>
          </cell>
          <cell r="BS48">
            <v>57259.656000000003</v>
          </cell>
          <cell r="BT48">
            <v>376926.43199999997</v>
          </cell>
          <cell r="BU48">
            <v>45267.525080000007</v>
          </cell>
          <cell r="BV48">
            <v>344775.13199999998</v>
          </cell>
          <cell r="BW48">
            <v>0</v>
          </cell>
          <cell r="BX48">
            <v>7262.223</v>
          </cell>
          <cell r="BY48">
            <v>3195</v>
          </cell>
          <cell r="BZ48">
            <v>6238</v>
          </cell>
          <cell r="CA48">
            <v>-861</v>
          </cell>
          <cell r="CB48">
            <v>1192</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v>271327</v>
          </cell>
          <cell r="CP48">
            <v>0</v>
          </cell>
          <cell r="CQ48">
            <v>5543.5029999999997</v>
          </cell>
          <cell r="CR48">
            <v>54380.9</v>
          </cell>
          <cell r="CS48">
            <v>16216.814</v>
          </cell>
          <cell r="CT48">
            <v>3040.0650000000001</v>
          </cell>
          <cell r="CU48">
            <v>350508.28200000006</v>
          </cell>
          <cell r="CV48">
            <v>40030</v>
          </cell>
          <cell r="CW48">
            <v>18913</v>
          </cell>
          <cell r="CX48">
            <v>29605</v>
          </cell>
          <cell r="CY48">
            <v>33411</v>
          </cell>
          <cell r="CZ48">
            <v>1863</v>
          </cell>
          <cell r="DA48">
            <v>0</v>
          </cell>
          <cell r="DB48">
            <v>474330.28200000006</v>
          </cell>
          <cell r="DC48">
            <v>35308</v>
          </cell>
          <cell r="DD48">
            <v>580.19399999999996</v>
          </cell>
          <cell r="DE48">
            <v>40381.805999999997</v>
          </cell>
          <cell r="DF48">
            <v>76270</v>
          </cell>
          <cell r="DG48">
            <v>398060.28200000006</v>
          </cell>
          <cell r="DH48">
            <v>0</v>
          </cell>
          <cell r="DI48">
            <v>0</v>
          </cell>
          <cell r="DJ48">
            <v>0</v>
          </cell>
          <cell r="DK48">
            <v>7167.0079500000002</v>
          </cell>
          <cell r="DL48">
            <v>3113.2192799999998</v>
          </cell>
          <cell r="DM48">
            <v>6341</v>
          </cell>
          <cell r="DN48">
            <v>-800</v>
          </cell>
          <cell r="DO48">
            <v>1257.6269500000001</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392385.08199999999</v>
          </cell>
          <cell r="EG48">
            <v>215000</v>
          </cell>
          <cell r="EH48">
            <v>147500</v>
          </cell>
          <cell r="EI48">
            <v>0</v>
          </cell>
          <cell r="EJ48">
            <v>0</v>
          </cell>
          <cell r="EK48">
            <v>754885.08200000005</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v>-25701953</v>
          </cell>
          <cell r="FI48">
            <v>-682038</v>
          </cell>
          <cell r="FJ48">
            <v>-134898</v>
          </cell>
          <cell r="FK48">
            <v>-21449354</v>
          </cell>
          <cell r="FL48">
            <v>-758585</v>
          </cell>
          <cell r="FM48">
            <v>143090295</v>
          </cell>
          <cell r="FN48">
            <v>20873952</v>
          </cell>
          <cell r="FO48">
            <v>69096</v>
          </cell>
          <cell r="FP48">
            <v>115306515</v>
          </cell>
          <cell r="FQ48">
            <v>19720006</v>
          </cell>
          <cell r="FR48">
            <v>0</v>
          </cell>
          <cell r="FS48">
            <v>-48343206</v>
          </cell>
          <cell r="FT48">
            <v>-949476</v>
          </cell>
          <cell r="FU48">
            <v>0</v>
          </cell>
          <cell r="FV48">
            <v>-21229306</v>
          </cell>
          <cell r="FW48">
            <v>0</v>
          </cell>
          <cell r="FX48">
            <v>147475024</v>
          </cell>
          <cell r="FY48">
            <v>25554722</v>
          </cell>
          <cell r="FZ48">
            <v>84019</v>
          </cell>
          <cell r="GA48">
            <v>102591777</v>
          </cell>
          <cell r="GB48">
            <v>19955260</v>
          </cell>
          <cell r="GC48">
            <v>0</v>
          </cell>
          <cell r="GD48">
            <v>8792</v>
          </cell>
          <cell r="GE48">
            <v>8941</v>
          </cell>
          <cell r="GF48">
            <v>149</v>
          </cell>
          <cell r="GG48">
            <v>10</v>
          </cell>
          <cell r="GH48">
            <v>783</v>
          </cell>
          <cell r="GI48">
            <v>18</v>
          </cell>
          <cell r="GJ48">
            <v>3522</v>
          </cell>
          <cell r="GK48">
            <v>0</v>
          </cell>
          <cell r="GL48">
            <v>780</v>
          </cell>
          <cell r="GM48">
            <v>396</v>
          </cell>
          <cell r="GN48">
            <v>264</v>
          </cell>
          <cell r="GO48">
            <v>0</v>
          </cell>
          <cell r="GP48">
            <v>30201</v>
          </cell>
          <cell r="GQ48">
            <v>20356</v>
          </cell>
          <cell r="GR48">
            <v>5058</v>
          </cell>
          <cell r="GS48">
            <v>52230</v>
          </cell>
          <cell r="GT48">
            <v>23204</v>
          </cell>
          <cell r="GU48">
            <v>11324</v>
          </cell>
          <cell r="GV48">
            <v>0</v>
          </cell>
          <cell r="GW48">
            <v>0</v>
          </cell>
          <cell r="GX48">
            <v>560.83947999999998</v>
          </cell>
          <cell r="GY48">
            <v>481.66775999999987</v>
          </cell>
          <cell r="GZ48">
            <v>4308.8122499999981</v>
          </cell>
          <cell r="HA48">
            <v>6003.0126800000007</v>
          </cell>
          <cell r="HB48">
            <v>7293.391880000001</v>
          </cell>
          <cell r="HC48">
            <v>0</v>
          </cell>
          <cell r="HD48">
            <v>114.89268000000001</v>
          </cell>
          <cell r="HE48">
            <v>14.689249999999999</v>
          </cell>
          <cell r="HF48">
            <v>333.02186000000006</v>
          </cell>
          <cell r="HG48">
            <v>1020.6333500000001</v>
          </cell>
          <cell r="HH48">
            <v>885.18905000000007</v>
          </cell>
          <cell r="HI48">
            <v>0</v>
          </cell>
          <cell r="HJ48">
            <v>0</v>
          </cell>
          <cell r="HK48">
            <v>0</v>
          </cell>
          <cell r="HL48">
            <v>21016.150239999999</v>
          </cell>
          <cell r="HM48">
            <v>0</v>
          </cell>
          <cell r="HN48">
            <v>0</v>
          </cell>
          <cell r="HO48">
            <v>44.809719999999999</v>
          </cell>
          <cell r="HP48">
            <v>1013.1027600000001</v>
          </cell>
          <cell r="HQ48">
            <v>2153.9017599999997</v>
          </cell>
          <cell r="HR48">
            <v>6086.7494900000002</v>
          </cell>
          <cell r="HS48">
            <v>1566.5000500000001</v>
          </cell>
          <cell r="HT48">
            <v>0</v>
          </cell>
          <cell r="HU48">
            <v>49.025640000000003</v>
          </cell>
          <cell r="HV48">
            <v>0</v>
          </cell>
          <cell r="HW48">
            <v>392.69509000000005</v>
          </cell>
          <cell r="HX48">
            <v>140.44382000000002</v>
          </cell>
          <cell r="HY48">
            <v>1984.62508</v>
          </cell>
          <cell r="HZ48">
            <v>0</v>
          </cell>
          <cell r="IA48">
            <v>0</v>
          </cell>
          <cell r="IB48">
            <v>0</v>
          </cell>
          <cell r="IC48">
            <v>13431.85341</v>
          </cell>
          <cell r="ID48">
            <v>0</v>
          </cell>
          <cell r="IE48">
            <v>0</v>
          </cell>
          <cell r="IF48">
            <v>5049</v>
          </cell>
          <cell r="IG48">
            <v>813</v>
          </cell>
          <cell r="IH48">
            <v>5133</v>
          </cell>
          <cell r="II48">
            <v>14710</v>
          </cell>
          <cell r="IJ48">
            <v>4761</v>
          </cell>
          <cell r="IK48">
            <v>500</v>
          </cell>
          <cell r="IL48">
            <v>150</v>
          </cell>
          <cell r="IM48">
            <v>100</v>
          </cell>
          <cell r="IN48">
            <v>1189</v>
          </cell>
          <cell r="IO48">
            <v>1472</v>
          </cell>
          <cell r="IP48">
            <v>563</v>
          </cell>
          <cell r="IQ48">
            <v>0</v>
          </cell>
          <cell r="IR48">
            <v>0</v>
          </cell>
          <cell r="IS48">
            <v>0</v>
          </cell>
          <cell r="IT48">
            <v>34440</v>
          </cell>
          <cell r="IU48" t="str">
            <v>London Ambulance and MOPAC</v>
          </cell>
          <cell r="IV48" t="str">
            <v>AWD, Bulk Foam Unit, Fireboat, Fire Rescue Unit,  Heavy Distribution Unit, Hose Layer, Operational Support Unit, Fire Investigation Van, Fire Investigation Dog Van, Special AWD, GP Van, Cold Cut Van, Medium Rescue Support, Panel Van</v>
          </cell>
          <cell r="IW48" t="str">
            <v>Other Local Authorities and Agencies</v>
          </cell>
          <cell r="IX48" t="str">
            <v>..</v>
          </cell>
          <cell r="IY48" t="str">
            <v>Mutual Assistance and Shared Service Income</v>
          </cell>
          <cell r="IZ48" t="str">
            <v>..</v>
          </cell>
          <cell r="JA48" t="str">
            <v>..</v>
          </cell>
          <cell r="JB48" t="str">
            <v>..</v>
          </cell>
        </row>
        <row r="49">
          <cell r="A49" t="str">
            <v>E6120</v>
          </cell>
          <cell r="B49" t="str">
            <v>Humberside</v>
          </cell>
          <cell r="C49" t="str">
            <v>Shaun Edwards</v>
          </cell>
          <cell r="D49" t="str">
            <v>Senior Finance Officer</v>
          </cell>
          <cell r="E49" t="str">
            <v>01482 567476</v>
          </cell>
          <cell r="F49" t="str">
            <v>sedwards@humbersidefire.gov.uk</v>
          </cell>
          <cell r="G49" t="str">
            <v>Shaun Edwards</v>
          </cell>
          <cell r="H49" t="str">
            <v>Senior Finance Officer</v>
          </cell>
          <cell r="I49" t="str">
            <v>01482 567476</v>
          </cell>
          <cell r="J49" t="str">
            <v>sedwards@humbersidefire.gov.uk</v>
          </cell>
          <cell r="K49" t="str">
            <v>..</v>
          </cell>
          <cell r="L49">
            <v>9</v>
          </cell>
          <cell r="M49">
            <v>19</v>
          </cell>
          <cell r="N49">
            <v>3</v>
          </cell>
          <cell r="O49">
            <v>0</v>
          </cell>
          <cell r="P49">
            <v>31</v>
          </cell>
          <cell r="Q49">
            <v>1</v>
          </cell>
          <cell r="R49">
            <v>9</v>
          </cell>
          <cell r="S49">
            <v>19</v>
          </cell>
          <cell r="T49">
            <v>3</v>
          </cell>
          <cell r="U49">
            <v>0</v>
          </cell>
          <cell r="V49">
            <v>31</v>
          </cell>
          <cell r="W49">
            <v>3</v>
          </cell>
          <cell r="X49">
            <v>43</v>
          </cell>
          <cell r="Y49">
            <v>44</v>
          </cell>
          <cell r="Z49">
            <v>4</v>
          </cell>
          <cell r="AA49">
            <v>4</v>
          </cell>
          <cell r="AB49">
            <v>36</v>
          </cell>
          <cell r="AC49">
            <v>0</v>
          </cell>
          <cell r="AD49">
            <v>6</v>
          </cell>
          <cell r="AE49">
            <v>94</v>
          </cell>
          <cell r="AF49">
            <v>109</v>
          </cell>
          <cell r="AG49">
            <v>6</v>
          </cell>
          <cell r="AH49">
            <v>4</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v>26131</v>
          </cell>
          <cell r="BC49">
            <v>4262</v>
          </cell>
          <cell r="BD49">
            <v>1085</v>
          </cell>
          <cell r="BE49">
            <v>3715</v>
          </cell>
          <cell r="BF49">
            <v>533</v>
          </cell>
          <cell r="BG49">
            <v>1482</v>
          </cell>
          <cell r="BH49">
            <v>37208</v>
          </cell>
          <cell r="BI49">
            <v>1723</v>
          </cell>
          <cell r="BJ49">
            <v>865</v>
          </cell>
          <cell r="BK49">
            <v>3299</v>
          </cell>
          <cell r="BL49">
            <v>187</v>
          </cell>
          <cell r="BM49">
            <v>0</v>
          </cell>
          <cell r="BN49">
            <v>0</v>
          </cell>
          <cell r="BO49">
            <v>43282</v>
          </cell>
          <cell r="BP49">
            <v>721</v>
          </cell>
          <cell r="BQ49">
            <v>0</v>
          </cell>
          <cell r="BR49">
            <v>1915</v>
          </cell>
          <cell r="BS49">
            <v>2636</v>
          </cell>
          <cell r="BT49">
            <v>40646</v>
          </cell>
          <cell r="BU49">
            <v>3401</v>
          </cell>
          <cell r="BV49">
            <v>7203</v>
          </cell>
          <cell r="BW49">
            <v>0</v>
          </cell>
          <cell r="BX49">
            <v>1079</v>
          </cell>
          <cell r="BY49">
            <v>0</v>
          </cell>
          <cell r="BZ49">
            <v>683</v>
          </cell>
          <cell r="CA49">
            <v>56</v>
          </cell>
          <cell r="CB49">
            <v>0</v>
          </cell>
          <cell r="CC49">
            <v>402</v>
          </cell>
          <cell r="CD49">
            <v>39</v>
          </cell>
          <cell r="CE49">
            <v>0</v>
          </cell>
          <cell r="CF49">
            <v>752</v>
          </cell>
          <cell r="CG49">
            <v>0</v>
          </cell>
          <cell r="CH49">
            <v>194</v>
          </cell>
          <cell r="CI49">
            <v>1387</v>
          </cell>
          <cell r="CJ49">
            <v>1571</v>
          </cell>
          <cell r="CK49">
            <v>829</v>
          </cell>
          <cell r="CL49">
            <v>1535</v>
          </cell>
          <cell r="CM49">
            <v>38</v>
          </cell>
          <cell r="CN49">
            <v>338</v>
          </cell>
          <cell r="CO49">
            <v>24571</v>
          </cell>
          <cell r="CP49">
            <v>4642</v>
          </cell>
          <cell r="CQ49">
            <v>1227</v>
          </cell>
          <cell r="CR49">
            <v>6239</v>
          </cell>
          <cell r="CS49">
            <v>422</v>
          </cell>
          <cell r="CT49">
            <v>1113</v>
          </cell>
          <cell r="CU49">
            <v>38214</v>
          </cell>
          <cell r="CV49">
            <v>2661</v>
          </cell>
          <cell r="CW49">
            <v>1664</v>
          </cell>
          <cell r="CX49">
            <v>3370</v>
          </cell>
          <cell r="CY49">
            <v>204</v>
          </cell>
          <cell r="CZ49">
            <v>0</v>
          </cell>
          <cell r="DA49">
            <v>0</v>
          </cell>
          <cell r="DB49">
            <v>46113</v>
          </cell>
          <cell r="DC49">
            <v>2543</v>
          </cell>
          <cell r="DD49">
            <v>0</v>
          </cell>
          <cell r="DE49">
            <v>1958</v>
          </cell>
          <cell r="DF49">
            <v>4501</v>
          </cell>
          <cell r="DG49">
            <v>41612</v>
          </cell>
          <cell r="DH49">
            <v>1958</v>
          </cell>
          <cell r="DI49">
            <v>7500</v>
          </cell>
          <cell r="DJ49">
            <v>0</v>
          </cell>
          <cell r="DK49">
            <v>1177</v>
          </cell>
          <cell r="DL49">
            <v>0</v>
          </cell>
          <cell r="DM49">
            <v>635</v>
          </cell>
          <cell r="DN49">
            <v>50</v>
          </cell>
          <cell r="DO49">
            <v>0</v>
          </cell>
          <cell r="DP49">
            <v>400</v>
          </cell>
          <cell r="DQ49">
            <v>50</v>
          </cell>
          <cell r="DR49">
            <v>0</v>
          </cell>
          <cell r="DS49">
            <v>750</v>
          </cell>
          <cell r="DT49">
            <v>0</v>
          </cell>
          <cell r="DU49">
            <v>200</v>
          </cell>
          <cell r="DV49">
            <v>1400</v>
          </cell>
          <cell r="DW49">
            <v>1600</v>
          </cell>
          <cell r="DX49">
            <v>850</v>
          </cell>
          <cell r="DY49">
            <v>1500</v>
          </cell>
          <cell r="DZ49">
            <v>50</v>
          </cell>
          <cell r="EA49">
            <v>350</v>
          </cell>
          <cell r="EB49">
            <v>0</v>
          </cell>
          <cell r="EC49">
            <v>337</v>
          </cell>
          <cell r="ED49">
            <v>16.8</v>
          </cell>
          <cell r="EE49">
            <v>94</v>
          </cell>
          <cell r="EF49">
            <v>16830</v>
          </cell>
          <cell r="EG49">
            <v>3549</v>
          </cell>
          <cell r="EH49">
            <v>22993</v>
          </cell>
          <cell r="EI49">
            <v>277</v>
          </cell>
          <cell r="EJ49">
            <v>-74</v>
          </cell>
          <cell r="EK49">
            <v>43575</v>
          </cell>
          <cell r="EL49" t="str">
            <v>..</v>
          </cell>
          <cell r="EM49" t="str">
            <v>..</v>
          </cell>
          <cell r="EN49">
            <v>4697</v>
          </cell>
          <cell r="EO49" t="str">
            <v>..</v>
          </cell>
          <cell r="EP49" t="str">
            <v>..</v>
          </cell>
          <cell r="EQ49" t="str">
            <v>..</v>
          </cell>
          <cell r="ER49">
            <v>39171</v>
          </cell>
          <cell r="ES49">
            <v>0</v>
          </cell>
          <cell r="ET49">
            <v>179</v>
          </cell>
          <cell r="EU49">
            <v>0</v>
          </cell>
          <cell r="EV49">
            <v>44047</v>
          </cell>
          <cell r="EW49" t="str">
            <v>..</v>
          </cell>
          <cell r="EX49" t="str">
            <v>..</v>
          </cell>
          <cell r="EY49">
            <v>1606</v>
          </cell>
          <cell r="EZ49" t="str">
            <v>..</v>
          </cell>
          <cell r="FA49" t="str">
            <v>..</v>
          </cell>
          <cell r="FB49" t="str">
            <v>..</v>
          </cell>
          <cell r="FC49">
            <v>12450</v>
          </cell>
          <cell r="FD49">
            <v>0</v>
          </cell>
          <cell r="FE49">
            <v>0</v>
          </cell>
          <cell r="FF49">
            <v>0</v>
          </cell>
          <cell r="FG49">
            <v>14056</v>
          </cell>
          <cell r="FH49">
            <v>-2982</v>
          </cell>
          <cell r="FI49">
            <v>-251</v>
          </cell>
          <cell r="FJ49">
            <v>-10</v>
          </cell>
          <cell r="FK49">
            <v>-2573</v>
          </cell>
          <cell r="FL49">
            <v>-126</v>
          </cell>
          <cell r="FM49">
            <v>15273</v>
          </cell>
          <cell r="FN49">
            <v>3955</v>
          </cell>
          <cell r="FO49">
            <v>8</v>
          </cell>
          <cell r="FP49">
            <v>13294</v>
          </cell>
          <cell r="FQ49">
            <v>467</v>
          </cell>
          <cell r="FR49">
            <v>0</v>
          </cell>
          <cell r="FS49">
            <v>-5794</v>
          </cell>
          <cell r="FT49">
            <v>-120</v>
          </cell>
          <cell r="FU49">
            <v>0</v>
          </cell>
          <cell r="FV49">
            <v>-2511</v>
          </cell>
          <cell r="FW49">
            <v>-100</v>
          </cell>
          <cell r="FX49">
            <v>16192</v>
          </cell>
          <cell r="FY49">
            <v>2791</v>
          </cell>
          <cell r="FZ49">
            <v>0</v>
          </cell>
          <cell r="GA49">
            <v>10458</v>
          </cell>
          <cell r="GB49">
            <v>482</v>
          </cell>
          <cell r="GC49">
            <v>0</v>
          </cell>
          <cell r="GD49">
            <v>1025</v>
          </cell>
          <cell r="GE49">
            <v>1053</v>
          </cell>
          <cell r="GF49">
            <v>28</v>
          </cell>
          <cell r="GG49">
            <v>3</v>
          </cell>
          <cell r="GH49">
            <v>89</v>
          </cell>
          <cell r="GI49">
            <v>8</v>
          </cell>
          <cell r="GJ49">
            <v>623</v>
          </cell>
          <cell r="GK49">
            <v>42</v>
          </cell>
          <cell r="GL49">
            <v>49</v>
          </cell>
          <cell r="GM49">
            <v>115</v>
          </cell>
          <cell r="GN49">
            <v>74</v>
          </cell>
          <cell r="GO49">
            <v>13</v>
          </cell>
          <cell r="GP49">
            <v>4600</v>
          </cell>
          <cell r="GQ49">
            <v>5270</v>
          </cell>
          <cell r="GR49">
            <v>197</v>
          </cell>
          <cell r="GS49">
            <v>4938</v>
          </cell>
          <cell r="GT49">
            <v>5251</v>
          </cell>
          <cell r="GU49">
            <v>0</v>
          </cell>
          <cell r="GV49">
            <v>0</v>
          </cell>
          <cell r="GW49">
            <v>0</v>
          </cell>
          <cell r="GX49">
            <v>0</v>
          </cell>
          <cell r="GY49">
            <v>804</v>
          </cell>
          <cell r="GZ49">
            <v>0</v>
          </cell>
          <cell r="HA49">
            <v>1565</v>
          </cell>
          <cell r="HB49">
            <v>263</v>
          </cell>
          <cell r="HC49">
            <v>0</v>
          </cell>
          <cell r="HD49">
            <v>0</v>
          </cell>
          <cell r="HE49">
            <v>0</v>
          </cell>
          <cell r="HF49">
            <v>2</v>
          </cell>
          <cell r="HG49">
            <v>438</v>
          </cell>
          <cell r="HH49">
            <v>250</v>
          </cell>
          <cell r="HI49">
            <v>0</v>
          </cell>
          <cell r="HJ49">
            <v>0</v>
          </cell>
          <cell r="HK49">
            <v>0</v>
          </cell>
          <cell r="HL49">
            <v>3322</v>
          </cell>
          <cell r="HM49">
            <v>0</v>
          </cell>
          <cell r="HN49">
            <v>0</v>
          </cell>
          <cell r="HO49">
            <v>0</v>
          </cell>
          <cell r="HP49">
            <v>595</v>
          </cell>
          <cell r="HQ49">
            <v>0</v>
          </cell>
          <cell r="HR49">
            <v>1556</v>
          </cell>
          <cell r="HS49">
            <v>200</v>
          </cell>
          <cell r="HT49">
            <v>0</v>
          </cell>
          <cell r="HU49">
            <v>0</v>
          </cell>
          <cell r="HV49">
            <v>0</v>
          </cell>
          <cell r="HW49">
            <v>37</v>
          </cell>
          <cell r="HX49">
            <v>297</v>
          </cell>
          <cell r="HY49">
            <v>286</v>
          </cell>
          <cell r="HZ49">
            <v>0</v>
          </cell>
          <cell r="IA49">
            <v>0</v>
          </cell>
          <cell r="IB49">
            <v>0</v>
          </cell>
          <cell r="IC49">
            <v>2971</v>
          </cell>
          <cell r="ID49">
            <v>1000</v>
          </cell>
          <cell r="IE49">
            <v>0</v>
          </cell>
          <cell r="IF49">
            <v>0</v>
          </cell>
          <cell r="IG49">
            <v>3664</v>
          </cell>
          <cell r="IH49">
            <v>0</v>
          </cell>
          <cell r="II49">
            <v>450</v>
          </cell>
          <cell r="IJ49">
            <v>499</v>
          </cell>
          <cell r="IK49">
            <v>0</v>
          </cell>
          <cell r="IL49">
            <v>0</v>
          </cell>
          <cell r="IM49">
            <v>0</v>
          </cell>
          <cell r="IN49">
            <v>0</v>
          </cell>
          <cell r="IO49">
            <v>926</v>
          </cell>
          <cell r="IP49">
            <v>69</v>
          </cell>
          <cell r="IQ49">
            <v>0</v>
          </cell>
          <cell r="IR49">
            <v>0</v>
          </cell>
          <cell r="IS49">
            <v>0</v>
          </cell>
          <cell r="IT49">
            <v>6608</v>
          </cell>
          <cell r="IU49" t="str">
            <v>One of our stations is currently attached to a newly built Integrates Care Centre within Hull which we lease from health. Going forward we are looking at co-location with the Police and Ambulance services at two other fire stations</v>
          </cell>
          <cell r="IV49" t="str">
            <v>2x TRV's, 2x Rescue Support Units</v>
          </cell>
          <cell r="IW49" t="str">
            <v>..</v>
          </cell>
          <cell r="IX49" t="str">
            <v>..</v>
          </cell>
          <cell r="IY49" t="str">
            <v>..</v>
          </cell>
          <cell r="IZ49" t="str">
            <v>Staff secondments / Aerial Rentals / Extingusiher Maintenance / Collaboration re. Falls Team</v>
          </cell>
          <cell r="JA49" t="str">
            <v>..</v>
          </cell>
          <cell r="JB49" t="str">
            <v>..</v>
          </cell>
        </row>
        <row r="50">
          <cell r="A50" t="str">
            <v>E3820</v>
          </cell>
          <cell r="B50" t="str">
            <v>West Sussex</v>
          </cell>
          <cell r="C50" t="str">
            <v>Andrew Lowing</v>
          </cell>
          <cell r="D50" t="str">
            <v>Risk Manager</v>
          </cell>
          <cell r="E50">
            <v>7714916862</v>
          </cell>
          <cell r="F50" t="str">
            <v>andrew.lowing@westsussex.gov.uk</v>
          </cell>
          <cell r="G50">
            <v>0</v>
          </cell>
          <cell r="H50">
            <v>0</v>
          </cell>
          <cell r="I50">
            <v>0</v>
          </cell>
          <cell r="J50">
            <v>0</v>
          </cell>
          <cell r="K50" t="str">
            <v>..</v>
          </cell>
          <cell r="L50">
            <v>2</v>
          </cell>
          <cell r="M50">
            <v>14</v>
          </cell>
          <cell r="N50">
            <v>9</v>
          </cell>
          <cell r="O50">
            <v>0</v>
          </cell>
          <cell r="P50">
            <v>25</v>
          </cell>
          <cell r="Q50">
            <v>0</v>
          </cell>
          <cell r="R50">
            <v>2</v>
          </cell>
          <cell r="S50">
            <v>14</v>
          </cell>
          <cell r="T50">
            <v>9</v>
          </cell>
          <cell r="U50">
            <v>0</v>
          </cell>
          <cell r="V50">
            <v>25</v>
          </cell>
          <cell r="W50">
            <v>0</v>
          </cell>
          <cell r="X50">
            <v>42</v>
          </cell>
          <cell r="Y50">
            <v>42</v>
          </cell>
          <cell r="Z50">
            <v>2</v>
          </cell>
          <cell r="AA50">
            <v>0</v>
          </cell>
          <cell r="AB50">
            <v>37</v>
          </cell>
          <cell r="AC50">
            <v>0</v>
          </cell>
          <cell r="AD50">
            <v>4</v>
          </cell>
          <cell r="AE50">
            <v>85</v>
          </cell>
          <cell r="AF50">
            <v>128</v>
          </cell>
          <cell r="AG50">
            <v>6</v>
          </cell>
          <cell r="AH50">
            <v>6</v>
          </cell>
          <cell r="AI50" t="str">
            <v>..</v>
          </cell>
          <cell r="AJ50" t="str">
            <v>..</v>
          </cell>
          <cell r="AK50">
            <v>2</v>
          </cell>
          <cell r="AL50">
            <v>3</v>
          </cell>
          <cell r="AM50">
            <v>9</v>
          </cell>
          <cell r="AN50">
            <v>26</v>
          </cell>
          <cell r="AO50">
            <v>58</v>
          </cell>
          <cell r="AP50">
            <v>46</v>
          </cell>
          <cell r="AQ50">
            <v>175</v>
          </cell>
          <cell r="AR50">
            <v>319</v>
          </cell>
          <cell r="AS50">
            <v>0</v>
          </cell>
          <cell r="AT50">
            <v>0</v>
          </cell>
          <cell r="AU50">
            <v>13</v>
          </cell>
          <cell r="AV50">
            <v>32</v>
          </cell>
          <cell r="AW50">
            <v>106</v>
          </cell>
          <cell r="AX50">
            <v>151</v>
          </cell>
          <cell r="AY50">
            <v>0</v>
          </cell>
          <cell r="AZ50">
            <v>79</v>
          </cell>
          <cell r="BA50">
            <v>549</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G50">
            <v>0</v>
          </cell>
          <cell r="EH50">
            <v>0</v>
          </cell>
          <cell r="EI50">
            <v>0</v>
          </cell>
          <cell r="EJ50">
            <v>0</v>
          </cell>
          <cell r="EK50">
            <v>0</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t="str">
            <v>..</v>
          </cell>
          <cell r="FK50" t="str">
            <v>..</v>
          </cell>
          <cell r="FL50" t="str">
            <v>..</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t="str">
            <v>..</v>
          </cell>
          <cell r="HD50" t="str">
            <v>..</v>
          </cell>
          <cell r="HE50" t="str">
            <v>..</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t="str">
            <v>..</v>
          </cell>
          <cell r="HS50" t="str">
            <v>..</v>
          </cell>
          <cell r="HT50" t="str">
            <v>..</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t="str">
            <v>..</v>
          </cell>
          <cell r="IH50" t="str">
            <v>..</v>
          </cell>
          <cell r="II50" t="str">
            <v>..</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t="str">
            <v>..</v>
          </cell>
          <cell r="IW50" t="str">
            <v>..</v>
          </cell>
          <cell r="IX50" t="str">
            <v>..</v>
          </cell>
          <cell r="IY50" t="str">
            <v>..</v>
          </cell>
          <cell r="IZ50" t="str">
            <v>..</v>
          </cell>
          <cell r="JA50" t="str">
            <v>..</v>
          </cell>
          <cell r="JB50" t="str">
            <v>..</v>
          </cell>
        </row>
        <row r="51">
          <cell r="A51" t="str">
            <v>E3120</v>
          </cell>
          <cell r="B51" t="str">
            <v>Oxfordshire</v>
          </cell>
          <cell r="C51" t="str">
            <v>Jeanette Dee</v>
          </cell>
          <cell r="D51" t="str">
            <v>..</v>
          </cell>
          <cell r="E51" t="str">
            <v>..</v>
          </cell>
          <cell r="F51" t="str">
            <v>Jeanette.Dee@Oxfordshire.gov.uk</v>
          </cell>
          <cell r="G51" t="str">
            <v>Chris Chard</v>
          </cell>
          <cell r="H51" t="str">
            <v>..</v>
          </cell>
          <cell r="I51" t="str">
            <v>..</v>
          </cell>
          <cell r="J51" t="str">
            <v>Chris.Chard@Oxfordshire.gov.uk</v>
          </cell>
          <cell r="K51" t="str">
            <v>Tony Hughes: Tony.Hughes@Oxfordshire.gov.uk</v>
          </cell>
          <cell r="L51">
            <v>0</v>
          </cell>
          <cell r="M51">
            <v>19</v>
          </cell>
          <cell r="N51">
            <v>6</v>
          </cell>
          <cell r="O51">
            <v>0</v>
          </cell>
          <cell r="P51">
            <v>25</v>
          </cell>
          <cell r="Q51">
            <v>2</v>
          </cell>
          <cell r="R51">
            <v>0</v>
          </cell>
          <cell r="S51">
            <v>19</v>
          </cell>
          <cell r="T51">
            <v>6</v>
          </cell>
          <cell r="U51">
            <v>0</v>
          </cell>
          <cell r="V51">
            <v>25</v>
          </cell>
          <cell r="W51">
            <v>3</v>
          </cell>
          <cell r="X51">
            <v>35</v>
          </cell>
          <cell r="Y51">
            <v>35</v>
          </cell>
          <cell r="Z51">
            <v>1</v>
          </cell>
          <cell r="AA51">
            <v>5</v>
          </cell>
          <cell r="AB51">
            <v>21</v>
          </cell>
          <cell r="AC51">
            <v>25</v>
          </cell>
          <cell r="AD51">
            <v>4</v>
          </cell>
          <cell r="AE51">
            <v>91</v>
          </cell>
          <cell r="AF51">
            <v>73</v>
          </cell>
          <cell r="AG51">
            <v>5</v>
          </cell>
          <cell r="AH51">
            <v>7</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v>11674</v>
          </cell>
          <cell r="BC51">
            <v>3417</v>
          </cell>
          <cell r="BD51">
            <v>0</v>
          </cell>
          <cell r="BE51">
            <v>2060</v>
          </cell>
          <cell r="BF51">
            <v>645</v>
          </cell>
          <cell r="BG51">
            <v>168</v>
          </cell>
          <cell r="BH51">
            <v>17964</v>
          </cell>
          <cell r="BI51">
            <v>1608</v>
          </cell>
          <cell r="BJ51">
            <v>1146</v>
          </cell>
          <cell r="BK51">
            <v>2271</v>
          </cell>
          <cell r="BL51">
            <v>1229</v>
          </cell>
          <cell r="BM51">
            <v>624</v>
          </cell>
          <cell r="BN51">
            <v>180</v>
          </cell>
          <cell r="BO51">
            <v>25022</v>
          </cell>
          <cell r="BP51">
            <v>48</v>
          </cell>
          <cell r="BQ51">
            <v>674</v>
          </cell>
          <cell r="BR51">
            <v>229</v>
          </cell>
          <cell r="BS51">
            <v>951</v>
          </cell>
          <cell r="BT51">
            <v>24071</v>
          </cell>
          <cell r="BU51">
            <v>1838</v>
          </cell>
          <cell r="BV51">
            <v>3378</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v>12931</v>
          </cell>
          <cell r="CP51">
            <v>3967</v>
          </cell>
          <cell r="CQ51">
            <v>0</v>
          </cell>
          <cell r="CR51">
            <v>2515</v>
          </cell>
          <cell r="CS51">
            <v>543</v>
          </cell>
          <cell r="CT51">
            <v>205</v>
          </cell>
          <cell r="CU51">
            <v>20161</v>
          </cell>
          <cell r="CV51">
            <v>1471</v>
          </cell>
          <cell r="CW51">
            <v>1264</v>
          </cell>
          <cell r="CX51">
            <v>2395</v>
          </cell>
          <cell r="CY51">
            <v>1297</v>
          </cell>
          <cell r="CZ51">
            <v>700</v>
          </cell>
          <cell r="DA51">
            <v>-143</v>
          </cell>
          <cell r="DB51">
            <v>27145</v>
          </cell>
          <cell r="DC51">
            <v>1206</v>
          </cell>
          <cell r="DD51">
            <v>425</v>
          </cell>
          <cell r="DE51">
            <v>436</v>
          </cell>
          <cell r="DF51">
            <v>2067</v>
          </cell>
          <cell r="DG51">
            <v>25078</v>
          </cell>
          <cell r="DH51">
            <v>0</v>
          </cell>
          <cell r="DI51">
            <v>0</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v>3</v>
          </cell>
          <cell r="ED51">
            <v>19.899999999999999</v>
          </cell>
          <cell r="EE51">
            <v>0</v>
          </cell>
          <cell r="EF51">
            <v>0</v>
          </cell>
          <cell r="EG51">
            <v>0</v>
          </cell>
          <cell r="EH51">
            <v>0</v>
          </cell>
          <cell r="EI51">
            <v>0</v>
          </cell>
          <cell r="EJ51">
            <v>0</v>
          </cell>
          <cell r="EK51">
            <v>0</v>
          </cell>
          <cell r="EL51" t="str">
            <v>..</v>
          </cell>
          <cell r="EM51" t="str">
            <v>..</v>
          </cell>
          <cell r="EN51" t="str">
            <v>..</v>
          </cell>
          <cell r="EO51" t="str">
            <v>..</v>
          </cell>
          <cell r="EP51" t="str">
            <v>..</v>
          </cell>
          <cell r="EQ51" t="str">
            <v>..</v>
          </cell>
          <cell r="ER51" t="str">
            <v>..</v>
          </cell>
          <cell r="ES51" t="str">
            <v>..</v>
          </cell>
          <cell r="ET51" t="str">
            <v>..</v>
          </cell>
          <cell r="EU51" t="str">
            <v>..</v>
          </cell>
          <cell r="EV51" t="str">
            <v>..</v>
          </cell>
          <cell r="EW51" t="str">
            <v>..</v>
          </cell>
          <cell r="EX51" t="str">
            <v>..</v>
          </cell>
          <cell r="EY51" t="str">
            <v>..</v>
          </cell>
          <cell r="EZ51" t="str">
            <v>..</v>
          </cell>
          <cell r="FA51" t="str">
            <v>..</v>
          </cell>
          <cell r="FB51" t="str">
            <v>..</v>
          </cell>
          <cell r="FC51" t="str">
            <v>..</v>
          </cell>
          <cell r="FD51" t="str">
            <v>..</v>
          </cell>
          <cell r="FE51" t="str">
            <v>..</v>
          </cell>
          <cell r="FF51" t="str">
            <v>..</v>
          </cell>
          <cell r="FG51" t="str">
            <v>..</v>
          </cell>
          <cell r="FH51">
            <v>-1589</v>
          </cell>
          <cell r="FI51">
            <v>-55</v>
          </cell>
          <cell r="FJ51">
            <v>195</v>
          </cell>
          <cell r="FK51">
            <v>-1392</v>
          </cell>
          <cell r="FL51">
            <v>0</v>
          </cell>
          <cell r="FM51">
            <v>5463</v>
          </cell>
          <cell r="FN51">
            <v>1267</v>
          </cell>
          <cell r="FO51">
            <v>0</v>
          </cell>
          <cell r="FP51">
            <v>3889</v>
          </cell>
          <cell r="FQ51">
            <v>369</v>
          </cell>
          <cell r="FR51">
            <v>3</v>
          </cell>
          <cell r="FS51" t="str">
            <v>..</v>
          </cell>
          <cell r="FT51" t="str">
            <v>..</v>
          </cell>
          <cell r="FU51" t="str">
            <v>..</v>
          </cell>
          <cell r="FV51" t="str">
            <v>..</v>
          </cell>
          <cell r="FW51" t="str">
            <v>..</v>
          </cell>
          <cell r="FX51" t="str">
            <v>..</v>
          </cell>
          <cell r="FY51" t="str">
            <v>..</v>
          </cell>
          <cell r="FZ51" t="str">
            <v>..</v>
          </cell>
          <cell r="GA51" t="str">
            <v>..</v>
          </cell>
          <cell r="GB51" t="str">
            <v>..</v>
          </cell>
          <cell r="GC51" t="str">
            <v>..</v>
          </cell>
          <cell r="GD51">
            <v>367</v>
          </cell>
          <cell r="GE51">
            <v>376</v>
          </cell>
          <cell r="GF51">
            <v>10</v>
          </cell>
          <cell r="GG51">
            <v>2</v>
          </cell>
          <cell r="GH51">
            <v>18</v>
          </cell>
          <cell r="GI51">
            <v>9</v>
          </cell>
          <cell r="GJ51">
            <v>500</v>
          </cell>
          <cell r="GK51">
            <v>15</v>
          </cell>
          <cell r="GL51">
            <v>30</v>
          </cell>
          <cell r="GM51">
            <v>358</v>
          </cell>
          <cell r="GN51">
            <v>194</v>
          </cell>
          <cell r="GO51">
            <v>20</v>
          </cell>
          <cell r="GP51">
            <v>2746</v>
          </cell>
          <cell r="GQ51">
            <v>0</v>
          </cell>
          <cell r="GR51">
            <v>0</v>
          </cell>
          <cell r="GS51">
            <v>2871</v>
          </cell>
          <cell r="GT51">
            <v>0</v>
          </cell>
          <cell r="GU51">
            <v>0</v>
          </cell>
          <cell r="GV51">
            <v>0</v>
          </cell>
          <cell r="GW51">
            <v>0</v>
          </cell>
          <cell r="GX51">
            <v>0</v>
          </cell>
          <cell r="GY51">
            <v>0</v>
          </cell>
          <cell r="GZ51">
            <v>0</v>
          </cell>
          <cell r="HA51">
            <v>1182</v>
          </cell>
          <cell r="HB51">
            <v>0</v>
          </cell>
          <cell r="HC51">
            <v>0</v>
          </cell>
          <cell r="HD51">
            <v>0</v>
          </cell>
          <cell r="HE51">
            <v>0</v>
          </cell>
          <cell r="HF51">
            <v>0</v>
          </cell>
          <cell r="HG51">
            <v>0</v>
          </cell>
          <cell r="HH51">
            <v>0</v>
          </cell>
          <cell r="HI51">
            <v>0</v>
          </cell>
          <cell r="HJ51">
            <v>0</v>
          </cell>
          <cell r="HK51">
            <v>0</v>
          </cell>
          <cell r="HL51">
            <v>1182</v>
          </cell>
          <cell r="HM51">
            <v>0</v>
          </cell>
          <cell r="HN51">
            <v>0</v>
          </cell>
          <cell r="HO51">
            <v>120</v>
          </cell>
          <cell r="HP51">
            <v>28</v>
          </cell>
          <cell r="HQ51">
            <v>0</v>
          </cell>
          <cell r="HR51">
            <v>1371</v>
          </cell>
          <cell r="HS51">
            <v>0</v>
          </cell>
          <cell r="HT51">
            <v>0</v>
          </cell>
          <cell r="HU51">
            <v>0</v>
          </cell>
          <cell r="HV51">
            <v>0</v>
          </cell>
          <cell r="HW51">
            <v>0</v>
          </cell>
          <cell r="HX51">
            <v>0</v>
          </cell>
          <cell r="HY51">
            <v>0</v>
          </cell>
          <cell r="HZ51">
            <v>0</v>
          </cell>
          <cell r="IA51">
            <v>0</v>
          </cell>
          <cell r="IB51">
            <v>0</v>
          </cell>
          <cell r="IC51">
            <v>1519</v>
          </cell>
          <cell r="ID51">
            <v>0</v>
          </cell>
          <cell r="IE51">
            <v>0</v>
          </cell>
          <cell r="IF51">
            <v>400</v>
          </cell>
          <cell r="IG51">
            <v>900</v>
          </cell>
          <cell r="IH51">
            <v>0</v>
          </cell>
          <cell r="II51">
            <v>1000</v>
          </cell>
          <cell r="IJ51">
            <v>0</v>
          </cell>
          <cell r="IK51">
            <v>0</v>
          </cell>
          <cell r="IL51">
            <v>0</v>
          </cell>
          <cell r="IM51">
            <v>0</v>
          </cell>
          <cell r="IN51">
            <v>0</v>
          </cell>
          <cell r="IO51">
            <v>0</v>
          </cell>
          <cell r="IP51">
            <v>0</v>
          </cell>
          <cell r="IQ51">
            <v>0</v>
          </cell>
          <cell r="IR51">
            <v>0</v>
          </cell>
          <cell r="IS51">
            <v>0</v>
          </cell>
          <cell r="IT51">
            <v>2300</v>
          </cell>
          <cell r="IU51" t="str">
            <v>1 shares with Police and another is a stand by point for Ambulance</v>
          </cell>
          <cell r="IV51" t="str">
            <v>Rescue tender x1 rescue boat x1 4x4 x3 fogging system</v>
          </cell>
          <cell r="IW51" t="str">
            <v>£596.6k in 2018-19 to Royal Berkshire FRS for Thames Valley Fire Control</v>
          </cell>
          <cell r="IX51" t="str">
            <v>2018/19: £180k transfer to reserves.  2019/20: £2.3m trasnfers from reserves offset by £2.2m vehicle purchases on CERA.</v>
          </cell>
          <cell r="IY51" t="str">
            <v>..</v>
          </cell>
          <cell r="IZ51" t="str">
            <v>..</v>
          </cell>
          <cell r="JA51" t="str">
            <v>..</v>
          </cell>
          <cell r="JB51" t="str">
            <v>..</v>
          </cell>
        </row>
        <row r="52">
          <cell r="A52" t="str">
            <v>E0920</v>
          </cell>
          <cell r="B52" t="str">
            <v>Cumbria</v>
          </cell>
          <cell r="C52" t="str">
            <v>Nathaniel Hooton</v>
          </cell>
          <cell r="D52" t="str">
            <v>Area Manager</v>
          </cell>
          <cell r="E52" t="str">
            <v>"07766366079</v>
          </cell>
          <cell r="F52" t="str">
            <v>Nathaniel.Hooton@cumbria.gov.uk</v>
          </cell>
          <cell r="G52" t="str">
            <v>Wendy Forshaw</v>
          </cell>
          <cell r="H52" t="str">
            <v>Finance Manager</v>
          </cell>
          <cell r="I52" t="str">
            <v>"07786334849</v>
          </cell>
          <cell r="J52" t="str">
            <v>wendy.forshaw@cumbria.gov.uk</v>
          </cell>
          <cell r="K52" t="str">
            <v>..</v>
          </cell>
          <cell r="L52">
            <v>2</v>
          </cell>
          <cell r="M52">
            <v>30</v>
          </cell>
          <cell r="N52">
            <v>6</v>
          </cell>
          <cell r="O52">
            <v>0</v>
          </cell>
          <cell r="P52">
            <v>38</v>
          </cell>
          <cell r="Q52">
            <v>1</v>
          </cell>
          <cell r="R52">
            <v>2</v>
          </cell>
          <cell r="S52">
            <v>30</v>
          </cell>
          <cell r="T52">
            <v>6</v>
          </cell>
          <cell r="U52">
            <v>0</v>
          </cell>
          <cell r="V52">
            <v>38</v>
          </cell>
          <cell r="W52">
            <v>1</v>
          </cell>
          <cell r="X52">
            <v>45</v>
          </cell>
          <cell r="Y52">
            <v>45</v>
          </cell>
          <cell r="Z52">
            <v>2</v>
          </cell>
          <cell r="AA52">
            <v>20</v>
          </cell>
          <cell r="AB52">
            <v>61</v>
          </cell>
          <cell r="AC52">
            <v>0</v>
          </cell>
          <cell r="AD52">
            <v>3</v>
          </cell>
          <cell r="AE52">
            <v>131</v>
          </cell>
          <cell r="AF52">
            <v>18</v>
          </cell>
          <cell r="AG52">
            <v>5</v>
          </cell>
          <cell r="AH52">
            <v>5</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v>9260</v>
          </cell>
          <cell r="BC52">
            <v>2491</v>
          </cell>
          <cell r="BD52">
            <v>0</v>
          </cell>
          <cell r="BE52">
            <v>788</v>
          </cell>
          <cell r="BF52">
            <v>375</v>
          </cell>
          <cell r="BG52">
            <v>63</v>
          </cell>
          <cell r="BH52">
            <v>12977</v>
          </cell>
          <cell r="BI52">
            <v>1767</v>
          </cell>
          <cell r="BJ52">
            <v>813</v>
          </cell>
          <cell r="BK52">
            <v>836</v>
          </cell>
          <cell r="BL52">
            <v>2534</v>
          </cell>
          <cell r="BM52">
            <v>363</v>
          </cell>
          <cell r="BN52">
            <v>0</v>
          </cell>
          <cell r="BO52">
            <v>19290</v>
          </cell>
          <cell r="BP52">
            <v>0</v>
          </cell>
          <cell r="BQ52">
            <v>0</v>
          </cell>
          <cell r="BR52">
            <v>67</v>
          </cell>
          <cell r="BS52">
            <v>67</v>
          </cell>
          <cell r="BT52">
            <v>19223</v>
          </cell>
          <cell r="BU52">
            <v>1598</v>
          </cell>
          <cell r="BV52">
            <v>336</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10919</v>
          </cell>
          <cell r="CP52">
            <v>3039</v>
          </cell>
          <cell r="CQ52">
            <v>0</v>
          </cell>
          <cell r="CR52">
            <v>961</v>
          </cell>
          <cell r="CS52">
            <v>457</v>
          </cell>
          <cell r="CT52">
            <v>76</v>
          </cell>
          <cell r="CU52">
            <v>15452</v>
          </cell>
          <cell r="CV52">
            <v>1780</v>
          </cell>
          <cell r="CW52">
            <v>819</v>
          </cell>
          <cell r="CX52">
            <v>971</v>
          </cell>
          <cell r="CY52">
            <v>2540</v>
          </cell>
          <cell r="CZ52">
            <v>376</v>
          </cell>
          <cell r="DA52">
            <v>0</v>
          </cell>
          <cell r="DB52">
            <v>21938</v>
          </cell>
          <cell r="DC52">
            <v>100</v>
          </cell>
          <cell r="DD52">
            <v>0</v>
          </cell>
          <cell r="DE52">
            <v>70</v>
          </cell>
          <cell r="DF52">
            <v>170</v>
          </cell>
          <cell r="DG52">
            <v>21768</v>
          </cell>
          <cell r="DH52">
            <v>1599</v>
          </cell>
          <cell r="DI52">
            <v>370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14.9</v>
          </cell>
          <cell r="EE52">
            <v>0</v>
          </cell>
          <cell r="EF52">
            <v>0</v>
          </cell>
          <cell r="EG52">
            <v>0</v>
          </cell>
          <cell r="EH52">
            <v>0</v>
          </cell>
          <cell r="EI52">
            <v>0</v>
          </cell>
          <cell r="EJ52">
            <v>0</v>
          </cell>
          <cell r="EK52">
            <v>0</v>
          </cell>
          <cell r="EL52" t="str">
            <v>..</v>
          </cell>
          <cell r="EM52" t="str">
            <v>..</v>
          </cell>
          <cell r="EN52">
            <v>1026</v>
          </cell>
          <cell r="EO52" t="str">
            <v>..</v>
          </cell>
          <cell r="EP52" t="str">
            <v>..</v>
          </cell>
          <cell r="EQ52" t="str">
            <v>..</v>
          </cell>
          <cell r="ER52">
            <v>19795</v>
          </cell>
          <cell r="ES52">
            <v>0</v>
          </cell>
          <cell r="ET52">
            <v>0</v>
          </cell>
          <cell r="EU52">
            <v>0</v>
          </cell>
          <cell r="EV52">
            <v>20821</v>
          </cell>
          <cell r="EW52" t="str">
            <v>..</v>
          </cell>
          <cell r="EX52" t="str">
            <v>..</v>
          </cell>
          <cell r="EY52">
            <v>124</v>
          </cell>
          <cell r="EZ52" t="str">
            <v>..</v>
          </cell>
          <cell r="FA52" t="str">
            <v>..</v>
          </cell>
          <cell r="FB52" t="str">
            <v>..</v>
          </cell>
          <cell r="FC52">
            <v>2399</v>
          </cell>
          <cell r="FD52">
            <v>0</v>
          </cell>
          <cell r="FE52">
            <v>0</v>
          </cell>
          <cell r="FF52">
            <v>0</v>
          </cell>
          <cell r="FG52">
            <v>2523</v>
          </cell>
          <cell r="FH52">
            <v>-1434</v>
          </cell>
          <cell r="FI52">
            <v>0</v>
          </cell>
          <cell r="FJ52">
            <v>0</v>
          </cell>
          <cell r="FK52">
            <v>-1209</v>
          </cell>
          <cell r="FL52">
            <v>-38</v>
          </cell>
          <cell r="FM52">
            <v>6596</v>
          </cell>
          <cell r="FN52">
            <v>1435</v>
          </cell>
          <cell r="FO52">
            <v>0</v>
          </cell>
          <cell r="FP52">
            <v>5350</v>
          </cell>
          <cell r="FQ52">
            <v>0</v>
          </cell>
          <cell r="FR52">
            <v>0</v>
          </cell>
          <cell r="FS52">
            <v>-2801</v>
          </cell>
          <cell r="FT52">
            <v>0</v>
          </cell>
          <cell r="FU52">
            <v>0</v>
          </cell>
          <cell r="FV52">
            <v>-1194</v>
          </cell>
          <cell r="FW52">
            <v>0</v>
          </cell>
          <cell r="FX52">
            <v>6926</v>
          </cell>
          <cell r="FY52">
            <v>767</v>
          </cell>
          <cell r="FZ52">
            <v>0</v>
          </cell>
          <cell r="GA52">
            <v>3698</v>
          </cell>
          <cell r="GB52">
            <v>0</v>
          </cell>
          <cell r="GC52">
            <v>0</v>
          </cell>
          <cell r="GD52">
            <v>427</v>
          </cell>
          <cell r="GE52">
            <v>437</v>
          </cell>
          <cell r="GF52">
            <v>12</v>
          </cell>
          <cell r="GG52">
            <v>0</v>
          </cell>
          <cell r="GH52">
            <v>121</v>
          </cell>
          <cell r="GI52">
            <v>13</v>
          </cell>
          <cell r="GJ52">
            <v>317</v>
          </cell>
          <cell r="GK52">
            <v>60</v>
          </cell>
          <cell r="GL52">
            <v>36</v>
          </cell>
          <cell r="GM52">
            <v>166</v>
          </cell>
          <cell r="GN52">
            <v>76</v>
          </cell>
          <cell r="GO52">
            <v>35</v>
          </cell>
          <cell r="GP52">
            <v>240</v>
          </cell>
          <cell r="GQ52">
            <v>0</v>
          </cell>
          <cell r="GR52">
            <v>0</v>
          </cell>
          <cell r="GS52">
            <v>313</v>
          </cell>
          <cell r="GT52">
            <v>0</v>
          </cell>
          <cell r="GU52">
            <v>0</v>
          </cell>
          <cell r="GV52">
            <v>0</v>
          </cell>
          <cell r="GW52">
            <v>0</v>
          </cell>
          <cell r="GX52">
            <v>0</v>
          </cell>
          <cell r="GY52">
            <v>0</v>
          </cell>
          <cell r="GZ52">
            <v>0</v>
          </cell>
          <cell r="HA52">
            <v>465</v>
          </cell>
          <cell r="HB52">
            <v>0</v>
          </cell>
          <cell r="HC52">
            <v>0</v>
          </cell>
          <cell r="HD52">
            <v>0</v>
          </cell>
          <cell r="HE52">
            <v>0</v>
          </cell>
          <cell r="HF52">
            <v>0</v>
          </cell>
          <cell r="HG52">
            <v>0</v>
          </cell>
          <cell r="HH52">
            <v>111</v>
          </cell>
          <cell r="HI52">
            <v>0</v>
          </cell>
          <cell r="HJ52">
            <v>0</v>
          </cell>
          <cell r="HK52">
            <v>0</v>
          </cell>
          <cell r="HL52">
            <v>576</v>
          </cell>
          <cell r="HM52">
            <v>0</v>
          </cell>
          <cell r="HN52">
            <v>0</v>
          </cell>
          <cell r="HO52">
            <v>0</v>
          </cell>
          <cell r="HP52">
            <v>0</v>
          </cell>
          <cell r="HQ52">
            <v>0</v>
          </cell>
          <cell r="HR52">
            <v>1710</v>
          </cell>
          <cell r="HS52">
            <v>12</v>
          </cell>
          <cell r="HT52">
            <v>24</v>
          </cell>
          <cell r="HU52">
            <v>0</v>
          </cell>
          <cell r="HV52">
            <v>0</v>
          </cell>
          <cell r="HW52">
            <v>0</v>
          </cell>
          <cell r="HX52">
            <v>0</v>
          </cell>
          <cell r="HY52">
            <v>122</v>
          </cell>
          <cell r="HZ52">
            <v>0</v>
          </cell>
          <cell r="IA52">
            <v>0</v>
          </cell>
          <cell r="IB52">
            <v>0</v>
          </cell>
          <cell r="IC52">
            <v>1868</v>
          </cell>
          <cell r="ID52">
            <v>0</v>
          </cell>
          <cell r="IE52">
            <v>0</v>
          </cell>
          <cell r="IF52">
            <v>0</v>
          </cell>
          <cell r="IG52">
            <v>0</v>
          </cell>
          <cell r="IH52">
            <v>0</v>
          </cell>
          <cell r="II52">
            <v>430</v>
          </cell>
          <cell r="IJ52">
            <v>0</v>
          </cell>
          <cell r="IK52">
            <v>0</v>
          </cell>
          <cell r="IL52">
            <v>0</v>
          </cell>
          <cell r="IM52">
            <v>0</v>
          </cell>
          <cell r="IN52">
            <v>0</v>
          </cell>
          <cell r="IO52">
            <v>0</v>
          </cell>
          <cell r="IP52">
            <v>62</v>
          </cell>
          <cell r="IQ52">
            <v>0</v>
          </cell>
          <cell r="IR52">
            <v>0</v>
          </cell>
          <cell r="IS52">
            <v>0</v>
          </cell>
          <cell r="IT52">
            <v>492</v>
          </cell>
          <cell r="IU52" t="str">
            <v>North West Ambulance Service (NWAS)</v>
          </cell>
          <cell r="IV52" t="str">
            <v xml:space="preserve">2 x Water Bowsers, 1 x BA support Unit, 1 x Water Response vechicle, 3  x Joint Incident Command Units, 7 x Wildfire Land Rovers, 2 x Uni Mogs, 1 x Welfare Unit and 3 Rapid Response Vechicles </v>
          </cell>
          <cell r="IW52" t="str">
            <v>..</v>
          </cell>
          <cell r="IX52" t="str">
            <v>..</v>
          </cell>
          <cell r="IY52" t="str">
            <v>..</v>
          </cell>
          <cell r="IZ52">
            <v>0</v>
          </cell>
          <cell r="JA52" t="str">
            <v>..</v>
          </cell>
          <cell r="JB52" t="str">
            <v>..</v>
          </cell>
        </row>
        <row r="53">
          <cell r="A53" t="str">
            <v>E6122</v>
          </cell>
          <cell r="B53" t="str">
            <v>Kent</v>
          </cell>
          <cell r="C53" t="str">
            <v>Kyle Taylor</v>
          </cell>
          <cell r="D53" t="str">
            <v xml:space="preserve">Senior Accountant </v>
          </cell>
          <cell r="E53" t="str">
            <v>01622 692121 ext 6409</v>
          </cell>
          <cell r="F53" t="str">
            <v>kyle.taylor@kent.fire-uk.org</v>
          </cell>
          <cell r="G53" t="str">
            <v>Kyle Taylor</v>
          </cell>
          <cell r="H53" t="str">
            <v xml:space="preserve">Senior Accountant </v>
          </cell>
          <cell r="I53" t="str">
            <v>01622 692121 ext 6409</v>
          </cell>
          <cell r="J53" t="str">
            <v xml:space="preserve">Kyle.taylor@kent.fire.uk.org </v>
          </cell>
          <cell r="K53" t="str">
            <v>..</v>
          </cell>
          <cell r="L53">
            <v>8</v>
          </cell>
          <cell r="M53">
            <v>34</v>
          </cell>
          <cell r="N53">
            <v>15</v>
          </cell>
          <cell r="O53">
            <v>0</v>
          </cell>
          <cell r="P53">
            <v>57</v>
          </cell>
          <cell r="Q53">
            <v>0</v>
          </cell>
          <cell r="R53">
            <v>8</v>
          </cell>
          <cell r="S53">
            <v>34</v>
          </cell>
          <cell r="T53">
            <v>15</v>
          </cell>
          <cell r="U53">
            <v>0</v>
          </cell>
          <cell r="V53">
            <v>57</v>
          </cell>
          <cell r="W53">
            <v>0</v>
          </cell>
          <cell r="X53">
            <v>75</v>
          </cell>
          <cell r="Y53">
            <v>75</v>
          </cell>
          <cell r="Z53">
            <v>3</v>
          </cell>
          <cell r="AA53">
            <v>32</v>
          </cell>
          <cell r="AB53">
            <v>82</v>
          </cell>
          <cell r="AC53">
            <v>0</v>
          </cell>
          <cell r="AD53">
            <v>12</v>
          </cell>
          <cell r="AE53">
            <v>204</v>
          </cell>
          <cell r="AF53">
            <v>181</v>
          </cell>
          <cell r="AG53">
            <v>13</v>
          </cell>
          <cell r="AH53">
            <v>11</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v>32961</v>
          </cell>
          <cell r="BC53">
            <v>4715</v>
          </cell>
          <cell r="BD53">
            <v>1533</v>
          </cell>
          <cell r="BE53">
            <v>3174</v>
          </cell>
          <cell r="BF53">
            <v>4037</v>
          </cell>
          <cell r="BG53">
            <v>1214</v>
          </cell>
          <cell r="BH53">
            <v>47634</v>
          </cell>
          <cell r="BI53">
            <v>4524</v>
          </cell>
          <cell r="BJ53">
            <v>2626</v>
          </cell>
          <cell r="BK53">
            <v>6871</v>
          </cell>
          <cell r="BL53">
            <v>7100</v>
          </cell>
          <cell r="BM53">
            <v>197</v>
          </cell>
          <cell r="BN53">
            <v>59</v>
          </cell>
          <cell r="BO53">
            <v>69011</v>
          </cell>
          <cell r="BP53">
            <v>3037</v>
          </cell>
          <cell r="BQ53">
            <v>0</v>
          </cell>
          <cell r="BR53">
            <v>2399</v>
          </cell>
          <cell r="BS53">
            <v>5436</v>
          </cell>
          <cell r="BT53">
            <v>63575</v>
          </cell>
          <cell r="BU53">
            <v>4727</v>
          </cell>
          <cell r="BV53">
            <v>25460</v>
          </cell>
          <cell r="BW53">
            <v>0</v>
          </cell>
          <cell r="BX53">
            <v>969</v>
          </cell>
          <cell r="BY53">
            <v>0</v>
          </cell>
          <cell r="BZ53">
            <v>126</v>
          </cell>
          <cell r="CA53">
            <v>-278</v>
          </cell>
          <cell r="CB53">
            <v>0</v>
          </cell>
          <cell r="CC53">
            <v>0</v>
          </cell>
          <cell r="CD53">
            <v>0</v>
          </cell>
          <cell r="CE53">
            <v>0</v>
          </cell>
          <cell r="CF53">
            <v>0</v>
          </cell>
          <cell r="CG53">
            <v>0</v>
          </cell>
          <cell r="CH53">
            <v>0</v>
          </cell>
          <cell r="CI53">
            <v>0</v>
          </cell>
          <cell r="CJ53">
            <v>0</v>
          </cell>
          <cell r="CK53">
            <v>0</v>
          </cell>
          <cell r="CL53">
            <v>0</v>
          </cell>
          <cell r="CM53">
            <v>0</v>
          </cell>
          <cell r="CN53">
            <v>0</v>
          </cell>
          <cell r="CO53">
            <v>35388</v>
          </cell>
          <cell r="CP53">
            <v>6144</v>
          </cell>
          <cell r="CQ53">
            <v>1705</v>
          </cell>
          <cell r="CR53">
            <v>3483</v>
          </cell>
          <cell r="CS53">
            <v>5071</v>
          </cell>
          <cell r="CT53">
            <v>1284</v>
          </cell>
          <cell r="CU53">
            <v>53075</v>
          </cell>
          <cell r="CV53">
            <v>5419</v>
          </cell>
          <cell r="CW53">
            <v>3247</v>
          </cell>
          <cell r="CX53">
            <v>9493</v>
          </cell>
          <cell r="CY53">
            <v>7799</v>
          </cell>
          <cell r="CZ53">
            <v>220</v>
          </cell>
          <cell r="DA53">
            <v>399</v>
          </cell>
          <cell r="DB53">
            <v>79652</v>
          </cell>
          <cell r="DC53">
            <v>6385</v>
          </cell>
          <cell r="DD53">
            <v>0</v>
          </cell>
          <cell r="DE53">
            <v>2538</v>
          </cell>
          <cell r="DF53">
            <v>8923</v>
          </cell>
          <cell r="DG53">
            <v>70729</v>
          </cell>
          <cell r="DH53">
            <v>6822</v>
          </cell>
          <cell r="DI53">
            <v>0</v>
          </cell>
          <cell r="DJ53">
            <v>0</v>
          </cell>
          <cell r="DK53">
            <v>969</v>
          </cell>
          <cell r="DL53">
            <v>0</v>
          </cell>
          <cell r="DM53">
            <v>108</v>
          </cell>
          <cell r="DN53">
            <v>-236</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14697</v>
          </cell>
          <cell r="EG53">
            <v>6463</v>
          </cell>
          <cell r="EH53">
            <v>49061</v>
          </cell>
          <cell r="EI53">
            <v>542</v>
          </cell>
          <cell r="EJ53">
            <v>-12</v>
          </cell>
          <cell r="EK53">
            <v>70751</v>
          </cell>
          <cell r="EL53" t="str">
            <v>..</v>
          </cell>
          <cell r="EM53" t="str">
            <v>..</v>
          </cell>
          <cell r="EN53">
            <v>11187</v>
          </cell>
          <cell r="EO53" t="str">
            <v>..</v>
          </cell>
          <cell r="EP53" t="str">
            <v>..</v>
          </cell>
          <cell r="EQ53" t="str">
            <v>..</v>
          </cell>
          <cell r="ER53">
            <v>55235</v>
          </cell>
          <cell r="ES53">
            <v>463</v>
          </cell>
          <cell r="ET53">
            <v>1417</v>
          </cell>
          <cell r="EU53">
            <v>0</v>
          </cell>
          <cell r="EV53">
            <v>68302</v>
          </cell>
          <cell r="EW53">
            <v>0</v>
          </cell>
          <cell r="EX53">
            <v>0</v>
          </cell>
          <cell r="EY53">
            <v>1506</v>
          </cell>
          <cell r="EZ53">
            <v>0</v>
          </cell>
          <cell r="FA53">
            <v>0</v>
          </cell>
          <cell r="FB53">
            <v>0</v>
          </cell>
          <cell r="FC53">
            <v>6113</v>
          </cell>
          <cell r="FD53">
            <v>288</v>
          </cell>
          <cell r="FE53">
            <v>1273</v>
          </cell>
          <cell r="FF53">
            <v>0</v>
          </cell>
          <cell r="FG53">
            <v>9180</v>
          </cell>
          <cell r="FH53">
            <v>-4151</v>
          </cell>
          <cell r="FI53">
            <v>-270</v>
          </cell>
          <cell r="FJ53">
            <v>-216</v>
          </cell>
          <cell r="FK53">
            <v>-3497</v>
          </cell>
          <cell r="FL53">
            <v>-58</v>
          </cell>
          <cell r="FM53">
            <v>18598</v>
          </cell>
          <cell r="FN53">
            <v>6985</v>
          </cell>
          <cell r="FO53">
            <v>0</v>
          </cell>
          <cell r="FP53">
            <v>17391</v>
          </cell>
          <cell r="FQ53">
            <v>1543</v>
          </cell>
          <cell r="FR53">
            <v>0</v>
          </cell>
          <cell r="FS53">
            <v>-7718</v>
          </cell>
          <cell r="FT53">
            <v>-212</v>
          </cell>
          <cell r="FU53">
            <v>0</v>
          </cell>
          <cell r="FV53">
            <v>-3373</v>
          </cell>
          <cell r="FW53">
            <v>0</v>
          </cell>
          <cell r="FX53">
            <v>19539</v>
          </cell>
          <cell r="FY53">
            <v>5559</v>
          </cell>
          <cell r="FZ53">
            <v>0</v>
          </cell>
          <cell r="GA53">
            <v>13795</v>
          </cell>
          <cell r="GB53">
            <v>1448</v>
          </cell>
          <cell r="GC53">
            <v>0</v>
          </cell>
          <cell r="GD53">
            <v>1286</v>
          </cell>
          <cell r="GE53">
            <v>1326</v>
          </cell>
          <cell r="GF53">
            <v>62</v>
          </cell>
          <cell r="GG53">
            <v>7</v>
          </cell>
          <cell r="GH53">
            <v>129</v>
          </cell>
          <cell r="GI53">
            <v>17</v>
          </cell>
          <cell r="GJ53">
            <v>849</v>
          </cell>
          <cell r="GK53">
            <v>13</v>
          </cell>
          <cell r="GL53">
            <v>108</v>
          </cell>
          <cell r="GM53">
            <v>460</v>
          </cell>
          <cell r="GN53">
            <v>148</v>
          </cell>
          <cell r="GO53">
            <v>0</v>
          </cell>
          <cell r="GP53">
            <v>28615</v>
          </cell>
          <cell r="GQ53">
            <v>4060</v>
          </cell>
          <cell r="GR53">
            <v>1102</v>
          </cell>
          <cell r="GS53">
            <v>29360</v>
          </cell>
          <cell r="GT53">
            <v>4060</v>
          </cell>
          <cell r="GU53">
            <v>1136</v>
          </cell>
          <cell r="GV53">
            <v>0</v>
          </cell>
          <cell r="GW53">
            <v>0</v>
          </cell>
          <cell r="GX53">
            <v>5355</v>
          </cell>
          <cell r="GY53">
            <v>82</v>
          </cell>
          <cell r="GZ53">
            <v>27</v>
          </cell>
          <cell r="HA53">
            <v>47</v>
          </cell>
          <cell r="HB53">
            <v>0</v>
          </cell>
          <cell r="HC53">
            <v>0</v>
          </cell>
          <cell r="HD53">
            <v>0</v>
          </cell>
          <cell r="HE53">
            <v>35</v>
          </cell>
          <cell r="HF53">
            <v>0</v>
          </cell>
          <cell r="HG53">
            <v>0</v>
          </cell>
          <cell r="HH53">
            <v>0</v>
          </cell>
          <cell r="HI53">
            <v>0</v>
          </cell>
          <cell r="HJ53">
            <v>0</v>
          </cell>
          <cell r="HK53">
            <v>0</v>
          </cell>
          <cell r="HL53">
            <v>5546</v>
          </cell>
          <cell r="HM53">
            <v>0</v>
          </cell>
          <cell r="HN53">
            <v>0</v>
          </cell>
          <cell r="HO53">
            <v>3339</v>
          </cell>
          <cell r="HP53">
            <v>204</v>
          </cell>
          <cell r="HQ53">
            <v>294</v>
          </cell>
          <cell r="HR53">
            <v>451</v>
          </cell>
          <cell r="HS53">
            <v>314</v>
          </cell>
          <cell r="HT53">
            <v>0</v>
          </cell>
          <cell r="HU53">
            <v>0</v>
          </cell>
          <cell r="HV53">
            <v>83</v>
          </cell>
          <cell r="HW53">
            <v>0</v>
          </cell>
          <cell r="HX53">
            <v>0</v>
          </cell>
          <cell r="HY53">
            <v>0</v>
          </cell>
          <cell r="HZ53">
            <v>0</v>
          </cell>
          <cell r="IA53">
            <v>0</v>
          </cell>
          <cell r="IB53">
            <v>0</v>
          </cell>
          <cell r="IC53">
            <v>4685</v>
          </cell>
          <cell r="ID53">
            <v>0</v>
          </cell>
          <cell r="IE53">
            <v>0</v>
          </cell>
          <cell r="IF53">
            <v>575</v>
          </cell>
          <cell r="IG53">
            <v>247</v>
          </cell>
          <cell r="IH53">
            <v>554</v>
          </cell>
          <cell r="II53">
            <v>3678</v>
          </cell>
          <cell r="IJ53">
            <v>1195</v>
          </cell>
          <cell r="IK53">
            <v>0</v>
          </cell>
          <cell r="IL53">
            <v>0</v>
          </cell>
          <cell r="IM53">
            <v>1200</v>
          </cell>
          <cell r="IN53">
            <v>0</v>
          </cell>
          <cell r="IO53">
            <v>0</v>
          </cell>
          <cell r="IP53">
            <v>0</v>
          </cell>
          <cell r="IQ53">
            <v>0</v>
          </cell>
          <cell r="IR53">
            <v>0</v>
          </cell>
          <cell r="IS53">
            <v>0</v>
          </cell>
          <cell r="IT53">
            <v>7449</v>
          </cell>
          <cell r="IU53" t="str">
            <v>N/A</v>
          </cell>
          <cell r="IV53" t="str">
            <v>Includes: Land Rovers, forward control units, 4X4's, Argocats, Prime Mover, Bulker Water Carriers, Boats</v>
          </cell>
          <cell r="IW53" t="str">
            <v xml:space="preserve">Joined/ shared Control cost with kent police </v>
          </cell>
          <cell r="IX53" t="str">
            <v xml:space="preserve">Collaboration costs </v>
          </cell>
          <cell r="IY53">
            <v>0</v>
          </cell>
          <cell r="IZ53" t="str">
            <v xml:space="preserve">Includes Eurotunnel Income and channel tunnel grant </v>
          </cell>
          <cell r="JA53">
            <v>0</v>
          </cell>
          <cell r="JB53" t="str">
            <v>..</v>
          </cell>
        </row>
        <row r="54">
          <cell r="A54" t="str">
            <v>E1620</v>
          </cell>
          <cell r="B54" t="str">
            <v>Gloucestershire</v>
          </cell>
          <cell r="C54" t="str">
            <v>Dave Benson</v>
          </cell>
          <cell r="D54" t="str">
            <v>Group Manager</v>
          </cell>
          <cell r="E54" t="str">
            <v>07768493029</v>
          </cell>
          <cell r="F54" t="str">
            <v>dave.benson@glosfire.gov.uk</v>
          </cell>
          <cell r="G54" t="str">
            <v>Nicki Jones</v>
          </cell>
          <cell r="H54" t="str">
            <v>Senior Finance Officer</v>
          </cell>
          <cell r="I54" t="str">
            <v>01452 328914</v>
          </cell>
          <cell r="J54" t="str">
            <v>nicki.jones@gloucestershire.gov.uk</v>
          </cell>
          <cell r="K54" t="str">
            <v>..</v>
          </cell>
          <cell r="L54">
            <v>2</v>
          </cell>
          <cell r="M54">
            <v>16</v>
          </cell>
          <cell r="N54">
            <v>3</v>
          </cell>
          <cell r="O54">
            <v>0</v>
          </cell>
          <cell r="P54">
            <v>21</v>
          </cell>
          <cell r="Q54">
            <v>9</v>
          </cell>
          <cell r="R54">
            <v>2</v>
          </cell>
          <cell r="S54">
            <v>16</v>
          </cell>
          <cell r="T54">
            <v>3</v>
          </cell>
          <cell r="U54">
            <v>0</v>
          </cell>
          <cell r="V54">
            <v>21</v>
          </cell>
          <cell r="W54">
            <v>13</v>
          </cell>
          <cell r="X54">
            <v>31</v>
          </cell>
          <cell r="Y54">
            <v>31</v>
          </cell>
          <cell r="Z54">
            <v>2</v>
          </cell>
          <cell r="AA54">
            <v>13</v>
          </cell>
          <cell r="AB54">
            <v>26</v>
          </cell>
          <cell r="AC54">
            <v>0</v>
          </cell>
          <cell r="AD54">
            <v>3</v>
          </cell>
          <cell r="AE54">
            <v>75</v>
          </cell>
          <cell r="AF54">
            <v>53</v>
          </cell>
          <cell r="AG54">
            <v>4</v>
          </cell>
          <cell r="AH54">
            <v>2</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v>8253</v>
          </cell>
          <cell r="BC54">
            <v>2269</v>
          </cell>
          <cell r="BD54">
            <v>801</v>
          </cell>
          <cell r="BE54">
            <v>1102</v>
          </cell>
          <cell r="BF54">
            <v>616</v>
          </cell>
          <cell r="BG54">
            <v>142</v>
          </cell>
          <cell r="BH54">
            <v>13183</v>
          </cell>
          <cell r="BI54">
            <v>2336</v>
          </cell>
          <cell r="BJ54">
            <v>1145</v>
          </cell>
          <cell r="BK54">
            <v>2487</v>
          </cell>
          <cell r="BL54">
            <v>1554</v>
          </cell>
          <cell r="BM54">
            <v>0</v>
          </cell>
          <cell r="BN54">
            <v>2208</v>
          </cell>
          <cell r="BO54">
            <v>22913</v>
          </cell>
          <cell r="BP54">
            <v>5086</v>
          </cell>
          <cell r="BQ54">
            <v>0</v>
          </cell>
          <cell r="BR54">
            <v>668</v>
          </cell>
          <cell r="BS54">
            <v>5754</v>
          </cell>
          <cell r="BT54">
            <v>17159</v>
          </cell>
          <cell r="BU54">
            <v>-1542</v>
          </cell>
          <cell r="BV54">
            <v>13202</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6</v>
          </cell>
          <cell r="CO54">
            <v>8137</v>
          </cell>
          <cell r="CP54">
            <v>2177</v>
          </cell>
          <cell r="CQ54">
            <v>836</v>
          </cell>
          <cell r="CR54">
            <v>1212</v>
          </cell>
          <cell r="CS54">
            <v>539</v>
          </cell>
          <cell r="CT54">
            <v>357</v>
          </cell>
          <cell r="CU54">
            <v>13258</v>
          </cell>
          <cell r="CV54">
            <v>2347</v>
          </cell>
          <cell r="CW54">
            <v>1103</v>
          </cell>
          <cell r="CX54">
            <v>3296</v>
          </cell>
          <cell r="CY54">
            <v>1664</v>
          </cell>
          <cell r="CZ54">
            <v>0</v>
          </cell>
          <cell r="DA54">
            <v>2000</v>
          </cell>
          <cell r="DB54">
            <v>23668</v>
          </cell>
          <cell r="DC54">
            <v>6375</v>
          </cell>
          <cell r="DD54">
            <v>0</v>
          </cell>
          <cell r="DE54">
            <v>579</v>
          </cell>
          <cell r="DF54">
            <v>6954</v>
          </cell>
          <cell r="DG54">
            <v>16714</v>
          </cell>
          <cell r="DH54">
            <v>3280</v>
          </cell>
          <cell r="DI54">
            <v>2500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7</v>
          </cell>
          <cell r="EB54">
            <v>0</v>
          </cell>
          <cell r="EC54">
            <v>53</v>
          </cell>
          <cell r="ED54">
            <v>29.9</v>
          </cell>
          <cell r="EE54">
            <v>0</v>
          </cell>
          <cell r="EF54">
            <v>0</v>
          </cell>
          <cell r="EG54">
            <v>0</v>
          </cell>
          <cell r="EH54">
            <v>0</v>
          </cell>
          <cell r="EI54">
            <v>0</v>
          </cell>
          <cell r="EJ54">
            <v>0</v>
          </cell>
          <cell r="EK54">
            <v>0</v>
          </cell>
          <cell r="EL54">
            <v>809</v>
          </cell>
          <cell r="EM54">
            <v>260</v>
          </cell>
          <cell r="EN54">
            <v>1069</v>
          </cell>
          <cell r="EO54">
            <v>13323</v>
          </cell>
          <cell r="EP54">
            <v>920</v>
          </cell>
          <cell r="EQ54">
            <v>108</v>
          </cell>
          <cell r="ER54">
            <v>14351</v>
          </cell>
          <cell r="ES54">
            <v>-3</v>
          </cell>
          <cell r="ET54">
            <v>200</v>
          </cell>
          <cell r="EU54">
            <v>0</v>
          </cell>
          <cell r="EV54">
            <v>15617</v>
          </cell>
          <cell r="EW54">
            <v>657</v>
          </cell>
          <cell r="EX54">
            <v>8</v>
          </cell>
          <cell r="EY54">
            <v>665</v>
          </cell>
          <cell r="EZ54">
            <v>9988</v>
          </cell>
          <cell r="FA54">
            <v>3</v>
          </cell>
          <cell r="FB54">
            <v>4</v>
          </cell>
          <cell r="FC54">
            <v>9995</v>
          </cell>
          <cell r="FD54">
            <v>1</v>
          </cell>
          <cell r="FE54">
            <v>0</v>
          </cell>
          <cell r="FF54">
            <v>0</v>
          </cell>
          <cell r="FG54">
            <v>10661</v>
          </cell>
          <cell r="FH54">
            <v>-1269</v>
          </cell>
          <cell r="FI54">
            <v>0</v>
          </cell>
          <cell r="FJ54">
            <v>0</v>
          </cell>
          <cell r="FK54">
            <v>-1081</v>
          </cell>
          <cell r="FL54">
            <v>-198</v>
          </cell>
          <cell r="FM54">
            <v>5888</v>
          </cell>
          <cell r="FN54">
            <v>1160</v>
          </cell>
          <cell r="FO54">
            <v>0</v>
          </cell>
          <cell r="FP54">
            <v>4500</v>
          </cell>
          <cell r="FQ54">
            <v>145</v>
          </cell>
          <cell r="FR54">
            <v>0</v>
          </cell>
          <cell r="FS54">
            <v>-1261</v>
          </cell>
          <cell r="FT54">
            <v>0</v>
          </cell>
          <cell r="FU54">
            <v>0</v>
          </cell>
          <cell r="FV54">
            <v>-1053</v>
          </cell>
          <cell r="FW54">
            <v>0</v>
          </cell>
          <cell r="FX54">
            <v>6041</v>
          </cell>
          <cell r="FY54">
            <v>769</v>
          </cell>
          <cell r="FZ54">
            <v>0</v>
          </cell>
          <cell r="GA54">
            <v>4496</v>
          </cell>
          <cell r="GB54">
            <v>144</v>
          </cell>
          <cell r="GC54">
            <v>0</v>
          </cell>
          <cell r="GD54">
            <v>408</v>
          </cell>
          <cell r="GE54">
            <v>422</v>
          </cell>
          <cell r="GF54">
            <v>14</v>
          </cell>
          <cell r="GG54">
            <v>0</v>
          </cell>
          <cell r="GH54">
            <v>105</v>
          </cell>
          <cell r="GI54">
            <v>179</v>
          </cell>
          <cell r="GJ54">
            <v>98</v>
          </cell>
          <cell r="GK54">
            <v>14</v>
          </cell>
          <cell r="GL54">
            <v>33</v>
          </cell>
          <cell r="GM54">
            <v>299</v>
          </cell>
          <cell r="GN54">
            <v>13</v>
          </cell>
          <cell r="GO54">
            <v>20</v>
          </cell>
          <cell r="GP54">
            <v>4542</v>
          </cell>
          <cell r="GQ54">
            <v>0</v>
          </cell>
          <cell r="GR54">
            <v>10</v>
          </cell>
          <cell r="GS54">
            <v>4749</v>
          </cell>
          <cell r="GT54">
            <v>0</v>
          </cell>
          <cell r="GU54">
            <v>0</v>
          </cell>
          <cell r="GV54">
            <v>0</v>
          </cell>
          <cell r="GW54">
            <v>0</v>
          </cell>
          <cell r="GX54">
            <v>51</v>
          </cell>
          <cell r="GY54">
            <v>13</v>
          </cell>
          <cell r="GZ54">
            <v>0</v>
          </cell>
          <cell r="HA54">
            <v>304</v>
          </cell>
          <cell r="HB54">
            <v>0</v>
          </cell>
          <cell r="HC54">
            <v>0</v>
          </cell>
          <cell r="HD54">
            <v>0</v>
          </cell>
          <cell r="HE54">
            <v>100</v>
          </cell>
          <cell r="HF54">
            <v>47</v>
          </cell>
          <cell r="HG54">
            <v>0</v>
          </cell>
          <cell r="HH54">
            <v>679</v>
          </cell>
          <cell r="HI54">
            <v>0</v>
          </cell>
          <cell r="HJ54">
            <v>0</v>
          </cell>
          <cell r="HK54">
            <v>0</v>
          </cell>
          <cell r="HL54">
            <v>1194</v>
          </cell>
          <cell r="HM54">
            <v>0</v>
          </cell>
          <cell r="HN54">
            <v>0</v>
          </cell>
          <cell r="HO54">
            <v>0</v>
          </cell>
          <cell r="HP54">
            <v>0</v>
          </cell>
          <cell r="HQ54">
            <v>0</v>
          </cell>
          <cell r="HR54">
            <v>445</v>
          </cell>
          <cell r="HS54">
            <v>46</v>
          </cell>
          <cell r="HT54">
            <v>0</v>
          </cell>
          <cell r="HU54">
            <v>0</v>
          </cell>
          <cell r="HV54">
            <v>40</v>
          </cell>
          <cell r="HW54">
            <v>2</v>
          </cell>
          <cell r="HX54">
            <v>0</v>
          </cell>
          <cell r="HY54">
            <v>99</v>
          </cell>
          <cell r="HZ54">
            <v>0</v>
          </cell>
          <cell r="IA54">
            <v>0</v>
          </cell>
          <cell r="IB54">
            <v>0</v>
          </cell>
          <cell r="IC54">
            <v>632</v>
          </cell>
          <cell r="ID54">
            <v>600</v>
          </cell>
          <cell r="IE54">
            <v>0</v>
          </cell>
          <cell r="IF54">
            <v>124</v>
          </cell>
          <cell r="IG54">
            <v>0</v>
          </cell>
          <cell r="IH54">
            <v>0</v>
          </cell>
          <cell r="II54">
            <v>0</v>
          </cell>
          <cell r="IJ54">
            <v>86</v>
          </cell>
          <cell r="IK54">
            <v>0</v>
          </cell>
          <cell r="IL54">
            <v>0</v>
          </cell>
          <cell r="IM54">
            <v>300</v>
          </cell>
          <cell r="IN54">
            <v>0</v>
          </cell>
          <cell r="IO54">
            <v>0</v>
          </cell>
          <cell r="IP54">
            <v>300</v>
          </cell>
          <cell r="IQ54">
            <v>0</v>
          </cell>
          <cell r="IR54">
            <v>0</v>
          </cell>
          <cell r="IS54">
            <v>0</v>
          </cell>
          <cell r="IT54">
            <v>1410</v>
          </cell>
          <cell r="IU54" t="str">
            <v>Police, Ambulance, Red Cross, SARArescue</v>
          </cell>
          <cell r="IV54" t="str">
            <v>SISU, Water Carrier, EPU, Boats x 3, 4 x 4 (Rope Rescue), Fogging Unit, Command Unit, MDU</v>
          </cell>
          <cell r="IW54" t="str">
            <v>..</v>
          </cell>
          <cell r="IX54" t="str">
            <v>..</v>
          </cell>
          <cell r="IY54" t="str">
            <v>..</v>
          </cell>
          <cell r="IZ54" t="str">
            <v>..</v>
          </cell>
          <cell r="JA54" t="str">
            <v>..</v>
          </cell>
          <cell r="JB54" t="str">
            <v>..</v>
          </cell>
        </row>
        <row r="55">
          <cell r="A55" t="str">
            <v>E1620</v>
          </cell>
          <cell r="B55" t="str">
            <v>Gloucestershire</v>
          </cell>
          <cell r="C55" t="str">
            <v>Dave Benson</v>
          </cell>
          <cell r="D55" t="str">
            <v>Group Manager</v>
          </cell>
          <cell r="E55" t="str">
            <v>07768493029</v>
          </cell>
          <cell r="F55" t="str">
            <v>dave.benson@glosfire.gov.uk</v>
          </cell>
          <cell r="G55" t="str">
            <v>Nicki Jones</v>
          </cell>
          <cell r="H55" t="str">
            <v>Senior Finance Officer</v>
          </cell>
          <cell r="I55" t="str">
            <v>01452 328914</v>
          </cell>
          <cell r="J55" t="str">
            <v>nicki.jones@gloucestershire.gov.uk</v>
          </cell>
          <cell r="K55" t="str">
            <v>..</v>
          </cell>
          <cell r="L55">
            <v>2</v>
          </cell>
          <cell r="M55">
            <v>16</v>
          </cell>
          <cell r="N55">
            <v>3</v>
          </cell>
          <cell r="O55">
            <v>0</v>
          </cell>
          <cell r="P55">
            <v>21</v>
          </cell>
          <cell r="Q55">
            <v>9</v>
          </cell>
          <cell r="R55">
            <v>2</v>
          </cell>
          <cell r="S55">
            <v>16</v>
          </cell>
          <cell r="T55">
            <v>3</v>
          </cell>
          <cell r="U55">
            <v>0</v>
          </cell>
          <cell r="V55">
            <v>21</v>
          </cell>
          <cell r="W55">
            <v>13</v>
          </cell>
          <cell r="X55">
            <v>31</v>
          </cell>
          <cell r="Y55">
            <v>31</v>
          </cell>
          <cell r="Z55">
            <v>2</v>
          </cell>
          <cell r="AA55">
            <v>13</v>
          </cell>
          <cell r="AB55">
            <v>26</v>
          </cell>
          <cell r="AC55">
            <v>0</v>
          </cell>
          <cell r="AD55">
            <v>3</v>
          </cell>
          <cell r="AE55">
            <v>75</v>
          </cell>
          <cell r="AF55">
            <v>53</v>
          </cell>
          <cell r="AG55">
            <v>4</v>
          </cell>
          <cell r="AH55">
            <v>2</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v>8253</v>
          </cell>
          <cell r="BC55">
            <v>2269</v>
          </cell>
          <cell r="BD55">
            <v>801</v>
          </cell>
          <cell r="BE55">
            <v>1102</v>
          </cell>
          <cell r="BF55">
            <v>616</v>
          </cell>
          <cell r="BG55">
            <v>142</v>
          </cell>
          <cell r="BH55">
            <v>13183</v>
          </cell>
          <cell r="BI55">
            <v>2336</v>
          </cell>
          <cell r="BJ55">
            <v>1145</v>
          </cell>
          <cell r="BK55">
            <v>2487</v>
          </cell>
          <cell r="BL55">
            <v>1554</v>
          </cell>
          <cell r="BM55">
            <v>0</v>
          </cell>
          <cell r="BN55">
            <v>2208</v>
          </cell>
          <cell r="BO55">
            <v>22913</v>
          </cell>
          <cell r="BP55">
            <v>5086</v>
          </cell>
          <cell r="BQ55">
            <v>0</v>
          </cell>
          <cell r="BR55">
            <v>668</v>
          </cell>
          <cell r="BS55">
            <v>5754</v>
          </cell>
          <cell r="BT55">
            <v>17159</v>
          </cell>
          <cell r="BU55">
            <v>-1542</v>
          </cell>
          <cell r="BV55">
            <v>13202</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6</v>
          </cell>
          <cell r="CO55">
            <v>8137</v>
          </cell>
          <cell r="CP55">
            <v>2177</v>
          </cell>
          <cell r="CQ55">
            <v>836</v>
          </cell>
          <cell r="CR55">
            <v>1212</v>
          </cell>
          <cell r="CS55">
            <v>539</v>
          </cell>
          <cell r="CT55">
            <v>357</v>
          </cell>
          <cell r="CU55">
            <v>13258</v>
          </cell>
          <cell r="CV55">
            <v>2347</v>
          </cell>
          <cell r="CW55">
            <v>1103</v>
          </cell>
          <cell r="CX55">
            <v>3296</v>
          </cell>
          <cell r="CY55">
            <v>1664</v>
          </cell>
          <cell r="CZ55">
            <v>0</v>
          </cell>
          <cell r="DA55">
            <v>2000</v>
          </cell>
          <cell r="DB55">
            <v>23668</v>
          </cell>
          <cell r="DC55">
            <v>6375</v>
          </cell>
          <cell r="DD55">
            <v>0</v>
          </cell>
          <cell r="DE55">
            <v>579</v>
          </cell>
          <cell r="DF55">
            <v>6954</v>
          </cell>
          <cell r="DG55">
            <v>16714</v>
          </cell>
          <cell r="DH55">
            <v>3280</v>
          </cell>
          <cell r="DI55">
            <v>2500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7</v>
          </cell>
          <cell r="EB55">
            <v>0</v>
          </cell>
          <cell r="EC55">
            <v>53</v>
          </cell>
          <cell r="ED55">
            <v>29.9</v>
          </cell>
          <cell r="EE55">
            <v>0</v>
          </cell>
          <cell r="EF55">
            <v>0</v>
          </cell>
          <cell r="EG55">
            <v>0</v>
          </cell>
          <cell r="EH55">
            <v>0</v>
          </cell>
          <cell r="EI55">
            <v>0</v>
          </cell>
          <cell r="EJ55">
            <v>0</v>
          </cell>
          <cell r="EK55">
            <v>0</v>
          </cell>
          <cell r="EL55">
            <v>809</v>
          </cell>
          <cell r="EM55">
            <v>260</v>
          </cell>
          <cell r="EN55">
            <v>1069</v>
          </cell>
          <cell r="EO55">
            <v>13323</v>
          </cell>
          <cell r="EP55">
            <v>920</v>
          </cell>
          <cell r="EQ55">
            <v>108</v>
          </cell>
          <cell r="ER55">
            <v>14351</v>
          </cell>
          <cell r="ES55">
            <v>-3</v>
          </cell>
          <cell r="ET55">
            <v>200</v>
          </cell>
          <cell r="EU55">
            <v>0</v>
          </cell>
          <cell r="EV55">
            <v>15617</v>
          </cell>
          <cell r="EW55">
            <v>657</v>
          </cell>
          <cell r="EX55">
            <v>8</v>
          </cell>
          <cell r="EY55">
            <v>665</v>
          </cell>
          <cell r="EZ55">
            <v>9988</v>
          </cell>
          <cell r="FA55">
            <v>3</v>
          </cell>
          <cell r="FB55">
            <v>4</v>
          </cell>
          <cell r="FC55">
            <v>9995</v>
          </cell>
          <cell r="FD55">
            <v>1</v>
          </cell>
          <cell r="FE55">
            <v>0</v>
          </cell>
          <cell r="FF55">
            <v>0</v>
          </cell>
          <cell r="FG55">
            <v>10661</v>
          </cell>
          <cell r="FH55">
            <v>-1269</v>
          </cell>
          <cell r="FI55">
            <v>0</v>
          </cell>
          <cell r="FJ55">
            <v>0</v>
          </cell>
          <cell r="FK55">
            <v>-1081</v>
          </cell>
          <cell r="FL55">
            <v>-198</v>
          </cell>
          <cell r="FM55">
            <v>5888</v>
          </cell>
          <cell r="FN55">
            <v>1160</v>
          </cell>
          <cell r="FO55">
            <v>0</v>
          </cell>
          <cell r="FP55">
            <v>4500</v>
          </cell>
          <cell r="FQ55">
            <v>145</v>
          </cell>
          <cell r="FR55">
            <v>0</v>
          </cell>
          <cell r="FS55">
            <v>-1261</v>
          </cell>
          <cell r="FT55">
            <v>0</v>
          </cell>
          <cell r="FU55">
            <v>0</v>
          </cell>
          <cell r="FV55">
            <v>-1053</v>
          </cell>
          <cell r="FW55">
            <v>0</v>
          </cell>
          <cell r="FX55">
            <v>6041</v>
          </cell>
          <cell r="FY55">
            <v>769</v>
          </cell>
          <cell r="FZ55">
            <v>0</v>
          </cell>
          <cell r="GA55">
            <v>4496</v>
          </cell>
          <cell r="GB55">
            <v>144</v>
          </cell>
          <cell r="GC55">
            <v>0</v>
          </cell>
          <cell r="GD55">
            <v>408</v>
          </cell>
          <cell r="GE55">
            <v>422</v>
          </cell>
          <cell r="GF55">
            <v>14</v>
          </cell>
          <cell r="GG55">
            <v>0</v>
          </cell>
          <cell r="GH55">
            <v>105</v>
          </cell>
          <cell r="GI55">
            <v>179</v>
          </cell>
          <cell r="GJ55">
            <v>98</v>
          </cell>
          <cell r="GK55">
            <v>14</v>
          </cell>
          <cell r="GL55">
            <v>33</v>
          </cell>
          <cell r="GM55">
            <v>299</v>
          </cell>
          <cell r="GN55">
            <v>13</v>
          </cell>
          <cell r="GO55">
            <v>20</v>
          </cell>
          <cell r="GP55">
            <v>4542</v>
          </cell>
          <cell r="GQ55">
            <v>0</v>
          </cell>
          <cell r="GR55">
            <v>10</v>
          </cell>
          <cell r="GS55">
            <v>4749</v>
          </cell>
          <cell r="GT55">
            <v>0</v>
          </cell>
          <cell r="GU55">
            <v>0</v>
          </cell>
          <cell r="GV55">
            <v>0</v>
          </cell>
          <cell r="GW55">
            <v>0</v>
          </cell>
          <cell r="GX55">
            <v>51</v>
          </cell>
          <cell r="GY55">
            <v>13</v>
          </cell>
          <cell r="GZ55">
            <v>0</v>
          </cell>
          <cell r="HA55">
            <v>304</v>
          </cell>
          <cell r="HB55">
            <v>0</v>
          </cell>
          <cell r="HC55">
            <v>0</v>
          </cell>
          <cell r="HD55">
            <v>0</v>
          </cell>
          <cell r="HE55">
            <v>100</v>
          </cell>
          <cell r="HF55">
            <v>47</v>
          </cell>
          <cell r="HG55">
            <v>0</v>
          </cell>
          <cell r="HH55">
            <v>679</v>
          </cell>
          <cell r="HI55">
            <v>0</v>
          </cell>
          <cell r="HJ55">
            <v>0</v>
          </cell>
          <cell r="HK55">
            <v>0</v>
          </cell>
          <cell r="HL55">
            <v>1194</v>
          </cell>
          <cell r="HM55">
            <v>0</v>
          </cell>
          <cell r="HN55">
            <v>0</v>
          </cell>
          <cell r="HO55">
            <v>0</v>
          </cell>
          <cell r="HP55">
            <v>0</v>
          </cell>
          <cell r="HQ55">
            <v>0</v>
          </cell>
          <cell r="HR55">
            <v>445</v>
          </cell>
          <cell r="HS55">
            <v>46</v>
          </cell>
          <cell r="HT55">
            <v>0</v>
          </cell>
          <cell r="HU55">
            <v>0</v>
          </cell>
          <cell r="HV55">
            <v>40</v>
          </cell>
          <cell r="HW55">
            <v>2</v>
          </cell>
          <cell r="HX55">
            <v>0</v>
          </cell>
          <cell r="HY55">
            <v>99</v>
          </cell>
          <cell r="HZ55">
            <v>0</v>
          </cell>
          <cell r="IA55">
            <v>0</v>
          </cell>
          <cell r="IB55">
            <v>0</v>
          </cell>
          <cell r="IC55">
            <v>632</v>
          </cell>
          <cell r="ID55">
            <v>600</v>
          </cell>
          <cell r="IE55">
            <v>0</v>
          </cell>
          <cell r="IF55">
            <v>124</v>
          </cell>
          <cell r="IG55">
            <v>0</v>
          </cell>
          <cell r="IH55">
            <v>0</v>
          </cell>
          <cell r="II55">
            <v>0</v>
          </cell>
          <cell r="IJ55">
            <v>86</v>
          </cell>
          <cell r="IK55">
            <v>0</v>
          </cell>
          <cell r="IL55">
            <v>0</v>
          </cell>
          <cell r="IM55">
            <v>300</v>
          </cell>
          <cell r="IN55">
            <v>0</v>
          </cell>
          <cell r="IO55">
            <v>0</v>
          </cell>
          <cell r="IP55">
            <v>300</v>
          </cell>
          <cell r="IQ55">
            <v>0</v>
          </cell>
          <cell r="IR55">
            <v>0</v>
          </cell>
          <cell r="IS55">
            <v>0</v>
          </cell>
          <cell r="IT55">
            <v>1410</v>
          </cell>
          <cell r="IU55" t="str">
            <v>Police, Ambulance, Red Cross, SARArescue</v>
          </cell>
          <cell r="IV55" t="str">
            <v>SISU, Water Carrier, EPU, Boats x 3, 4 x 4 (Rope Rescue), Fogging Unit, Command Unit, MDU</v>
          </cell>
          <cell r="IW55" t="str">
            <v>..</v>
          </cell>
          <cell r="IX55" t="str">
            <v>..</v>
          </cell>
          <cell r="IY55" t="str">
            <v>..</v>
          </cell>
          <cell r="IZ55" t="str">
            <v>..</v>
          </cell>
          <cell r="JA55" t="str">
            <v>..</v>
          </cell>
          <cell r="JB55" t="str">
            <v>..</v>
          </cell>
        </row>
        <row r="56">
          <cell r="A56" t="str">
            <v>E6117</v>
          </cell>
          <cell r="B56" t="str">
            <v>Hampshire</v>
          </cell>
          <cell r="C56" t="str">
            <v>Samuel Fairman</v>
          </cell>
          <cell r="D56" t="str">
            <v>Organisational Assurance Manager</v>
          </cell>
          <cell r="E56" t="str">
            <v>07918 887502</v>
          </cell>
          <cell r="F56" t="str">
            <v>Samuel.fairman@hantsfire.gov.uk</v>
          </cell>
          <cell r="G56" t="str">
            <v>Daniel O'Rourke</v>
          </cell>
          <cell r="H56" t="str">
            <v xml:space="preserve">Accounting Technician </v>
          </cell>
          <cell r="I56" t="str">
            <v>01962 845403</v>
          </cell>
          <cell r="J56" t="str">
            <v>Daniel.O'Rourke@hants.gov.uk</v>
          </cell>
          <cell r="K56" t="str">
            <v>David.Meakins@hants.gov.uk; Sue.Tickle@hants.gov.uk; Tom.Garman@hants.gov.uk</v>
          </cell>
          <cell r="L56">
            <v>5</v>
          </cell>
          <cell r="M56">
            <v>38</v>
          </cell>
          <cell r="N56">
            <v>8</v>
          </cell>
          <cell r="O56">
            <v>0</v>
          </cell>
          <cell r="P56">
            <v>51</v>
          </cell>
          <cell r="Q56">
            <v>17</v>
          </cell>
          <cell r="R56">
            <v>5</v>
          </cell>
          <cell r="S56">
            <v>38</v>
          </cell>
          <cell r="T56">
            <v>8</v>
          </cell>
          <cell r="U56">
            <v>0</v>
          </cell>
          <cell r="V56">
            <v>51</v>
          </cell>
          <cell r="W56">
            <v>17</v>
          </cell>
          <cell r="X56">
            <v>74</v>
          </cell>
          <cell r="Y56">
            <v>74</v>
          </cell>
          <cell r="Z56">
            <v>3</v>
          </cell>
          <cell r="AA56">
            <v>27</v>
          </cell>
          <cell r="AB56">
            <v>61</v>
          </cell>
          <cell r="AC56">
            <v>22</v>
          </cell>
          <cell r="AD56">
            <v>22</v>
          </cell>
          <cell r="AE56">
            <v>209</v>
          </cell>
          <cell r="AF56">
            <v>165</v>
          </cell>
          <cell r="AG56">
            <v>11</v>
          </cell>
          <cell r="AH56">
            <v>12</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v>30093</v>
          </cell>
          <cell r="BC56">
            <v>6819</v>
          </cell>
          <cell r="BD56">
            <v>1370</v>
          </cell>
          <cell r="BE56">
            <v>8902</v>
          </cell>
          <cell r="BF56">
            <v>490</v>
          </cell>
          <cell r="BG56">
            <v>2144</v>
          </cell>
          <cell r="BH56">
            <v>49818</v>
          </cell>
          <cell r="BI56">
            <v>5626</v>
          </cell>
          <cell r="BJ56">
            <v>2053</v>
          </cell>
          <cell r="BK56">
            <v>7272</v>
          </cell>
          <cell r="BL56">
            <v>2411</v>
          </cell>
          <cell r="BM56">
            <v>0</v>
          </cell>
          <cell r="BN56">
            <v>0</v>
          </cell>
          <cell r="BO56">
            <v>67180</v>
          </cell>
          <cell r="BP56">
            <v>0</v>
          </cell>
          <cell r="BQ56">
            <v>1595</v>
          </cell>
          <cell r="BR56">
            <v>0</v>
          </cell>
          <cell r="BS56">
            <v>1595</v>
          </cell>
          <cell r="BT56">
            <v>65585</v>
          </cell>
          <cell r="BU56">
            <v>5214</v>
          </cell>
          <cell r="BV56">
            <v>8519</v>
          </cell>
          <cell r="BW56">
            <v>0</v>
          </cell>
          <cell r="BX56">
            <v>465</v>
          </cell>
          <cell r="BY56">
            <v>0</v>
          </cell>
          <cell r="BZ56">
            <v>393</v>
          </cell>
          <cell r="CA56">
            <v>378</v>
          </cell>
          <cell r="CB56">
            <v>0</v>
          </cell>
          <cell r="CC56">
            <v>0</v>
          </cell>
          <cell r="CD56">
            <v>0</v>
          </cell>
          <cell r="CE56">
            <v>0</v>
          </cell>
          <cell r="CF56">
            <v>0</v>
          </cell>
          <cell r="CG56">
            <v>0</v>
          </cell>
          <cell r="CH56">
            <v>0</v>
          </cell>
          <cell r="CI56">
            <v>0</v>
          </cell>
          <cell r="CJ56">
            <v>0</v>
          </cell>
          <cell r="CK56">
            <v>0</v>
          </cell>
          <cell r="CL56">
            <v>0</v>
          </cell>
          <cell r="CM56">
            <v>2411</v>
          </cell>
          <cell r="CN56">
            <v>0</v>
          </cell>
          <cell r="CO56">
            <v>33116</v>
          </cell>
          <cell r="CP56">
            <v>6914</v>
          </cell>
          <cell r="CQ56">
            <v>1413</v>
          </cell>
          <cell r="CR56">
            <v>9943</v>
          </cell>
          <cell r="CS56">
            <v>528</v>
          </cell>
          <cell r="CT56">
            <v>2073</v>
          </cell>
          <cell r="CU56">
            <v>53987</v>
          </cell>
          <cell r="CV56">
            <v>5717</v>
          </cell>
          <cell r="CW56">
            <v>1513</v>
          </cell>
          <cell r="CX56">
            <v>8421</v>
          </cell>
          <cell r="CY56">
            <v>2855</v>
          </cell>
          <cell r="CZ56">
            <v>0</v>
          </cell>
          <cell r="DA56">
            <v>0</v>
          </cell>
          <cell r="DB56">
            <v>72493</v>
          </cell>
          <cell r="DC56">
            <v>0</v>
          </cell>
          <cell r="DD56">
            <v>3705</v>
          </cell>
          <cell r="DE56">
            <v>0</v>
          </cell>
          <cell r="DF56">
            <v>3705</v>
          </cell>
          <cell r="DG56">
            <v>68788</v>
          </cell>
          <cell r="DH56">
            <v>5214</v>
          </cell>
          <cell r="DI56">
            <v>8519</v>
          </cell>
          <cell r="DJ56">
            <v>0</v>
          </cell>
          <cell r="DK56">
            <v>395</v>
          </cell>
          <cell r="DL56">
            <v>0</v>
          </cell>
          <cell r="DM56">
            <v>393</v>
          </cell>
          <cell r="DN56">
            <v>210</v>
          </cell>
          <cell r="DO56">
            <v>0</v>
          </cell>
          <cell r="DP56">
            <v>0</v>
          </cell>
          <cell r="DQ56">
            <v>0</v>
          </cell>
          <cell r="DR56">
            <v>0</v>
          </cell>
          <cell r="DS56">
            <v>0</v>
          </cell>
          <cell r="DT56">
            <v>0</v>
          </cell>
          <cell r="DU56">
            <v>0</v>
          </cell>
          <cell r="DV56">
            <v>0</v>
          </cell>
          <cell r="DW56">
            <v>0</v>
          </cell>
          <cell r="DX56">
            <v>0</v>
          </cell>
          <cell r="DY56">
            <v>0</v>
          </cell>
          <cell r="DZ56">
            <v>2855</v>
          </cell>
          <cell r="EA56">
            <v>0</v>
          </cell>
          <cell r="EB56">
            <v>0</v>
          </cell>
          <cell r="EC56">
            <v>271</v>
          </cell>
          <cell r="ED56">
            <v>16.100000000000001</v>
          </cell>
          <cell r="EE56">
            <v>763</v>
          </cell>
          <cell r="EF56">
            <v>20083</v>
          </cell>
          <cell r="EG56">
            <v>7057</v>
          </cell>
          <cell r="EH56">
            <v>43070</v>
          </cell>
          <cell r="EI56">
            <v>374</v>
          </cell>
          <cell r="EJ56">
            <v>27</v>
          </cell>
          <cell r="EK56">
            <v>70611</v>
          </cell>
          <cell r="EL56" t="str">
            <v>..</v>
          </cell>
          <cell r="EM56" t="str">
            <v>..</v>
          </cell>
          <cell r="EN56">
            <v>3938</v>
          </cell>
          <cell r="EO56" t="str">
            <v>..</v>
          </cell>
          <cell r="EP56" t="str">
            <v>..</v>
          </cell>
          <cell r="EQ56" t="str">
            <v>..</v>
          </cell>
          <cell r="ER56">
            <v>66861</v>
          </cell>
          <cell r="ES56">
            <v>0</v>
          </cell>
          <cell r="ET56">
            <v>0</v>
          </cell>
          <cell r="EU56">
            <v>0</v>
          </cell>
          <cell r="EV56">
            <v>70799</v>
          </cell>
          <cell r="EW56">
            <v>0</v>
          </cell>
          <cell r="EX56">
            <v>0</v>
          </cell>
          <cell r="EY56">
            <v>485</v>
          </cell>
          <cell r="EZ56" t="str">
            <v>..</v>
          </cell>
          <cell r="FA56" t="str">
            <v>..</v>
          </cell>
          <cell r="FB56" t="str">
            <v>..</v>
          </cell>
          <cell r="FC56">
            <v>8242</v>
          </cell>
          <cell r="FD56">
            <v>0</v>
          </cell>
          <cell r="FE56">
            <v>0</v>
          </cell>
          <cell r="FF56">
            <v>0</v>
          </cell>
          <cell r="FG56">
            <v>8727</v>
          </cell>
          <cell r="FH56">
            <v>-3975</v>
          </cell>
          <cell r="FI56">
            <v>-142</v>
          </cell>
          <cell r="FJ56">
            <v>0</v>
          </cell>
          <cell r="FK56">
            <v>-3338</v>
          </cell>
          <cell r="FL56">
            <v>-51</v>
          </cell>
          <cell r="FM56">
            <v>16007</v>
          </cell>
          <cell r="FN56">
            <v>3637</v>
          </cell>
          <cell r="FO56">
            <v>0</v>
          </cell>
          <cell r="FP56">
            <v>12138</v>
          </cell>
          <cell r="FQ56">
            <v>935</v>
          </cell>
          <cell r="FR56">
            <v>0</v>
          </cell>
          <cell r="FS56">
            <v>-3972</v>
          </cell>
          <cell r="FT56">
            <v>-61</v>
          </cell>
          <cell r="FU56">
            <v>0</v>
          </cell>
          <cell r="FV56">
            <v>-3307</v>
          </cell>
          <cell r="FW56">
            <v>-109</v>
          </cell>
          <cell r="FX56">
            <v>16582</v>
          </cell>
          <cell r="FY56">
            <v>1719</v>
          </cell>
          <cell r="FZ56">
            <v>205</v>
          </cell>
          <cell r="GA56">
            <v>11057</v>
          </cell>
          <cell r="GB56">
            <v>878</v>
          </cell>
          <cell r="GC56">
            <v>0</v>
          </cell>
          <cell r="GD56">
            <v>1083</v>
          </cell>
          <cell r="GE56">
            <v>1063</v>
          </cell>
          <cell r="GF56">
            <v>41</v>
          </cell>
          <cell r="GG56">
            <v>2</v>
          </cell>
          <cell r="GH56">
            <v>110</v>
          </cell>
          <cell r="GI56">
            <v>30</v>
          </cell>
          <cell r="GJ56">
            <v>1056</v>
          </cell>
          <cell r="GK56">
            <v>27</v>
          </cell>
          <cell r="GL56">
            <v>81</v>
          </cell>
          <cell r="GM56">
            <v>421</v>
          </cell>
          <cell r="GN56">
            <v>358</v>
          </cell>
          <cell r="GO56">
            <v>42</v>
          </cell>
          <cell r="GP56">
            <v>27833</v>
          </cell>
          <cell r="GQ56">
            <v>2500</v>
          </cell>
          <cell r="GR56">
            <v>1263</v>
          </cell>
          <cell r="GS56">
            <v>27879</v>
          </cell>
          <cell r="GT56">
            <v>2500</v>
          </cell>
          <cell r="GU56">
            <v>1318</v>
          </cell>
          <cell r="GV56" t="str">
            <v>..</v>
          </cell>
          <cell r="GW56" t="str">
            <v>..</v>
          </cell>
          <cell r="GX56">
            <v>2528</v>
          </cell>
          <cell r="GY56" t="str">
            <v>..</v>
          </cell>
          <cell r="GZ56">
            <v>40</v>
          </cell>
          <cell r="HA56">
            <v>449</v>
          </cell>
          <cell r="HB56">
            <v>24</v>
          </cell>
          <cell r="HC56" t="str">
            <v>..</v>
          </cell>
          <cell r="HD56" t="str">
            <v>..</v>
          </cell>
          <cell r="HE56" t="str">
            <v>..</v>
          </cell>
          <cell r="HF56">
            <v>46</v>
          </cell>
          <cell r="HG56" t="str">
            <v>..</v>
          </cell>
          <cell r="HH56">
            <v>185</v>
          </cell>
          <cell r="HI56" t="str">
            <v>..</v>
          </cell>
          <cell r="HJ56" t="str">
            <v>..</v>
          </cell>
          <cell r="HK56" t="str">
            <v>..</v>
          </cell>
          <cell r="HL56">
            <v>3272</v>
          </cell>
          <cell r="HM56">
            <v>0</v>
          </cell>
          <cell r="HN56">
            <v>0</v>
          </cell>
          <cell r="HO56">
            <v>2741</v>
          </cell>
          <cell r="HP56">
            <v>20</v>
          </cell>
          <cell r="HQ56">
            <v>445</v>
          </cell>
          <cell r="HR56">
            <v>1166</v>
          </cell>
          <cell r="HS56">
            <v>39</v>
          </cell>
          <cell r="HT56">
            <v>56</v>
          </cell>
          <cell r="HU56" t="str">
            <v>..</v>
          </cell>
          <cell r="HV56" t="str">
            <v>..</v>
          </cell>
          <cell r="HW56" t="str">
            <v>..</v>
          </cell>
          <cell r="HX56" t="str">
            <v>..</v>
          </cell>
          <cell r="HY56">
            <v>233</v>
          </cell>
          <cell r="HZ56" t="str">
            <v>..</v>
          </cell>
          <cell r="IA56" t="str">
            <v>..</v>
          </cell>
          <cell r="IB56" t="str">
            <v>..</v>
          </cell>
          <cell r="IC56">
            <v>4700</v>
          </cell>
          <cell r="ID56">
            <v>0</v>
          </cell>
          <cell r="IE56">
            <v>0</v>
          </cell>
          <cell r="IF56">
            <v>253</v>
          </cell>
          <cell r="IG56">
            <v>17</v>
          </cell>
          <cell r="IH56">
            <v>0</v>
          </cell>
          <cell r="II56">
            <v>4800</v>
          </cell>
          <cell r="IJ56" t="str">
            <v>..</v>
          </cell>
          <cell r="IK56" t="str">
            <v>..</v>
          </cell>
          <cell r="IL56" t="str">
            <v>..</v>
          </cell>
          <cell r="IM56" t="str">
            <v>..</v>
          </cell>
          <cell r="IN56" t="str">
            <v>..</v>
          </cell>
          <cell r="IO56" t="str">
            <v>..</v>
          </cell>
          <cell r="IP56">
            <v>271</v>
          </cell>
          <cell r="IQ56" t="str">
            <v>..</v>
          </cell>
          <cell r="IR56" t="str">
            <v>..</v>
          </cell>
          <cell r="IS56" t="str">
            <v>..</v>
          </cell>
          <cell r="IT56">
            <v>5341</v>
          </cell>
          <cell r="IU56" t="str">
            <v>Ambulance, Police and RNLI</v>
          </cell>
          <cell r="IV56" t="str">
            <v>Water Carriers (WRC) Call sign W1 – 6
• Response Support Vehicles (RSV) - 4
• Land Rovers (L4P) – 7
• Land Rovers (L4T) – 10 (2 of which are reserves)</v>
          </cell>
          <cell r="IW56" t="str">
            <v>N/A</v>
          </cell>
          <cell r="IX56" t="str">
            <v>N/A</v>
          </cell>
          <cell r="IY56" t="str">
            <v xml:space="preserve">Fees and charges/rental income/sales income </v>
          </cell>
          <cell r="IZ56">
            <v>0</v>
          </cell>
          <cell r="JA56" t="str">
            <v>..</v>
          </cell>
          <cell r="JB56" t="str">
            <v>..</v>
          </cell>
        </row>
        <row r="57">
          <cell r="A57" t="str">
            <v>E2820</v>
          </cell>
          <cell r="B57" t="str">
            <v>Northamptonshire</v>
          </cell>
          <cell r="C57" t="str">
            <v>Jelena Motte</v>
          </cell>
          <cell r="D57" t="str">
            <v>OPFCC and Fire Accountant</v>
          </cell>
          <cell r="E57" t="str">
            <v>03000 111 222</v>
          </cell>
          <cell r="F57" t="str">
            <v>Jelena.Motte@northantspfcc.pnn.gov.uk</v>
          </cell>
          <cell r="G57" t="str">
            <v>..</v>
          </cell>
          <cell r="H57" t="str">
            <v>..</v>
          </cell>
          <cell r="I57" t="str">
            <v>..</v>
          </cell>
          <cell r="J57" t="str">
            <v>..</v>
          </cell>
          <cell r="K57" t="str">
            <v>..</v>
          </cell>
          <cell r="L57">
            <v>3</v>
          </cell>
          <cell r="M57">
            <v>14</v>
          </cell>
          <cell r="N57">
            <v>5</v>
          </cell>
          <cell r="O57">
            <v>0</v>
          </cell>
          <cell r="P57">
            <v>22</v>
          </cell>
          <cell r="Q57">
            <v>3</v>
          </cell>
          <cell r="R57">
            <v>3</v>
          </cell>
          <cell r="S57">
            <v>14</v>
          </cell>
          <cell r="T57">
            <v>5</v>
          </cell>
          <cell r="U57">
            <v>0</v>
          </cell>
          <cell r="V57">
            <v>22</v>
          </cell>
          <cell r="W57">
            <v>3</v>
          </cell>
          <cell r="X57">
            <v>26</v>
          </cell>
          <cell r="Y57">
            <v>26</v>
          </cell>
          <cell r="Z57">
            <v>2</v>
          </cell>
          <cell r="AA57">
            <v>28</v>
          </cell>
          <cell r="AB57">
            <v>36</v>
          </cell>
          <cell r="AC57">
            <v>0</v>
          </cell>
          <cell r="AD57">
            <v>6</v>
          </cell>
          <cell r="AE57">
            <v>98</v>
          </cell>
          <cell r="AF57">
            <v>50</v>
          </cell>
          <cell r="AG57">
            <v>4</v>
          </cell>
          <cell r="AH57">
            <v>3</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v>11737.170290000002</v>
          </cell>
          <cell r="BC57">
            <v>1779.70732</v>
          </cell>
          <cell r="BD57">
            <v>723.07609000000014</v>
          </cell>
          <cell r="BE57">
            <v>2078.4061499999998</v>
          </cell>
          <cell r="BF57">
            <v>356.11381999999998</v>
          </cell>
          <cell r="BG57">
            <v>82.515959999999993</v>
          </cell>
          <cell r="BH57">
            <v>16756.98963</v>
          </cell>
          <cell r="BI57">
            <v>1571.71165</v>
          </cell>
          <cell r="BJ57">
            <v>700.33970999999997</v>
          </cell>
          <cell r="BK57">
            <v>3359.1512700000003</v>
          </cell>
          <cell r="BL57">
            <v>2026.0975975137474</v>
          </cell>
          <cell r="BM57">
            <v>0</v>
          </cell>
          <cell r="BN57">
            <v>0</v>
          </cell>
          <cell r="BO57">
            <v>24414.289857513751</v>
          </cell>
          <cell r="BP57">
            <v>-662.51016000000004</v>
          </cell>
          <cell r="BQ57">
            <v>0</v>
          </cell>
          <cell r="BR57">
            <v>-360.38259000000011</v>
          </cell>
          <cell r="BS57">
            <v>-1022.8927500000002</v>
          </cell>
          <cell r="BT57">
            <v>25437.182607513751</v>
          </cell>
          <cell r="BU57">
            <v>4694.7294099999999</v>
          </cell>
          <cell r="BV57">
            <v>0</v>
          </cell>
          <cell r="BW57">
            <v>0</v>
          </cell>
          <cell r="BX57">
            <v>0</v>
          </cell>
          <cell r="BY57">
            <v>0</v>
          </cell>
          <cell r="BZ57">
            <v>0</v>
          </cell>
          <cell r="CA57">
            <v>0</v>
          </cell>
          <cell r="CB57">
            <v>0</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v>13597.815000000001</v>
          </cell>
          <cell r="CP57">
            <v>2124.9969999999998</v>
          </cell>
          <cell r="CQ57">
            <v>722.97900000000004</v>
          </cell>
          <cell r="CR57">
            <v>2476.3359999999998</v>
          </cell>
          <cell r="CS57">
            <v>367.86200000000002</v>
          </cell>
          <cell r="CT57">
            <v>67.766000000000005</v>
          </cell>
          <cell r="CU57">
            <v>19357.755000000001</v>
          </cell>
          <cell r="CV57">
            <v>1289.0930000000001</v>
          </cell>
          <cell r="CW57">
            <v>614.74400000000003</v>
          </cell>
          <cell r="CX57">
            <v>3916.3649999999998</v>
          </cell>
          <cell r="CY57">
            <v>0</v>
          </cell>
          <cell r="CZ57">
            <v>0</v>
          </cell>
          <cell r="DA57">
            <v>0</v>
          </cell>
          <cell r="DB57">
            <v>25177.957000000002</v>
          </cell>
          <cell r="DC57">
            <v>442.21800000000002</v>
          </cell>
          <cell r="DD57">
            <v>0</v>
          </cell>
          <cell r="DE57">
            <v>392.73899999999998</v>
          </cell>
          <cell r="DF57">
            <v>834.95699999999999</v>
          </cell>
          <cell r="DG57">
            <v>26012.914000000001</v>
          </cell>
          <cell r="DH57">
            <v>275</v>
          </cell>
          <cell r="DI57">
            <v>0</v>
          </cell>
          <cell r="DJ57">
            <v>0</v>
          </cell>
          <cell r="DK57">
            <v>0</v>
          </cell>
          <cell r="DL57">
            <v>0</v>
          </cell>
          <cell r="DM57">
            <v>0</v>
          </cell>
          <cell r="DN57">
            <v>0</v>
          </cell>
          <cell r="DO57">
            <v>0</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v>0</v>
          </cell>
          <cell r="EC57">
            <v>0</v>
          </cell>
          <cell r="ED57" t="str">
            <v>..</v>
          </cell>
          <cell r="EE57" t="str">
            <v>..</v>
          </cell>
          <cell r="EF57">
            <v>6374.0000000000009</v>
          </cell>
          <cell r="EG57">
            <v>2955</v>
          </cell>
          <cell r="EH57">
            <v>14910</v>
          </cell>
          <cell r="EI57">
            <v>379</v>
          </cell>
          <cell r="EJ57">
            <v>0</v>
          </cell>
          <cell r="EK57">
            <v>24618</v>
          </cell>
          <cell r="EL57" t="str">
            <v>..</v>
          </cell>
          <cell r="EM57" t="str">
            <v>..</v>
          </cell>
          <cell r="EN57" t="str">
            <v>..</v>
          </cell>
          <cell r="EO57" t="str">
            <v>..</v>
          </cell>
          <cell r="EP57" t="str">
            <v>..</v>
          </cell>
          <cell r="EQ57" t="str">
            <v>..</v>
          </cell>
          <cell r="ER57" t="str">
            <v>..</v>
          </cell>
          <cell r="ES57" t="str">
            <v>..</v>
          </cell>
          <cell r="ET57" t="str">
            <v>..</v>
          </cell>
          <cell r="EU57" t="str">
            <v>..</v>
          </cell>
          <cell r="EV57" t="str">
            <v>..</v>
          </cell>
          <cell r="EW57" t="str">
            <v>..</v>
          </cell>
          <cell r="EX57" t="str">
            <v>..</v>
          </cell>
          <cell r="EY57" t="str">
            <v>..</v>
          </cell>
          <cell r="EZ57" t="str">
            <v>..</v>
          </cell>
          <cell r="FA57" t="str">
            <v>..</v>
          </cell>
          <cell r="FB57" t="str">
            <v>..</v>
          </cell>
          <cell r="FC57" t="str">
            <v>..</v>
          </cell>
          <cell r="FD57" t="str">
            <v>..</v>
          </cell>
          <cell r="FE57" t="str">
            <v>..</v>
          </cell>
          <cell r="FF57" t="str">
            <v>..</v>
          </cell>
          <cell r="FG57" t="str">
            <v>..</v>
          </cell>
          <cell r="FH57">
            <v>-1357</v>
          </cell>
          <cell r="FI57">
            <v>0</v>
          </cell>
          <cell r="FJ57">
            <v>0</v>
          </cell>
          <cell r="FK57">
            <v>-933</v>
          </cell>
          <cell r="FL57">
            <v>0</v>
          </cell>
          <cell r="FM57">
            <v>6368</v>
          </cell>
          <cell r="FN57">
            <v>1585</v>
          </cell>
          <cell r="FO57">
            <v>0</v>
          </cell>
          <cell r="FP57">
            <v>5663</v>
          </cell>
          <cell r="FQ57">
            <v>0</v>
          </cell>
          <cell r="FR57">
            <v>0</v>
          </cell>
          <cell r="FS57" t="str">
            <v>..</v>
          </cell>
          <cell r="FT57" t="str">
            <v>..</v>
          </cell>
          <cell r="FU57" t="str">
            <v>..</v>
          </cell>
          <cell r="FV57" t="str">
            <v>..</v>
          </cell>
          <cell r="FW57" t="str">
            <v>..</v>
          </cell>
          <cell r="FX57" t="str">
            <v>..</v>
          </cell>
          <cell r="FY57" t="str">
            <v>..</v>
          </cell>
          <cell r="FZ57" t="str">
            <v>..</v>
          </cell>
          <cell r="GA57" t="str">
            <v>..</v>
          </cell>
          <cell r="GB57" t="str">
            <v>..</v>
          </cell>
          <cell r="GC57" t="str">
            <v>..</v>
          </cell>
          <cell r="GD57">
            <v>416</v>
          </cell>
          <cell r="GE57" t="str">
            <v>..</v>
          </cell>
          <cell r="GF57">
            <v>14</v>
          </cell>
          <cell r="GG57">
            <v>0</v>
          </cell>
          <cell r="GH57">
            <v>33</v>
          </cell>
          <cell r="GI57">
            <v>11</v>
          </cell>
          <cell r="GJ57">
            <v>345</v>
          </cell>
          <cell r="GK57">
            <v>14</v>
          </cell>
          <cell r="GL57">
            <v>24</v>
          </cell>
          <cell r="GM57">
            <v>130</v>
          </cell>
          <cell r="GN57">
            <v>55</v>
          </cell>
          <cell r="GO57">
            <v>11</v>
          </cell>
          <cell r="GP57">
            <v>0</v>
          </cell>
          <cell r="GQ57">
            <v>0</v>
          </cell>
          <cell r="GR57">
            <v>0</v>
          </cell>
          <cell r="GS57">
            <v>-1289</v>
          </cell>
          <cell r="GT57">
            <v>-688</v>
          </cell>
          <cell r="GU57">
            <v>0</v>
          </cell>
          <cell r="GV57" t="str">
            <v>..</v>
          </cell>
          <cell r="GW57" t="str">
            <v>..</v>
          </cell>
          <cell r="GX57" t="str">
            <v>…</v>
          </cell>
          <cell r="GY57" t="str">
            <v>..</v>
          </cell>
          <cell r="GZ57" t="str">
            <v>..</v>
          </cell>
          <cell r="HA57" t="str">
            <v>..</v>
          </cell>
          <cell r="HB57" t="str">
            <v>..</v>
          </cell>
          <cell r="HC57" t="str">
            <v>..</v>
          </cell>
          <cell r="HD57" t="str">
            <v>..</v>
          </cell>
          <cell r="HE57" t="str">
            <v>..</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t="str">
            <v>..</v>
          </cell>
          <cell r="HS57" t="str">
            <v>..</v>
          </cell>
          <cell r="HT57" t="str">
            <v>..</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t="str">
            <v>..</v>
          </cell>
          <cell r="IH57" t="str">
            <v>..</v>
          </cell>
          <cell r="II57" t="str">
            <v>..</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t="str">
            <v>..</v>
          </cell>
          <cell r="IW57" t="str">
            <v>..</v>
          </cell>
          <cell r="IX57" t="str">
            <v>..</v>
          </cell>
          <cell r="IY57" t="str">
            <v>..</v>
          </cell>
          <cell r="IZ57" t="str">
            <v>..</v>
          </cell>
          <cell r="JA57" t="str">
            <v>..</v>
          </cell>
          <cell r="JB57" t="str">
            <v>..</v>
          </cell>
        </row>
        <row r="58">
          <cell r="A58" t="str">
            <v>E0920</v>
          </cell>
          <cell r="B58" t="str">
            <v>Cumbria</v>
          </cell>
          <cell r="C58" t="str">
            <v>Nathaniel Hooton</v>
          </cell>
          <cell r="D58" t="str">
            <v>Area Manager</v>
          </cell>
          <cell r="E58" t="str">
            <v>"07766366079</v>
          </cell>
          <cell r="F58" t="str">
            <v>Nathaniel.Hooton@cumbria.gov.uk</v>
          </cell>
          <cell r="G58" t="str">
            <v>Wendy Forshaw</v>
          </cell>
          <cell r="H58" t="str">
            <v>Finance Manager</v>
          </cell>
          <cell r="I58" t="str">
            <v>"07786334849</v>
          </cell>
          <cell r="J58" t="str">
            <v>wendy.forshaw@cumbria.gov.uk</v>
          </cell>
          <cell r="K58" t="str">
            <v>..</v>
          </cell>
          <cell r="L58">
            <v>2</v>
          </cell>
          <cell r="M58">
            <v>30</v>
          </cell>
          <cell r="N58">
            <v>6</v>
          </cell>
          <cell r="O58">
            <v>0</v>
          </cell>
          <cell r="P58">
            <v>38</v>
          </cell>
          <cell r="Q58">
            <v>1</v>
          </cell>
          <cell r="R58">
            <v>2</v>
          </cell>
          <cell r="S58">
            <v>30</v>
          </cell>
          <cell r="T58">
            <v>6</v>
          </cell>
          <cell r="U58">
            <v>0</v>
          </cell>
          <cell r="V58">
            <v>38</v>
          </cell>
          <cell r="W58">
            <v>1</v>
          </cell>
          <cell r="X58">
            <v>45</v>
          </cell>
          <cell r="Y58">
            <v>45</v>
          </cell>
          <cell r="Z58">
            <v>2</v>
          </cell>
          <cell r="AA58">
            <v>20</v>
          </cell>
          <cell r="AB58">
            <v>61</v>
          </cell>
          <cell r="AC58">
            <v>0</v>
          </cell>
          <cell r="AD58">
            <v>3</v>
          </cell>
          <cell r="AE58">
            <v>131</v>
          </cell>
          <cell r="AF58">
            <v>18</v>
          </cell>
          <cell r="AG58">
            <v>5</v>
          </cell>
          <cell r="AH58">
            <v>5</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v>9260</v>
          </cell>
          <cell r="BC58">
            <v>2491</v>
          </cell>
          <cell r="BD58">
            <v>0</v>
          </cell>
          <cell r="BE58">
            <v>788</v>
          </cell>
          <cell r="BF58">
            <v>375</v>
          </cell>
          <cell r="BG58">
            <v>63</v>
          </cell>
          <cell r="BH58">
            <v>12977</v>
          </cell>
          <cell r="BI58">
            <v>1767</v>
          </cell>
          <cell r="BJ58">
            <v>813</v>
          </cell>
          <cell r="BK58">
            <v>836</v>
          </cell>
          <cell r="BL58">
            <v>2534</v>
          </cell>
          <cell r="BM58">
            <v>363</v>
          </cell>
          <cell r="BN58">
            <v>0</v>
          </cell>
          <cell r="BO58">
            <v>19290</v>
          </cell>
          <cell r="BP58">
            <v>0</v>
          </cell>
          <cell r="BQ58">
            <v>0</v>
          </cell>
          <cell r="BR58">
            <v>67</v>
          </cell>
          <cell r="BS58">
            <v>67</v>
          </cell>
          <cell r="BT58">
            <v>19223</v>
          </cell>
          <cell r="BU58">
            <v>1598</v>
          </cell>
          <cell r="BV58">
            <v>336</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11376</v>
          </cell>
          <cell r="CP58">
            <v>3039</v>
          </cell>
          <cell r="CQ58">
            <v>0</v>
          </cell>
          <cell r="CR58">
            <v>961</v>
          </cell>
          <cell r="CS58">
            <v>457</v>
          </cell>
          <cell r="CT58">
            <v>76</v>
          </cell>
          <cell r="CU58">
            <v>15909</v>
          </cell>
          <cell r="CV58">
            <v>1780</v>
          </cell>
          <cell r="CW58">
            <v>819</v>
          </cell>
          <cell r="CX58">
            <v>971</v>
          </cell>
          <cell r="CY58">
            <v>4221</v>
          </cell>
          <cell r="CZ58">
            <v>376</v>
          </cell>
          <cell r="DA58">
            <v>0</v>
          </cell>
          <cell r="DB58">
            <v>24076</v>
          </cell>
          <cell r="DC58">
            <v>0</v>
          </cell>
          <cell r="DD58">
            <v>0</v>
          </cell>
          <cell r="DE58">
            <v>70</v>
          </cell>
          <cell r="DF58">
            <v>70</v>
          </cell>
          <cell r="DG58">
            <v>24006</v>
          </cell>
          <cell r="DH58">
            <v>1599</v>
          </cell>
          <cell r="DI58">
            <v>370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14.9</v>
          </cell>
          <cell r="EE58">
            <v>0</v>
          </cell>
          <cell r="EF58">
            <v>0</v>
          </cell>
          <cell r="EG58">
            <v>0</v>
          </cell>
          <cell r="EH58">
            <v>0</v>
          </cell>
          <cell r="EI58">
            <v>0</v>
          </cell>
          <cell r="EJ58">
            <v>0</v>
          </cell>
          <cell r="EK58">
            <v>0</v>
          </cell>
          <cell r="EL58" t="str">
            <v>..</v>
          </cell>
          <cell r="EM58" t="str">
            <v>..</v>
          </cell>
          <cell r="EN58">
            <v>1026</v>
          </cell>
          <cell r="EO58" t="str">
            <v>..</v>
          </cell>
          <cell r="EP58" t="str">
            <v>..</v>
          </cell>
          <cell r="EQ58" t="str">
            <v>..</v>
          </cell>
          <cell r="ER58">
            <v>19795</v>
          </cell>
          <cell r="ES58">
            <v>0</v>
          </cell>
          <cell r="ET58">
            <v>0</v>
          </cell>
          <cell r="EU58">
            <v>0</v>
          </cell>
          <cell r="EV58">
            <v>20821</v>
          </cell>
          <cell r="EW58" t="str">
            <v>..</v>
          </cell>
          <cell r="EX58" t="str">
            <v>..</v>
          </cell>
          <cell r="EY58">
            <v>124</v>
          </cell>
          <cell r="EZ58" t="str">
            <v>..</v>
          </cell>
          <cell r="FA58" t="str">
            <v>..</v>
          </cell>
          <cell r="FB58" t="str">
            <v>..</v>
          </cell>
          <cell r="FC58">
            <v>2399</v>
          </cell>
          <cell r="FD58">
            <v>0</v>
          </cell>
          <cell r="FE58">
            <v>0</v>
          </cell>
          <cell r="FF58">
            <v>0</v>
          </cell>
          <cell r="FG58">
            <v>2523</v>
          </cell>
          <cell r="FH58">
            <v>-1434</v>
          </cell>
          <cell r="FI58">
            <v>0</v>
          </cell>
          <cell r="FJ58">
            <v>0</v>
          </cell>
          <cell r="FK58">
            <v>-1209</v>
          </cell>
          <cell r="FL58">
            <v>-38</v>
          </cell>
          <cell r="FM58">
            <v>6596</v>
          </cell>
          <cell r="FN58">
            <v>1435</v>
          </cell>
          <cell r="FO58">
            <v>0</v>
          </cell>
          <cell r="FP58">
            <v>5350</v>
          </cell>
          <cell r="FQ58">
            <v>0</v>
          </cell>
          <cell r="FR58">
            <v>0</v>
          </cell>
          <cell r="FS58">
            <v>-2801</v>
          </cell>
          <cell r="FT58">
            <v>0</v>
          </cell>
          <cell r="FU58">
            <v>0</v>
          </cell>
          <cell r="FV58">
            <v>-1194</v>
          </cell>
          <cell r="FW58">
            <v>0</v>
          </cell>
          <cell r="FX58">
            <v>6926</v>
          </cell>
          <cell r="FY58">
            <v>767</v>
          </cell>
          <cell r="FZ58">
            <v>0</v>
          </cell>
          <cell r="GA58">
            <v>3698</v>
          </cell>
          <cell r="GB58">
            <v>0</v>
          </cell>
          <cell r="GC58">
            <v>0</v>
          </cell>
          <cell r="GD58">
            <v>427</v>
          </cell>
          <cell r="GE58">
            <v>437</v>
          </cell>
          <cell r="GF58">
            <v>12</v>
          </cell>
          <cell r="GG58">
            <v>0</v>
          </cell>
          <cell r="GH58">
            <v>121</v>
          </cell>
          <cell r="GI58">
            <v>13</v>
          </cell>
          <cell r="GJ58">
            <v>317</v>
          </cell>
          <cell r="GK58">
            <v>60</v>
          </cell>
          <cell r="GL58">
            <v>36</v>
          </cell>
          <cell r="GM58">
            <v>166</v>
          </cell>
          <cell r="GN58">
            <v>76</v>
          </cell>
          <cell r="GO58">
            <v>35</v>
          </cell>
          <cell r="GP58">
            <v>240</v>
          </cell>
          <cell r="GQ58">
            <v>0</v>
          </cell>
          <cell r="GR58">
            <v>0</v>
          </cell>
          <cell r="GS58">
            <v>313</v>
          </cell>
          <cell r="GT58">
            <v>0</v>
          </cell>
          <cell r="GU58">
            <v>0</v>
          </cell>
          <cell r="GV58">
            <v>0</v>
          </cell>
          <cell r="GW58">
            <v>0</v>
          </cell>
          <cell r="GX58">
            <v>0</v>
          </cell>
          <cell r="GY58">
            <v>0</v>
          </cell>
          <cell r="GZ58">
            <v>0</v>
          </cell>
          <cell r="HA58">
            <v>465</v>
          </cell>
          <cell r="HB58">
            <v>0</v>
          </cell>
          <cell r="HC58">
            <v>0</v>
          </cell>
          <cell r="HD58">
            <v>0</v>
          </cell>
          <cell r="HE58">
            <v>0</v>
          </cell>
          <cell r="HF58">
            <v>0</v>
          </cell>
          <cell r="HG58">
            <v>0</v>
          </cell>
          <cell r="HH58">
            <v>111</v>
          </cell>
          <cell r="HI58">
            <v>0</v>
          </cell>
          <cell r="HJ58">
            <v>0</v>
          </cell>
          <cell r="HK58">
            <v>0</v>
          </cell>
          <cell r="HL58">
            <v>576</v>
          </cell>
          <cell r="HM58">
            <v>0</v>
          </cell>
          <cell r="HN58">
            <v>0</v>
          </cell>
          <cell r="HO58">
            <v>0</v>
          </cell>
          <cell r="HP58">
            <v>0</v>
          </cell>
          <cell r="HQ58">
            <v>0</v>
          </cell>
          <cell r="HR58">
            <v>1710</v>
          </cell>
          <cell r="HS58">
            <v>12</v>
          </cell>
          <cell r="HT58">
            <v>24</v>
          </cell>
          <cell r="HU58">
            <v>0</v>
          </cell>
          <cell r="HV58">
            <v>0</v>
          </cell>
          <cell r="HW58">
            <v>0</v>
          </cell>
          <cell r="HX58">
            <v>0</v>
          </cell>
          <cell r="HY58">
            <v>122</v>
          </cell>
          <cell r="HZ58">
            <v>0</v>
          </cell>
          <cell r="IA58">
            <v>0</v>
          </cell>
          <cell r="IB58">
            <v>0</v>
          </cell>
          <cell r="IC58">
            <v>1868</v>
          </cell>
          <cell r="ID58">
            <v>0</v>
          </cell>
          <cell r="IE58">
            <v>0</v>
          </cell>
          <cell r="IF58">
            <v>0</v>
          </cell>
          <cell r="IG58">
            <v>0</v>
          </cell>
          <cell r="IH58">
            <v>0</v>
          </cell>
          <cell r="II58">
            <v>430</v>
          </cell>
          <cell r="IJ58">
            <v>0</v>
          </cell>
          <cell r="IK58">
            <v>0</v>
          </cell>
          <cell r="IL58">
            <v>0</v>
          </cell>
          <cell r="IM58">
            <v>0</v>
          </cell>
          <cell r="IN58">
            <v>0</v>
          </cell>
          <cell r="IO58">
            <v>0</v>
          </cell>
          <cell r="IP58">
            <v>62</v>
          </cell>
          <cell r="IQ58">
            <v>0</v>
          </cell>
          <cell r="IR58">
            <v>0</v>
          </cell>
          <cell r="IS58">
            <v>0</v>
          </cell>
          <cell r="IT58">
            <v>492</v>
          </cell>
          <cell r="IU58" t="str">
            <v>North West Ambulance Service (NWAS)</v>
          </cell>
          <cell r="IV58" t="str">
            <v xml:space="preserve">2 x Water Bowsers, 1 x BA support Unit, 1 x Water Response vechicle, 3  x Joint Incident Command Units, 7 x Wildfire Land Rovers, 2 x Uni Mogs, 1 x Welfare Unit and 3 Rapid Response Vechicles </v>
          </cell>
          <cell r="IW58" t="str">
            <v>..</v>
          </cell>
          <cell r="IX58" t="str">
            <v>..</v>
          </cell>
          <cell r="IY58" t="str">
            <v>..</v>
          </cell>
          <cell r="IZ58">
            <v>0</v>
          </cell>
          <cell r="JA58" t="str">
            <v>..</v>
          </cell>
          <cell r="JB58" t="str">
            <v>..</v>
          </cell>
        </row>
        <row r="59">
          <cell r="A59" t="str">
            <v>E6124</v>
          </cell>
          <cell r="B59" t="str">
            <v>Leicestershire</v>
          </cell>
          <cell r="C59" t="str">
            <v>Philippa Brown</v>
          </cell>
          <cell r="D59" t="str">
            <v>Accountant</v>
          </cell>
          <cell r="E59" t="str">
            <v>0116 2105509</v>
          </cell>
          <cell r="F59" t="str">
            <v>philippa.brown@lfrs.org</v>
          </cell>
          <cell r="G59" t="str">
            <v>Philippa Brown</v>
          </cell>
          <cell r="H59" t="str">
            <v>Accountant</v>
          </cell>
          <cell r="I59" t="str">
            <v>0116 2105509</v>
          </cell>
          <cell r="J59" t="str">
            <v>philippa.brown@lfrs.org</v>
          </cell>
          <cell r="K59" t="str">
            <v>..</v>
          </cell>
          <cell r="L59">
            <v>7</v>
          </cell>
          <cell r="M59">
            <v>6</v>
          </cell>
          <cell r="N59">
            <v>7</v>
          </cell>
          <cell r="O59">
            <v>0</v>
          </cell>
          <cell r="P59">
            <v>20</v>
          </cell>
          <cell r="Q59">
            <v>2</v>
          </cell>
          <cell r="R59">
            <v>7</v>
          </cell>
          <cell r="S59">
            <v>6</v>
          </cell>
          <cell r="T59">
            <v>7</v>
          </cell>
          <cell r="U59">
            <v>0</v>
          </cell>
          <cell r="V59">
            <v>20</v>
          </cell>
          <cell r="W59">
            <v>3</v>
          </cell>
          <cell r="X59">
            <v>30</v>
          </cell>
          <cell r="Y59">
            <v>30</v>
          </cell>
          <cell r="Z59">
            <v>2</v>
          </cell>
          <cell r="AA59">
            <v>18</v>
          </cell>
          <cell r="AB59">
            <v>37</v>
          </cell>
          <cell r="AC59">
            <v>0</v>
          </cell>
          <cell r="AD59">
            <v>10</v>
          </cell>
          <cell r="AE59">
            <v>97</v>
          </cell>
          <cell r="AF59">
            <v>66</v>
          </cell>
          <cell r="AG59">
            <v>3</v>
          </cell>
          <cell r="AH59">
            <v>5</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v>17180</v>
          </cell>
          <cell r="BC59">
            <v>1802</v>
          </cell>
          <cell r="BD59">
            <v>1148</v>
          </cell>
          <cell r="BE59">
            <v>4505</v>
          </cell>
          <cell r="BF59">
            <v>370</v>
          </cell>
          <cell r="BG59">
            <v>635</v>
          </cell>
          <cell r="BH59">
            <v>25640</v>
          </cell>
          <cell r="BI59">
            <v>2399</v>
          </cell>
          <cell r="BJ59">
            <v>952</v>
          </cell>
          <cell r="BK59">
            <v>3441</v>
          </cell>
          <cell r="BL59">
            <v>159</v>
          </cell>
          <cell r="BM59">
            <v>0</v>
          </cell>
          <cell r="BN59">
            <v>0</v>
          </cell>
          <cell r="BO59">
            <v>32591</v>
          </cell>
          <cell r="BP59">
            <v>2104</v>
          </cell>
          <cell r="BQ59">
            <v>0</v>
          </cell>
          <cell r="BR59">
            <v>701</v>
          </cell>
          <cell r="BS59">
            <v>2805</v>
          </cell>
          <cell r="BT59">
            <v>29786</v>
          </cell>
          <cell r="BU59">
            <v>2404</v>
          </cell>
          <cell r="BV59">
            <v>27014</v>
          </cell>
          <cell r="BW59">
            <v>0</v>
          </cell>
          <cell r="BX59">
            <v>1316</v>
          </cell>
          <cell r="BY59">
            <v>90</v>
          </cell>
          <cell r="BZ59">
            <v>574</v>
          </cell>
          <cell r="CA59">
            <v>115</v>
          </cell>
          <cell r="CB59">
            <v>0</v>
          </cell>
          <cell r="CC59">
            <v>0</v>
          </cell>
          <cell r="CD59">
            <v>0</v>
          </cell>
          <cell r="CE59">
            <v>0</v>
          </cell>
          <cell r="CF59">
            <v>0</v>
          </cell>
          <cell r="CG59">
            <v>0</v>
          </cell>
          <cell r="CH59">
            <v>144</v>
          </cell>
          <cell r="CI59">
            <v>144</v>
          </cell>
          <cell r="CJ59">
            <v>23</v>
          </cell>
          <cell r="CK59">
            <v>135</v>
          </cell>
          <cell r="CL59">
            <v>589</v>
          </cell>
          <cell r="CM59">
            <v>183</v>
          </cell>
          <cell r="CN59">
            <v>222</v>
          </cell>
          <cell r="CO59">
            <v>19395</v>
          </cell>
          <cell r="CP59">
            <v>2341</v>
          </cell>
          <cell r="CQ59">
            <v>1062</v>
          </cell>
          <cell r="CR59">
            <v>4772</v>
          </cell>
          <cell r="CS59">
            <v>318</v>
          </cell>
          <cell r="CT59">
            <v>348</v>
          </cell>
          <cell r="CU59">
            <v>28236</v>
          </cell>
          <cell r="CV59">
            <v>2348</v>
          </cell>
          <cell r="CW59">
            <v>983</v>
          </cell>
          <cell r="CX59">
            <v>3109</v>
          </cell>
          <cell r="CY59">
            <v>179</v>
          </cell>
          <cell r="CZ59">
            <v>0</v>
          </cell>
          <cell r="DA59">
            <v>0</v>
          </cell>
          <cell r="DB59">
            <v>34855</v>
          </cell>
          <cell r="DC59">
            <v>3282</v>
          </cell>
          <cell r="DD59">
            <v>0</v>
          </cell>
          <cell r="DE59">
            <v>395</v>
          </cell>
          <cell r="DF59">
            <v>3677</v>
          </cell>
          <cell r="DG59">
            <v>31178</v>
          </cell>
          <cell r="DH59">
            <v>2400</v>
          </cell>
          <cell r="DI59">
            <v>27000</v>
          </cell>
          <cell r="DJ59">
            <v>0</v>
          </cell>
          <cell r="DK59">
            <v>1136</v>
          </cell>
          <cell r="DL59">
            <v>163</v>
          </cell>
          <cell r="DM59">
            <v>474</v>
          </cell>
          <cell r="DN59">
            <v>162</v>
          </cell>
          <cell r="DO59">
            <v>0</v>
          </cell>
          <cell r="DP59">
            <v>0</v>
          </cell>
          <cell r="DQ59">
            <v>0</v>
          </cell>
          <cell r="DR59">
            <v>0</v>
          </cell>
          <cell r="DS59">
            <v>0</v>
          </cell>
          <cell r="DT59">
            <v>0</v>
          </cell>
          <cell r="DU59">
            <v>147</v>
          </cell>
          <cell r="DV59">
            <v>147</v>
          </cell>
          <cell r="DW59">
            <v>24</v>
          </cell>
          <cell r="DX59">
            <v>138</v>
          </cell>
          <cell r="DY59">
            <v>601</v>
          </cell>
          <cell r="DZ59">
            <v>185</v>
          </cell>
          <cell r="EA59">
            <v>226</v>
          </cell>
          <cell r="EB59">
            <v>0</v>
          </cell>
          <cell r="EC59">
            <v>0</v>
          </cell>
          <cell r="ED59">
            <v>22.5</v>
          </cell>
          <cell r="EE59">
            <v>0</v>
          </cell>
          <cell r="EF59">
            <v>0</v>
          </cell>
          <cell r="EG59">
            <v>13358</v>
          </cell>
          <cell r="EH59">
            <v>21512</v>
          </cell>
          <cell r="EI59">
            <v>145</v>
          </cell>
          <cell r="EJ59">
            <v>0</v>
          </cell>
          <cell r="EK59">
            <v>35015</v>
          </cell>
          <cell r="EL59" t="str">
            <v>..</v>
          </cell>
          <cell r="EM59" t="str">
            <v>..</v>
          </cell>
          <cell r="EN59">
            <v>3627</v>
          </cell>
          <cell r="EO59" t="str">
            <v>..</v>
          </cell>
          <cell r="EP59" t="str">
            <v>..</v>
          </cell>
          <cell r="EQ59" t="str">
            <v>..</v>
          </cell>
          <cell r="ER59">
            <v>27269</v>
          </cell>
          <cell r="ES59">
            <v>535</v>
          </cell>
          <cell r="ET59">
            <v>759</v>
          </cell>
          <cell r="EU59">
            <v>0</v>
          </cell>
          <cell r="EV59">
            <v>32190</v>
          </cell>
          <cell r="EW59" t="str">
            <v>..</v>
          </cell>
          <cell r="EX59" t="str">
            <v>..</v>
          </cell>
          <cell r="EY59">
            <v>3783</v>
          </cell>
          <cell r="EZ59" t="str">
            <v>..</v>
          </cell>
          <cell r="FA59" t="str">
            <v>..</v>
          </cell>
          <cell r="FB59" t="str">
            <v>..</v>
          </cell>
          <cell r="FC59">
            <v>28446</v>
          </cell>
          <cell r="FD59">
            <v>557</v>
          </cell>
          <cell r="FE59">
            <v>792</v>
          </cell>
          <cell r="FF59">
            <v>0</v>
          </cell>
          <cell r="FG59">
            <v>33578</v>
          </cell>
          <cell r="FH59">
            <v>-2212</v>
          </cell>
          <cell r="FI59">
            <v>-37</v>
          </cell>
          <cell r="FJ59">
            <v>0</v>
          </cell>
          <cell r="FK59">
            <v>-1799</v>
          </cell>
          <cell r="FL59">
            <v>0</v>
          </cell>
          <cell r="FM59">
            <v>10700</v>
          </cell>
          <cell r="FN59">
            <v>2158</v>
          </cell>
          <cell r="FO59">
            <v>150</v>
          </cell>
          <cell r="FP59">
            <v>8960</v>
          </cell>
          <cell r="FQ59">
            <v>117</v>
          </cell>
          <cell r="FR59">
            <v>0</v>
          </cell>
          <cell r="FS59">
            <v>-2020</v>
          </cell>
          <cell r="FT59">
            <v>-56</v>
          </cell>
          <cell r="FU59">
            <v>0</v>
          </cell>
          <cell r="FV59">
            <v>-1720</v>
          </cell>
          <cell r="FW59">
            <v>0</v>
          </cell>
          <cell r="FX59">
            <v>11442</v>
          </cell>
          <cell r="FY59">
            <v>655</v>
          </cell>
          <cell r="FZ59">
            <v>0</v>
          </cell>
          <cell r="GA59">
            <v>8413</v>
          </cell>
          <cell r="GB59">
            <v>112</v>
          </cell>
          <cell r="GC59">
            <v>0</v>
          </cell>
          <cell r="GD59">
            <v>658</v>
          </cell>
          <cell r="GE59">
            <v>661</v>
          </cell>
          <cell r="GF59">
            <v>23</v>
          </cell>
          <cell r="GG59">
            <v>1</v>
          </cell>
          <cell r="GH59">
            <v>83</v>
          </cell>
          <cell r="GI59">
            <v>10</v>
          </cell>
          <cell r="GJ59">
            <v>405</v>
          </cell>
          <cell r="GK59">
            <v>10</v>
          </cell>
          <cell r="GL59">
            <v>44</v>
          </cell>
          <cell r="GM59">
            <v>206</v>
          </cell>
          <cell r="GN59">
            <v>70</v>
          </cell>
          <cell r="GO59">
            <v>21</v>
          </cell>
          <cell r="GP59">
            <v>11599</v>
          </cell>
          <cell r="GQ59">
            <v>2247</v>
          </cell>
          <cell r="GR59">
            <v>375</v>
          </cell>
          <cell r="GS59">
            <v>12449</v>
          </cell>
          <cell r="GT59">
            <v>2610</v>
          </cell>
          <cell r="GU59">
            <v>475</v>
          </cell>
          <cell r="GV59">
            <v>0</v>
          </cell>
          <cell r="GW59">
            <v>0</v>
          </cell>
          <cell r="GX59">
            <v>16</v>
          </cell>
          <cell r="GY59">
            <v>1367</v>
          </cell>
          <cell r="GZ59">
            <v>0</v>
          </cell>
          <cell r="HA59">
            <v>585</v>
          </cell>
          <cell r="HB59">
            <v>407</v>
          </cell>
          <cell r="HC59">
            <v>0</v>
          </cell>
          <cell r="HD59">
            <v>0</v>
          </cell>
          <cell r="HE59">
            <v>0</v>
          </cell>
          <cell r="HF59">
            <v>69</v>
          </cell>
          <cell r="HG59">
            <v>0</v>
          </cell>
          <cell r="HH59">
            <v>305</v>
          </cell>
          <cell r="HI59">
            <v>0</v>
          </cell>
          <cell r="HJ59">
            <v>0</v>
          </cell>
          <cell r="HK59">
            <v>0</v>
          </cell>
          <cell r="HL59">
            <v>2749</v>
          </cell>
          <cell r="HM59">
            <v>0</v>
          </cell>
          <cell r="HN59">
            <v>0</v>
          </cell>
          <cell r="HO59">
            <v>0</v>
          </cell>
          <cell r="HP59">
            <v>1175</v>
          </cell>
          <cell r="HQ59">
            <v>0</v>
          </cell>
          <cell r="HR59">
            <v>296</v>
          </cell>
          <cell r="HS59">
            <v>30</v>
          </cell>
          <cell r="HT59">
            <v>0</v>
          </cell>
          <cell r="HU59">
            <v>66</v>
          </cell>
          <cell r="HV59">
            <v>0</v>
          </cell>
          <cell r="HW59">
            <v>95</v>
          </cell>
          <cell r="HX59">
            <v>0</v>
          </cell>
          <cell r="HY59">
            <v>108</v>
          </cell>
          <cell r="HZ59">
            <v>0</v>
          </cell>
          <cell r="IA59">
            <v>0</v>
          </cell>
          <cell r="IB59">
            <v>0</v>
          </cell>
          <cell r="IC59">
            <v>1770</v>
          </cell>
          <cell r="ID59">
            <v>0</v>
          </cell>
          <cell r="IE59">
            <v>0</v>
          </cell>
          <cell r="IF59">
            <v>0</v>
          </cell>
          <cell r="IG59">
            <v>347</v>
          </cell>
          <cell r="IH59">
            <v>0</v>
          </cell>
          <cell r="II59">
            <v>1594</v>
          </cell>
          <cell r="IJ59">
            <v>0</v>
          </cell>
          <cell r="IK59">
            <v>0</v>
          </cell>
          <cell r="IL59">
            <v>0</v>
          </cell>
          <cell r="IM59">
            <v>0</v>
          </cell>
          <cell r="IN59">
            <v>793</v>
          </cell>
          <cell r="IO59">
            <v>0</v>
          </cell>
          <cell r="IP59">
            <v>793</v>
          </cell>
          <cell r="IQ59">
            <v>0</v>
          </cell>
          <cell r="IR59">
            <v>0</v>
          </cell>
          <cell r="IS59">
            <v>0</v>
          </cell>
          <cell r="IT59">
            <v>3527</v>
          </cell>
          <cell r="IU59" t="str">
            <v>Police/Emas</v>
          </cell>
          <cell r="IV59" t="str">
            <v>To advise later</v>
          </cell>
          <cell r="IW59" t="str">
            <v>..</v>
          </cell>
          <cell r="IX59">
            <v>0</v>
          </cell>
          <cell r="IY59" t="str">
            <v>..</v>
          </cell>
          <cell r="IZ59" t="str">
            <v>..</v>
          </cell>
          <cell r="JA59" t="str">
            <v>..</v>
          </cell>
          <cell r="JB59" t="str">
            <v>..</v>
          </cell>
        </row>
        <row r="60">
          <cell r="A60" t="str">
            <v>E6128</v>
          </cell>
          <cell r="B60" t="str">
            <v>Northamptonshire</v>
          </cell>
          <cell r="C60" t="str">
            <v>Jelena Motte</v>
          </cell>
          <cell r="D60" t="str">
            <v>OPFCC and Fire Accountant</v>
          </cell>
          <cell r="E60" t="str">
            <v>03000 111 222</v>
          </cell>
          <cell r="F60" t="str">
            <v>Jelena.Motte@northantspfcc.pnn.gov.uk</v>
          </cell>
          <cell r="G60" t="str">
            <v>..</v>
          </cell>
          <cell r="H60" t="str">
            <v>..</v>
          </cell>
          <cell r="I60" t="str">
            <v>..</v>
          </cell>
          <cell r="J60" t="str">
            <v>..</v>
          </cell>
          <cell r="K60" t="str">
            <v>..</v>
          </cell>
          <cell r="L60">
            <v>3</v>
          </cell>
          <cell r="M60">
            <v>14</v>
          </cell>
          <cell r="N60">
            <v>5</v>
          </cell>
          <cell r="O60">
            <v>0</v>
          </cell>
          <cell r="P60">
            <v>22</v>
          </cell>
          <cell r="Q60">
            <v>3</v>
          </cell>
          <cell r="R60">
            <v>3</v>
          </cell>
          <cell r="S60">
            <v>14</v>
          </cell>
          <cell r="T60">
            <v>5</v>
          </cell>
          <cell r="U60">
            <v>0</v>
          </cell>
          <cell r="V60">
            <v>22</v>
          </cell>
          <cell r="W60">
            <v>3</v>
          </cell>
          <cell r="X60">
            <v>26</v>
          </cell>
          <cell r="Y60">
            <v>26</v>
          </cell>
          <cell r="Z60">
            <v>2</v>
          </cell>
          <cell r="AA60">
            <v>28</v>
          </cell>
          <cell r="AB60">
            <v>36</v>
          </cell>
          <cell r="AC60">
            <v>0</v>
          </cell>
          <cell r="AD60">
            <v>6</v>
          </cell>
          <cell r="AE60">
            <v>98</v>
          </cell>
          <cell r="AF60">
            <v>50</v>
          </cell>
          <cell r="AG60">
            <v>4</v>
          </cell>
          <cell r="AH60">
            <v>3</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v>11737.170290000002</v>
          </cell>
          <cell r="BC60">
            <v>1779.70732</v>
          </cell>
          <cell r="BD60">
            <v>723.07609000000014</v>
          </cell>
          <cell r="BE60">
            <v>2078.4061499999998</v>
          </cell>
          <cell r="BF60">
            <v>356.11381999999998</v>
          </cell>
          <cell r="BG60">
            <v>82.515959999999993</v>
          </cell>
          <cell r="BH60">
            <v>16756.98963</v>
          </cell>
          <cell r="BI60">
            <v>1571.71165</v>
          </cell>
          <cell r="BJ60">
            <v>700.33970999999997</v>
          </cell>
          <cell r="BK60">
            <v>3359.1512700000003</v>
          </cell>
          <cell r="BL60">
            <v>2026.0975975137474</v>
          </cell>
          <cell r="BM60">
            <v>0</v>
          </cell>
          <cell r="BN60">
            <v>0</v>
          </cell>
          <cell r="BO60">
            <v>24414.289857513751</v>
          </cell>
          <cell r="BP60">
            <v>-662.51016000000004</v>
          </cell>
          <cell r="BQ60">
            <v>0</v>
          </cell>
          <cell r="BR60">
            <v>-360.38259000000011</v>
          </cell>
          <cell r="BS60">
            <v>-1022.8927500000002</v>
          </cell>
          <cell r="BT60">
            <v>25437.182607513751</v>
          </cell>
          <cell r="BU60">
            <v>-4694.7294099999963</v>
          </cell>
          <cell r="BV60">
            <v>0</v>
          </cell>
          <cell r="BW60">
            <v>0</v>
          </cell>
          <cell r="BX60">
            <v>0</v>
          </cell>
          <cell r="BY60">
            <v>0</v>
          </cell>
          <cell r="BZ60">
            <v>0</v>
          </cell>
          <cell r="CA60">
            <v>0</v>
          </cell>
          <cell r="CB60">
            <v>0</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v>13597.815000000001</v>
          </cell>
          <cell r="CP60">
            <v>2124.9969999999998</v>
          </cell>
          <cell r="CQ60">
            <v>722.97900000000004</v>
          </cell>
          <cell r="CR60">
            <v>2476.3359999999998</v>
          </cell>
          <cell r="CS60">
            <v>367.86200000000002</v>
          </cell>
          <cell r="CT60">
            <v>67.766000000000005</v>
          </cell>
          <cell r="CU60">
            <v>19357.755000000001</v>
          </cell>
          <cell r="CV60">
            <v>1289.0930000000001</v>
          </cell>
          <cell r="CW60">
            <v>614.74400000000003</v>
          </cell>
          <cell r="CX60">
            <v>3916.3649999999998</v>
          </cell>
          <cell r="CY60">
            <v>0</v>
          </cell>
          <cell r="CZ60">
            <v>0</v>
          </cell>
          <cell r="DA60">
            <v>0</v>
          </cell>
          <cell r="DB60">
            <v>25177.957000000002</v>
          </cell>
          <cell r="DC60">
            <v>-442.21800000000002</v>
          </cell>
          <cell r="DD60">
            <v>0</v>
          </cell>
          <cell r="DE60">
            <v>-392.73899999999998</v>
          </cell>
          <cell r="DF60">
            <v>-834.95699999999999</v>
          </cell>
          <cell r="DG60">
            <v>26012.914000000001</v>
          </cell>
          <cell r="DH60">
            <v>275</v>
          </cell>
          <cell r="DI60">
            <v>0</v>
          </cell>
          <cell r="DJ60">
            <v>0</v>
          </cell>
          <cell r="DK60">
            <v>0</v>
          </cell>
          <cell r="DL60">
            <v>0</v>
          </cell>
          <cell r="DM60">
            <v>0</v>
          </cell>
          <cell r="DN60">
            <v>0</v>
          </cell>
          <cell r="DO60">
            <v>0</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v>0</v>
          </cell>
          <cell r="EC60">
            <v>0</v>
          </cell>
          <cell r="ED60">
            <v>0</v>
          </cell>
          <cell r="EE60">
            <v>0</v>
          </cell>
          <cell r="EF60">
            <v>6374.0000000000009</v>
          </cell>
          <cell r="EG60">
            <v>2955</v>
          </cell>
          <cell r="EH60">
            <v>14910</v>
          </cell>
          <cell r="EI60">
            <v>379</v>
          </cell>
          <cell r="EJ60">
            <v>0</v>
          </cell>
          <cell r="EK60">
            <v>24618</v>
          </cell>
          <cell r="EL60">
            <v>0</v>
          </cell>
          <cell r="EM60">
            <v>0</v>
          </cell>
          <cell r="EN60">
            <v>0</v>
          </cell>
          <cell r="EO60">
            <v>0</v>
          </cell>
          <cell r="EP60">
            <v>0</v>
          </cell>
          <cell r="EQ60">
            <v>0</v>
          </cell>
          <cell r="ER60">
            <v>0</v>
          </cell>
          <cell r="ES60">
            <v>0</v>
          </cell>
          <cell r="ET60">
            <v>0</v>
          </cell>
          <cell r="EU60">
            <v>0</v>
          </cell>
          <cell r="EV60">
            <v>0</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v>-1357</v>
          </cell>
          <cell r="FI60">
            <v>0</v>
          </cell>
          <cell r="FJ60">
            <v>0</v>
          </cell>
          <cell r="FK60">
            <v>-933</v>
          </cell>
          <cell r="FL60">
            <v>0</v>
          </cell>
          <cell r="FM60">
            <v>6368</v>
          </cell>
          <cell r="FN60">
            <v>1585</v>
          </cell>
          <cell r="FO60">
            <v>0</v>
          </cell>
          <cell r="FP60">
            <v>5663</v>
          </cell>
          <cell r="FQ60">
            <v>0</v>
          </cell>
          <cell r="FR60">
            <v>0</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v>416</v>
          </cell>
          <cell r="GE60" t="str">
            <v>..</v>
          </cell>
          <cell r="GF60">
            <v>14</v>
          </cell>
          <cell r="GG60">
            <v>0</v>
          </cell>
          <cell r="GH60">
            <v>33</v>
          </cell>
          <cell r="GI60">
            <v>11</v>
          </cell>
          <cell r="GJ60">
            <v>345</v>
          </cell>
          <cell r="GK60">
            <v>14</v>
          </cell>
          <cell r="GL60">
            <v>24</v>
          </cell>
          <cell r="GM60">
            <v>130</v>
          </cell>
          <cell r="GN60">
            <v>55</v>
          </cell>
          <cell r="GO60">
            <v>11</v>
          </cell>
          <cell r="GP60">
            <v>0</v>
          </cell>
          <cell r="GQ60">
            <v>0</v>
          </cell>
          <cell r="GR60">
            <v>0</v>
          </cell>
          <cell r="GS60">
            <v>-1289</v>
          </cell>
          <cell r="GT60">
            <v>-688</v>
          </cell>
          <cell r="GU60">
            <v>0</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v>
          </cell>
          <cell r="IX60" t="str">
            <v>..</v>
          </cell>
          <cell r="IY60" t="str">
            <v>..</v>
          </cell>
          <cell r="IZ60" t="str">
            <v>..</v>
          </cell>
          <cell r="JA60" t="str">
            <v>..</v>
          </cell>
          <cell r="JB60" t="str">
            <v>..</v>
          </cell>
        </row>
        <row r="61">
          <cell r="A61" t="str">
            <v>E3720</v>
          </cell>
          <cell r="B61" t="str">
            <v>Warwickshire</v>
          </cell>
          <cell r="C61" t="str">
            <v>SALLY BENTLEY</v>
          </cell>
          <cell r="D61" t="str">
            <v>PRINCIPLE ACOUNTANT</v>
          </cell>
          <cell r="E61" t="str">
            <v>01926 423231</v>
          </cell>
          <cell r="F61" t="str">
            <v>sallybentley@warwickshire.gov.uk</v>
          </cell>
          <cell r="G61" t="str">
            <v>DAN SWINDEN</v>
          </cell>
          <cell r="H61" t="str">
            <v>FINANCE OFFICER</v>
          </cell>
          <cell r="I61" t="str">
            <v>01926 423231</v>
          </cell>
          <cell r="J61" t="str">
            <v>danielswinden@warwickshire.gov.uk</v>
          </cell>
          <cell r="K61" t="str">
            <v>..</v>
          </cell>
          <cell r="L61">
            <v>5</v>
          </cell>
          <cell r="M61">
            <v>9</v>
          </cell>
          <cell r="N61">
            <v>3</v>
          </cell>
          <cell r="O61">
            <v>0</v>
          </cell>
          <cell r="P61">
            <v>17</v>
          </cell>
          <cell r="Q61">
            <v>0</v>
          </cell>
          <cell r="R61">
            <v>5</v>
          </cell>
          <cell r="S61">
            <v>9</v>
          </cell>
          <cell r="T61">
            <v>3</v>
          </cell>
          <cell r="U61">
            <v>0</v>
          </cell>
          <cell r="V61">
            <v>17</v>
          </cell>
          <cell r="W61">
            <v>0</v>
          </cell>
          <cell r="X61">
            <v>23</v>
          </cell>
          <cell r="Y61">
            <v>23</v>
          </cell>
          <cell r="Z61">
            <v>2</v>
          </cell>
          <cell r="AA61">
            <v>3</v>
          </cell>
          <cell r="AB61">
            <v>26</v>
          </cell>
          <cell r="AC61">
            <v>5</v>
          </cell>
          <cell r="AD61">
            <v>10</v>
          </cell>
          <cell r="AE61">
            <v>69</v>
          </cell>
          <cell r="AF61">
            <v>46</v>
          </cell>
          <cell r="AG61">
            <v>3</v>
          </cell>
          <cell r="AH61">
            <v>3</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11572</v>
          </cell>
          <cell r="BC61">
            <v>1401</v>
          </cell>
          <cell r="BD61">
            <v>779</v>
          </cell>
          <cell r="BE61">
            <v>2070</v>
          </cell>
          <cell r="BF61">
            <v>311</v>
          </cell>
          <cell r="BG61">
            <v>267</v>
          </cell>
          <cell r="BH61">
            <v>16400</v>
          </cell>
          <cell r="BI61">
            <v>611</v>
          </cell>
          <cell r="BJ61">
            <v>1024</v>
          </cell>
          <cell r="BK61">
            <v>2285</v>
          </cell>
          <cell r="BL61">
            <v>1629</v>
          </cell>
          <cell r="BM61">
            <v>70</v>
          </cell>
          <cell r="BN61">
            <v>0</v>
          </cell>
          <cell r="BO61">
            <v>22019</v>
          </cell>
          <cell r="BP61">
            <v>0</v>
          </cell>
          <cell r="BQ61">
            <v>0</v>
          </cell>
          <cell r="BR61">
            <v>499</v>
          </cell>
          <cell r="BS61">
            <v>499</v>
          </cell>
          <cell r="BT61">
            <v>21520</v>
          </cell>
          <cell r="BU61">
            <v>640</v>
          </cell>
          <cell r="BV61">
            <v>4300</v>
          </cell>
          <cell r="BW61">
            <v>0</v>
          </cell>
          <cell r="BX61">
            <v>319</v>
          </cell>
          <cell r="BY61">
            <v>13</v>
          </cell>
          <cell r="BZ61">
            <v>55</v>
          </cell>
          <cell r="CA61">
            <v>0</v>
          </cell>
          <cell r="CB61">
            <v>0</v>
          </cell>
          <cell r="CC61">
            <v>0</v>
          </cell>
          <cell r="CD61">
            <v>0</v>
          </cell>
          <cell r="CE61">
            <v>0</v>
          </cell>
          <cell r="CF61">
            <v>0</v>
          </cell>
          <cell r="CG61">
            <v>0</v>
          </cell>
          <cell r="CH61">
            <v>0</v>
          </cell>
          <cell r="CI61">
            <v>0</v>
          </cell>
          <cell r="CJ61">
            <v>0</v>
          </cell>
          <cell r="CK61">
            <v>0</v>
          </cell>
          <cell r="CL61">
            <v>310</v>
          </cell>
          <cell r="CM61">
            <v>0</v>
          </cell>
          <cell r="CN61">
            <v>0</v>
          </cell>
          <cell r="CO61">
            <v>13010</v>
          </cell>
          <cell r="CP61">
            <v>1559</v>
          </cell>
          <cell r="CQ61">
            <v>736</v>
          </cell>
          <cell r="CR61">
            <v>2197</v>
          </cell>
          <cell r="CS61">
            <v>294</v>
          </cell>
          <cell r="CT61">
            <v>121</v>
          </cell>
          <cell r="CU61">
            <v>17917</v>
          </cell>
          <cell r="CV61">
            <v>33</v>
          </cell>
          <cell r="CW61">
            <v>956</v>
          </cell>
          <cell r="CX61">
            <v>1920</v>
          </cell>
          <cell r="CY61">
            <v>1629</v>
          </cell>
          <cell r="CZ61">
            <v>28</v>
          </cell>
          <cell r="DA61">
            <v>0</v>
          </cell>
          <cell r="DB61">
            <v>22483</v>
          </cell>
          <cell r="DC61">
            <v>0</v>
          </cell>
          <cell r="DD61">
            <v>0</v>
          </cell>
          <cell r="DE61">
            <v>502</v>
          </cell>
          <cell r="DF61">
            <v>502</v>
          </cell>
          <cell r="DG61">
            <v>21981</v>
          </cell>
          <cell r="DH61">
            <v>640</v>
          </cell>
          <cell r="DI61">
            <v>4300</v>
          </cell>
          <cell r="DJ61">
            <v>0</v>
          </cell>
          <cell r="DK61">
            <v>254</v>
          </cell>
          <cell r="DL61">
            <v>54</v>
          </cell>
          <cell r="DM61">
            <v>57</v>
          </cell>
          <cell r="DN61">
            <v>0</v>
          </cell>
          <cell r="DO61">
            <v>0</v>
          </cell>
          <cell r="DP61">
            <v>0</v>
          </cell>
          <cell r="DQ61">
            <v>0</v>
          </cell>
          <cell r="DR61">
            <v>0</v>
          </cell>
          <cell r="DS61">
            <v>0</v>
          </cell>
          <cell r="DT61">
            <v>0</v>
          </cell>
          <cell r="DU61">
            <v>0</v>
          </cell>
          <cell r="DV61">
            <v>0</v>
          </cell>
          <cell r="DW61">
            <v>0</v>
          </cell>
          <cell r="DX61">
            <v>0</v>
          </cell>
          <cell r="DY61">
            <v>260</v>
          </cell>
          <cell r="DZ61">
            <v>0</v>
          </cell>
          <cell r="EA61">
            <v>0</v>
          </cell>
          <cell r="EB61">
            <v>0</v>
          </cell>
          <cell r="EC61">
            <v>0</v>
          </cell>
          <cell r="ED61">
            <v>19</v>
          </cell>
          <cell r="EE61">
            <v>0</v>
          </cell>
          <cell r="EF61">
            <v>0</v>
          </cell>
          <cell r="EG61">
            <v>0</v>
          </cell>
          <cell r="EH61">
            <v>0</v>
          </cell>
          <cell r="EI61">
            <v>0</v>
          </cell>
          <cell r="EJ61">
            <v>0</v>
          </cell>
          <cell r="EK61">
            <v>0</v>
          </cell>
          <cell r="EL61">
            <v>755</v>
          </cell>
          <cell r="EM61">
            <v>4067</v>
          </cell>
          <cell r="EN61">
            <v>4822</v>
          </cell>
          <cell r="EO61">
            <v>14806</v>
          </cell>
          <cell r="EP61">
            <v>1884</v>
          </cell>
          <cell r="EQ61">
            <v>186</v>
          </cell>
          <cell r="ER61">
            <v>16876</v>
          </cell>
          <cell r="ES61">
            <v>462</v>
          </cell>
          <cell r="ET61">
            <v>0</v>
          </cell>
          <cell r="EU61">
            <v>0</v>
          </cell>
          <cell r="EV61">
            <v>22160</v>
          </cell>
          <cell r="EW61">
            <v>278</v>
          </cell>
          <cell r="EX61">
            <v>1492</v>
          </cell>
          <cell r="EY61">
            <v>1770</v>
          </cell>
          <cell r="EZ61">
            <v>5398</v>
          </cell>
          <cell r="FA61">
            <v>682</v>
          </cell>
          <cell r="FB61">
            <v>69</v>
          </cell>
          <cell r="FC61">
            <v>6149</v>
          </cell>
          <cell r="FD61">
            <v>166</v>
          </cell>
          <cell r="FE61">
            <v>0</v>
          </cell>
          <cell r="FF61">
            <v>0</v>
          </cell>
          <cell r="FG61">
            <v>8085</v>
          </cell>
          <cell r="FH61">
            <v>-1304</v>
          </cell>
          <cell r="FI61">
            <v>0</v>
          </cell>
          <cell r="FJ61">
            <v>0</v>
          </cell>
          <cell r="FK61">
            <v>-1074</v>
          </cell>
          <cell r="FL61">
            <v>0</v>
          </cell>
          <cell r="FM61">
            <v>6433</v>
          </cell>
          <cell r="FN61">
            <v>1298</v>
          </cell>
          <cell r="FO61">
            <v>0</v>
          </cell>
          <cell r="FP61">
            <v>5353</v>
          </cell>
          <cell r="FQ61">
            <v>557</v>
          </cell>
          <cell r="FR61">
            <v>138</v>
          </cell>
          <cell r="FS61">
            <v>-1317</v>
          </cell>
          <cell r="FT61">
            <v>-41</v>
          </cell>
          <cell r="FU61">
            <v>0</v>
          </cell>
          <cell r="FV61">
            <v>-1064</v>
          </cell>
          <cell r="FW61">
            <v>0</v>
          </cell>
          <cell r="FX61">
            <v>6653</v>
          </cell>
          <cell r="FY61">
            <v>1376</v>
          </cell>
          <cell r="FZ61">
            <v>0</v>
          </cell>
          <cell r="GA61">
            <v>5607</v>
          </cell>
          <cell r="GB61">
            <v>581</v>
          </cell>
          <cell r="GC61">
            <v>135</v>
          </cell>
          <cell r="GD61">
            <v>395</v>
          </cell>
          <cell r="GE61">
            <v>398</v>
          </cell>
          <cell r="GF61">
            <v>10</v>
          </cell>
          <cell r="GG61">
            <v>0</v>
          </cell>
          <cell r="GH61">
            <v>40</v>
          </cell>
          <cell r="GI61">
            <v>4</v>
          </cell>
          <cell r="GJ61">
            <v>270</v>
          </cell>
          <cell r="GK61">
            <v>3</v>
          </cell>
          <cell r="GL61">
            <v>31</v>
          </cell>
          <cell r="GM61">
            <v>119</v>
          </cell>
          <cell r="GN61">
            <v>55</v>
          </cell>
          <cell r="GO61">
            <v>7</v>
          </cell>
          <cell r="GP61">
            <v>1502</v>
          </cell>
          <cell r="GQ61">
            <v>686</v>
          </cell>
          <cell r="GR61">
            <v>0</v>
          </cell>
          <cell r="GS61">
            <v>1698</v>
          </cell>
          <cell r="GT61">
            <v>525</v>
          </cell>
          <cell r="GU61">
            <v>0</v>
          </cell>
          <cell r="GV61">
            <v>0</v>
          </cell>
          <cell r="GW61">
            <v>0</v>
          </cell>
          <cell r="GX61">
            <v>1414</v>
          </cell>
          <cell r="GY61">
            <v>2088</v>
          </cell>
          <cell r="GZ61">
            <v>0</v>
          </cell>
          <cell r="HA61">
            <v>284</v>
          </cell>
          <cell r="HB61">
            <v>0</v>
          </cell>
          <cell r="HC61">
            <v>0</v>
          </cell>
          <cell r="HD61">
            <v>0</v>
          </cell>
          <cell r="HE61">
            <v>70</v>
          </cell>
          <cell r="HF61">
            <v>0</v>
          </cell>
          <cell r="HG61">
            <v>0</v>
          </cell>
          <cell r="HH61">
            <v>100</v>
          </cell>
          <cell r="HI61">
            <v>0</v>
          </cell>
          <cell r="HJ61">
            <v>0</v>
          </cell>
          <cell r="HK61">
            <v>0</v>
          </cell>
          <cell r="HL61">
            <v>3956</v>
          </cell>
          <cell r="HM61">
            <v>0</v>
          </cell>
          <cell r="HN61">
            <v>0</v>
          </cell>
          <cell r="HO61">
            <v>0</v>
          </cell>
          <cell r="HP61">
            <v>11</v>
          </cell>
          <cell r="HQ61">
            <v>0</v>
          </cell>
          <cell r="HR61">
            <v>86</v>
          </cell>
          <cell r="HS61">
            <v>0</v>
          </cell>
          <cell r="HT61">
            <v>0</v>
          </cell>
          <cell r="HU61">
            <v>0</v>
          </cell>
          <cell r="HV61">
            <v>0</v>
          </cell>
          <cell r="HW61">
            <v>0</v>
          </cell>
          <cell r="HX61">
            <v>0</v>
          </cell>
          <cell r="HY61">
            <v>39</v>
          </cell>
          <cell r="HZ61">
            <v>0</v>
          </cell>
          <cell r="IA61">
            <v>0</v>
          </cell>
          <cell r="IB61">
            <v>0</v>
          </cell>
          <cell r="IC61">
            <v>136</v>
          </cell>
          <cell r="ID61">
            <v>0</v>
          </cell>
          <cell r="IE61">
            <v>0</v>
          </cell>
          <cell r="IF61">
            <v>2450</v>
          </cell>
          <cell r="IG61">
            <v>0</v>
          </cell>
          <cell r="IH61">
            <v>0</v>
          </cell>
          <cell r="II61">
            <v>686</v>
          </cell>
          <cell r="IJ61">
            <v>0</v>
          </cell>
          <cell r="IK61">
            <v>0</v>
          </cell>
          <cell r="IL61">
            <v>0</v>
          </cell>
          <cell r="IM61">
            <v>83</v>
          </cell>
          <cell r="IN61">
            <v>0</v>
          </cell>
          <cell r="IO61">
            <v>0</v>
          </cell>
          <cell r="IP61">
            <v>246</v>
          </cell>
          <cell r="IQ61">
            <v>0</v>
          </cell>
          <cell r="IR61">
            <v>0</v>
          </cell>
          <cell r="IS61">
            <v>0</v>
          </cell>
          <cell r="IT61">
            <v>3465</v>
          </cell>
          <cell r="IU61" t="str">
            <v>..</v>
          </cell>
          <cell r="IV61" t="str">
            <v>2 x boats &amp; Landrovers, small fire unit</v>
          </cell>
          <cell r="IW61" t="str">
            <v xml:space="preserve"> </v>
          </cell>
          <cell r="IX61" t="str">
            <v xml:space="preserve"> </v>
          </cell>
          <cell r="IY61" t="str">
            <v xml:space="preserve"> </v>
          </cell>
          <cell r="IZ61" t="str">
            <v xml:space="preserve"> </v>
          </cell>
          <cell r="JA61" t="str">
            <v xml:space="preserve"> </v>
          </cell>
          <cell r="JB61" t="str">
            <v xml:space="preserve"> </v>
          </cell>
        </row>
        <row r="62">
          <cell r="A62" t="str">
            <v>E0801</v>
          </cell>
          <cell r="B62" t="str">
            <v>Cornwall</v>
          </cell>
          <cell r="C62" t="str">
            <v>Richard Kerswell</v>
          </cell>
          <cell r="D62" t="str">
            <v>Business Systems Specialist</v>
          </cell>
          <cell r="E62" t="str">
            <v>01872 322790</v>
          </cell>
          <cell r="F62" t="str">
            <v>rkerswell@fire.cornwall.gov.uk</v>
          </cell>
          <cell r="G62" t="str">
            <v>Shelly Bates</v>
          </cell>
          <cell r="H62" t="str">
            <v>Service Accountant</v>
          </cell>
          <cell r="I62" t="str">
            <v xml:space="preserve">01872 323048 </v>
          </cell>
          <cell r="J62" t="str">
            <v>Shelly.Bates@cornwall.gov.uk</v>
          </cell>
          <cell r="K62" t="str">
            <v>mdavies@cornwall.gov.uk; astone@fire.cornwall.gov.uk; theayn@fire.cornwall.gov.uk</v>
          </cell>
          <cell r="L62">
            <v>2</v>
          </cell>
          <cell r="M62">
            <v>23</v>
          </cell>
          <cell r="N62">
            <v>6</v>
          </cell>
          <cell r="O62">
            <v>0</v>
          </cell>
          <cell r="P62">
            <v>31</v>
          </cell>
          <cell r="Q62">
            <v>5</v>
          </cell>
          <cell r="R62">
            <v>2</v>
          </cell>
          <cell r="S62">
            <v>23</v>
          </cell>
          <cell r="T62">
            <v>6</v>
          </cell>
          <cell r="U62">
            <v>0</v>
          </cell>
          <cell r="V62">
            <v>31</v>
          </cell>
          <cell r="W62">
            <v>5</v>
          </cell>
          <cell r="X62">
            <v>43</v>
          </cell>
          <cell r="Y62">
            <v>43</v>
          </cell>
          <cell r="Z62">
            <v>2</v>
          </cell>
          <cell r="AA62">
            <v>46</v>
          </cell>
          <cell r="AB62">
            <v>34</v>
          </cell>
          <cell r="AC62">
            <v>0</v>
          </cell>
          <cell r="AD62">
            <v>5</v>
          </cell>
          <cell r="AE62">
            <v>130</v>
          </cell>
          <cell r="AF62">
            <v>64</v>
          </cell>
          <cell r="AG62">
            <v>8</v>
          </cell>
          <cell r="AH62">
            <v>4</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v>9443.1550799999804</v>
          </cell>
          <cell r="BC62">
            <v>4219.25785</v>
          </cell>
          <cell r="BD62">
            <v>766.22735999999998</v>
          </cell>
          <cell r="BE62">
            <v>2524.5617600000005</v>
          </cell>
          <cell r="BF62">
            <v>320.06900000000002</v>
          </cell>
          <cell r="BG62">
            <v>357.00828000000001</v>
          </cell>
          <cell r="BH62">
            <v>17630.279329999983</v>
          </cell>
          <cell r="BI62">
            <v>1166.4449999999999</v>
          </cell>
          <cell r="BJ62">
            <v>835.34267</v>
          </cell>
          <cell r="BK62">
            <v>1746.566</v>
          </cell>
          <cell r="BL62">
            <v>3065</v>
          </cell>
          <cell r="BM62">
            <v>0</v>
          </cell>
          <cell r="BN62">
            <v>0</v>
          </cell>
          <cell r="BO62">
            <v>24443.63299999998</v>
          </cell>
          <cell r="BP62">
            <v>241</v>
          </cell>
          <cell r="BQ62">
            <v>675.98099999999999</v>
          </cell>
          <cell r="BR62">
            <v>1224.5609999999999</v>
          </cell>
          <cell r="BS62">
            <v>2141.5419999999999</v>
          </cell>
          <cell r="BT62">
            <v>22302.090999999979</v>
          </cell>
          <cell r="BU62">
            <v>943</v>
          </cell>
          <cell r="BV62">
            <v>0</v>
          </cell>
          <cell r="BW62">
            <v>0</v>
          </cell>
          <cell r="BX62">
            <v>0</v>
          </cell>
          <cell r="BY62">
            <v>0</v>
          </cell>
          <cell r="BZ62">
            <v>0</v>
          </cell>
          <cell r="CA62">
            <v>0</v>
          </cell>
          <cell r="CB62">
            <v>0</v>
          </cell>
          <cell r="CC62">
            <v>31.89648</v>
          </cell>
          <cell r="CD62">
            <v>212.15100000000001</v>
          </cell>
          <cell r="CE62">
            <v>0</v>
          </cell>
          <cell r="CF62">
            <v>0</v>
          </cell>
          <cell r="CG62">
            <v>0</v>
          </cell>
          <cell r="CH62">
            <v>0.8</v>
          </cell>
          <cell r="CI62">
            <v>244.84748000000002</v>
          </cell>
          <cell r="CJ62">
            <v>0</v>
          </cell>
          <cell r="CK62">
            <v>2</v>
          </cell>
          <cell r="CL62">
            <v>6.9</v>
          </cell>
          <cell r="CM62">
            <v>0</v>
          </cell>
          <cell r="CN62" t="str">
            <v>..</v>
          </cell>
          <cell r="CO62">
            <v>9632.0181815999804</v>
          </cell>
          <cell r="CP62">
            <v>4303.6430069999997</v>
          </cell>
          <cell r="CQ62">
            <v>781.55190719999996</v>
          </cell>
          <cell r="CR62">
            <v>2575.0529952000006</v>
          </cell>
          <cell r="CS62">
            <v>340</v>
          </cell>
          <cell r="CT62">
            <v>360</v>
          </cell>
          <cell r="CU62">
            <v>17992.266090999983</v>
          </cell>
          <cell r="CV62">
            <v>1170</v>
          </cell>
          <cell r="CW62">
            <v>820</v>
          </cell>
          <cell r="CX62">
            <v>1780</v>
          </cell>
          <cell r="CY62">
            <v>3065</v>
          </cell>
          <cell r="CZ62">
            <v>0</v>
          </cell>
          <cell r="DA62">
            <v>0</v>
          </cell>
          <cell r="DB62">
            <v>24827.266090999983</v>
          </cell>
          <cell r="DC62">
            <v>250</v>
          </cell>
          <cell r="DD62">
            <v>1033.3</v>
          </cell>
          <cell r="DE62">
            <v>1400</v>
          </cell>
          <cell r="DF62">
            <v>2683.3</v>
          </cell>
          <cell r="DG62">
            <v>22143.966090999984</v>
          </cell>
          <cell r="DH62">
            <v>1000</v>
          </cell>
          <cell r="DI62">
            <v>0</v>
          </cell>
          <cell r="DJ62">
            <v>0</v>
          </cell>
          <cell r="DK62">
            <v>0</v>
          </cell>
          <cell r="DL62">
            <v>0</v>
          </cell>
          <cell r="DM62">
            <v>0</v>
          </cell>
          <cell r="DN62">
            <v>0</v>
          </cell>
          <cell r="DO62">
            <v>0</v>
          </cell>
          <cell r="DP62">
            <v>370</v>
          </cell>
          <cell r="DQ62">
            <v>0</v>
          </cell>
          <cell r="DR62">
            <v>0</v>
          </cell>
          <cell r="DS62">
            <v>0</v>
          </cell>
          <cell r="DT62">
            <v>0</v>
          </cell>
          <cell r="DU62">
            <v>0</v>
          </cell>
          <cell r="DV62">
            <v>370</v>
          </cell>
          <cell r="DW62">
            <v>0</v>
          </cell>
          <cell r="DX62">
            <v>0</v>
          </cell>
          <cell r="DY62">
            <v>0</v>
          </cell>
          <cell r="DZ62">
            <v>0</v>
          </cell>
          <cell r="EA62" t="str">
            <v>..</v>
          </cell>
          <cell r="EB62">
            <v>0</v>
          </cell>
          <cell r="EC62">
            <v>44</v>
          </cell>
          <cell r="ED62">
            <v>17.5</v>
          </cell>
          <cell r="EE62">
            <v>0</v>
          </cell>
          <cell r="EF62">
            <v>0</v>
          </cell>
          <cell r="EG62">
            <v>0</v>
          </cell>
          <cell r="EH62">
            <v>0</v>
          </cell>
          <cell r="EI62">
            <v>0</v>
          </cell>
          <cell r="EJ62">
            <v>0</v>
          </cell>
          <cell r="EK62">
            <v>0</v>
          </cell>
          <cell r="EL62" t="str">
            <v>..</v>
          </cell>
          <cell r="EM62" t="str">
            <v>..</v>
          </cell>
          <cell r="EN62">
            <v>1500</v>
          </cell>
          <cell r="EO62" t="str">
            <v>..</v>
          </cell>
          <cell r="EP62" t="str">
            <v>..</v>
          </cell>
          <cell r="EQ62" t="str">
            <v>..</v>
          </cell>
          <cell r="ER62">
            <v>18680</v>
          </cell>
          <cell r="ES62">
            <v>0</v>
          </cell>
          <cell r="ET62">
            <v>3065</v>
          </cell>
          <cell r="EU62">
            <v>0</v>
          </cell>
          <cell r="EV62">
            <v>23245</v>
          </cell>
          <cell r="EW62">
            <v>0</v>
          </cell>
          <cell r="EX62">
            <v>0</v>
          </cell>
          <cell r="EY62">
            <v>0</v>
          </cell>
          <cell r="EZ62">
            <v>0</v>
          </cell>
          <cell r="FA62">
            <v>0</v>
          </cell>
          <cell r="FB62">
            <v>0</v>
          </cell>
          <cell r="FC62">
            <v>0</v>
          </cell>
          <cell r="FD62">
            <v>0</v>
          </cell>
          <cell r="FE62">
            <v>0</v>
          </cell>
          <cell r="FF62">
            <v>0</v>
          </cell>
          <cell r="FG62">
            <v>0</v>
          </cell>
          <cell r="FH62">
            <v>-1538</v>
          </cell>
          <cell r="FI62">
            <v>0</v>
          </cell>
          <cell r="FJ62">
            <v>0</v>
          </cell>
          <cell r="FK62">
            <v>-1319</v>
          </cell>
          <cell r="FL62">
            <v>-40</v>
          </cell>
          <cell r="FM62">
            <v>4943</v>
          </cell>
          <cell r="FN62">
            <v>716</v>
          </cell>
          <cell r="FO62">
            <v>27</v>
          </cell>
          <cell r="FP62">
            <v>2789</v>
          </cell>
          <cell r="FQ62">
            <v>0</v>
          </cell>
          <cell r="FR62">
            <v>0</v>
          </cell>
          <cell r="FS62">
            <v>-3100</v>
          </cell>
          <cell r="FT62">
            <v>-80</v>
          </cell>
          <cell r="FU62">
            <v>0</v>
          </cell>
          <cell r="FV62">
            <v>-1203</v>
          </cell>
          <cell r="FW62">
            <v>-30</v>
          </cell>
          <cell r="FX62">
            <v>4814</v>
          </cell>
          <cell r="FY62">
            <v>918</v>
          </cell>
          <cell r="FZ62">
            <v>0</v>
          </cell>
          <cell r="GA62">
            <v>1319</v>
          </cell>
          <cell r="GB62">
            <v>0</v>
          </cell>
          <cell r="GC62">
            <v>0</v>
          </cell>
          <cell r="GD62">
            <v>341</v>
          </cell>
          <cell r="GE62" t="str">
            <v>..</v>
          </cell>
          <cell r="GF62">
            <v>5</v>
          </cell>
          <cell r="GG62">
            <v>1</v>
          </cell>
          <cell r="GH62">
            <v>30</v>
          </cell>
          <cell r="GI62">
            <v>22</v>
          </cell>
          <cell r="GJ62">
            <v>546</v>
          </cell>
          <cell r="GK62">
            <v>27</v>
          </cell>
          <cell r="GL62">
            <v>17</v>
          </cell>
          <cell r="GM62">
            <v>176</v>
          </cell>
          <cell r="GN62">
            <v>109</v>
          </cell>
          <cell r="GO62">
            <v>11</v>
          </cell>
          <cell r="GP62">
            <v>0</v>
          </cell>
          <cell r="GQ62">
            <v>0</v>
          </cell>
          <cell r="GR62">
            <v>100</v>
          </cell>
          <cell r="GS62">
            <v>0</v>
          </cell>
          <cell r="GT62">
            <v>0</v>
          </cell>
          <cell r="GU62">
            <v>100</v>
          </cell>
          <cell r="GV62">
            <v>52</v>
          </cell>
          <cell r="GW62">
            <v>0</v>
          </cell>
          <cell r="GX62">
            <v>0</v>
          </cell>
          <cell r="GY62">
            <v>414</v>
          </cell>
          <cell r="GZ62">
            <v>0</v>
          </cell>
          <cell r="HA62">
            <v>610</v>
          </cell>
          <cell r="HB62">
            <v>237</v>
          </cell>
          <cell r="HC62">
            <v>28</v>
          </cell>
          <cell r="HD62">
            <v>7</v>
          </cell>
          <cell r="HE62">
            <v>0</v>
          </cell>
          <cell r="HF62">
            <v>0</v>
          </cell>
          <cell r="HG62">
            <v>0</v>
          </cell>
          <cell r="HH62">
            <v>226</v>
          </cell>
          <cell r="HI62">
            <v>0</v>
          </cell>
          <cell r="HJ62">
            <v>0</v>
          </cell>
          <cell r="HK62">
            <v>0</v>
          </cell>
          <cell r="HL62">
            <v>1574</v>
          </cell>
          <cell r="HM62">
            <v>128</v>
          </cell>
          <cell r="HN62">
            <v>0</v>
          </cell>
          <cell r="HO62">
            <v>0</v>
          </cell>
          <cell r="HP62">
            <v>5</v>
          </cell>
          <cell r="HQ62">
            <v>0</v>
          </cell>
          <cell r="HR62">
            <v>1900</v>
          </cell>
          <cell r="HS62">
            <v>87</v>
          </cell>
          <cell r="HT62">
            <v>6</v>
          </cell>
          <cell r="HU62">
            <v>72</v>
          </cell>
          <cell r="HV62">
            <v>0</v>
          </cell>
          <cell r="HW62">
            <v>0</v>
          </cell>
          <cell r="HX62">
            <v>0</v>
          </cell>
          <cell r="HY62">
            <v>357</v>
          </cell>
          <cell r="HZ62">
            <v>0</v>
          </cell>
          <cell r="IA62">
            <v>425</v>
          </cell>
          <cell r="IB62">
            <v>0</v>
          </cell>
          <cell r="IC62">
            <v>2980</v>
          </cell>
          <cell r="ID62">
            <v>2500</v>
          </cell>
          <cell r="IE62">
            <v>0</v>
          </cell>
          <cell r="IF62">
            <v>0</v>
          </cell>
          <cell r="IG62">
            <v>250</v>
          </cell>
          <cell r="IH62">
            <v>0</v>
          </cell>
          <cell r="II62">
            <v>2491</v>
          </cell>
          <cell r="IJ62">
            <v>154</v>
          </cell>
          <cell r="IK62">
            <v>556</v>
          </cell>
          <cell r="IL62">
            <v>235</v>
          </cell>
          <cell r="IM62">
            <v>1260.9000000000001</v>
          </cell>
          <cell r="IN62">
            <v>0</v>
          </cell>
          <cell r="IO62">
            <v>0</v>
          </cell>
          <cell r="IP62">
            <v>516</v>
          </cell>
          <cell r="IQ62">
            <v>0</v>
          </cell>
          <cell r="IR62">
            <v>464</v>
          </cell>
          <cell r="IS62">
            <v>0</v>
          </cell>
          <cell r="IT62">
            <v>8426.9</v>
          </cell>
          <cell r="IU62" t="str">
            <v>Tri-Service Stations (Police &amp; Ambulance): 2.4 Hayle
Shared Ambulance facility/dispatch point: 4.2 Truro, 2.0 Tolvaddon
Shared Police facility: 5.2 St Columb
Space Provided for Marine and Coastguard Agency: 5.3 Padstow</v>
          </cell>
          <cell r="IV62" t="str">
            <v>FOAM RESPONCE UNIT x1,MERC WRC &amp; GP LORRY x3,MERC RESCUE TENDER x1,OPERATIONAL SUPPORT x2,MERCEDES RESCUE x3,TOYOTA HI-LUX x22,ALL TERRAIN VEHICLE x1,VAUXHALL BRAVA x 8,WELFARE VEHICLE x1,RIB BOAT x1,VAN VAUXHALL MOVANO x3</v>
          </cell>
          <cell r="IW62" t="str">
            <v>..</v>
          </cell>
          <cell r="IX62" t="str">
            <v>..</v>
          </cell>
          <cell r="IY62" t="str">
            <v>Tri Safety Officers- £143K, IOS - £60K, Other Secondments x 3 = £90K, Phoenix Services</v>
          </cell>
          <cell r="IZ62" t="str">
            <v>..</v>
          </cell>
          <cell r="JA62" t="str">
            <v>..</v>
          </cell>
          <cell r="JB62" t="str">
            <v>I was surprised the split of details was not consistent with the NFCC Survey</v>
          </cell>
        </row>
        <row r="63">
          <cell r="A63" t="str">
            <v>E6106</v>
          </cell>
          <cell r="B63" t="str">
            <v>Cheshire</v>
          </cell>
          <cell r="C63" t="str">
            <v>Jerry Faulkner</v>
          </cell>
          <cell r="D63" t="str">
            <v>Principal Accountant</v>
          </cell>
          <cell r="E63" t="str">
            <v>01606 366482</v>
          </cell>
          <cell r="F63" t="str">
            <v>jerry.faulkner@cheshirefire.gov.uk</v>
          </cell>
          <cell r="G63" t="str">
            <v>Jerry Faulkner</v>
          </cell>
          <cell r="H63" t="str">
            <v>Principal Accountant</v>
          </cell>
          <cell r="I63" t="str">
            <v>01606 366482</v>
          </cell>
          <cell r="J63" t="str">
            <v>jerry.faulkner@cheshirefire.gov.uk</v>
          </cell>
          <cell r="K63" t="str">
            <v>financeacc@cheshirefire.gov.uk; sue.mantle@cheshirefire.gov.uk</v>
          </cell>
          <cell r="L63">
            <v>7</v>
          </cell>
          <cell r="M63">
            <v>11</v>
          </cell>
          <cell r="N63">
            <v>10</v>
          </cell>
          <cell r="O63">
            <v>0</v>
          </cell>
          <cell r="P63">
            <v>28</v>
          </cell>
          <cell r="Q63">
            <v>6</v>
          </cell>
          <cell r="R63">
            <v>7</v>
          </cell>
          <cell r="S63">
            <v>11</v>
          </cell>
          <cell r="T63">
            <v>10</v>
          </cell>
          <cell r="U63">
            <v>0</v>
          </cell>
          <cell r="V63">
            <v>28</v>
          </cell>
          <cell r="W63">
            <v>6</v>
          </cell>
          <cell r="X63">
            <v>40</v>
          </cell>
          <cell r="Y63">
            <v>36</v>
          </cell>
          <cell r="Z63">
            <v>3</v>
          </cell>
          <cell r="AA63">
            <v>7</v>
          </cell>
          <cell r="AB63">
            <v>27</v>
          </cell>
          <cell r="AC63">
            <v>9</v>
          </cell>
          <cell r="AD63">
            <v>12</v>
          </cell>
          <cell r="AE63">
            <v>94</v>
          </cell>
          <cell r="AF63">
            <v>124</v>
          </cell>
          <cell r="AG63">
            <v>8</v>
          </cell>
          <cell r="AH63">
            <v>4</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v>19044</v>
          </cell>
          <cell r="BC63">
            <v>2636</v>
          </cell>
          <cell r="BD63">
            <v>0</v>
          </cell>
          <cell r="BE63">
            <v>5192</v>
          </cell>
          <cell r="BF63">
            <v>462</v>
          </cell>
          <cell r="BG63">
            <v>331</v>
          </cell>
          <cell r="BH63">
            <v>27665</v>
          </cell>
          <cell r="BI63">
            <v>2422</v>
          </cell>
          <cell r="BJ63">
            <v>1101</v>
          </cell>
          <cell r="BK63">
            <v>4261</v>
          </cell>
          <cell r="BL63">
            <v>2866</v>
          </cell>
          <cell r="BM63">
            <v>830</v>
          </cell>
          <cell r="BN63">
            <v>1216</v>
          </cell>
          <cell r="BO63">
            <v>40361</v>
          </cell>
          <cell r="BP63">
            <v>289</v>
          </cell>
          <cell r="BQ63">
            <v>0</v>
          </cell>
          <cell r="BR63">
            <v>1372</v>
          </cell>
          <cell r="BS63">
            <v>1661</v>
          </cell>
          <cell r="BT63">
            <v>38700</v>
          </cell>
          <cell r="BU63">
            <v>2186</v>
          </cell>
          <cell r="BV63">
            <v>17034</v>
          </cell>
          <cell r="BW63">
            <v>0</v>
          </cell>
          <cell r="BX63">
            <v>478</v>
          </cell>
          <cell r="BY63">
            <v>0</v>
          </cell>
          <cell r="BZ63">
            <v>85</v>
          </cell>
          <cell r="CA63">
            <v>-216</v>
          </cell>
          <cell r="CB63">
            <v>0</v>
          </cell>
          <cell r="CC63">
            <v>0</v>
          </cell>
          <cell r="CD63">
            <v>0</v>
          </cell>
          <cell r="CE63">
            <v>0</v>
          </cell>
          <cell r="CF63">
            <v>0</v>
          </cell>
          <cell r="CG63">
            <v>0</v>
          </cell>
          <cell r="CH63">
            <v>0</v>
          </cell>
          <cell r="CI63">
            <v>0</v>
          </cell>
          <cell r="CJ63">
            <v>0</v>
          </cell>
          <cell r="CK63">
            <v>0</v>
          </cell>
          <cell r="CL63">
            <v>1161</v>
          </cell>
          <cell r="CM63">
            <v>2734</v>
          </cell>
          <cell r="CN63">
            <v>0</v>
          </cell>
          <cell r="CO63">
            <v>21576</v>
          </cell>
          <cell r="CP63">
            <v>3571</v>
          </cell>
          <cell r="CQ63">
            <v>0</v>
          </cell>
          <cell r="CR63">
            <v>5538</v>
          </cell>
          <cell r="CS63">
            <v>770</v>
          </cell>
          <cell r="CT63">
            <v>357</v>
          </cell>
          <cell r="CU63">
            <v>31812</v>
          </cell>
          <cell r="CV63">
            <v>2903</v>
          </cell>
          <cell r="CW63">
            <v>1273</v>
          </cell>
          <cell r="CX63">
            <v>4788</v>
          </cell>
          <cell r="CY63">
            <v>3021</v>
          </cell>
          <cell r="CZ63">
            <v>852</v>
          </cell>
          <cell r="DA63">
            <v>670</v>
          </cell>
          <cell r="DB63">
            <v>45319</v>
          </cell>
          <cell r="DC63">
            <v>1937</v>
          </cell>
          <cell r="DD63">
            <v>0</v>
          </cell>
          <cell r="DE63">
            <v>1234</v>
          </cell>
          <cell r="DF63">
            <v>3171</v>
          </cell>
          <cell r="DG63">
            <v>42148</v>
          </cell>
          <cell r="DH63">
            <v>2300</v>
          </cell>
          <cell r="DI63">
            <v>0</v>
          </cell>
          <cell r="DJ63">
            <v>0</v>
          </cell>
          <cell r="DK63">
            <v>446</v>
          </cell>
          <cell r="DL63">
            <v>0</v>
          </cell>
          <cell r="DM63">
            <v>394</v>
          </cell>
          <cell r="DN63">
            <v>-100</v>
          </cell>
          <cell r="DO63">
            <v>0</v>
          </cell>
          <cell r="DP63">
            <v>0</v>
          </cell>
          <cell r="DQ63">
            <v>0</v>
          </cell>
          <cell r="DR63">
            <v>0</v>
          </cell>
          <cell r="DS63">
            <v>0</v>
          </cell>
          <cell r="DT63">
            <v>0</v>
          </cell>
          <cell r="DU63">
            <v>0</v>
          </cell>
          <cell r="DV63">
            <v>0</v>
          </cell>
          <cell r="DW63">
            <v>0</v>
          </cell>
          <cell r="DX63">
            <v>0</v>
          </cell>
          <cell r="DY63">
            <v>1278</v>
          </cell>
          <cell r="DZ63">
            <v>2868</v>
          </cell>
          <cell r="EA63">
            <v>0</v>
          </cell>
          <cell r="EB63">
            <v>0</v>
          </cell>
          <cell r="EC63">
            <v>636</v>
          </cell>
          <cell r="ED63">
            <v>18.3</v>
          </cell>
          <cell r="EE63">
            <v>0</v>
          </cell>
          <cell r="EF63">
            <v>3927</v>
          </cell>
          <cell r="EG63">
            <v>10154</v>
          </cell>
          <cell r="EH63">
            <v>29084</v>
          </cell>
          <cell r="EI63">
            <v>382</v>
          </cell>
          <cell r="EJ63">
            <v>-86</v>
          </cell>
          <cell r="EK63">
            <v>43461</v>
          </cell>
          <cell r="EL63" t="str">
            <v>..</v>
          </cell>
          <cell r="EM63" t="str">
            <v>..</v>
          </cell>
          <cell r="EN63">
            <v>12065</v>
          </cell>
          <cell r="EO63" t="str">
            <v>..</v>
          </cell>
          <cell r="EP63" t="str">
            <v>..</v>
          </cell>
          <cell r="EQ63" t="str">
            <v>..</v>
          </cell>
          <cell r="ER63">
            <v>27880</v>
          </cell>
          <cell r="ES63">
            <v>0</v>
          </cell>
          <cell r="ET63">
            <v>941</v>
          </cell>
          <cell r="EU63">
            <v>0</v>
          </cell>
          <cell r="EV63">
            <v>40886</v>
          </cell>
          <cell r="EW63" t="str">
            <v>..</v>
          </cell>
          <cell r="EX63" t="str">
            <v>..</v>
          </cell>
          <cell r="EY63">
            <v>405</v>
          </cell>
          <cell r="EZ63" t="str">
            <v>..</v>
          </cell>
          <cell r="FA63" t="str">
            <v>..</v>
          </cell>
          <cell r="FB63" t="str">
            <v>..</v>
          </cell>
          <cell r="FC63">
            <v>2694</v>
          </cell>
          <cell r="FD63">
            <v>0</v>
          </cell>
          <cell r="FE63">
            <v>31</v>
          </cell>
          <cell r="FF63">
            <v>0</v>
          </cell>
          <cell r="FG63">
            <v>3130</v>
          </cell>
          <cell r="FH63">
            <v>-2356</v>
          </cell>
          <cell r="FI63">
            <v>-83</v>
          </cell>
          <cell r="FJ63">
            <v>43</v>
          </cell>
          <cell r="FK63">
            <v>-2000</v>
          </cell>
          <cell r="FL63">
            <v>-95</v>
          </cell>
          <cell r="FM63">
            <v>13190</v>
          </cell>
          <cell r="FN63">
            <v>3405</v>
          </cell>
          <cell r="FO63">
            <v>0</v>
          </cell>
          <cell r="FP63">
            <v>12104</v>
          </cell>
          <cell r="FQ63">
            <v>286</v>
          </cell>
          <cell r="FR63">
            <v>11</v>
          </cell>
          <cell r="FS63">
            <v>-2546</v>
          </cell>
          <cell r="FT63">
            <v>-80</v>
          </cell>
          <cell r="FU63">
            <v>0</v>
          </cell>
          <cell r="FV63">
            <v>-2242</v>
          </cell>
          <cell r="FW63">
            <v>0</v>
          </cell>
          <cell r="FX63">
            <v>13728</v>
          </cell>
          <cell r="FY63">
            <v>2174</v>
          </cell>
          <cell r="FZ63">
            <v>0</v>
          </cell>
          <cell r="GA63">
            <v>11034</v>
          </cell>
          <cell r="GB63">
            <v>328</v>
          </cell>
          <cell r="GC63">
            <v>11</v>
          </cell>
          <cell r="GD63">
            <v>842</v>
          </cell>
          <cell r="GE63">
            <v>860</v>
          </cell>
          <cell r="GF63">
            <v>26</v>
          </cell>
          <cell r="GG63">
            <v>0</v>
          </cell>
          <cell r="GH63">
            <v>41</v>
          </cell>
          <cell r="GI63">
            <v>9</v>
          </cell>
          <cell r="GJ63">
            <v>540</v>
          </cell>
          <cell r="GK63">
            <v>13</v>
          </cell>
          <cell r="GL63">
            <v>66</v>
          </cell>
          <cell r="GM63">
            <v>187</v>
          </cell>
          <cell r="GN63">
            <v>94</v>
          </cell>
          <cell r="GO63">
            <v>12</v>
          </cell>
          <cell r="GP63">
            <v>19607</v>
          </cell>
          <cell r="GQ63">
            <v>8211</v>
          </cell>
          <cell r="GR63">
            <v>708</v>
          </cell>
          <cell r="GS63">
            <v>28841</v>
          </cell>
          <cell r="GT63">
            <v>2210</v>
          </cell>
          <cell r="GU63">
            <v>772</v>
          </cell>
          <cell r="GV63">
            <v>0</v>
          </cell>
          <cell r="GW63">
            <v>0</v>
          </cell>
          <cell r="GX63">
            <v>1210</v>
          </cell>
          <cell r="GY63">
            <v>245</v>
          </cell>
          <cell r="GZ63">
            <v>0</v>
          </cell>
          <cell r="HA63">
            <v>1424</v>
          </cell>
          <cell r="HB63">
            <v>115</v>
          </cell>
          <cell r="HC63">
            <v>0</v>
          </cell>
          <cell r="HD63">
            <v>0</v>
          </cell>
          <cell r="HE63">
            <v>0</v>
          </cell>
          <cell r="HF63">
            <v>0</v>
          </cell>
          <cell r="HG63">
            <v>0</v>
          </cell>
          <cell r="HH63">
            <v>0</v>
          </cell>
          <cell r="HI63">
            <v>0</v>
          </cell>
          <cell r="HJ63">
            <v>0</v>
          </cell>
          <cell r="HK63">
            <v>0</v>
          </cell>
          <cell r="HL63">
            <v>2994</v>
          </cell>
          <cell r="HM63">
            <v>0</v>
          </cell>
          <cell r="HN63">
            <v>0</v>
          </cell>
          <cell r="HO63">
            <v>382</v>
          </cell>
          <cell r="HP63">
            <v>353</v>
          </cell>
          <cell r="HQ63">
            <v>0</v>
          </cell>
          <cell r="HR63">
            <v>389</v>
          </cell>
          <cell r="HS63">
            <v>100</v>
          </cell>
          <cell r="HT63">
            <v>0</v>
          </cell>
          <cell r="HU63">
            <v>0</v>
          </cell>
          <cell r="HV63">
            <v>0</v>
          </cell>
          <cell r="HW63">
            <v>45</v>
          </cell>
          <cell r="HX63">
            <v>0</v>
          </cell>
          <cell r="HY63">
            <v>26</v>
          </cell>
          <cell r="HZ63">
            <v>0</v>
          </cell>
          <cell r="IA63">
            <v>0</v>
          </cell>
          <cell r="IB63">
            <v>0</v>
          </cell>
          <cell r="IC63">
            <v>1295</v>
          </cell>
          <cell r="ID63">
            <v>0</v>
          </cell>
          <cell r="IE63">
            <v>0</v>
          </cell>
          <cell r="IF63">
            <v>887</v>
          </cell>
          <cell r="IG63">
            <v>10450</v>
          </cell>
          <cell r="IH63">
            <v>85</v>
          </cell>
          <cell r="II63">
            <v>1407</v>
          </cell>
          <cell r="IJ63">
            <v>140</v>
          </cell>
          <cell r="IK63">
            <v>0</v>
          </cell>
          <cell r="IL63">
            <v>0</v>
          </cell>
          <cell r="IM63">
            <v>0</v>
          </cell>
          <cell r="IN63">
            <v>0</v>
          </cell>
          <cell r="IO63">
            <v>50</v>
          </cell>
          <cell r="IP63">
            <v>28</v>
          </cell>
          <cell r="IQ63">
            <v>0</v>
          </cell>
          <cell r="IR63">
            <v>0</v>
          </cell>
          <cell r="IS63">
            <v>0</v>
          </cell>
          <cell r="IT63">
            <v>13047</v>
          </cell>
          <cell r="IU63" t="str">
            <v>Police and/or Ambulance co-locating in Fire Stations</v>
          </cell>
          <cell r="IV63" t="str">
            <v xml:space="preserve">4xOther Rescue Vehicles, 3xBoats, </v>
          </cell>
          <cell r="IW63" t="str">
            <v>Shared Control Cost (North West Fire Control)</v>
          </cell>
          <cell r="IX63" t="str">
            <v>Agency &amp; Contracted</v>
          </cell>
          <cell r="IY63" t="str">
            <v>..</v>
          </cell>
          <cell r="IZ63" t="str">
            <v>..</v>
          </cell>
          <cell r="JA63" t="str">
            <v>..</v>
          </cell>
          <cell r="JB63" t="str">
            <v>..</v>
          </cell>
        </row>
        <row r="64">
          <cell r="A64" t="str">
            <v>E2520</v>
          </cell>
          <cell r="B64" t="str">
            <v>Lincolnshire</v>
          </cell>
          <cell r="C64" t="str">
            <v>Diane Sharp</v>
          </cell>
          <cell r="D64" t="str">
            <v>Community Risk Manager</v>
          </cell>
          <cell r="E64" t="str">
            <v>01522 555953</v>
          </cell>
          <cell r="F64" t="str">
            <v>diane.sharp@lincoln.fire-uk.org</v>
          </cell>
          <cell r="G64" t="str">
            <v>Donna Jessep</v>
          </cell>
          <cell r="H64" t="str">
            <v>Senior Finance Technician</v>
          </cell>
          <cell r="I64" t="str">
            <v>01522 554047</v>
          </cell>
          <cell r="J64" t="str">
            <v>..</v>
          </cell>
          <cell r="K64" t="str">
            <v>..</v>
          </cell>
          <cell r="L64">
            <v>0</v>
          </cell>
          <cell r="M64">
            <v>29</v>
          </cell>
          <cell r="N64">
            <v>9</v>
          </cell>
          <cell r="O64">
            <v>0</v>
          </cell>
          <cell r="P64">
            <v>38</v>
          </cell>
          <cell r="Q64">
            <v>4</v>
          </cell>
          <cell r="R64">
            <v>0</v>
          </cell>
          <cell r="S64">
            <v>29</v>
          </cell>
          <cell r="T64">
            <v>9</v>
          </cell>
          <cell r="U64">
            <v>0</v>
          </cell>
          <cell r="V64">
            <v>38</v>
          </cell>
          <cell r="W64">
            <v>5</v>
          </cell>
          <cell r="X64">
            <v>48</v>
          </cell>
          <cell r="Y64">
            <v>48</v>
          </cell>
          <cell r="Z64">
            <v>2</v>
          </cell>
          <cell r="AA64">
            <v>37</v>
          </cell>
          <cell r="AB64">
            <v>49</v>
          </cell>
          <cell r="AC64">
            <v>0</v>
          </cell>
          <cell r="AD64">
            <v>6</v>
          </cell>
          <cell r="AE64">
            <v>142</v>
          </cell>
          <cell r="AF64">
            <v>40</v>
          </cell>
          <cell r="AG64">
            <v>5</v>
          </cell>
          <cell r="AH64">
            <v>3</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v>10137</v>
          </cell>
          <cell r="BC64">
            <v>4300</v>
          </cell>
          <cell r="BD64">
            <v>683</v>
          </cell>
          <cell r="BE64">
            <v>1884</v>
          </cell>
          <cell r="BF64">
            <v>588</v>
          </cell>
          <cell r="BG64">
            <v>17</v>
          </cell>
          <cell r="BH64">
            <v>17609</v>
          </cell>
          <cell r="BI64">
            <v>1299</v>
          </cell>
          <cell r="BJ64">
            <v>1262</v>
          </cell>
          <cell r="BK64">
            <v>1822</v>
          </cell>
          <cell r="BL64">
            <v>2943</v>
          </cell>
          <cell r="BM64">
            <v>0</v>
          </cell>
          <cell r="BN64">
            <v>0</v>
          </cell>
          <cell r="BO64">
            <v>24935</v>
          </cell>
          <cell r="BP64">
            <v>1184</v>
          </cell>
          <cell r="BQ64">
            <v>0</v>
          </cell>
          <cell r="BR64">
            <v>1041</v>
          </cell>
          <cell r="BS64">
            <v>2225</v>
          </cell>
          <cell r="BT64">
            <v>22710</v>
          </cell>
          <cell r="BU64">
            <v>4108</v>
          </cell>
          <cell r="BV64">
            <v>685</v>
          </cell>
          <cell r="BW64">
            <v>0</v>
          </cell>
          <cell r="BX64">
            <v>0</v>
          </cell>
          <cell r="BY64">
            <v>0</v>
          </cell>
          <cell r="BZ64">
            <v>0</v>
          </cell>
          <cell r="CA64">
            <v>0</v>
          </cell>
          <cell r="CB64">
            <v>0</v>
          </cell>
          <cell r="CC64">
            <v>0</v>
          </cell>
          <cell r="CD64">
            <v>0</v>
          </cell>
          <cell r="CE64">
            <v>0</v>
          </cell>
          <cell r="CF64">
            <v>0</v>
          </cell>
          <cell r="CG64">
            <v>0</v>
          </cell>
          <cell r="CH64">
            <v>0</v>
          </cell>
          <cell r="CI64">
            <v>0</v>
          </cell>
          <cell r="CJ64">
            <v>96</v>
          </cell>
          <cell r="CK64">
            <v>0</v>
          </cell>
          <cell r="CL64">
            <v>0</v>
          </cell>
          <cell r="CM64">
            <v>0</v>
          </cell>
          <cell r="CN64">
            <v>27</v>
          </cell>
          <cell r="CO64">
            <v>10332</v>
          </cell>
          <cell r="CP64">
            <v>4629</v>
          </cell>
          <cell r="CQ64">
            <v>721</v>
          </cell>
          <cell r="CR64">
            <v>1559</v>
          </cell>
          <cell r="CS64">
            <v>502</v>
          </cell>
          <cell r="CT64">
            <v>21</v>
          </cell>
          <cell r="CU64">
            <v>17764</v>
          </cell>
          <cell r="CV64">
            <v>1299</v>
          </cell>
          <cell r="CW64">
            <v>1189</v>
          </cell>
          <cell r="CX64">
            <v>1975</v>
          </cell>
          <cell r="CY64">
            <v>2750</v>
          </cell>
          <cell r="CZ64">
            <v>0</v>
          </cell>
          <cell r="DA64">
            <v>0</v>
          </cell>
          <cell r="DB64">
            <v>24977</v>
          </cell>
          <cell r="DC64">
            <v>1191</v>
          </cell>
          <cell r="DD64">
            <v>0</v>
          </cell>
          <cell r="DE64">
            <v>1486</v>
          </cell>
          <cell r="DF64">
            <v>2677</v>
          </cell>
          <cell r="DG64">
            <v>22300</v>
          </cell>
          <cell r="DH64">
            <v>4108</v>
          </cell>
          <cell r="DI64">
            <v>685</v>
          </cell>
          <cell r="DJ64">
            <v>0</v>
          </cell>
          <cell r="DK64">
            <v>0</v>
          </cell>
          <cell r="DL64">
            <v>0</v>
          </cell>
          <cell r="DM64">
            <v>0</v>
          </cell>
          <cell r="DN64">
            <v>0</v>
          </cell>
          <cell r="DO64">
            <v>0</v>
          </cell>
          <cell r="DP64">
            <v>0</v>
          </cell>
          <cell r="DQ64">
            <v>0</v>
          </cell>
          <cell r="DR64">
            <v>0</v>
          </cell>
          <cell r="DS64">
            <v>0</v>
          </cell>
          <cell r="DT64">
            <v>0</v>
          </cell>
          <cell r="DU64">
            <v>0</v>
          </cell>
          <cell r="DV64">
            <v>0</v>
          </cell>
          <cell r="DW64">
            <v>86</v>
          </cell>
          <cell r="DX64">
            <v>0</v>
          </cell>
          <cell r="DY64">
            <v>0</v>
          </cell>
          <cell r="DZ64">
            <v>0</v>
          </cell>
          <cell r="EA64">
            <v>0</v>
          </cell>
          <cell r="EB64">
            <v>0</v>
          </cell>
          <cell r="EC64">
            <v>50</v>
          </cell>
          <cell r="ED64">
            <v>0</v>
          </cell>
          <cell r="EE64">
            <v>0</v>
          </cell>
          <cell r="EF64">
            <v>0</v>
          </cell>
          <cell r="EG64">
            <v>0</v>
          </cell>
          <cell r="EH64">
            <v>0</v>
          </cell>
          <cell r="EI64">
            <v>0</v>
          </cell>
          <cell r="EJ64">
            <v>0</v>
          </cell>
          <cell r="EK64">
            <v>0</v>
          </cell>
          <cell r="EL64" t="str">
            <v>..</v>
          </cell>
          <cell r="EM64" t="str">
            <v>..</v>
          </cell>
          <cell r="EN64">
            <v>1178</v>
          </cell>
          <cell r="EO64" t="str">
            <v>..</v>
          </cell>
          <cell r="EP64" t="str">
            <v>..</v>
          </cell>
          <cell r="EQ64" t="str">
            <v>..</v>
          </cell>
          <cell r="ER64">
            <v>25692</v>
          </cell>
          <cell r="ES64">
            <v>0</v>
          </cell>
          <cell r="ET64">
            <v>0</v>
          </cell>
          <cell r="EU64">
            <v>0</v>
          </cell>
          <cell r="EV64">
            <v>26870</v>
          </cell>
          <cell r="EW64" t="str">
            <v>..</v>
          </cell>
          <cell r="EX64" t="str">
            <v>..</v>
          </cell>
          <cell r="EY64">
            <v>1178</v>
          </cell>
          <cell r="EZ64" t="str">
            <v>..</v>
          </cell>
          <cell r="FA64" t="str">
            <v>..</v>
          </cell>
          <cell r="FB64" t="str">
            <v>..</v>
          </cell>
          <cell r="FC64">
            <v>25692</v>
          </cell>
          <cell r="FD64">
            <v>0</v>
          </cell>
          <cell r="FE64">
            <v>0</v>
          </cell>
          <cell r="FF64">
            <v>0</v>
          </cell>
          <cell r="FG64">
            <v>26870</v>
          </cell>
          <cell r="FH64">
            <v>-1690</v>
          </cell>
          <cell r="FI64">
            <v>0</v>
          </cell>
          <cell r="FJ64">
            <v>0</v>
          </cell>
          <cell r="FK64">
            <v>-1405</v>
          </cell>
          <cell r="FL64">
            <v>-75</v>
          </cell>
          <cell r="FM64">
            <v>5348</v>
          </cell>
          <cell r="FN64">
            <v>2109</v>
          </cell>
          <cell r="FO64">
            <v>0</v>
          </cell>
          <cell r="FP64">
            <v>4287</v>
          </cell>
          <cell r="FQ64">
            <v>444</v>
          </cell>
          <cell r="FR64">
            <v>0</v>
          </cell>
          <cell r="FS64">
            <v>-1671</v>
          </cell>
          <cell r="FT64">
            <v>0</v>
          </cell>
          <cell r="FU64">
            <v>0</v>
          </cell>
          <cell r="FV64">
            <v>-1346</v>
          </cell>
          <cell r="FW64">
            <v>-35</v>
          </cell>
          <cell r="FX64">
            <v>5521</v>
          </cell>
          <cell r="FY64">
            <v>1588</v>
          </cell>
          <cell r="FZ64">
            <v>0</v>
          </cell>
          <cell r="GA64">
            <v>4057</v>
          </cell>
          <cell r="GB64">
            <v>444</v>
          </cell>
          <cell r="GC64">
            <v>0</v>
          </cell>
          <cell r="GD64">
            <v>392</v>
          </cell>
          <cell r="GE64">
            <v>392</v>
          </cell>
          <cell r="GF64">
            <v>18</v>
          </cell>
          <cell r="GG64">
            <v>0</v>
          </cell>
          <cell r="GH64">
            <v>40</v>
          </cell>
          <cell r="GI64">
            <v>19</v>
          </cell>
          <cell r="GJ64">
            <v>508</v>
          </cell>
          <cell r="GK64">
            <v>14</v>
          </cell>
          <cell r="GL64">
            <v>13</v>
          </cell>
          <cell r="GM64">
            <v>321</v>
          </cell>
          <cell r="GN64">
            <v>185</v>
          </cell>
          <cell r="GO64">
            <v>15</v>
          </cell>
          <cell r="GP64">
            <v>150</v>
          </cell>
          <cell r="GQ64">
            <v>0</v>
          </cell>
          <cell r="GR64">
            <v>0</v>
          </cell>
          <cell r="GS64">
            <v>150</v>
          </cell>
          <cell r="GT64">
            <v>0</v>
          </cell>
          <cell r="GU64">
            <v>0</v>
          </cell>
          <cell r="GV64">
            <v>73</v>
          </cell>
          <cell r="GW64">
            <v>0</v>
          </cell>
          <cell r="GX64">
            <v>0</v>
          </cell>
          <cell r="GY64">
            <v>331</v>
          </cell>
          <cell r="GZ64">
            <v>0</v>
          </cell>
          <cell r="HA64">
            <v>69</v>
          </cell>
          <cell r="HB64">
            <v>0</v>
          </cell>
          <cell r="HC64">
            <v>0</v>
          </cell>
          <cell r="HD64">
            <v>106</v>
          </cell>
          <cell r="HE64">
            <v>0</v>
          </cell>
          <cell r="HF64">
            <v>0</v>
          </cell>
          <cell r="HG64">
            <v>0</v>
          </cell>
          <cell r="HH64">
            <v>31</v>
          </cell>
          <cell r="HI64">
            <v>0</v>
          </cell>
          <cell r="HJ64">
            <v>0</v>
          </cell>
          <cell r="HK64">
            <v>0</v>
          </cell>
          <cell r="HL64">
            <v>610</v>
          </cell>
          <cell r="HM64">
            <v>183</v>
          </cell>
          <cell r="HN64">
            <v>0</v>
          </cell>
          <cell r="HO64">
            <v>5792513</v>
          </cell>
          <cell r="HP64">
            <v>245</v>
          </cell>
          <cell r="HQ64">
            <v>0</v>
          </cell>
          <cell r="HR64">
            <v>1670</v>
          </cell>
          <cell r="HS64">
            <v>0</v>
          </cell>
          <cell r="HT64">
            <v>0</v>
          </cell>
          <cell r="HU64">
            <v>182</v>
          </cell>
          <cell r="HV64">
            <v>0</v>
          </cell>
          <cell r="HW64">
            <v>0</v>
          </cell>
          <cell r="HX64">
            <v>0</v>
          </cell>
          <cell r="HY64">
            <v>31</v>
          </cell>
          <cell r="HZ64">
            <v>0</v>
          </cell>
          <cell r="IA64">
            <v>0</v>
          </cell>
          <cell r="IB64">
            <v>0</v>
          </cell>
          <cell r="IC64">
            <v>5794824</v>
          </cell>
          <cell r="ID64">
            <v>265</v>
          </cell>
          <cell r="IE64">
            <v>0</v>
          </cell>
          <cell r="IF64">
            <v>1351275</v>
          </cell>
          <cell r="IG64">
            <v>234</v>
          </cell>
          <cell r="IH64">
            <v>0</v>
          </cell>
          <cell r="II64">
            <v>5775</v>
          </cell>
          <cell r="IJ64">
            <v>0</v>
          </cell>
          <cell r="IK64">
            <v>0</v>
          </cell>
          <cell r="IL64">
            <v>875</v>
          </cell>
          <cell r="IM64">
            <v>0</v>
          </cell>
          <cell r="IN64">
            <v>0</v>
          </cell>
          <cell r="IO64">
            <v>0</v>
          </cell>
          <cell r="IP64">
            <v>90</v>
          </cell>
          <cell r="IQ64">
            <v>0</v>
          </cell>
          <cell r="IR64">
            <v>0</v>
          </cell>
          <cell r="IS64">
            <v>0</v>
          </cell>
          <cell r="IT64">
            <v>1358514</v>
          </cell>
          <cell r="IU64" t="str">
            <v>year end 31.3.19: 2 x stations shared with Lincs Police, 2 x stations shared with Ambulance. Est 31.3.20 Further 1 station shared with both Ambulance and Police.</v>
          </cell>
          <cell r="IV64" t="str">
            <v>23 x inflatable boats, 7 x swift water rescue vans, 2 x rescue support units, 1 x water carrier, 2 x canine units, 2 x mobile flood pump units</v>
          </cell>
          <cell r="IW64" t="str">
            <v>..</v>
          </cell>
          <cell r="IX64" t="str">
            <v>..</v>
          </cell>
          <cell r="IY64" t="str">
            <v>..</v>
          </cell>
          <cell r="IZ64" t="str">
            <v>..</v>
          </cell>
          <cell r="JA64" t="str">
            <v>..</v>
          </cell>
          <cell r="JB64" t="str">
            <v>..</v>
          </cell>
        </row>
        <row r="65">
          <cell r="A65" t="str">
            <v>E6103</v>
          </cell>
          <cell r="B65" t="str">
            <v>Berkshire</v>
          </cell>
          <cell r="C65" t="str">
            <v>Ryan Maslen</v>
          </cell>
          <cell r="D65" t="str">
            <v>Deputy Head of Finance</v>
          </cell>
          <cell r="E65" t="str">
            <v>01189384722</v>
          </cell>
          <cell r="F65" t="str">
            <v>maslenr@rbfrs.co.uk</v>
          </cell>
          <cell r="G65" t="str">
            <v>As above</v>
          </cell>
          <cell r="H65" t="str">
            <v>..</v>
          </cell>
          <cell r="I65" t="str">
            <v>..</v>
          </cell>
          <cell r="J65" t="str">
            <v>..</v>
          </cell>
          <cell r="K65" t="str">
            <v>..</v>
          </cell>
          <cell r="L65">
            <v>11</v>
          </cell>
          <cell r="M65">
            <v>6</v>
          </cell>
          <cell r="N65">
            <v>1</v>
          </cell>
          <cell r="O65">
            <v>0</v>
          </cell>
          <cell r="P65">
            <v>18</v>
          </cell>
          <cell r="Q65">
            <v>5</v>
          </cell>
          <cell r="R65">
            <v>11</v>
          </cell>
          <cell r="S65">
            <v>6</v>
          </cell>
          <cell r="T65">
            <v>1</v>
          </cell>
          <cell r="U65">
            <v>0</v>
          </cell>
          <cell r="V65">
            <v>18</v>
          </cell>
          <cell r="W65">
            <v>5</v>
          </cell>
          <cell r="X65">
            <v>21</v>
          </cell>
          <cell r="Y65">
            <v>21</v>
          </cell>
          <cell r="Z65">
            <v>1</v>
          </cell>
          <cell r="AA65">
            <v>20</v>
          </cell>
          <cell r="AB65">
            <v>22</v>
          </cell>
          <cell r="AC65">
            <v>19</v>
          </cell>
          <cell r="AD65">
            <v>6</v>
          </cell>
          <cell r="AE65">
            <v>89</v>
          </cell>
          <cell r="AF65">
            <v>39</v>
          </cell>
          <cell r="AG65">
            <v>9</v>
          </cell>
          <cell r="AH65">
            <v>4</v>
          </cell>
          <cell r="AI65">
            <v>366</v>
          </cell>
          <cell r="AJ65">
            <v>85</v>
          </cell>
          <cell r="AK65">
            <v>3</v>
          </cell>
          <cell r="AL65">
            <v>2</v>
          </cell>
          <cell r="AM65">
            <v>6</v>
          </cell>
          <cell r="AN65">
            <v>17</v>
          </cell>
          <cell r="AO65">
            <v>54</v>
          </cell>
          <cell r="AP65">
            <v>61</v>
          </cell>
          <cell r="AQ65">
            <v>223</v>
          </cell>
          <cell r="AR65">
            <v>366</v>
          </cell>
          <cell r="AS65">
            <v>0</v>
          </cell>
          <cell r="AT65">
            <v>0</v>
          </cell>
          <cell r="AU65">
            <v>4.42</v>
          </cell>
          <cell r="AV65">
            <v>5.09</v>
          </cell>
          <cell r="AW65">
            <v>31.2</v>
          </cell>
          <cell r="AX65">
            <v>40.71</v>
          </cell>
          <cell r="AY65">
            <v>38.69</v>
          </cell>
          <cell r="AZ65">
            <v>145.53</v>
          </cell>
          <cell r="BA65">
            <v>590.92999999999995</v>
          </cell>
          <cell r="BB65">
            <v>17734</v>
          </cell>
          <cell r="BC65">
            <v>675</v>
          </cell>
          <cell r="BD65">
            <v>1586</v>
          </cell>
          <cell r="BE65">
            <v>6412</v>
          </cell>
          <cell r="BF65">
            <v>703</v>
          </cell>
          <cell r="BG65">
            <v>258</v>
          </cell>
          <cell r="BH65">
            <v>27368</v>
          </cell>
          <cell r="BI65">
            <v>2151</v>
          </cell>
          <cell r="BJ65">
            <v>983</v>
          </cell>
          <cell r="BK65">
            <v>3527</v>
          </cell>
          <cell r="BL65">
            <v>0</v>
          </cell>
          <cell r="BM65">
            <v>953</v>
          </cell>
          <cell r="BN65">
            <v>0</v>
          </cell>
          <cell r="BO65">
            <v>34982</v>
          </cell>
          <cell r="BP65">
            <v>406</v>
          </cell>
          <cell r="BQ65">
            <v>0</v>
          </cell>
          <cell r="BR65">
            <v>1769</v>
          </cell>
          <cell r="BS65">
            <v>2175</v>
          </cell>
          <cell r="BT65">
            <v>32807</v>
          </cell>
          <cell r="BU65">
            <v>813</v>
          </cell>
          <cell r="BV65">
            <v>434</v>
          </cell>
          <cell r="BW65">
            <v>0</v>
          </cell>
          <cell r="BX65">
            <v>318</v>
          </cell>
          <cell r="BY65">
            <v>0</v>
          </cell>
          <cell r="BZ65">
            <v>392</v>
          </cell>
          <cell r="CA65">
            <v>-102</v>
          </cell>
          <cell r="CB65">
            <v>0</v>
          </cell>
          <cell r="CC65">
            <v>0</v>
          </cell>
          <cell r="CD65">
            <v>0</v>
          </cell>
          <cell r="CE65">
            <v>1586</v>
          </cell>
          <cell r="CF65">
            <v>90</v>
          </cell>
          <cell r="CG65">
            <v>0</v>
          </cell>
          <cell r="CH65">
            <v>0</v>
          </cell>
          <cell r="CI65">
            <v>1676</v>
          </cell>
          <cell r="CJ65">
            <v>0</v>
          </cell>
          <cell r="CK65">
            <v>439</v>
          </cell>
          <cell r="CL65">
            <v>266</v>
          </cell>
          <cell r="CM65">
            <v>0</v>
          </cell>
          <cell r="CN65">
            <v>1539</v>
          </cell>
          <cell r="CO65">
            <v>19408</v>
          </cell>
          <cell r="CP65">
            <v>913</v>
          </cell>
          <cell r="CQ65">
            <v>1649</v>
          </cell>
          <cell r="CR65">
            <v>6834</v>
          </cell>
          <cell r="CS65">
            <v>647</v>
          </cell>
          <cell r="CT65">
            <v>207</v>
          </cell>
          <cell r="CU65">
            <v>29658</v>
          </cell>
          <cell r="CV65">
            <v>2277</v>
          </cell>
          <cell r="CW65">
            <v>1018</v>
          </cell>
          <cell r="CX65">
            <v>3737</v>
          </cell>
          <cell r="CY65">
            <v>0</v>
          </cell>
          <cell r="CZ65">
            <v>579</v>
          </cell>
          <cell r="DA65">
            <v>0</v>
          </cell>
          <cell r="DB65">
            <v>37269</v>
          </cell>
          <cell r="DC65">
            <v>2066</v>
          </cell>
          <cell r="DD65">
            <v>0</v>
          </cell>
          <cell r="DE65">
            <v>1763</v>
          </cell>
          <cell r="DF65">
            <v>3829</v>
          </cell>
          <cell r="DG65">
            <v>33440</v>
          </cell>
          <cell r="DH65">
            <v>0</v>
          </cell>
          <cell r="DI65">
            <v>422</v>
          </cell>
          <cell r="DJ65">
            <v>0</v>
          </cell>
          <cell r="DK65">
            <v>294</v>
          </cell>
          <cell r="DL65">
            <v>0</v>
          </cell>
          <cell r="DM65">
            <v>390</v>
          </cell>
          <cell r="DN65">
            <v>-125</v>
          </cell>
          <cell r="DO65">
            <v>0</v>
          </cell>
          <cell r="DP65">
            <v>0</v>
          </cell>
          <cell r="DQ65">
            <v>0</v>
          </cell>
          <cell r="DR65">
            <v>1649</v>
          </cell>
          <cell r="DS65">
            <v>120</v>
          </cell>
          <cell r="DT65">
            <v>0</v>
          </cell>
          <cell r="DU65">
            <v>0</v>
          </cell>
          <cell r="DV65">
            <v>1769</v>
          </cell>
          <cell r="DW65">
            <v>0</v>
          </cell>
          <cell r="DX65">
            <v>373</v>
          </cell>
          <cell r="DY65">
            <v>285</v>
          </cell>
          <cell r="DZ65">
            <v>0</v>
          </cell>
          <cell r="EA65">
            <v>1568</v>
          </cell>
          <cell r="EB65">
            <v>0</v>
          </cell>
          <cell r="EC65">
            <v>3</v>
          </cell>
          <cell r="ED65">
            <v>15.2</v>
          </cell>
          <cell r="EE65">
            <v>198</v>
          </cell>
          <cell r="EF65">
            <v>0</v>
          </cell>
          <cell r="EG65">
            <v>0</v>
          </cell>
          <cell r="EH65">
            <v>0</v>
          </cell>
          <cell r="EI65">
            <v>0</v>
          </cell>
          <cell r="EJ65">
            <v>0</v>
          </cell>
          <cell r="EK65">
            <v>0</v>
          </cell>
          <cell r="EL65" t="str">
            <v>..</v>
          </cell>
          <cell r="EM65" t="str">
            <v>..</v>
          </cell>
          <cell r="EN65">
            <v>16092</v>
          </cell>
          <cell r="EO65" t="str">
            <v>..</v>
          </cell>
          <cell r="EP65" t="str">
            <v>..</v>
          </cell>
          <cell r="EQ65" t="str">
            <v>..</v>
          </cell>
          <cell r="ER65">
            <v>16926</v>
          </cell>
          <cell r="ES65">
            <v>100</v>
          </cell>
          <cell r="ET65">
            <v>502</v>
          </cell>
          <cell r="EU65">
            <v>0</v>
          </cell>
          <cell r="EV65">
            <v>33620</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v>-1976</v>
          </cell>
          <cell r="FI65">
            <v>-70</v>
          </cell>
          <cell r="FJ65">
            <v>-4</v>
          </cell>
          <cell r="FK65">
            <v>-1687</v>
          </cell>
          <cell r="FL65">
            <v>-64</v>
          </cell>
          <cell r="FM65">
            <v>7884</v>
          </cell>
          <cell r="FN65">
            <v>2619</v>
          </cell>
          <cell r="FO65">
            <v>36</v>
          </cell>
          <cell r="FP65">
            <v>6738</v>
          </cell>
          <cell r="FQ65">
            <v>337</v>
          </cell>
          <cell r="FR65">
            <v>159</v>
          </cell>
          <cell r="FS65">
            <v>-3719</v>
          </cell>
          <cell r="FT65">
            <v>-44</v>
          </cell>
          <cell r="FU65">
            <v>0</v>
          </cell>
          <cell r="FV65">
            <v>-1642</v>
          </cell>
          <cell r="FW65">
            <v>-105</v>
          </cell>
          <cell r="FX65">
            <v>8022</v>
          </cell>
          <cell r="FY65">
            <v>1240</v>
          </cell>
          <cell r="FZ65">
            <v>78</v>
          </cell>
          <cell r="GA65">
            <v>3830</v>
          </cell>
          <cell r="GB65">
            <v>340</v>
          </cell>
          <cell r="GC65">
            <v>150</v>
          </cell>
          <cell r="GD65">
            <v>480</v>
          </cell>
          <cell r="GE65">
            <v>488</v>
          </cell>
          <cell r="GF65">
            <v>19</v>
          </cell>
          <cell r="GG65">
            <v>0</v>
          </cell>
          <cell r="GH65">
            <v>65</v>
          </cell>
          <cell r="GI65">
            <v>5</v>
          </cell>
          <cell r="GJ65">
            <v>347</v>
          </cell>
          <cell r="GK65">
            <v>3</v>
          </cell>
          <cell r="GL65">
            <v>62</v>
          </cell>
          <cell r="GM65">
            <v>51</v>
          </cell>
          <cell r="GN65">
            <v>41</v>
          </cell>
          <cell r="GO65">
            <v>13</v>
          </cell>
          <cell r="GP65">
            <v>7937</v>
          </cell>
          <cell r="GQ65">
            <v>2321</v>
          </cell>
          <cell r="GR65">
            <v>442</v>
          </cell>
          <cell r="GS65">
            <v>7963</v>
          </cell>
          <cell r="GT65">
            <v>2309</v>
          </cell>
          <cell r="GU65">
            <v>284</v>
          </cell>
          <cell r="GV65">
            <v>0</v>
          </cell>
          <cell r="GW65">
            <v>0</v>
          </cell>
          <cell r="GX65">
            <v>484</v>
          </cell>
          <cell r="GY65">
            <v>531</v>
          </cell>
          <cell r="GZ65">
            <v>190</v>
          </cell>
          <cell r="HA65">
            <v>755</v>
          </cell>
          <cell r="HB65">
            <v>112</v>
          </cell>
          <cell r="HC65">
            <v>0</v>
          </cell>
          <cell r="HD65">
            <v>0</v>
          </cell>
          <cell r="HE65">
            <v>60</v>
          </cell>
          <cell r="HF65">
            <v>28</v>
          </cell>
          <cell r="HG65">
            <v>113</v>
          </cell>
          <cell r="HH65">
            <v>0</v>
          </cell>
          <cell r="HI65">
            <v>0</v>
          </cell>
          <cell r="HJ65">
            <v>0</v>
          </cell>
          <cell r="HK65">
            <v>0</v>
          </cell>
          <cell r="HL65">
            <v>2273</v>
          </cell>
          <cell r="HM65">
            <v>0</v>
          </cell>
          <cell r="HN65">
            <v>0</v>
          </cell>
          <cell r="HO65">
            <v>167</v>
          </cell>
          <cell r="HP65">
            <v>500</v>
          </cell>
          <cell r="HQ65">
            <v>0</v>
          </cell>
          <cell r="HR65">
            <v>1023</v>
          </cell>
          <cell r="HS65">
            <v>115</v>
          </cell>
          <cell r="HT65">
            <v>0</v>
          </cell>
          <cell r="HU65">
            <v>0</v>
          </cell>
          <cell r="HV65">
            <v>0</v>
          </cell>
          <cell r="HW65">
            <v>61</v>
          </cell>
          <cell r="HX65">
            <v>198</v>
          </cell>
          <cell r="HY65">
            <v>0</v>
          </cell>
          <cell r="HZ65">
            <v>0</v>
          </cell>
          <cell r="IA65">
            <v>0</v>
          </cell>
          <cell r="IB65">
            <v>0</v>
          </cell>
          <cell r="IC65">
            <v>2064</v>
          </cell>
          <cell r="ID65">
            <v>0</v>
          </cell>
          <cell r="IE65">
            <v>0</v>
          </cell>
          <cell r="IF65">
            <v>2000</v>
          </cell>
          <cell r="IG65">
            <v>1000</v>
          </cell>
          <cell r="IH65">
            <v>130</v>
          </cell>
          <cell r="II65">
            <v>3045</v>
          </cell>
          <cell r="IJ65">
            <v>125</v>
          </cell>
          <cell r="IK65">
            <v>0</v>
          </cell>
          <cell r="IL65">
            <v>258</v>
          </cell>
          <cell r="IM65">
            <v>0</v>
          </cell>
          <cell r="IN65">
            <v>120</v>
          </cell>
          <cell r="IO65">
            <v>280</v>
          </cell>
          <cell r="IP65">
            <v>0</v>
          </cell>
          <cell r="IQ65">
            <v>0</v>
          </cell>
          <cell r="IR65">
            <v>0</v>
          </cell>
          <cell r="IS65">
            <v>0</v>
          </cell>
          <cell r="IT65">
            <v>6958</v>
          </cell>
          <cell r="IU65" t="str">
            <v>Thames Valley Police based at 1 station. Ambulance service have standby points / storage at 4 stations.</v>
          </cell>
          <cell r="IV65" t="str">
            <v>..</v>
          </cell>
          <cell r="IW65" t="str">
            <v>Legal Fees and Professional Services provided by third parties</v>
          </cell>
          <cell r="IX65" t="str">
            <v>..</v>
          </cell>
          <cell r="IY65" t="str">
            <v>..</v>
          </cell>
          <cell r="IZ65" t="str">
            <v>..</v>
          </cell>
          <cell r="JA65" t="str">
            <v>..</v>
          </cell>
          <cell r="JB65" t="str">
            <v>A well structured return</v>
          </cell>
        </row>
        <row r="66">
          <cell r="A66" t="str">
            <v>E2520</v>
          </cell>
          <cell r="B66" t="str">
            <v>Lincolnshire</v>
          </cell>
          <cell r="C66" t="str">
            <v>Diane Sharp</v>
          </cell>
          <cell r="D66" t="str">
            <v>Community Risk Manager</v>
          </cell>
          <cell r="E66" t="str">
            <v>01522 555953</v>
          </cell>
          <cell r="F66" t="str">
            <v>diane.sharp@lincoln.fire-uk.org</v>
          </cell>
          <cell r="G66" t="str">
            <v>Donna Jessep</v>
          </cell>
          <cell r="H66" t="str">
            <v>Senior Finance Technician</v>
          </cell>
          <cell r="I66" t="str">
            <v>01522 554047</v>
          </cell>
          <cell r="J66" t="str">
            <v>..</v>
          </cell>
          <cell r="K66" t="str">
            <v>..</v>
          </cell>
          <cell r="L66">
            <v>0</v>
          </cell>
          <cell r="M66">
            <v>29</v>
          </cell>
          <cell r="N66">
            <v>9</v>
          </cell>
          <cell r="O66">
            <v>0</v>
          </cell>
          <cell r="P66">
            <v>38</v>
          </cell>
          <cell r="Q66">
            <v>4</v>
          </cell>
          <cell r="R66">
            <v>0</v>
          </cell>
          <cell r="S66">
            <v>29</v>
          </cell>
          <cell r="T66">
            <v>9</v>
          </cell>
          <cell r="U66">
            <v>0</v>
          </cell>
          <cell r="V66">
            <v>38</v>
          </cell>
          <cell r="W66">
            <v>5</v>
          </cell>
          <cell r="X66">
            <v>48</v>
          </cell>
          <cell r="Y66">
            <v>48</v>
          </cell>
          <cell r="Z66">
            <v>2</v>
          </cell>
          <cell r="AA66">
            <v>37</v>
          </cell>
          <cell r="AB66">
            <v>49</v>
          </cell>
          <cell r="AC66">
            <v>0</v>
          </cell>
          <cell r="AD66">
            <v>6</v>
          </cell>
          <cell r="AE66">
            <v>142</v>
          </cell>
          <cell r="AF66">
            <v>40</v>
          </cell>
          <cell r="AG66">
            <v>5</v>
          </cell>
          <cell r="AH66">
            <v>3</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v>10137</v>
          </cell>
          <cell r="BC66">
            <v>4300</v>
          </cell>
          <cell r="BD66">
            <v>683</v>
          </cell>
          <cell r="BE66">
            <v>1884</v>
          </cell>
          <cell r="BF66">
            <v>588</v>
          </cell>
          <cell r="BG66">
            <v>17</v>
          </cell>
          <cell r="BH66">
            <v>17609</v>
          </cell>
          <cell r="BI66">
            <v>1299</v>
          </cell>
          <cell r="BJ66">
            <v>1262</v>
          </cell>
          <cell r="BK66">
            <v>1926</v>
          </cell>
          <cell r="BL66">
            <v>2949</v>
          </cell>
          <cell r="BM66">
            <v>0</v>
          </cell>
          <cell r="BN66">
            <v>0</v>
          </cell>
          <cell r="BO66">
            <v>25045</v>
          </cell>
          <cell r="BP66">
            <v>1184</v>
          </cell>
          <cell r="BQ66">
            <v>0</v>
          </cell>
          <cell r="BR66">
            <v>1041</v>
          </cell>
          <cell r="BS66">
            <v>2225</v>
          </cell>
          <cell r="BT66">
            <v>22820</v>
          </cell>
          <cell r="BU66">
            <v>4050</v>
          </cell>
          <cell r="BV66">
            <v>685</v>
          </cell>
          <cell r="BW66">
            <v>0</v>
          </cell>
          <cell r="BX66">
            <v>0</v>
          </cell>
          <cell r="BY66">
            <v>0</v>
          </cell>
          <cell r="BZ66">
            <v>0</v>
          </cell>
          <cell r="CA66">
            <v>0</v>
          </cell>
          <cell r="CB66">
            <v>0</v>
          </cell>
          <cell r="CC66">
            <v>0</v>
          </cell>
          <cell r="CD66">
            <v>0</v>
          </cell>
          <cell r="CE66">
            <v>0</v>
          </cell>
          <cell r="CF66">
            <v>0</v>
          </cell>
          <cell r="CG66">
            <v>0</v>
          </cell>
          <cell r="CH66">
            <v>0</v>
          </cell>
          <cell r="CI66">
            <v>0</v>
          </cell>
          <cell r="CJ66">
            <v>96</v>
          </cell>
          <cell r="CK66">
            <v>0</v>
          </cell>
          <cell r="CL66">
            <v>0</v>
          </cell>
          <cell r="CM66">
            <v>0</v>
          </cell>
          <cell r="CN66">
            <v>27</v>
          </cell>
          <cell r="CO66">
            <v>10333</v>
          </cell>
          <cell r="CP66">
            <v>4629</v>
          </cell>
          <cell r="CQ66">
            <v>721</v>
          </cell>
          <cell r="CR66">
            <v>1559</v>
          </cell>
          <cell r="CS66">
            <v>502</v>
          </cell>
          <cell r="CT66">
            <v>21</v>
          </cell>
          <cell r="CU66">
            <v>17765</v>
          </cell>
          <cell r="CV66">
            <v>1213</v>
          </cell>
          <cell r="CW66">
            <v>1189</v>
          </cell>
          <cell r="CX66">
            <v>1975</v>
          </cell>
          <cell r="CY66">
            <v>2748</v>
          </cell>
          <cell r="CZ66">
            <v>0</v>
          </cell>
          <cell r="DA66">
            <v>0</v>
          </cell>
          <cell r="DB66">
            <v>24890</v>
          </cell>
          <cell r="DC66">
            <v>1191</v>
          </cell>
          <cell r="DD66">
            <v>0</v>
          </cell>
          <cell r="DE66">
            <v>1486</v>
          </cell>
          <cell r="DF66">
            <v>2677</v>
          </cell>
          <cell r="DG66">
            <v>22213</v>
          </cell>
          <cell r="DH66">
            <v>4050</v>
          </cell>
          <cell r="DI66">
            <v>685</v>
          </cell>
          <cell r="DJ66">
            <v>0</v>
          </cell>
          <cell r="DK66">
            <v>0</v>
          </cell>
          <cell r="DL66">
            <v>0</v>
          </cell>
          <cell r="DM66">
            <v>0</v>
          </cell>
          <cell r="DN66">
            <v>0</v>
          </cell>
          <cell r="DO66">
            <v>0</v>
          </cell>
          <cell r="DP66">
            <v>0</v>
          </cell>
          <cell r="DQ66">
            <v>0</v>
          </cell>
          <cell r="DR66">
            <v>0</v>
          </cell>
          <cell r="DS66">
            <v>0</v>
          </cell>
          <cell r="DT66">
            <v>0</v>
          </cell>
          <cell r="DU66">
            <v>0</v>
          </cell>
          <cell r="DV66">
            <v>0</v>
          </cell>
          <cell r="DW66">
            <v>86</v>
          </cell>
          <cell r="DX66">
            <v>0</v>
          </cell>
          <cell r="DY66">
            <v>0</v>
          </cell>
          <cell r="DZ66">
            <v>0</v>
          </cell>
          <cell r="EA66">
            <v>0</v>
          </cell>
          <cell r="EB66">
            <v>0</v>
          </cell>
          <cell r="EC66">
            <v>50</v>
          </cell>
          <cell r="ED66">
            <v>0</v>
          </cell>
          <cell r="EE66">
            <v>0</v>
          </cell>
          <cell r="EF66">
            <v>0</v>
          </cell>
          <cell r="EG66">
            <v>0</v>
          </cell>
          <cell r="EH66">
            <v>0</v>
          </cell>
          <cell r="EI66">
            <v>0</v>
          </cell>
          <cell r="EJ66">
            <v>0</v>
          </cell>
          <cell r="EK66">
            <v>0</v>
          </cell>
          <cell r="EL66" t="str">
            <v>..</v>
          </cell>
          <cell r="EM66" t="str">
            <v>..</v>
          </cell>
          <cell r="EN66">
            <v>1178</v>
          </cell>
          <cell r="EO66" t="str">
            <v>..</v>
          </cell>
          <cell r="EP66" t="str">
            <v>..</v>
          </cell>
          <cell r="EQ66" t="str">
            <v>..</v>
          </cell>
          <cell r="ER66">
            <v>25692</v>
          </cell>
          <cell r="ES66">
            <v>0</v>
          </cell>
          <cell r="ET66">
            <v>0</v>
          </cell>
          <cell r="EU66">
            <v>0</v>
          </cell>
          <cell r="EV66">
            <v>26870</v>
          </cell>
          <cell r="EW66" t="str">
            <v>..</v>
          </cell>
          <cell r="EX66" t="str">
            <v>..</v>
          </cell>
          <cell r="EY66">
            <v>1178</v>
          </cell>
          <cell r="EZ66" t="str">
            <v>..</v>
          </cell>
          <cell r="FA66" t="str">
            <v>..</v>
          </cell>
          <cell r="FB66" t="str">
            <v>..</v>
          </cell>
          <cell r="FC66">
            <v>25692</v>
          </cell>
          <cell r="FD66">
            <v>0</v>
          </cell>
          <cell r="FE66">
            <v>0</v>
          </cell>
          <cell r="FF66">
            <v>0</v>
          </cell>
          <cell r="FG66">
            <v>26870</v>
          </cell>
          <cell r="FH66">
            <v>-1690</v>
          </cell>
          <cell r="FI66">
            <v>0</v>
          </cell>
          <cell r="FJ66">
            <v>0</v>
          </cell>
          <cell r="FK66">
            <v>-1405</v>
          </cell>
          <cell r="FL66">
            <v>-75</v>
          </cell>
          <cell r="FM66">
            <v>5348</v>
          </cell>
          <cell r="FN66">
            <v>2109</v>
          </cell>
          <cell r="FO66">
            <v>0</v>
          </cell>
          <cell r="FP66">
            <v>4287</v>
          </cell>
          <cell r="FQ66">
            <v>444</v>
          </cell>
          <cell r="FR66">
            <v>0</v>
          </cell>
          <cell r="FS66">
            <v>-1671</v>
          </cell>
          <cell r="FT66">
            <v>0</v>
          </cell>
          <cell r="FU66">
            <v>0</v>
          </cell>
          <cell r="FV66">
            <v>-1346</v>
          </cell>
          <cell r="FW66">
            <v>-35</v>
          </cell>
          <cell r="FX66">
            <v>5521</v>
          </cell>
          <cell r="FY66">
            <v>1588</v>
          </cell>
          <cell r="FZ66">
            <v>0</v>
          </cell>
          <cell r="GA66">
            <v>4057</v>
          </cell>
          <cell r="GB66">
            <v>444</v>
          </cell>
          <cell r="GC66">
            <v>0</v>
          </cell>
          <cell r="GD66">
            <v>392</v>
          </cell>
          <cell r="GE66">
            <v>392</v>
          </cell>
          <cell r="GF66">
            <v>18</v>
          </cell>
          <cell r="GG66">
            <v>0</v>
          </cell>
          <cell r="GH66">
            <v>40</v>
          </cell>
          <cell r="GI66">
            <v>19</v>
          </cell>
          <cell r="GJ66">
            <v>508</v>
          </cell>
          <cell r="GK66">
            <v>14</v>
          </cell>
          <cell r="GL66">
            <v>13</v>
          </cell>
          <cell r="GM66">
            <v>321</v>
          </cell>
          <cell r="GN66">
            <v>185</v>
          </cell>
          <cell r="GO66">
            <v>15</v>
          </cell>
          <cell r="GP66">
            <v>150</v>
          </cell>
          <cell r="GQ66">
            <v>0</v>
          </cell>
          <cell r="GR66">
            <v>0</v>
          </cell>
          <cell r="GS66">
            <v>150</v>
          </cell>
          <cell r="GT66">
            <v>0</v>
          </cell>
          <cell r="GU66">
            <v>0</v>
          </cell>
          <cell r="GV66">
            <v>73</v>
          </cell>
          <cell r="GW66">
            <v>0</v>
          </cell>
          <cell r="GX66">
            <v>0</v>
          </cell>
          <cell r="GY66">
            <v>331</v>
          </cell>
          <cell r="GZ66">
            <v>0</v>
          </cell>
          <cell r="HA66">
            <v>69</v>
          </cell>
          <cell r="HB66">
            <v>0</v>
          </cell>
          <cell r="HC66">
            <v>0</v>
          </cell>
          <cell r="HD66">
            <v>106</v>
          </cell>
          <cell r="HE66">
            <v>0</v>
          </cell>
          <cell r="HF66">
            <v>0</v>
          </cell>
          <cell r="HG66">
            <v>0</v>
          </cell>
          <cell r="HH66">
            <v>31</v>
          </cell>
          <cell r="HI66">
            <v>0</v>
          </cell>
          <cell r="HJ66">
            <v>0</v>
          </cell>
          <cell r="HK66">
            <v>0</v>
          </cell>
          <cell r="HL66">
            <v>610</v>
          </cell>
          <cell r="HM66">
            <v>183</v>
          </cell>
          <cell r="HN66">
            <v>0</v>
          </cell>
          <cell r="HO66">
            <v>5792513</v>
          </cell>
          <cell r="HP66">
            <v>245</v>
          </cell>
          <cell r="HQ66">
            <v>0</v>
          </cell>
          <cell r="HR66">
            <v>1670</v>
          </cell>
          <cell r="HS66">
            <v>0</v>
          </cell>
          <cell r="HT66">
            <v>0</v>
          </cell>
          <cell r="HU66">
            <v>182</v>
          </cell>
          <cell r="HV66">
            <v>0</v>
          </cell>
          <cell r="HW66">
            <v>0</v>
          </cell>
          <cell r="HX66">
            <v>0</v>
          </cell>
          <cell r="HY66">
            <v>31</v>
          </cell>
          <cell r="HZ66">
            <v>0</v>
          </cell>
          <cell r="IA66">
            <v>0</v>
          </cell>
          <cell r="IB66">
            <v>0</v>
          </cell>
          <cell r="IC66">
            <v>5794824</v>
          </cell>
          <cell r="ID66">
            <v>265</v>
          </cell>
          <cell r="IE66">
            <v>0</v>
          </cell>
          <cell r="IF66">
            <v>1351275</v>
          </cell>
          <cell r="IG66">
            <v>234</v>
          </cell>
          <cell r="IH66">
            <v>0</v>
          </cell>
          <cell r="II66">
            <v>5775</v>
          </cell>
          <cell r="IJ66">
            <v>0</v>
          </cell>
          <cell r="IK66">
            <v>0</v>
          </cell>
          <cell r="IL66">
            <v>875</v>
          </cell>
          <cell r="IM66">
            <v>0</v>
          </cell>
          <cell r="IN66">
            <v>0</v>
          </cell>
          <cell r="IO66">
            <v>0</v>
          </cell>
          <cell r="IP66">
            <v>90</v>
          </cell>
          <cell r="IQ66">
            <v>0</v>
          </cell>
          <cell r="IR66">
            <v>0</v>
          </cell>
          <cell r="IS66">
            <v>0</v>
          </cell>
          <cell r="IT66">
            <v>1358514</v>
          </cell>
          <cell r="IU66" t="str">
            <v>year end 31.3.19: 2 x stations shared with Lincs Police, 2 x stations shared with Ambulance. Est 31.3.20 Further 1 station shared with both Ambulance and Police.</v>
          </cell>
          <cell r="IV66" t="str">
            <v>23 x inflatable boats, 7 x swift water rescue vans, 2 x rescue support units, 1 x water carrier, 2 x canine units, 2 x mobile flood pump units</v>
          </cell>
          <cell r="IW66" t="str">
            <v>..</v>
          </cell>
          <cell r="IX66" t="str">
            <v>..</v>
          </cell>
          <cell r="IY66" t="str">
            <v>..</v>
          </cell>
          <cell r="IZ66" t="str">
            <v>..</v>
          </cell>
          <cell r="JA66" t="str">
            <v>..</v>
          </cell>
          <cell r="JB66" t="str">
            <v>..</v>
          </cell>
        </row>
        <row r="67">
          <cell r="A67" t="str">
            <v>E6130</v>
          </cell>
          <cell r="B67" t="str">
            <v>Nottinghamshire</v>
          </cell>
          <cell r="C67" t="str">
            <v>Scot Riggans</v>
          </cell>
          <cell r="D67" t="str">
            <v>Senior Accountancy Assistant</v>
          </cell>
          <cell r="E67" t="str">
            <v>..</v>
          </cell>
          <cell r="F67" t="str">
            <v>scot.riggans@notts-fire.gov.uk</v>
          </cell>
          <cell r="G67" t="str">
            <v>..</v>
          </cell>
          <cell r="H67" t="str">
            <v>..</v>
          </cell>
          <cell r="I67" t="str">
            <v>..</v>
          </cell>
          <cell r="J67" t="str">
            <v>..</v>
          </cell>
          <cell r="K67" t="str">
            <v>..</v>
          </cell>
          <cell r="L67">
            <v>8</v>
          </cell>
          <cell r="M67">
            <v>12</v>
          </cell>
          <cell r="N67">
            <v>4</v>
          </cell>
          <cell r="O67">
            <v>0</v>
          </cell>
          <cell r="P67">
            <v>24</v>
          </cell>
          <cell r="Q67">
            <v>3</v>
          </cell>
          <cell r="R67">
            <v>8</v>
          </cell>
          <cell r="S67">
            <v>12</v>
          </cell>
          <cell r="T67">
            <v>4</v>
          </cell>
          <cell r="U67">
            <v>0</v>
          </cell>
          <cell r="V67">
            <v>24</v>
          </cell>
          <cell r="W67">
            <v>4</v>
          </cell>
          <cell r="X67">
            <v>30</v>
          </cell>
          <cell r="Y67">
            <v>30</v>
          </cell>
          <cell r="Z67">
            <v>2</v>
          </cell>
          <cell r="AA67">
            <v>7</v>
          </cell>
          <cell r="AB67">
            <v>8</v>
          </cell>
          <cell r="AC67">
            <v>30</v>
          </cell>
          <cell r="AD67">
            <v>3</v>
          </cell>
          <cell r="AE67">
            <v>80</v>
          </cell>
          <cell r="AF67">
            <v>82</v>
          </cell>
          <cell r="AG67">
            <v>6</v>
          </cell>
          <cell r="AH67">
            <v>3</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v>21868</v>
          </cell>
          <cell r="BC67">
            <v>3052</v>
          </cell>
          <cell r="BD67">
            <v>1205</v>
          </cell>
          <cell r="BE67">
            <v>6086</v>
          </cell>
          <cell r="BF67">
            <v>399</v>
          </cell>
          <cell r="BG67">
            <v>1747</v>
          </cell>
          <cell r="BH67">
            <v>34357</v>
          </cell>
          <cell r="BI67">
            <v>2530</v>
          </cell>
          <cell r="BJ67">
            <v>1965</v>
          </cell>
          <cell r="BK67">
            <v>3462</v>
          </cell>
          <cell r="BL67">
            <v>172</v>
          </cell>
          <cell r="BM67">
            <v>35</v>
          </cell>
          <cell r="BN67">
            <v>0</v>
          </cell>
          <cell r="BO67">
            <v>42521</v>
          </cell>
          <cell r="BP67">
            <v>562</v>
          </cell>
          <cell r="BQ67">
            <v>0</v>
          </cell>
          <cell r="BR67">
            <v>754</v>
          </cell>
          <cell r="BS67">
            <v>1316</v>
          </cell>
          <cell r="BT67">
            <v>41205</v>
          </cell>
          <cell r="BU67">
            <v>3113</v>
          </cell>
          <cell r="BV67">
            <v>8852</v>
          </cell>
          <cell r="BW67">
            <v>0</v>
          </cell>
          <cell r="BX67">
            <v>1436</v>
          </cell>
          <cell r="BY67">
            <v>0</v>
          </cell>
          <cell r="BZ67">
            <v>793</v>
          </cell>
          <cell r="CA67">
            <v>-81</v>
          </cell>
          <cell r="CB67">
            <v>0</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v>23516</v>
          </cell>
          <cell r="CP67">
            <v>3450</v>
          </cell>
          <cell r="CQ67">
            <v>930</v>
          </cell>
          <cell r="CR67">
            <v>6198</v>
          </cell>
          <cell r="CS67">
            <v>455</v>
          </cell>
          <cell r="CT67">
            <v>1084</v>
          </cell>
          <cell r="CU67">
            <v>35633</v>
          </cell>
          <cell r="CV67">
            <v>2515</v>
          </cell>
          <cell r="CW67">
            <v>1681</v>
          </cell>
          <cell r="CX67">
            <v>3562</v>
          </cell>
          <cell r="CY67">
            <v>191</v>
          </cell>
          <cell r="CZ67">
            <v>58</v>
          </cell>
          <cell r="DA67">
            <v>0</v>
          </cell>
          <cell r="DB67">
            <v>43640</v>
          </cell>
          <cell r="DC67">
            <v>339</v>
          </cell>
          <cell r="DD67">
            <v>102</v>
          </cell>
          <cell r="DE67">
            <v>60</v>
          </cell>
          <cell r="DF67">
            <v>501</v>
          </cell>
          <cell r="DG67">
            <v>43139</v>
          </cell>
          <cell r="DH67">
            <v>0</v>
          </cell>
          <cell r="DI67">
            <v>0</v>
          </cell>
          <cell r="DJ67">
            <v>0</v>
          </cell>
          <cell r="DK67">
            <v>1541</v>
          </cell>
          <cell r="DL67">
            <v>0</v>
          </cell>
          <cell r="DM67">
            <v>35</v>
          </cell>
          <cell r="DN67">
            <v>-30</v>
          </cell>
          <cell r="DO67">
            <v>0</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v>0</v>
          </cell>
          <cell r="EC67">
            <v>0</v>
          </cell>
          <cell r="ED67">
            <v>14.8</v>
          </cell>
          <cell r="EE67">
            <v>201</v>
          </cell>
          <cell r="EF67">
            <v>13168</v>
          </cell>
          <cell r="EG67">
            <v>3668</v>
          </cell>
          <cell r="EH67">
            <v>25293</v>
          </cell>
          <cell r="EI67">
            <v>66</v>
          </cell>
          <cell r="EJ67">
            <v>0</v>
          </cell>
          <cell r="EK67">
            <v>42195</v>
          </cell>
          <cell r="EL67" t="str">
            <v>..</v>
          </cell>
          <cell r="EM67" t="str">
            <v>..</v>
          </cell>
          <cell r="EN67">
            <v>4502</v>
          </cell>
          <cell r="EO67" t="str">
            <v>..</v>
          </cell>
          <cell r="EP67" t="str">
            <v>..</v>
          </cell>
          <cell r="EQ67" t="str">
            <v>..</v>
          </cell>
          <cell r="ER67">
            <v>36612</v>
          </cell>
          <cell r="ES67">
            <v>422</v>
          </cell>
          <cell r="ET67">
            <v>169</v>
          </cell>
          <cell r="EU67">
            <v>0</v>
          </cell>
          <cell r="EV67">
            <v>41705</v>
          </cell>
          <cell r="EW67" t="str">
            <v>..</v>
          </cell>
          <cell r="EX67" t="str">
            <v>..</v>
          </cell>
          <cell r="EY67">
            <v>1170</v>
          </cell>
          <cell r="EZ67" t="str">
            <v>..</v>
          </cell>
          <cell r="FA67" t="str">
            <v>..</v>
          </cell>
          <cell r="FB67" t="str">
            <v>..</v>
          </cell>
          <cell r="FC67">
            <v>9811</v>
          </cell>
          <cell r="FD67">
            <v>99</v>
          </cell>
          <cell r="FE67">
            <v>169</v>
          </cell>
          <cell r="FF67" t="str">
            <v>..</v>
          </cell>
          <cell r="FG67" t="str">
            <v>..</v>
          </cell>
          <cell r="FH67">
            <v>-2774</v>
          </cell>
          <cell r="FI67">
            <v>-115</v>
          </cell>
          <cell r="FJ67">
            <v>0</v>
          </cell>
          <cell r="FK67">
            <v>-2327</v>
          </cell>
          <cell r="FL67">
            <v>-13</v>
          </cell>
          <cell r="FM67">
            <v>12966</v>
          </cell>
          <cell r="FN67">
            <v>3490</v>
          </cell>
          <cell r="FO67">
            <v>0</v>
          </cell>
          <cell r="FP67">
            <v>11227</v>
          </cell>
          <cell r="FQ67">
            <v>720</v>
          </cell>
          <cell r="FR67">
            <v>8</v>
          </cell>
          <cell r="FS67">
            <v>-5180</v>
          </cell>
          <cell r="FT67">
            <v>-74</v>
          </cell>
          <cell r="FU67">
            <v>0</v>
          </cell>
          <cell r="FV67">
            <v>-2287</v>
          </cell>
          <cell r="FW67">
            <v>-10</v>
          </cell>
          <cell r="FX67">
            <v>13541</v>
          </cell>
          <cell r="FY67">
            <v>2640</v>
          </cell>
          <cell r="FZ67">
            <v>0</v>
          </cell>
          <cell r="GA67">
            <v>8630</v>
          </cell>
          <cell r="GB67">
            <v>723</v>
          </cell>
          <cell r="GC67">
            <v>4</v>
          </cell>
          <cell r="GD67">
            <v>879</v>
          </cell>
          <cell r="GE67">
            <v>878</v>
          </cell>
          <cell r="GF67">
            <v>28</v>
          </cell>
          <cell r="GG67">
            <v>1</v>
          </cell>
          <cell r="GH67">
            <v>84</v>
          </cell>
          <cell r="GI67">
            <v>17</v>
          </cell>
          <cell r="GJ67">
            <v>523</v>
          </cell>
          <cell r="GK67">
            <v>21</v>
          </cell>
          <cell r="GL67">
            <v>197</v>
          </cell>
          <cell r="GM67">
            <v>454</v>
          </cell>
          <cell r="GN67">
            <v>105</v>
          </cell>
          <cell r="GO67">
            <v>54</v>
          </cell>
          <cell r="GP67">
            <v>5156</v>
          </cell>
          <cell r="GQ67">
            <v>6953</v>
          </cell>
          <cell r="GR67">
            <v>599</v>
          </cell>
          <cell r="GS67">
            <v>4763</v>
          </cell>
          <cell r="GT67">
            <v>5576</v>
          </cell>
          <cell r="GU67">
            <v>1314</v>
          </cell>
          <cell r="GV67">
            <v>0</v>
          </cell>
          <cell r="GW67">
            <v>0</v>
          </cell>
          <cell r="GX67">
            <v>2305</v>
          </cell>
          <cell r="GY67">
            <v>22</v>
          </cell>
          <cell r="GZ67">
            <v>0</v>
          </cell>
          <cell r="HA67">
            <v>8</v>
          </cell>
          <cell r="HB67">
            <v>566</v>
          </cell>
          <cell r="HC67">
            <v>0</v>
          </cell>
          <cell r="HD67">
            <v>21</v>
          </cell>
          <cell r="HE67">
            <v>473</v>
          </cell>
          <cell r="HF67">
            <v>126</v>
          </cell>
          <cell r="HG67">
            <v>0</v>
          </cell>
          <cell r="HH67">
            <v>539</v>
          </cell>
          <cell r="HI67">
            <v>0</v>
          </cell>
          <cell r="HJ67">
            <v>0</v>
          </cell>
          <cell r="HK67">
            <v>0</v>
          </cell>
          <cell r="HL67">
            <v>4060</v>
          </cell>
          <cell r="HM67">
            <v>0</v>
          </cell>
          <cell r="HN67">
            <v>0</v>
          </cell>
          <cell r="HO67">
            <v>497</v>
          </cell>
          <cell r="HP67">
            <v>69</v>
          </cell>
          <cell r="HQ67">
            <v>0</v>
          </cell>
          <cell r="HR67">
            <v>0</v>
          </cell>
          <cell r="HS67">
            <v>0</v>
          </cell>
          <cell r="HT67">
            <v>69</v>
          </cell>
          <cell r="HU67">
            <v>0</v>
          </cell>
          <cell r="HV67">
            <v>20</v>
          </cell>
          <cell r="HW67">
            <v>306</v>
          </cell>
          <cell r="HX67">
            <v>0</v>
          </cell>
          <cell r="HY67">
            <v>114</v>
          </cell>
          <cell r="HZ67">
            <v>0</v>
          </cell>
          <cell r="IA67">
            <v>0</v>
          </cell>
          <cell r="IB67">
            <v>0</v>
          </cell>
          <cell r="IC67">
            <v>1075</v>
          </cell>
          <cell r="ID67">
            <v>1030</v>
          </cell>
          <cell r="IE67">
            <v>0</v>
          </cell>
          <cell r="IF67">
            <v>3785</v>
          </cell>
          <cell r="IG67">
            <v>110</v>
          </cell>
          <cell r="IH67">
            <v>0</v>
          </cell>
          <cell r="II67">
            <v>150</v>
          </cell>
          <cell r="IJ67">
            <v>388</v>
          </cell>
          <cell r="IK67">
            <v>0</v>
          </cell>
          <cell r="IL67">
            <v>30</v>
          </cell>
          <cell r="IM67">
            <v>212</v>
          </cell>
          <cell r="IN67">
            <v>479</v>
          </cell>
          <cell r="IO67">
            <v>0</v>
          </cell>
          <cell r="IP67">
            <v>443</v>
          </cell>
          <cell r="IQ67">
            <v>0</v>
          </cell>
          <cell r="IR67">
            <v>0</v>
          </cell>
          <cell r="IS67">
            <v>0</v>
          </cell>
          <cell r="IT67">
            <v>6627</v>
          </cell>
          <cell r="IU67" t="str">
            <v>2 Stations Police utilise the front desk.  1 Station Ambulance Service can park vehicles and Police have an Office.</v>
          </cell>
          <cell r="IV67" t="str">
            <v>2 x Heavy Rescue units, 2 x Animal rescue units 1 x water foam carrier, 1 x command Control unit, 1 x welfare unit</v>
          </cell>
          <cell r="IW67" t="str">
            <v>..</v>
          </cell>
          <cell r="IX67" t="str">
            <v>..</v>
          </cell>
          <cell r="IY67" t="str">
            <v>..</v>
          </cell>
          <cell r="IZ67" t="str">
            <v>..</v>
          </cell>
          <cell r="JA67" t="str">
            <v>..</v>
          </cell>
          <cell r="JB67" t="str">
            <v>NFRS are involved ina  number of collaboration stream where expentidure and income would takle place. However at this point in time we do not identify these costs</v>
          </cell>
        </row>
        <row r="68">
          <cell r="A68" t="str">
            <v>E6101</v>
          </cell>
          <cell r="B68" t="str">
            <v>Avon</v>
          </cell>
          <cell r="C68" t="str">
            <v>Simon Flood</v>
          </cell>
          <cell r="D68" t="str">
            <v>Performance Manager</v>
          </cell>
          <cell r="E68">
            <v>1179262061</v>
          </cell>
          <cell r="F68" t="str">
            <v>simon.flood@avonfire.gov.uk</v>
          </cell>
          <cell r="G68" t="str">
            <v>..</v>
          </cell>
          <cell r="H68" t="str">
            <v>..</v>
          </cell>
          <cell r="I68" t="str">
            <v>..</v>
          </cell>
          <cell r="J68" t="str">
            <v>..</v>
          </cell>
          <cell r="K68" t="str">
            <v>..</v>
          </cell>
          <cell r="L68">
            <v>7</v>
          </cell>
          <cell r="M68">
            <v>11</v>
          </cell>
          <cell r="N68">
            <v>3</v>
          </cell>
          <cell r="O68">
            <v>0</v>
          </cell>
          <cell r="P68">
            <v>21</v>
          </cell>
          <cell r="Q68">
            <v>8</v>
          </cell>
          <cell r="R68">
            <v>7</v>
          </cell>
          <cell r="S68">
            <v>11</v>
          </cell>
          <cell r="T68">
            <v>3</v>
          </cell>
          <cell r="U68">
            <v>0</v>
          </cell>
          <cell r="V68">
            <v>21</v>
          </cell>
          <cell r="W68">
            <v>8</v>
          </cell>
          <cell r="X68">
            <v>34</v>
          </cell>
          <cell r="Y68">
            <v>33</v>
          </cell>
          <cell r="Z68">
            <v>4</v>
          </cell>
          <cell r="AA68">
            <v>19</v>
          </cell>
          <cell r="AB68">
            <v>37</v>
          </cell>
          <cell r="AC68">
            <v>0</v>
          </cell>
          <cell r="AD68">
            <v>12</v>
          </cell>
          <cell r="AE68">
            <v>105</v>
          </cell>
          <cell r="AF68">
            <v>64</v>
          </cell>
          <cell r="AG68">
            <v>8</v>
          </cell>
          <cell r="AH68">
            <v>3</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v>0</v>
          </cell>
          <cell r="BM68" t="str">
            <v>..</v>
          </cell>
          <cell r="BN68" t="str">
            <v>..</v>
          </cell>
          <cell r="BO68" t="str">
            <v>..</v>
          </cell>
          <cell r="BP68">
            <v>0</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t="str">
            <v>..</v>
          </cell>
          <cell r="FZ68" t="str">
            <v>..</v>
          </cell>
          <cell r="GA68" t="str">
            <v>..</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t="str">
            <v>..</v>
          </cell>
          <cell r="GO68" t="str">
            <v>..</v>
          </cell>
          <cell r="GP68" t="str">
            <v>..</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t="str">
            <v>..</v>
          </cell>
          <cell r="HD68" t="str">
            <v>..</v>
          </cell>
          <cell r="HE68" t="str">
            <v>..</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t="str">
            <v>..</v>
          </cell>
          <cell r="HS68" t="str">
            <v>..</v>
          </cell>
          <cell r="HT68" t="str">
            <v>..</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t="str">
            <v>..</v>
          </cell>
          <cell r="IH68" t="str">
            <v>..</v>
          </cell>
          <cell r="II68" t="str">
            <v>..</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02 ambulance, 03 police, 05 ambulance, 06 police, 07 ambulance, 09 police, 16 police, 20 police</v>
          </cell>
          <cell r="IV68"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68" t="str">
            <v>..</v>
          </cell>
          <cell r="IX68" t="str">
            <v>..</v>
          </cell>
          <cell r="IY68" t="str">
            <v>..</v>
          </cell>
          <cell r="IZ68" t="str">
            <v>..</v>
          </cell>
          <cell r="JA68" t="str">
            <v>..</v>
          </cell>
          <cell r="JB68" t="str">
            <v>..</v>
          </cell>
        </row>
        <row r="69">
          <cell r="A69" t="str">
            <v>E6132</v>
          </cell>
          <cell r="B69" t="str">
            <v>Shropshire</v>
          </cell>
          <cell r="C69" t="str">
            <v>Claire Ellis</v>
          </cell>
          <cell r="D69" t="str">
            <v>Accountant</v>
          </cell>
          <cell r="E69" t="str">
            <v>01743 260213</v>
          </cell>
          <cell r="F69" t="str">
            <v>claire.ellis@shropshirefire.gov.uk</v>
          </cell>
          <cell r="G69" t="str">
            <v>Joanne Coadey</v>
          </cell>
          <cell r="H69" t="str">
            <v>Head of Finance</v>
          </cell>
          <cell r="I69" t="str">
            <v>01743 260215</v>
          </cell>
          <cell r="J69" t="str">
            <v>joanne.coadey@shropshirefire.gov.uk</v>
          </cell>
          <cell r="K69" t="str">
            <v>..</v>
          </cell>
          <cell r="L69">
            <v>1</v>
          </cell>
          <cell r="M69">
            <v>20</v>
          </cell>
          <cell r="N69">
            <v>2</v>
          </cell>
          <cell r="O69">
            <v>0</v>
          </cell>
          <cell r="P69">
            <v>23</v>
          </cell>
          <cell r="Q69">
            <v>23</v>
          </cell>
          <cell r="R69">
            <v>1</v>
          </cell>
          <cell r="S69">
            <v>20</v>
          </cell>
          <cell r="T69">
            <v>2</v>
          </cell>
          <cell r="U69">
            <v>0</v>
          </cell>
          <cell r="V69">
            <v>23</v>
          </cell>
          <cell r="W69">
            <v>23</v>
          </cell>
          <cell r="X69" t="str">
            <v>..</v>
          </cell>
          <cell r="Y69">
            <v>28</v>
          </cell>
          <cell r="Z69">
            <v>2</v>
          </cell>
          <cell r="AA69">
            <v>19</v>
          </cell>
          <cell r="AB69">
            <v>10</v>
          </cell>
          <cell r="AC69">
            <v>14</v>
          </cell>
          <cell r="AD69">
            <v>2</v>
          </cell>
          <cell r="AE69">
            <v>75</v>
          </cell>
          <cell r="AF69">
            <v>33</v>
          </cell>
          <cell r="AG69">
            <v>5</v>
          </cell>
          <cell r="AH69">
            <v>2</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v>8677</v>
          </cell>
          <cell r="BC69">
            <v>3501</v>
          </cell>
          <cell r="BD69">
            <v>715</v>
          </cell>
          <cell r="BE69">
            <v>2538</v>
          </cell>
          <cell r="BF69">
            <v>491</v>
          </cell>
          <cell r="BG69">
            <v>209</v>
          </cell>
          <cell r="BH69">
            <v>16131</v>
          </cell>
          <cell r="BI69">
            <v>1057</v>
          </cell>
          <cell r="BJ69">
            <v>720</v>
          </cell>
          <cell r="BK69">
            <v>2321</v>
          </cell>
          <cell r="BL69">
            <v>317</v>
          </cell>
          <cell r="BM69">
            <v>0</v>
          </cell>
          <cell r="BN69">
            <v>0</v>
          </cell>
          <cell r="BO69">
            <v>20546</v>
          </cell>
          <cell r="BP69">
            <v>86</v>
          </cell>
          <cell r="BQ69">
            <v>0</v>
          </cell>
          <cell r="BR69">
            <v>190</v>
          </cell>
          <cell r="BS69">
            <v>276</v>
          </cell>
          <cell r="BT69">
            <v>20270</v>
          </cell>
          <cell r="BU69">
            <v>2796</v>
          </cell>
          <cell r="BV69">
            <v>94</v>
          </cell>
          <cell r="BW69">
            <v>0</v>
          </cell>
          <cell r="BX69">
            <v>259</v>
          </cell>
          <cell r="BY69">
            <v>8</v>
          </cell>
          <cell r="BZ69">
            <v>256</v>
          </cell>
          <cell r="CA69">
            <v>-130</v>
          </cell>
          <cell r="CB69">
            <v>0</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v>0</v>
          </cell>
          <cell r="CO69">
            <v>10562</v>
          </cell>
          <cell r="CP69">
            <v>3378</v>
          </cell>
          <cell r="CQ69">
            <v>724</v>
          </cell>
          <cell r="CR69">
            <v>2776</v>
          </cell>
          <cell r="CS69">
            <v>310</v>
          </cell>
          <cell r="CT69">
            <v>180</v>
          </cell>
          <cell r="CU69">
            <v>17930</v>
          </cell>
          <cell r="CV69">
            <v>1067</v>
          </cell>
          <cell r="CW69">
            <v>595</v>
          </cell>
          <cell r="CX69">
            <v>2097</v>
          </cell>
          <cell r="CY69">
            <v>231</v>
          </cell>
          <cell r="CZ69">
            <v>0</v>
          </cell>
          <cell r="DA69">
            <v>0</v>
          </cell>
          <cell r="DB69">
            <v>21920</v>
          </cell>
          <cell r="DC69">
            <v>1150</v>
          </cell>
          <cell r="DD69">
            <v>0</v>
          </cell>
          <cell r="DE69">
            <v>85</v>
          </cell>
          <cell r="DF69">
            <v>1235</v>
          </cell>
          <cell r="DG69">
            <v>20685</v>
          </cell>
          <cell r="DH69">
            <v>2100</v>
          </cell>
          <cell r="DI69">
            <v>94</v>
          </cell>
          <cell r="DJ69">
            <v>0</v>
          </cell>
          <cell r="DK69">
            <v>417</v>
          </cell>
          <cell r="DL69">
            <v>17</v>
          </cell>
          <cell r="DM69">
            <v>22</v>
          </cell>
          <cell r="DN69">
            <v>-50</v>
          </cell>
          <cell r="DO69">
            <v>0</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v>0</v>
          </cell>
          <cell r="EB69">
            <v>0</v>
          </cell>
          <cell r="EC69">
            <v>0</v>
          </cell>
          <cell r="ED69">
            <v>13.9</v>
          </cell>
          <cell r="EE69">
            <v>103.9</v>
          </cell>
          <cell r="EF69" t="str">
            <v>..</v>
          </cell>
          <cell r="EG69" t="str">
            <v>..</v>
          </cell>
          <cell r="EH69" t="str">
            <v>..</v>
          </cell>
          <cell r="EI69" t="str">
            <v>..</v>
          </cell>
          <cell r="EJ69" t="str">
            <v>..</v>
          </cell>
          <cell r="EK69" t="str">
            <v>..</v>
          </cell>
          <cell r="EL69" t="str">
            <v>..</v>
          </cell>
          <cell r="EM69" t="str">
            <v>..</v>
          </cell>
          <cell r="EN69">
            <v>1384</v>
          </cell>
          <cell r="EO69" t="str">
            <v>..</v>
          </cell>
          <cell r="EP69" t="str">
            <v>..</v>
          </cell>
          <cell r="EQ69" t="str">
            <v>..</v>
          </cell>
          <cell r="ER69">
            <v>18373</v>
          </cell>
          <cell r="ES69">
            <v>70</v>
          </cell>
          <cell r="ET69">
            <v>470</v>
          </cell>
          <cell r="EU69">
            <v>23</v>
          </cell>
          <cell r="EV69">
            <v>20320</v>
          </cell>
          <cell r="EW69" t="str">
            <v>..</v>
          </cell>
          <cell r="EX69" t="str">
            <v>..</v>
          </cell>
          <cell r="EY69">
            <v>0</v>
          </cell>
          <cell r="EZ69" t="str">
            <v>..</v>
          </cell>
          <cell r="FA69" t="str">
            <v>..</v>
          </cell>
          <cell r="FB69" t="str">
            <v>..</v>
          </cell>
          <cell r="FC69">
            <v>0</v>
          </cell>
          <cell r="FD69">
            <v>0</v>
          </cell>
          <cell r="FE69">
            <v>0</v>
          </cell>
          <cell r="FF69">
            <v>0</v>
          </cell>
          <cell r="FG69">
            <v>0</v>
          </cell>
          <cell r="FH69">
            <v>-1268</v>
          </cell>
          <cell r="FI69">
            <v>-86</v>
          </cell>
          <cell r="FJ69">
            <v>0</v>
          </cell>
          <cell r="FK69">
            <v>-1161</v>
          </cell>
          <cell r="FL69">
            <v>-84</v>
          </cell>
          <cell r="FM69">
            <v>4704</v>
          </cell>
          <cell r="FN69">
            <v>740</v>
          </cell>
          <cell r="FO69">
            <v>0</v>
          </cell>
          <cell r="FP69">
            <v>2845</v>
          </cell>
          <cell r="FQ69">
            <v>315</v>
          </cell>
          <cell r="FR69">
            <v>0</v>
          </cell>
          <cell r="FS69">
            <v>-1278</v>
          </cell>
          <cell r="FT69">
            <v>-120</v>
          </cell>
          <cell r="FU69">
            <v>0</v>
          </cell>
          <cell r="FV69">
            <v>-1070</v>
          </cell>
          <cell r="FW69">
            <v>0</v>
          </cell>
          <cell r="FX69">
            <v>4860</v>
          </cell>
          <cell r="FY69">
            <v>1429</v>
          </cell>
          <cell r="FZ69">
            <v>0</v>
          </cell>
          <cell r="GA69">
            <v>3821</v>
          </cell>
          <cell r="GB69">
            <v>253</v>
          </cell>
          <cell r="GC69">
            <v>0</v>
          </cell>
          <cell r="GD69">
            <v>337</v>
          </cell>
          <cell r="GE69">
            <v>340</v>
          </cell>
          <cell r="GF69">
            <v>12</v>
          </cell>
          <cell r="GG69">
            <v>1</v>
          </cell>
          <cell r="GH69">
            <v>29</v>
          </cell>
          <cell r="GI69">
            <v>12</v>
          </cell>
          <cell r="GJ69">
            <v>417</v>
          </cell>
          <cell r="GK69">
            <v>15</v>
          </cell>
          <cell r="GL69">
            <v>22</v>
          </cell>
          <cell r="GM69">
            <v>217</v>
          </cell>
          <cell r="GN69">
            <v>60</v>
          </cell>
          <cell r="GO69">
            <v>20</v>
          </cell>
          <cell r="GP69">
            <v>15029</v>
          </cell>
          <cell r="GQ69">
            <v>1105</v>
          </cell>
          <cell r="GR69">
            <v>0</v>
          </cell>
          <cell r="GS69">
            <v>14445</v>
          </cell>
          <cell r="GT69">
            <v>1152</v>
          </cell>
          <cell r="GU69">
            <v>0</v>
          </cell>
          <cell r="GV69">
            <v>0</v>
          </cell>
          <cell r="GW69">
            <v>0</v>
          </cell>
          <cell r="GX69">
            <v>0</v>
          </cell>
          <cell r="GY69">
            <v>222</v>
          </cell>
          <cell r="GZ69">
            <v>0</v>
          </cell>
          <cell r="HA69">
            <v>31</v>
          </cell>
          <cell r="HB69">
            <v>0</v>
          </cell>
          <cell r="HC69">
            <v>0</v>
          </cell>
          <cell r="HD69">
            <v>104</v>
          </cell>
          <cell r="HE69">
            <v>0</v>
          </cell>
          <cell r="HF69">
            <v>272</v>
          </cell>
          <cell r="HG69">
            <v>0</v>
          </cell>
          <cell r="HH69">
            <v>0</v>
          </cell>
          <cell r="HI69">
            <v>0</v>
          </cell>
          <cell r="HJ69">
            <v>0</v>
          </cell>
          <cell r="HK69">
            <v>0</v>
          </cell>
          <cell r="HL69">
            <v>629</v>
          </cell>
          <cell r="HM69">
            <v>0</v>
          </cell>
          <cell r="HN69">
            <v>0</v>
          </cell>
          <cell r="HO69">
            <v>0</v>
          </cell>
          <cell r="HP69">
            <v>1136</v>
          </cell>
          <cell r="HQ69">
            <v>0</v>
          </cell>
          <cell r="HR69">
            <v>1555</v>
          </cell>
          <cell r="HS69">
            <v>0</v>
          </cell>
          <cell r="HT69">
            <v>0</v>
          </cell>
          <cell r="HU69">
            <v>167</v>
          </cell>
          <cell r="HV69">
            <v>152</v>
          </cell>
          <cell r="HW69">
            <v>66</v>
          </cell>
          <cell r="HX69">
            <v>0</v>
          </cell>
          <cell r="HY69">
            <v>17</v>
          </cell>
          <cell r="HZ69">
            <v>0</v>
          </cell>
          <cell r="IA69">
            <v>0</v>
          </cell>
          <cell r="IB69">
            <v>0</v>
          </cell>
          <cell r="IC69">
            <v>3093</v>
          </cell>
          <cell r="ID69">
            <v>0</v>
          </cell>
          <cell r="IE69">
            <v>0</v>
          </cell>
          <cell r="IF69">
            <v>0</v>
          </cell>
          <cell r="IG69">
            <v>4706</v>
          </cell>
          <cell r="IH69">
            <v>60</v>
          </cell>
          <cell r="II69">
            <v>1756</v>
          </cell>
          <cell r="IJ69">
            <v>100</v>
          </cell>
          <cell r="IK69">
            <v>0</v>
          </cell>
          <cell r="IL69">
            <v>626</v>
          </cell>
          <cell r="IM69">
            <v>0</v>
          </cell>
          <cell r="IN69">
            <v>371</v>
          </cell>
          <cell r="IO69">
            <v>0</v>
          </cell>
          <cell r="IP69">
            <v>128</v>
          </cell>
          <cell r="IQ69">
            <v>0</v>
          </cell>
          <cell r="IR69">
            <v>0</v>
          </cell>
          <cell r="IS69">
            <v>0</v>
          </cell>
          <cell r="IT69">
            <v>7747</v>
          </cell>
          <cell r="IU69" t="str">
            <v xml:space="preserve">Police </v>
          </cell>
          <cell r="IV69" t="str">
            <v>2 pumping units, 1 L6P, 1 Water Carrier, 2 Incident Command Unit, 1 WRU, 12 Incident Support Units.</v>
          </cell>
          <cell r="IW69" t="str">
            <v>..</v>
          </cell>
          <cell r="IX69" t="str">
            <v>..</v>
          </cell>
          <cell r="IY69" t="str">
            <v>..</v>
          </cell>
          <cell r="IZ69" t="str">
            <v>..</v>
          </cell>
          <cell r="JA69" t="str">
            <v>..</v>
          </cell>
          <cell r="JB69" t="str">
            <v>..</v>
          </cell>
        </row>
        <row r="70">
          <cell r="A70" t="str">
            <v>E6142</v>
          </cell>
          <cell r="B70" t="str">
            <v>Greater Manchester</v>
          </cell>
          <cell r="C70">
            <v>0</v>
          </cell>
          <cell r="D70">
            <v>0</v>
          </cell>
          <cell r="E70">
            <v>0</v>
          </cell>
          <cell r="F70">
            <v>0</v>
          </cell>
          <cell r="G70" t="str">
            <v>Martyn Benson</v>
          </cell>
          <cell r="H70" t="str">
            <v xml:space="preserve">Management Accountant </v>
          </cell>
          <cell r="I70" t="str">
            <v>0161 608 4431</v>
          </cell>
          <cell r="J70" t="str">
            <v>bensonm@manchesterfire.gov.uk</v>
          </cell>
          <cell r="K70" t="str">
            <v>..</v>
          </cell>
          <cell r="L70">
            <v>35</v>
          </cell>
          <cell r="M70">
            <v>0</v>
          </cell>
          <cell r="N70">
            <v>6</v>
          </cell>
          <cell r="O70">
            <v>0</v>
          </cell>
          <cell r="P70">
            <v>41</v>
          </cell>
          <cell r="Q70">
            <v>7</v>
          </cell>
          <cell r="R70">
            <v>35</v>
          </cell>
          <cell r="S70">
            <v>0</v>
          </cell>
          <cell r="T70">
            <v>6</v>
          </cell>
          <cell r="U70">
            <v>0</v>
          </cell>
          <cell r="V70">
            <v>41</v>
          </cell>
          <cell r="W70" t="str">
            <v>..</v>
          </cell>
          <cell r="X70">
            <v>54</v>
          </cell>
          <cell r="Y70">
            <v>54</v>
          </cell>
          <cell r="Z70">
            <v>6</v>
          </cell>
          <cell r="AA70">
            <v>11</v>
          </cell>
          <cell r="AB70">
            <v>0</v>
          </cell>
          <cell r="AC70">
            <v>65</v>
          </cell>
          <cell r="AD70">
            <v>7</v>
          </cell>
          <cell r="AE70">
            <v>71</v>
          </cell>
          <cell r="AF70">
            <v>129</v>
          </cell>
          <cell r="AG70">
            <v>12</v>
          </cell>
          <cell r="AH70">
            <v>2</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v>65809</v>
          </cell>
          <cell r="BC70">
            <v>0</v>
          </cell>
          <cell r="BD70">
            <v>0</v>
          </cell>
          <cell r="BE70">
            <v>10597</v>
          </cell>
          <cell r="BF70">
            <v>864</v>
          </cell>
          <cell r="BG70">
            <v>1012</v>
          </cell>
          <cell r="BH70">
            <v>78282</v>
          </cell>
          <cell r="BI70">
            <v>4955</v>
          </cell>
          <cell r="BJ70">
            <v>2604</v>
          </cell>
          <cell r="BK70">
            <v>6272</v>
          </cell>
          <cell r="BL70">
            <v>6977</v>
          </cell>
          <cell r="BM70">
            <v>2237</v>
          </cell>
          <cell r="BN70">
            <v>0</v>
          </cell>
          <cell r="BO70">
            <v>101327</v>
          </cell>
          <cell r="BP70">
            <v>2048</v>
          </cell>
          <cell r="BQ70">
            <v>0</v>
          </cell>
          <cell r="BR70">
            <v>2140</v>
          </cell>
          <cell r="BS70">
            <v>4188</v>
          </cell>
          <cell r="BT70">
            <v>97139</v>
          </cell>
          <cell r="BU70">
            <v>6061</v>
          </cell>
          <cell r="BV70">
            <v>-27990</v>
          </cell>
          <cell r="BW70">
            <v>0</v>
          </cell>
          <cell r="BX70">
            <v>1619</v>
          </cell>
          <cell r="BY70">
            <v>0</v>
          </cell>
          <cell r="BZ70">
            <v>150</v>
          </cell>
          <cell r="CA70">
            <v>0</v>
          </cell>
          <cell r="CB70">
            <v>0</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v>72435</v>
          </cell>
          <cell r="CP70">
            <v>0</v>
          </cell>
          <cell r="CQ70">
            <v>0</v>
          </cell>
          <cell r="CR70">
            <v>10452</v>
          </cell>
          <cell r="CS70">
            <v>804</v>
          </cell>
          <cell r="CT70">
            <v>1018</v>
          </cell>
          <cell r="CU70">
            <v>84709</v>
          </cell>
          <cell r="CV70">
            <v>4569</v>
          </cell>
          <cell r="CW70">
            <v>2356</v>
          </cell>
          <cell r="CX70">
            <v>4935</v>
          </cell>
          <cell r="CY70">
            <v>6658</v>
          </cell>
          <cell r="CZ70">
            <v>2265</v>
          </cell>
          <cell r="DA70">
            <v>0</v>
          </cell>
          <cell r="DB70">
            <v>105492</v>
          </cell>
          <cell r="DC70">
            <v>743</v>
          </cell>
          <cell r="DD70">
            <v>0</v>
          </cell>
          <cell r="DE70">
            <v>1508</v>
          </cell>
          <cell r="DF70">
            <v>2251</v>
          </cell>
          <cell r="DG70">
            <v>103241</v>
          </cell>
          <cell r="DH70">
            <v>6400</v>
          </cell>
          <cell r="DI70">
            <v>0</v>
          </cell>
          <cell r="DJ70">
            <v>0</v>
          </cell>
          <cell r="DK70">
            <v>1541</v>
          </cell>
          <cell r="DL70">
            <v>0</v>
          </cell>
          <cell r="DM70">
            <v>139</v>
          </cell>
          <cell r="DN70">
            <v>0</v>
          </cell>
          <cell r="DO70">
            <v>0</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v>0</v>
          </cell>
          <cell r="EC70">
            <v>0</v>
          </cell>
          <cell r="ED70">
            <v>21.2</v>
          </cell>
          <cell r="EE70">
            <v>65</v>
          </cell>
          <cell r="EF70">
            <v>45766</v>
          </cell>
          <cell r="EG70">
            <v>10311</v>
          </cell>
          <cell r="EH70">
            <v>44975</v>
          </cell>
          <cell r="EI70">
            <v>289</v>
          </cell>
          <cell r="EJ70">
            <v>0</v>
          </cell>
          <cell r="EK70">
            <v>101341</v>
          </cell>
          <cell r="EL70" t="str">
            <v>..</v>
          </cell>
          <cell r="EM70" t="str">
            <v>..</v>
          </cell>
          <cell r="EN70">
            <v>16787</v>
          </cell>
          <cell r="EO70">
            <v>82736</v>
          </cell>
          <cell r="EP70">
            <v>2237</v>
          </cell>
          <cell r="EQ70">
            <v>379</v>
          </cell>
          <cell r="ER70">
            <v>85352</v>
          </cell>
          <cell r="ES70">
            <v>996</v>
          </cell>
          <cell r="ET70">
            <v>0</v>
          </cell>
          <cell r="EU70">
            <v>65</v>
          </cell>
          <cell r="EV70">
            <v>103200</v>
          </cell>
          <cell r="EW70" t="str">
            <v>..</v>
          </cell>
          <cell r="EX70" t="str">
            <v>..</v>
          </cell>
          <cell r="EY70">
            <v>2398</v>
          </cell>
          <cell r="EZ70">
            <v>16605</v>
          </cell>
          <cell r="FA70">
            <v>0</v>
          </cell>
          <cell r="FB70">
            <v>70</v>
          </cell>
          <cell r="FC70">
            <v>16675</v>
          </cell>
          <cell r="FD70">
            <v>127</v>
          </cell>
          <cell r="FE70">
            <v>0</v>
          </cell>
          <cell r="FF70">
            <v>0</v>
          </cell>
          <cell r="FG70">
            <v>19200</v>
          </cell>
          <cell r="FH70">
            <v>-6476.8050000000003</v>
          </cell>
          <cell r="FI70">
            <v>-430.73500000000001</v>
          </cell>
          <cell r="FJ70">
            <v>0</v>
          </cell>
          <cell r="FK70">
            <v>-5405.5450000000001</v>
          </cell>
          <cell r="FL70">
            <v>-281.48099999999999</v>
          </cell>
          <cell r="FM70">
            <v>43536.288999999997</v>
          </cell>
          <cell r="FN70">
            <v>8036.9189999999999</v>
          </cell>
          <cell r="FO70">
            <v>110.298</v>
          </cell>
          <cell r="FP70">
            <v>39088.94</v>
          </cell>
          <cell r="FQ70">
            <v>2079.8220000000001</v>
          </cell>
          <cell r="FR70">
            <v>0</v>
          </cell>
          <cell r="FS70">
            <v>-10938.56</v>
          </cell>
          <cell r="FT70">
            <v>-404.07600000000002</v>
          </cell>
          <cell r="FU70">
            <v>0</v>
          </cell>
          <cell r="FV70">
            <v>-5319.0870000000004</v>
          </cell>
          <cell r="FW70">
            <v>-100</v>
          </cell>
          <cell r="FX70">
            <v>44985.540999999997</v>
          </cell>
          <cell r="FY70">
            <v>9172.8940000000002</v>
          </cell>
          <cell r="FZ70">
            <v>0</v>
          </cell>
          <cell r="GA70">
            <v>37396.712</v>
          </cell>
          <cell r="GB70">
            <v>2119.9380000000001</v>
          </cell>
          <cell r="GC70">
            <v>0</v>
          </cell>
          <cell r="GD70">
            <v>2768</v>
          </cell>
          <cell r="GE70">
            <v>33</v>
          </cell>
          <cell r="GF70">
            <v>66</v>
          </cell>
          <cell r="GG70">
            <v>4</v>
          </cell>
          <cell r="GH70">
            <v>206</v>
          </cell>
          <cell r="GI70">
            <v>1</v>
          </cell>
          <cell r="GJ70">
            <v>1099</v>
          </cell>
          <cell r="GK70">
            <v>0</v>
          </cell>
          <cell r="GL70">
            <v>160</v>
          </cell>
          <cell r="GM70">
            <v>147</v>
          </cell>
          <cell r="GN70">
            <v>90</v>
          </cell>
          <cell r="GO70">
            <v>3</v>
          </cell>
          <cell r="GP70">
            <v>27541</v>
          </cell>
          <cell r="GQ70">
            <v>15173</v>
          </cell>
          <cell r="GR70">
            <v>975</v>
          </cell>
          <cell r="GS70">
            <v>22776</v>
          </cell>
          <cell r="GT70">
            <v>11664</v>
          </cell>
          <cell r="GU70">
            <v>2351</v>
          </cell>
          <cell r="GV70">
            <v>0</v>
          </cell>
          <cell r="GW70">
            <v>0</v>
          </cell>
          <cell r="GX70">
            <v>926.79100000000005</v>
          </cell>
          <cell r="GY70">
            <v>1132.9580000000001</v>
          </cell>
          <cell r="GZ70">
            <v>31.920999999999999</v>
          </cell>
          <cell r="HA70">
            <v>1203.8610000000001</v>
          </cell>
          <cell r="HB70">
            <v>0</v>
          </cell>
          <cell r="HC70">
            <v>0</v>
          </cell>
          <cell r="HD70">
            <v>0</v>
          </cell>
          <cell r="HE70">
            <v>0</v>
          </cell>
          <cell r="HF70">
            <v>285.78199999999998</v>
          </cell>
          <cell r="HG70">
            <v>0</v>
          </cell>
          <cell r="HH70">
            <v>656.64599999999996</v>
          </cell>
          <cell r="HI70">
            <v>0</v>
          </cell>
          <cell r="HJ70">
            <v>0</v>
          </cell>
          <cell r="HK70">
            <v>0</v>
          </cell>
          <cell r="HL70">
            <v>4237.9589999999998</v>
          </cell>
          <cell r="HM70">
            <v>0</v>
          </cell>
          <cell r="HN70">
            <v>0</v>
          </cell>
          <cell r="HO70">
            <v>0</v>
          </cell>
          <cell r="HP70">
            <v>358.86200000000002</v>
          </cell>
          <cell r="HQ70">
            <v>0</v>
          </cell>
          <cell r="HR70">
            <v>4088.4430000000002</v>
          </cell>
          <cell r="HS70">
            <v>0</v>
          </cell>
          <cell r="HT70">
            <v>0</v>
          </cell>
          <cell r="HU70">
            <v>0</v>
          </cell>
          <cell r="HV70">
            <v>0</v>
          </cell>
          <cell r="HW70">
            <v>173.542</v>
          </cell>
          <cell r="HX70">
            <v>0</v>
          </cell>
          <cell r="HY70">
            <v>345.505</v>
          </cell>
          <cell r="HZ70">
            <v>0</v>
          </cell>
          <cell r="IA70">
            <v>0</v>
          </cell>
          <cell r="IB70">
            <v>0</v>
          </cell>
          <cell r="IC70">
            <v>4966.3519999999999</v>
          </cell>
          <cell r="ID70">
            <v>0</v>
          </cell>
          <cell r="IE70">
            <v>0</v>
          </cell>
          <cell r="IF70">
            <v>0</v>
          </cell>
          <cell r="IG70">
            <v>1346.229</v>
          </cell>
          <cell r="IH70">
            <v>150</v>
          </cell>
          <cell r="II70">
            <v>3176.9679999999998</v>
          </cell>
          <cell r="IJ70">
            <v>234</v>
          </cell>
          <cell r="IK70">
            <v>0</v>
          </cell>
          <cell r="IL70">
            <v>0</v>
          </cell>
          <cell r="IM70">
            <v>0</v>
          </cell>
          <cell r="IN70">
            <v>200</v>
          </cell>
          <cell r="IO70">
            <v>0</v>
          </cell>
          <cell r="IP70">
            <v>639.88300000000004</v>
          </cell>
          <cell r="IQ70">
            <v>0</v>
          </cell>
          <cell r="IR70">
            <v>0</v>
          </cell>
          <cell r="IS70">
            <v>55</v>
          </cell>
          <cell r="IT70">
            <v>5802.08</v>
          </cell>
          <cell r="IU70" t="str">
            <v>Ambulance - Atherton, Irlam , Hindley, Whitefield,Leigh, Phillips Park, Wigan</v>
          </cell>
          <cell r="IV70" t="str">
            <v>4 x TRU vehicles plus 1 x spare TRU. 6 x Mercedes Sprinter Van Appliances used for TRU support and Wildfire Applications.</v>
          </cell>
          <cell r="IW70" t="str">
            <v xml:space="preserve">North West Fire Control </v>
          </cell>
          <cell r="IX70">
            <v>0</v>
          </cell>
          <cell r="IY70">
            <v>0</v>
          </cell>
          <cell r="IZ70" t="str">
            <v>..</v>
          </cell>
          <cell r="JA70" t="str">
            <v>..</v>
          </cell>
          <cell r="JB70" t="str">
            <v>..</v>
          </cell>
        </row>
        <row r="71">
          <cell r="A71" t="str">
            <v>E6130</v>
          </cell>
          <cell r="B71" t="str">
            <v>Nottinghamshire</v>
          </cell>
          <cell r="C71" t="str">
            <v>Scot Riggans</v>
          </cell>
          <cell r="D71" t="str">
            <v>Senior Accountancy Assistant</v>
          </cell>
          <cell r="E71" t="str">
            <v>..</v>
          </cell>
          <cell r="F71" t="str">
            <v>scot.riggans@notts-fire.gov.uk</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v>30</v>
          </cell>
          <cell r="Y71">
            <v>30</v>
          </cell>
          <cell r="Z71">
            <v>2</v>
          </cell>
          <cell r="AA71">
            <v>7</v>
          </cell>
          <cell r="AB71">
            <v>8</v>
          </cell>
          <cell r="AC71">
            <v>30</v>
          </cell>
          <cell r="AD71">
            <v>3</v>
          </cell>
          <cell r="AE71">
            <v>80</v>
          </cell>
          <cell r="AF71">
            <v>82</v>
          </cell>
          <cell r="AG71">
            <v>6</v>
          </cell>
          <cell r="AH71">
            <v>3</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v>21868</v>
          </cell>
          <cell r="BC71">
            <v>3052</v>
          </cell>
          <cell r="BD71">
            <v>1205</v>
          </cell>
          <cell r="BE71">
            <v>6086</v>
          </cell>
          <cell r="BF71">
            <v>399</v>
          </cell>
          <cell r="BG71">
            <v>1747</v>
          </cell>
          <cell r="BH71">
            <v>34357</v>
          </cell>
          <cell r="BI71">
            <v>2530</v>
          </cell>
          <cell r="BJ71">
            <v>1965</v>
          </cell>
          <cell r="BK71">
            <v>3462</v>
          </cell>
          <cell r="BL71">
            <v>172</v>
          </cell>
          <cell r="BM71">
            <v>35</v>
          </cell>
          <cell r="BN71">
            <v>0</v>
          </cell>
          <cell r="BO71">
            <v>42521</v>
          </cell>
          <cell r="BP71">
            <v>562</v>
          </cell>
          <cell r="BQ71">
            <v>0</v>
          </cell>
          <cell r="BR71">
            <v>754</v>
          </cell>
          <cell r="BS71">
            <v>1316</v>
          </cell>
          <cell r="BT71">
            <v>41205</v>
          </cell>
          <cell r="BU71">
            <v>3113</v>
          </cell>
          <cell r="BV71">
            <v>8852</v>
          </cell>
          <cell r="BW71">
            <v>0</v>
          </cell>
          <cell r="BX71">
            <v>1436</v>
          </cell>
          <cell r="BY71">
            <v>0</v>
          </cell>
          <cell r="BZ71">
            <v>793</v>
          </cell>
          <cell r="CA71">
            <v>-81</v>
          </cell>
          <cell r="CB71">
            <v>0</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v>23516</v>
          </cell>
          <cell r="CP71">
            <v>3450</v>
          </cell>
          <cell r="CQ71">
            <v>930</v>
          </cell>
          <cell r="CR71">
            <v>6198</v>
          </cell>
          <cell r="CS71">
            <v>455</v>
          </cell>
          <cell r="CT71">
            <v>1084</v>
          </cell>
          <cell r="CU71">
            <v>35633</v>
          </cell>
          <cell r="CV71">
            <v>2515</v>
          </cell>
          <cell r="CW71">
            <v>1681</v>
          </cell>
          <cell r="CX71">
            <v>3562</v>
          </cell>
          <cell r="CY71">
            <v>191</v>
          </cell>
          <cell r="CZ71">
            <v>58</v>
          </cell>
          <cell r="DA71">
            <v>0</v>
          </cell>
          <cell r="DB71">
            <v>43640</v>
          </cell>
          <cell r="DC71">
            <v>339</v>
          </cell>
          <cell r="DD71">
            <v>102</v>
          </cell>
          <cell r="DE71">
            <v>60</v>
          </cell>
          <cell r="DF71">
            <v>501</v>
          </cell>
          <cell r="DG71">
            <v>43139</v>
          </cell>
          <cell r="DH71">
            <v>0</v>
          </cell>
          <cell r="DI71">
            <v>0</v>
          </cell>
          <cell r="DJ71">
            <v>0</v>
          </cell>
          <cell r="DK71">
            <v>1541</v>
          </cell>
          <cell r="DL71">
            <v>0</v>
          </cell>
          <cell r="DM71">
            <v>35</v>
          </cell>
          <cell r="DN71">
            <v>-30</v>
          </cell>
          <cell r="DO71">
            <v>0</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v>0</v>
          </cell>
          <cell r="EC71">
            <v>0</v>
          </cell>
          <cell r="ED71">
            <v>14.8</v>
          </cell>
          <cell r="EE71">
            <v>201</v>
          </cell>
          <cell r="EF71">
            <v>13168</v>
          </cell>
          <cell r="EG71">
            <v>3668</v>
          </cell>
          <cell r="EH71">
            <v>25293</v>
          </cell>
          <cell r="EI71">
            <v>66</v>
          </cell>
          <cell r="EJ71">
            <v>0</v>
          </cell>
          <cell r="EK71">
            <v>42195</v>
          </cell>
          <cell r="EL71" t="str">
            <v>..</v>
          </cell>
          <cell r="EM71" t="str">
            <v>..</v>
          </cell>
          <cell r="EN71">
            <v>4502</v>
          </cell>
          <cell r="EO71" t="str">
            <v>..</v>
          </cell>
          <cell r="EP71" t="str">
            <v>..</v>
          </cell>
          <cell r="EQ71" t="str">
            <v>..</v>
          </cell>
          <cell r="ER71">
            <v>36612</v>
          </cell>
          <cell r="ES71">
            <v>422</v>
          </cell>
          <cell r="ET71">
            <v>169</v>
          </cell>
          <cell r="EU71">
            <v>0</v>
          </cell>
          <cell r="EV71">
            <v>41705</v>
          </cell>
          <cell r="EW71" t="str">
            <v>..</v>
          </cell>
          <cell r="EX71" t="str">
            <v>..</v>
          </cell>
          <cell r="EY71">
            <v>1170</v>
          </cell>
          <cell r="EZ71" t="str">
            <v>..</v>
          </cell>
          <cell r="FA71" t="str">
            <v>..</v>
          </cell>
          <cell r="FB71" t="str">
            <v>..</v>
          </cell>
          <cell r="FC71">
            <v>9811</v>
          </cell>
          <cell r="FD71">
            <v>99</v>
          </cell>
          <cell r="FE71">
            <v>169</v>
          </cell>
          <cell r="FF71" t="str">
            <v>..</v>
          </cell>
          <cell r="FG71" t="str">
            <v>..</v>
          </cell>
          <cell r="FH71">
            <v>-2774</v>
          </cell>
          <cell r="FI71">
            <v>-115</v>
          </cell>
          <cell r="FJ71">
            <v>0</v>
          </cell>
          <cell r="FK71">
            <v>-2327</v>
          </cell>
          <cell r="FL71">
            <v>-13</v>
          </cell>
          <cell r="FM71">
            <v>12966</v>
          </cell>
          <cell r="FN71">
            <v>3490</v>
          </cell>
          <cell r="FO71">
            <v>0</v>
          </cell>
          <cell r="FP71">
            <v>11227</v>
          </cell>
          <cell r="FQ71">
            <v>720</v>
          </cell>
          <cell r="FR71">
            <v>8</v>
          </cell>
          <cell r="FS71">
            <v>-5180</v>
          </cell>
          <cell r="FT71">
            <v>-74</v>
          </cell>
          <cell r="FU71">
            <v>0</v>
          </cell>
          <cell r="FV71">
            <v>-2287</v>
          </cell>
          <cell r="FW71">
            <v>-10</v>
          </cell>
          <cell r="FX71">
            <v>13541</v>
          </cell>
          <cell r="FY71">
            <v>2640</v>
          </cell>
          <cell r="FZ71">
            <v>0</v>
          </cell>
          <cell r="GA71">
            <v>8630</v>
          </cell>
          <cell r="GB71">
            <v>723</v>
          </cell>
          <cell r="GC71">
            <v>4</v>
          </cell>
          <cell r="GD71">
            <v>879</v>
          </cell>
          <cell r="GE71">
            <v>878</v>
          </cell>
          <cell r="GF71">
            <v>28</v>
          </cell>
          <cell r="GG71">
            <v>1</v>
          </cell>
          <cell r="GH71">
            <v>84</v>
          </cell>
          <cell r="GI71">
            <v>17</v>
          </cell>
          <cell r="GJ71">
            <v>523</v>
          </cell>
          <cell r="GK71">
            <v>21</v>
          </cell>
          <cell r="GL71">
            <v>197</v>
          </cell>
          <cell r="GM71">
            <v>454</v>
          </cell>
          <cell r="GN71">
            <v>105</v>
          </cell>
          <cell r="GO71">
            <v>54</v>
          </cell>
          <cell r="GP71">
            <v>5156</v>
          </cell>
          <cell r="GQ71">
            <v>6953</v>
          </cell>
          <cell r="GR71">
            <v>599</v>
          </cell>
          <cell r="GS71">
            <v>4763</v>
          </cell>
          <cell r="GT71">
            <v>5576</v>
          </cell>
          <cell r="GU71">
            <v>1314</v>
          </cell>
          <cell r="GV71">
            <v>0</v>
          </cell>
          <cell r="GW71">
            <v>0</v>
          </cell>
          <cell r="GX71">
            <v>2305</v>
          </cell>
          <cell r="GY71">
            <v>22</v>
          </cell>
          <cell r="GZ71">
            <v>0</v>
          </cell>
          <cell r="HA71">
            <v>8</v>
          </cell>
          <cell r="HB71">
            <v>566</v>
          </cell>
          <cell r="HC71">
            <v>0</v>
          </cell>
          <cell r="HD71">
            <v>21</v>
          </cell>
          <cell r="HE71">
            <v>473</v>
          </cell>
          <cell r="HF71">
            <v>126</v>
          </cell>
          <cell r="HG71">
            <v>0</v>
          </cell>
          <cell r="HH71">
            <v>539</v>
          </cell>
          <cell r="HI71">
            <v>0</v>
          </cell>
          <cell r="HJ71">
            <v>0</v>
          </cell>
          <cell r="HK71">
            <v>0</v>
          </cell>
          <cell r="HL71">
            <v>4060</v>
          </cell>
          <cell r="HM71">
            <v>0</v>
          </cell>
          <cell r="HN71">
            <v>0</v>
          </cell>
          <cell r="HO71">
            <v>497</v>
          </cell>
          <cell r="HP71">
            <v>69</v>
          </cell>
          <cell r="HQ71">
            <v>0</v>
          </cell>
          <cell r="HR71">
            <v>0</v>
          </cell>
          <cell r="HS71">
            <v>0</v>
          </cell>
          <cell r="HT71">
            <v>69</v>
          </cell>
          <cell r="HU71">
            <v>0</v>
          </cell>
          <cell r="HV71">
            <v>20</v>
          </cell>
          <cell r="HW71">
            <v>306</v>
          </cell>
          <cell r="HX71">
            <v>0</v>
          </cell>
          <cell r="HY71">
            <v>114</v>
          </cell>
          <cell r="HZ71">
            <v>0</v>
          </cell>
          <cell r="IA71">
            <v>0</v>
          </cell>
          <cell r="IB71">
            <v>0</v>
          </cell>
          <cell r="IC71">
            <v>1075</v>
          </cell>
          <cell r="ID71">
            <v>1030</v>
          </cell>
          <cell r="IE71">
            <v>0</v>
          </cell>
          <cell r="IF71">
            <v>3785</v>
          </cell>
          <cell r="IG71">
            <v>110</v>
          </cell>
          <cell r="IH71">
            <v>0</v>
          </cell>
          <cell r="II71">
            <v>150</v>
          </cell>
          <cell r="IJ71">
            <v>388</v>
          </cell>
          <cell r="IK71">
            <v>0</v>
          </cell>
          <cell r="IL71">
            <v>30</v>
          </cell>
          <cell r="IM71">
            <v>212</v>
          </cell>
          <cell r="IN71">
            <v>479</v>
          </cell>
          <cell r="IO71">
            <v>0</v>
          </cell>
          <cell r="IP71">
            <v>443</v>
          </cell>
          <cell r="IQ71">
            <v>0</v>
          </cell>
          <cell r="IR71">
            <v>0</v>
          </cell>
          <cell r="IS71">
            <v>0</v>
          </cell>
          <cell r="IT71">
            <v>6627</v>
          </cell>
          <cell r="IU71" t="str">
            <v>..</v>
          </cell>
          <cell r="IV71" t="str">
            <v>2 x Heavy Rescue units, 2 x Animal rescue units 1 x water foam carrier, 1 x command Control unit, 1 x welfare unit</v>
          </cell>
          <cell r="IW71" t="str">
            <v>..</v>
          </cell>
          <cell r="IX71" t="str">
            <v>..</v>
          </cell>
          <cell r="IY71" t="str">
            <v>..</v>
          </cell>
          <cell r="IZ71" t="str">
            <v>..</v>
          </cell>
          <cell r="JA71" t="str">
            <v>..</v>
          </cell>
          <cell r="JB71" t="str">
            <v>NFRS are involved ina  number of collaboration stream where expentidure and income would takle place. However at this point in time we do not identify these costs</v>
          </cell>
        </row>
        <row r="72">
          <cell r="A72" t="str">
            <v>E6102</v>
          </cell>
          <cell r="B72" t="str">
            <v>Bedfordshire</v>
          </cell>
          <cell r="C72" t="str">
            <v>Adrian Turner</v>
          </cell>
          <cell r="D72" t="str">
            <v>Service Performance Analyst</v>
          </cell>
          <cell r="E72">
            <v>1234845022</v>
          </cell>
          <cell r="F72" t="str">
            <v>Adrian.turner@bedsfire.com</v>
          </cell>
          <cell r="G72" t="str">
            <v>..</v>
          </cell>
          <cell r="H72" t="str">
            <v>..</v>
          </cell>
          <cell r="I72" t="str">
            <v>..</v>
          </cell>
          <cell r="J72" t="str">
            <v>..</v>
          </cell>
          <cell r="K72" t="str">
            <v>..</v>
          </cell>
          <cell r="L72">
            <v>3</v>
          </cell>
          <cell r="M72">
            <v>8</v>
          </cell>
          <cell r="N72">
            <v>3</v>
          </cell>
          <cell r="O72">
            <v>0</v>
          </cell>
          <cell r="P72">
            <v>14</v>
          </cell>
          <cell r="Q72">
            <v>6</v>
          </cell>
          <cell r="R72">
            <v>3</v>
          </cell>
          <cell r="S72">
            <v>8</v>
          </cell>
          <cell r="T72">
            <v>3</v>
          </cell>
          <cell r="U72">
            <v>0</v>
          </cell>
          <cell r="V72">
            <v>14</v>
          </cell>
          <cell r="W72">
            <v>7</v>
          </cell>
          <cell r="X72">
            <v>22</v>
          </cell>
          <cell r="Y72">
            <v>22</v>
          </cell>
          <cell r="Z72">
            <v>2</v>
          </cell>
          <cell r="AA72">
            <v>18</v>
          </cell>
          <cell r="AB72">
            <v>13</v>
          </cell>
          <cell r="AC72">
            <v>19</v>
          </cell>
          <cell r="AD72">
            <v>2</v>
          </cell>
          <cell r="AE72">
            <v>76</v>
          </cell>
          <cell r="AF72">
            <v>31</v>
          </cell>
          <cell r="AG72">
            <v>4</v>
          </cell>
          <cell r="AH72">
            <v>2</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v>11575</v>
          </cell>
          <cell r="BC72">
            <v>1767</v>
          </cell>
          <cell r="BD72">
            <v>979</v>
          </cell>
          <cell r="BE72">
            <v>6205</v>
          </cell>
          <cell r="BF72">
            <v>472</v>
          </cell>
          <cell r="BG72">
            <v>353</v>
          </cell>
          <cell r="BH72">
            <v>21351</v>
          </cell>
          <cell r="BI72">
            <v>826</v>
          </cell>
          <cell r="BJ72">
            <v>568</v>
          </cell>
          <cell r="BK72">
            <v>3971</v>
          </cell>
          <cell r="BL72">
            <v>0</v>
          </cell>
          <cell r="BM72">
            <v>0</v>
          </cell>
          <cell r="BN72">
            <v>0</v>
          </cell>
          <cell r="BO72">
            <v>26716</v>
          </cell>
          <cell r="BP72">
            <v>312</v>
          </cell>
          <cell r="BQ72">
            <v>0</v>
          </cell>
          <cell r="BR72">
            <v>780</v>
          </cell>
          <cell r="BS72">
            <v>1092</v>
          </cell>
          <cell r="BT72">
            <v>25624</v>
          </cell>
          <cell r="BU72">
            <v>1715</v>
          </cell>
          <cell r="BV72">
            <v>-1685</v>
          </cell>
          <cell r="BW72">
            <v>0</v>
          </cell>
          <cell r="BX72">
            <v>428</v>
          </cell>
          <cell r="BY72">
            <v>0</v>
          </cell>
          <cell r="BZ72">
            <v>422</v>
          </cell>
          <cell r="CA72">
            <v>0</v>
          </cell>
          <cell r="CB72">
            <v>0</v>
          </cell>
          <cell r="CC72">
            <v>0</v>
          </cell>
          <cell r="CD72">
            <v>0</v>
          </cell>
          <cell r="CE72">
            <v>0</v>
          </cell>
          <cell r="CF72">
            <v>0</v>
          </cell>
          <cell r="CG72">
            <v>0</v>
          </cell>
          <cell r="CH72">
            <v>0</v>
          </cell>
          <cell r="CI72">
            <v>0</v>
          </cell>
          <cell r="CJ72">
            <v>0</v>
          </cell>
          <cell r="CK72">
            <v>0</v>
          </cell>
          <cell r="CL72">
            <v>0</v>
          </cell>
          <cell r="CM72">
            <v>0</v>
          </cell>
          <cell r="CN72">
            <v>37</v>
          </cell>
          <cell r="CO72">
            <v>13403</v>
          </cell>
          <cell r="CP72">
            <v>1875</v>
          </cell>
          <cell r="CQ72">
            <v>1065</v>
          </cell>
          <cell r="CR72">
            <v>5982</v>
          </cell>
          <cell r="CS72">
            <v>447</v>
          </cell>
          <cell r="CT72">
            <v>443</v>
          </cell>
          <cell r="CU72">
            <v>23215</v>
          </cell>
          <cell r="CV72">
            <v>1091</v>
          </cell>
          <cell r="CW72">
            <v>676</v>
          </cell>
          <cell r="CX72">
            <v>3654</v>
          </cell>
          <cell r="CY72">
            <v>0</v>
          </cell>
          <cell r="CZ72">
            <v>0</v>
          </cell>
          <cell r="DA72">
            <v>0</v>
          </cell>
          <cell r="DB72">
            <v>28636</v>
          </cell>
          <cell r="DC72">
            <v>208</v>
          </cell>
          <cell r="DD72">
            <v>0</v>
          </cell>
          <cell r="DE72">
            <v>346</v>
          </cell>
          <cell r="DF72">
            <v>554</v>
          </cell>
          <cell r="DG72">
            <v>28082</v>
          </cell>
          <cell r="DH72">
            <v>1396</v>
          </cell>
          <cell r="DI72">
            <v>0</v>
          </cell>
          <cell r="DJ72">
            <v>0</v>
          </cell>
          <cell r="DK72">
            <v>428</v>
          </cell>
          <cell r="DL72">
            <v>0</v>
          </cell>
          <cell r="DM72">
            <v>422</v>
          </cell>
          <cell r="DN72">
            <v>0</v>
          </cell>
          <cell r="DO72">
            <v>0</v>
          </cell>
          <cell r="DP72">
            <v>0</v>
          </cell>
          <cell r="DQ72">
            <v>0</v>
          </cell>
          <cell r="DR72">
            <v>0</v>
          </cell>
          <cell r="DS72">
            <v>0</v>
          </cell>
          <cell r="DT72">
            <v>0</v>
          </cell>
          <cell r="DU72">
            <v>0</v>
          </cell>
          <cell r="DV72">
            <v>0</v>
          </cell>
          <cell r="DW72">
            <v>0</v>
          </cell>
          <cell r="DX72">
            <v>0</v>
          </cell>
          <cell r="DY72">
            <v>0</v>
          </cell>
          <cell r="DZ72">
            <v>0</v>
          </cell>
          <cell r="EA72">
            <v>37</v>
          </cell>
          <cell r="EB72">
            <v>0</v>
          </cell>
          <cell r="EC72">
            <v>0</v>
          </cell>
          <cell r="ED72">
            <v>17.3</v>
          </cell>
          <cell r="EE72">
            <v>143</v>
          </cell>
          <cell r="EF72">
            <v>6410</v>
          </cell>
          <cell r="EG72">
            <v>2222</v>
          </cell>
          <cell r="EH72">
            <v>20973</v>
          </cell>
          <cell r="EI72">
            <v>287</v>
          </cell>
          <cell r="EJ72">
            <v>-56</v>
          </cell>
          <cell r="EK72">
            <v>29836</v>
          </cell>
          <cell r="EL72" t="str">
            <v>..</v>
          </cell>
          <cell r="EM72" t="str">
            <v>..</v>
          </cell>
          <cell r="EN72">
            <v>2316</v>
          </cell>
          <cell r="EO72" t="str">
            <v>..</v>
          </cell>
          <cell r="EP72" t="str">
            <v>..</v>
          </cell>
          <cell r="EQ72" t="str">
            <v>..</v>
          </cell>
          <cell r="ER72">
            <v>22839</v>
          </cell>
          <cell r="ES72">
            <v>449</v>
          </cell>
          <cell r="ET72">
            <v>1066</v>
          </cell>
          <cell r="EU72">
            <v>669</v>
          </cell>
          <cell r="EV72">
            <v>27339</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v>-1597</v>
          </cell>
          <cell r="FI72">
            <v>-69</v>
          </cell>
          <cell r="FJ72">
            <v>0</v>
          </cell>
          <cell r="FK72">
            <v>-1355</v>
          </cell>
          <cell r="FL72">
            <v>-45</v>
          </cell>
          <cell r="FM72">
            <v>6494</v>
          </cell>
          <cell r="FN72">
            <v>1354</v>
          </cell>
          <cell r="FO72">
            <v>0</v>
          </cell>
          <cell r="FP72">
            <v>4782</v>
          </cell>
          <cell r="FQ72">
            <v>0</v>
          </cell>
          <cell r="FR72">
            <v>0</v>
          </cell>
          <cell r="FS72">
            <v>-2487</v>
          </cell>
          <cell r="FT72">
            <v>-108</v>
          </cell>
          <cell r="FU72">
            <v>0</v>
          </cell>
          <cell r="FV72">
            <v>-1313</v>
          </cell>
          <cell r="FW72">
            <v>0</v>
          </cell>
          <cell r="FX72">
            <v>6171</v>
          </cell>
          <cell r="FY72">
            <v>2252</v>
          </cell>
          <cell r="FZ72">
            <v>0</v>
          </cell>
          <cell r="GA72">
            <v>4515</v>
          </cell>
          <cell r="GB72">
            <v>0</v>
          </cell>
          <cell r="GC72">
            <v>0</v>
          </cell>
          <cell r="GD72">
            <v>431</v>
          </cell>
          <cell r="GE72">
            <v>467</v>
          </cell>
          <cell r="GF72">
            <v>9</v>
          </cell>
          <cell r="GG72">
            <v>0</v>
          </cell>
          <cell r="GH72">
            <v>77</v>
          </cell>
          <cell r="GI72">
            <v>4</v>
          </cell>
          <cell r="GJ72">
            <v>442</v>
          </cell>
          <cell r="GK72">
            <v>4</v>
          </cell>
          <cell r="GL72">
            <v>65</v>
          </cell>
          <cell r="GM72">
            <v>114</v>
          </cell>
          <cell r="GN72">
            <v>62</v>
          </cell>
          <cell r="GO72">
            <v>13</v>
          </cell>
          <cell r="GP72">
            <v>12248</v>
          </cell>
          <cell r="GQ72">
            <v>2600</v>
          </cell>
          <cell r="GR72">
            <v>-229</v>
          </cell>
          <cell r="GS72">
            <v>12669</v>
          </cell>
          <cell r="GT72">
            <v>2600</v>
          </cell>
          <cell r="GU72">
            <v>-244</v>
          </cell>
          <cell r="GV72">
            <v>0</v>
          </cell>
          <cell r="GW72">
            <v>0</v>
          </cell>
          <cell r="GX72" t="str">
            <v>…</v>
          </cell>
          <cell r="GY72">
            <v>274</v>
          </cell>
          <cell r="GZ72">
            <v>20</v>
          </cell>
          <cell r="HA72">
            <v>333</v>
          </cell>
          <cell r="HB72">
            <v>249</v>
          </cell>
          <cell r="HC72">
            <v>0</v>
          </cell>
          <cell r="HD72">
            <v>108</v>
          </cell>
          <cell r="HE72">
            <v>0</v>
          </cell>
          <cell r="HF72">
            <v>81</v>
          </cell>
          <cell r="HG72">
            <v>0</v>
          </cell>
          <cell r="HH72">
            <v>124</v>
          </cell>
          <cell r="HI72">
            <v>0</v>
          </cell>
          <cell r="HJ72">
            <v>0</v>
          </cell>
          <cell r="HK72">
            <v>0</v>
          </cell>
          <cell r="HL72">
            <v>1189</v>
          </cell>
          <cell r="HM72">
            <v>0</v>
          </cell>
          <cell r="HN72">
            <v>0</v>
          </cell>
          <cell r="HO72">
            <v>0</v>
          </cell>
          <cell r="HP72">
            <v>151</v>
          </cell>
          <cell r="HQ72">
            <v>82</v>
          </cell>
          <cell r="HR72">
            <v>542</v>
          </cell>
          <cell r="HS72">
            <v>158</v>
          </cell>
          <cell r="HT72">
            <v>0</v>
          </cell>
          <cell r="HU72">
            <v>28</v>
          </cell>
          <cell r="HV72">
            <v>9</v>
          </cell>
          <cell r="HW72">
            <v>286</v>
          </cell>
          <cell r="HX72">
            <v>36</v>
          </cell>
          <cell r="HY72">
            <v>0</v>
          </cell>
          <cell r="HZ72">
            <v>0</v>
          </cell>
          <cell r="IA72">
            <v>0</v>
          </cell>
          <cell r="IB72">
            <v>0</v>
          </cell>
          <cell r="IC72">
            <v>1292</v>
          </cell>
          <cell r="ID72">
            <v>0</v>
          </cell>
          <cell r="IE72">
            <v>0</v>
          </cell>
          <cell r="IF72">
            <v>0</v>
          </cell>
          <cell r="IG72">
            <v>170</v>
          </cell>
          <cell r="IH72">
            <v>0</v>
          </cell>
          <cell r="II72">
            <v>300</v>
          </cell>
          <cell r="IJ72">
            <v>160</v>
          </cell>
          <cell r="IK72">
            <v>0</v>
          </cell>
          <cell r="IL72">
            <v>0</v>
          </cell>
          <cell r="IM72">
            <v>276</v>
          </cell>
          <cell r="IN72">
            <v>0</v>
          </cell>
          <cell r="IO72">
            <v>0</v>
          </cell>
          <cell r="IP72">
            <v>830</v>
          </cell>
          <cell r="IQ72">
            <v>0</v>
          </cell>
          <cell r="IR72">
            <v>0</v>
          </cell>
          <cell r="IS72">
            <v>0</v>
          </cell>
          <cell r="IT72">
            <v>1736</v>
          </cell>
          <cell r="IU72" t="str">
            <v>..</v>
          </cell>
          <cell r="IV72" t="str">
            <v>..</v>
          </cell>
          <cell r="IW72" t="str">
            <v>..</v>
          </cell>
          <cell r="IX72" t="str">
            <v>..</v>
          </cell>
          <cell r="IY72" t="str">
            <v>..</v>
          </cell>
          <cell r="IZ72" t="str">
            <v>..</v>
          </cell>
          <cell r="JA72" t="str">
            <v>..</v>
          </cell>
          <cell r="JB72" t="str">
            <v>..</v>
          </cell>
        </row>
        <row r="73">
          <cell r="A73" t="str">
            <v>E6146</v>
          </cell>
          <cell r="B73" t="str">
            <v>West Midlands</v>
          </cell>
          <cell r="C73" t="str">
            <v>Clare Oakley</v>
          </cell>
          <cell r="D73" t="str">
            <v>Senior Accounatnt</v>
          </cell>
          <cell r="E73" t="str">
            <v>0121 380 6922</v>
          </cell>
          <cell r="F73" t="str">
            <v>clare.oakley@wmfs.net</v>
          </cell>
          <cell r="G73" t="str">
            <v>Clare Oakley</v>
          </cell>
          <cell r="H73" t="str">
            <v>Senior Accountant</v>
          </cell>
          <cell r="I73" t="str">
            <v>0121 380 6922</v>
          </cell>
          <cell r="J73" t="str">
            <v>clare.oakley@wmfs.net</v>
          </cell>
          <cell r="K73" t="str">
            <v>..</v>
          </cell>
          <cell r="L73">
            <v>38</v>
          </cell>
          <cell r="M73">
            <v>0</v>
          </cell>
          <cell r="N73">
            <v>0</v>
          </cell>
          <cell r="O73">
            <v>0</v>
          </cell>
          <cell r="P73">
            <v>38</v>
          </cell>
          <cell r="Q73">
            <v>4</v>
          </cell>
          <cell r="R73">
            <v>38</v>
          </cell>
          <cell r="S73">
            <v>0</v>
          </cell>
          <cell r="T73">
            <v>0</v>
          </cell>
          <cell r="U73">
            <v>0</v>
          </cell>
          <cell r="V73">
            <v>38</v>
          </cell>
          <cell r="W73">
            <v>5</v>
          </cell>
          <cell r="X73">
            <v>41</v>
          </cell>
          <cell r="Y73">
            <v>41</v>
          </cell>
          <cell r="Z73">
            <v>4</v>
          </cell>
          <cell r="AA73">
            <v>24</v>
          </cell>
          <cell r="AB73">
            <v>0</v>
          </cell>
          <cell r="AC73">
            <v>68</v>
          </cell>
          <cell r="AD73">
            <v>10</v>
          </cell>
          <cell r="AE73">
            <v>147</v>
          </cell>
          <cell r="AF73">
            <v>106</v>
          </cell>
          <cell r="AG73">
            <v>14</v>
          </cell>
          <cell r="AH73">
            <v>10</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v>63181</v>
          </cell>
          <cell r="BC73">
            <v>0</v>
          </cell>
          <cell r="BD73">
            <v>2768</v>
          </cell>
          <cell r="BE73">
            <v>13638</v>
          </cell>
          <cell r="BF73">
            <v>3402</v>
          </cell>
          <cell r="BG73">
            <v>637</v>
          </cell>
          <cell r="BH73">
            <v>83626</v>
          </cell>
          <cell r="BI73">
            <v>4987</v>
          </cell>
          <cell r="BJ73">
            <v>1480</v>
          </cell>
          <cell r="BK73">
            <v>7737</v>
          </cell>
          <cell r="BL73">
            <v>1550</v>
          </cell>
          <cell r="BM73">
            <v>0</v>
          </cell>
          <cell r="BN73">
            <v>0</v>
          </cell>
          <cell r="BO73">
            <v>99380</v>
          </cell>
          <cell r="BP73">
            <v>1481</v>
          </cell>
          <cell r="BQ73">
            <v>0</v>
          </cell>
          <cell r="BR73">
            <v>4859</v>
          </cell>
          <cell r="BS73">
            <v>6340</v>
          </cell>
          <cell r="BT73">
            <v>93040</v>
          </cell>
          <cell r="BU73">
            <v>6614</v>
          </cell>
          <cell r="BV73">
            <v>82817</v>
          </cell>
          <cell r="BW73">
            <v>0</v>
          </cell>
          <cell r="BX73">
            <v>834</v>
          </cell>
          <cell r="BY73">
            <v>0</v>
          </cell>
          <cell r="BZ73">
            <v>1969</v>
          </cell>
          <cell r="CA73">
            <v>-436</v>
          </cell>
          <cell r="CB73">
            <v>0</v>
          </cell>
          <cell r="CC73">
            <v>0</v>
          </cell>
          <cell r="CD73">
            <v>0</v>
          </cell>
          <cell r="CE73">
            <v>2365</v>
          </cell>
          <cell r="CF73">
            <v>0</v>
          </cell>
          <cell r="CG73">
            <v>0</v>
          </cell>
          <cell r="CH73">
            <v>0</v>
          </cell>
          <cell r="CI73">
            <v>2365</v>
          </cell>
          <cell r="CJ73">
            <v>1213</v>
          </cell>
          <cell r="CK73">
            <v>159</v>
          </cell>
          <cell r="CL73">
            <v>1689</v>
          </cell>
          <cell r="CM73">
            <v>1217</v>
          </cell>
          <cell r="CN73">
            <v>1115</v>
          </cell>
          <cell r="CO73">
            <v>68789</v>
          </cell>
          <cell r="CP73">
            <v>0</v>
          </cell>
          <cell r="CQ73">
            <v>2680</v>
          </cell>
          <cell r="CR73">
            <v>13555</v>
          </cell>
          <cell r="CS73">
            <v>3426</v>
          </cell>
          <cell r="CT73">
            <v>560</v>
          </cell>
          <cell r="CU73">
            <v>89010</v>
          </cell>
          <cell r="CV73">
            <v>5387</v>
          </cell>
          <cell r="CW73">
            <v>1474</v>
          </cell>
          <cell r="CX73">
            <v>6636</v>
          </cell>
          <cell r="CY73">
            <v>1608</v>
          </cell>
          <cell r="CZ73">
            <v>0</v>
          </cell>
          <cell r="DA73">
            <v>2399</v>
          </cell>
          <cell r="DB73">
            <v>106514</v>
          </cell>
          <cell r="DC73">
            <v>6921</v>
          </cell>
          <cell r="DD73">
            <v>0</v>
          </cell>
          <cell r="DE73">
            <v>2928</v>
          </cell>
          <cell r="DF73">
            <v>9849</v>
          </cell>
          <cell r="DG73">
            <v>96665</v>
          </cell>
          <cell r="DH73">
            <v>4813</v>
          </cell>
          <cell r="DI73">
            <v>0</v>
          </cell>
          <cell r="DJ73">
            <v>0</v>
          </cell>
          <cell r="DK73">
            <v>884</v>
          </cell>
          <cell r="DL73">
            <v>0</v>
          </cell>
          <cell r="DM73">
            <v>1910</v>
          </cell>
          <cell r="DN73">
            <v>-300</v>
          </cell>
          <cell r="DO73">
            <v>0</v>
          </cell>
          <cell r="DP73">
            <v>0</v>
          </cell>
          <cell r="DQ73">
            <v>0</v>
          </cell>
          <cell r="DR73">
            <v>2377</v>
          </cell>
          <cell r="DS73">
            <v>0</v>
          </cell>
          <cell r="DT73">
            <v>0</v>
          </cell>
          <cell r="DU73">
            <v>0</v>
          </cell>
          <cell r="DV73">
            <v>2377</v>
          </cell>
          <cell r="DW73">
            <v>1364</v>
          </cell>
          <cell r="DX73">
            <v>151</v>
          </cell>
          <cell r="DY73">
            <v>1788</v>
          </cell>
          <cell r="DZ73">
            <v>1253</v>
          </cell>
          <cell r="EA73">
            <v>1134</v>
          </cell>
          <cell r="EB73">
            <v>0</v>
          </cell>
          <cell r="EC73">
            <v>0</v>
          </cell>
          <cell r="ED73">
            <v>18.600000000000001</v>
          </cell>
          <cell r="EE73">
            <v>588</v>
          </cell>
          <cell r="EF73">
            <v>42360</v>
          </cell>
          <cell r="EG73">
            <v>9604</v>
          </cell>
          <cell r="EH73">
            <v>43215</v>
          </cell>
          <cell r="EI73">
            <v>500</v>
          </cell>
          <cell r="EJ73">
            <v>84</v>
          </cell>
          <cell r="EK73">
            <v>95763</v>
          </cell>
          <cell r="EL73" t="str">
            <v>..</v>
          </cell>
          <cell r="EM73" t="str">
            <v>..</v>
          </cell>
          <cell r="EN73">
            <v>13449</v>
          </cell>
          <cell r="EO73" t="str">
            <v>..</v>
          </cell>
          <cell r="EP73" t="str">
            <v>..</v>
          </cell>
          <cell r="EQ73" t="str">
            <v>..</v>
          </cell>
          <cell r="ER73">
            <v>82986</v>
          </cell>
          <cell r="ES73">
            <v>199</v>
          </cell>
          <cell r="ET73">
            <v>2554</v>
          </cell>
          <cell r="EU73">
            <v>466</v>
          </cell>
          <cell r="EV73">
            <v>99654</v>
          </cell>
          <cell r="EW73">
            <v>0</v>
          </cell>
          <cell r="EX73">
            <v>0</v>
          </cell>
          <cell r="EY73">
            <v>0</v>
          </cell>
          <cell r="EZ73">
            <v>0</v>
          </cell>
          <cell r="FA73">
            <v>0</v>
          </cell>
          <cell r="FB73">
            <v>0</v>
          </cell>
          <cell r="FC73">
            <v>0</v>
          </cell>
          <cell r="FD73">
            <v>0</v>
          </cell>
          <cell r="FE73">
            <v>0</v>
          </cell>
          <cell r="FF73">
            <v>0</v>
          </cell>
          <cell r="FG73">
            <v>0</v>
          </cell>
          <cell r="FH73">
            <v>-6713</v>
          </cell>
          <cell r="FI73">
            <v>-290</v>
          </cell>
          <cell r="FJ73">
            <v>0</v>
          </cell>
          <cell r="FK73">
            <v>-5531</v>
          </cell>
          <cell r="FL73">
            <v>-13</v>
          </cell>
          <cell r="FM73">
            <v>39368</v>
          </cell>
          <cell r="FN73">
            <v>8278</v>
          </cell>
          <cell r="FO73">
            <v>0</v>
          </cell>
          <cell r="FP73">
            <v>35099</v>
          </cell>
          <cell r="FQ73">
            <v>1633</v>
          </cell>
          <cell r="FR73">
            <v>0</v>
          </cell>
          <cell r="FS73">
            <v>-12637</v>
          </cell>
          <cell r="FT73">
            <v>-400</v>
          </cell>
          <cell r="FU73">
            <v>0</v>
          </cell>
          <cell r="FV73">
            <v>-5461</v>
          </cell>
          <cell r="FW73">
            <v>-100</v>
          </cell>
          <cell r="FX73">
            <v>40883</v>
          </cell>
          <cell r="FY73">
            <v>7028</v>
          </cell>
          <cell r="FZ73">
            <v>75</v>
          </cell>
          <cell r="GA73">
            <v>29388</v>
          </cell>
          <cell r="GB73">
            <v>1670</v>
          </cell>
          <cell r="GC73">
            <v>0</v>
          </cell>
          <cell r="GD73">
            <v>2579</v>
          </cell>
          <cell r="GE73">
            <v>2595</v>
          </cell>
          <cell r="GF73">
            <v>74</v>
          </cell>
          <cell r="GG73">
            <v>4</v>
          </cell>
          <cell r="GH73">
            <v>212</v>
          </cell>
          <cell r="GI73">
            <v>5</v>
          </cell>
          <cell r="GJ73">
            <v>1022</v>
          </cell>
          <cell r="GK73">
            <v>3</v>
          </cell>
          <cell r="GL73">
            <v>250</v>
          </cell>
          <cell r="GM73">
            <v>312</v>
          </cell>
          <cell r="GN73">
            <v>108</v>
          </cell>
          <cell r="GO73">
            <v>1</v>
          </cell>
          <cell r="GP73">
            <v>38984</v>
          </cell>
          <cell r="GQ73">
            <v>8390</v>
          </cell>
          <cell r="GR73">
            <v>722</v>
          </cell>
          <cell r="GS73">
            <v>33380</v>
          </cell>
          <cell r="GT73">
            <v>6914</v>
          </cell>
          <cell r="GU73">
            <v>426</v>
          </cell>
          <cell r="GV73">
            <v>0</v>
          </cell>
          <cell r="GW73">
            <v>0</v>
          </cell>
          <cell r="GX73">
            <v>2243</v>
          </cell>
          <cell r="GY73">
            <v>977</v>
          </cell>
          <cell r="GZ73">
            <v>108</v>
          </cell>
          <cell r="HA73">
            <v>649</v>
          </cell>
          <cell r="HB73">
            <v>156</v>
          </cell>
          <cell r="HC73">
            <v>0</v>
          </cell>
          <cell r="HD73">
            <v>204</v>
          </cell>
          <cell r="HE73">
            <v>116</v>
          </cell>
          <cell r="HF73">
            <v>0</v>
          </cell>
          <cell r="HG73">
            <v>38</v>
          </cell>
          <cell r="HH73">
            <v>36</v>
          </cell>
          <cell r="HI73">
            <v>0</v>
          </cell>
          <cell r="HJ73">
            <v>0</v>
          </cell>
          <cell r="HK73">
            <v>0</v>
          </cell>
          <cell r="HL73">
            <v>4527</v>
          </cell>
          <cell r="HM73">
            <v>0</v>
          </cell>
          <cell r="HN73">
            <v>0</v>
          </cell>
          <cell r="HO73">
            <v>5006</v>
          </cell>
          <cell r="HP73">
            <v>1015</v>
          </cell>
          <cell r="HQ73">
            <v>729</v>
          </cell>
          <cell r="HR73">
            <v>1617</v>
          </cell>
          <cell r="HS73">
            <v>151</v>
          </cell>
          <cell r="HT73">
            <v>0</v>
          </cell>
          <cell r="HU73">
            <v>61</v>
          </cell>
          <cell r="HV73">
            <v>230</v>
          </cell>
          <cell r="HW73">
            <v>0</v>
          </cell>
          <cell r="HX73">
            <v>0</v>
          </cell>
          <cell r="HY73">
            <v>0</v>
          </cell>
          <cell r="HZ73">
            <v>0</v>
          </cell>
          <cell r="IA73">
            <v>0</v>
          </cell>
          <cell r="IB73">
            <v>0</v>
          </cell>
          <cell r="IC73">
            <v>8809</v>
          </cell>
          <cell r="ID73">
            <v>0</v>
          </cell>
          <cell r="IE73">
            <v>0</v>
          </cell>
          <cell r="IF73">
            <v>2159</v>
          </cell>
          <cell r="IG73">
            <v>1111</v>
          </cell>
          <cell r="IH73">
            <v>0</v>
          </cell>
          <cell r="II73">
            <v>2883</v>
          </cell>
          <cell r="IJ73">
            <v>371</v>
          </cell>
          <cell r="IK73">
            <v>0</v>
          </cell>
          <cell r="IL73">
            <v>0</v>
          </cell>
          <cell r="IM73">
            <v>0</v>
          </cell>
          <cell r="IN73">
            <v>1000</v>
          </cell>
          <cell r="IO73">
            <v>0</v>
          </cell>
          <cell r="IP73">
            <v>0</v>
          </cell>
          <cell r="IQ73">
            <v>0</v>
          </cell>
          <cell r="IR73">
            <v>0</v>
          </cell>
          <cell r="IS73">
            <v>0</v>
          </cell>
          <cell r="IT73">
            <v>7524</v>
          </cell>
          <cell r="IU73" t="str">
            <v>Police</v>
          </cell>
          <cell r="IV73" t="str">
            <v>PM, BRV</v>
          </cell>
          <cell r="IW73" t="str">
            <v>..</v>
          </cell>
          <cell r="IX73" t="str">
            <v xml:space="preserve">Contingency </v>
          </cell>
          <cell r="IY73" t="str">
            <v>..</v>
          </cell>
          <cell r="IZ73" t="str">
            <v>..</v>
          </cell>
          <cell r="JA73" t="str">
            <v>..</v>
          </cell>
          <cell r="JB73" t="str">
            <v>..</v>
          </cell>
        </row>
        <row r="74">
          <cell r="A74" t="str">
            <v>E6145</v>
          </cell>
          <cell r="B74" t="str">
            <v>Tyne and Wear</v>
          </cell>
          <cell r="C74" t="str">
            <v>Dennis Napier</v>
          </cell>
          <cell r="D74" t="str">
            <v>Strategic Finance Manager</v>
          </cell>
          <cell r="E74" t="str">
            <v>0191 4441621</v>
          </cell>
          <cell r="F74" t="str">
            <v>dennis.napier@twfire.gov.uk</v>
          </cell>
          <cell r="G74" t="str">
            <v>Catherine Spoors</v>
          </cell>
          <cell r="H74" t="str">
            <v>Senior Accountant</v>
          </cell>
          <cell r="I74" t="str">
            <v>0191 4441514</v>
          </cell>
          <cell r="J74" t="str">
            <v>catherine.spoors@twfire.gov.uk</v>
          </cell>
          <cell r="K74" t="str">
            <v>..</v>
          </cell>
          <cell r="L74">
            <v>16</v>
          </cell>
          <cell r="M74">
            <v>1</v>
          </cell>
          <cell r="N74">
            <v>0</v>
          </cell>
          <cell r="O74">
            <v>0</v>
          </cell>
          <cell r="P74">
            <v>17</v>
          </cell>
          <cell r="Q74">
            <v>10</v>
          </cell>
          <cell r="R74">
            <v>16</v>
          </cell>
          <cell r="S74">
            <v>1</v>
          </cell>
          <cell r="T74">
            <v>0</v>
          </cell>
          <cell r="U74">
            <v>0</v>
          </cell>
          <cell r="V74">
            <v>17</v>
          </cell>
          <cell r="W74">
            <v>10</v>
          </cell>
          <cell r="X74">
            <v>24</v>
          </cell>
          <cell r="Y74">
            <v>24</v>
          </cell>
          <cell r="Z74">
            <v>3</v>
          </cell>
          <cell r="AA74">
            <v>10</v>
          </cell>
          <cell r="AB74">
            <v>3</v>
          </cell>
          <cell r="AC74">
            <v>0</v>
          </cell>
          <cell r="AD74">
            <v>10</v>
          </cell>
          <cell r="AE74">
            <v>50</v>
          </cell>
          <cell r="AF74">
            <v>83</v>
          </cell>
          <cell r="AG74">
            <v>6</v>
          </cell>
          <cell r="AH74">
            <v>11</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v>29840</v>
          </cell>
          <cell r="BC74">
            <v>46</v>
          </cell>
          <cell r="BD74">
            <v>1216</v>
          </cell>
          <cell r="BE74">
            <v>6134</v>
          </cell>
          <cell r="BF74">
            <v>227</v>
          </cell>
          <cell r="BG74">
            <v>362</v>
          </cell>
          <cell r="BH74">
            <v>37825</v>
          </cell>
          <cell r="BI74">
            <v>2418</v>
          </cell>
          <cell r="BJ74">
            <v>1012</v>
          </cell>
          <cell r="BK74">
            <v>5881</v>
          </cell>
          <cell r="BL74">
            <v>293</v>
          </cell>
          <cell r="BM74">
            <v>0</v>
          </cell>
          <cell r="BN74">
            <v>1110</v>
          </cell>
          <cell r="BO74">
            <v>48539</v>
          </cell>
          <cell r="BP74">
            <v>4908</v>
          </cell>
          <cell r="BQ74">
            <v>0</v>
          </cell>
          <cell r="BR74">
            <v>2339</v>
          </cell>
          <cell r="BS74">
            <v>7247</v>
          </cell>
          <cell r="BT74">
            <v>41292</v>
          </cell>
          <cell r="BU74">
            <v>3436</v>
          </cell>
          <cell r="BV74">
            <v>-13207</v>
          </cell>
          <cell r="BW74">
            <v>0</v>
          </cell>
          <cell r="BX74">
            <v>1091</v>
          </cell>
          <cell r="BY74">
            <v>1</v>
          </cell>
          <cell r="BZ74">
            <v>374</v>
          </cell>
          <cell r="CA74">
            <v>-221</v>
          </cell>
          <cell r="CB74">
            <v>0</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v>32482</v>
          </cell>
          <cell r="CP74">
            <v>51</v>
          </cell>
          <cell r="CQ74">
            <v>1303</v>
          </cell>
          <cell r="CR74">
            <v>6710</v>
          </cell>
          <cell r="CS74">
            <v>478</v>
          </cell>
          <cell r="CT74">
            <v>288</v>
          </cell>
          <cell r="CU74">
            <v>41312</v>
          </cell>
          <cell r="CV74">
            <v>2442</v>
          </cell>
          <cell r="CW74">
            <v>1163</v>
          </cell>
          <cell r="CX74">
            <v>11191</v>
          </cell>
          <cell r="CY74">
            <v>332</v>
          </cell>
          <cell r="CZ74">
            <v>0</v>
          </cell>
          <cell r="DA74">
            <v>750</v>
          </cell>
          <cell r="DB74">
            <v>57190</v>
          </cell>
          <cell r="DC74">
            <v>7275</v>
          </cell>
          <cell r="DD74">
            <v>0</v>
          </cell>
          <cell r="DE74">
            <v>1756</v>
          </cell>
          <cell r="DF74">
            <v>9031</v>
          </cell>
          <cell r="DG74">
            <v>48159</v>
          </cell>
          <cell r="DH74">
            <v>1007</v>
          </cell>
          <cell r="DI74">
            <v>0</v>
          </cell>
          <cell r="DJ74">
            <v>0</v>
          </cell>
          <cell r="DK74">
            <v>575</v>
          </cell>
          <cell r="DL74">
            <v>1</v>
          </cell>
          <cell r="DM74">
            <v>432</v>
          </cell>
          <cell r="DN74">
            <v>-135</v>
          </cell>
          <cell r="DO74">
            <v>0</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v>0</v>
          </cell>
          <cell r="EC74">
            <v>0</v>
          </cell>
          <cell r="ED74">
            <v>17.5</v>
          </cell>
          <cell r="EE74">
            <v>0</v>
          </cell>
          <cell r="EF74">
            <v>20568</v>
          </cell>
          <cell r="EG74">
            <v>3934</v>
          </cell>
          <cell r="EH74">
            <v>23712</v>
          </cell>
          <cell r="EI74">
            <v>442</v>
          </cell>
          <cell r="EJ74">
            <v>-41</v>
          </cell>
          <cell r="EK74">
            <v>48615</v>
          </cell>
          <cell r="EL74" t="str">
            <v>..</v>
          </cell>
          <cell r="EM74" t="str">
            <v>..</v>
          </cell>
          <cell r="EN74">
            <v>6412</v>
          </cell>
          <cell r="EO74" t="str">
            <v>..</v>
          </cell>
          <cell r="EP74" t="str">
            <v>..</v>
          </cell>
          <cell r="EQ74" t="str">
            <v>..</v>
          </cell>
          <cell r="ER74">
            <v>38200</v>
          </cell>
          <cell r="ES74">
            <v>0</v>
          </cell>
          <cell r="ET74">
            <v>164</v>
          </cell>
          <cell r="EU74">
            <v>-48</v>
          </cell>
          <cell r="EV74">
            <v>44728</v>
          </cell>
          <cell r="EW74">
            <v>0</v>
          </cell>
          <cell r="EX74">
            <v>0</v>
          </cell>
          <cell r="EY74">
            <v>1902</v>
          </cell>
          <cell r="EZ74">
            <v>0</v>
          </cell>
          <cell r="FA74">
            <v>0</v>
          </cell>
          <cell r="FB74">
            <v>0</v>
          </cell>
          <cell r="FC74">
            <v>10299</v>
          </cell>
          <cell r="FD74">
            <v>0</v>
          </cell>
          <cell r="FE74">
            <v>0</v>
          </cell>
          <cell r="FF74">
            <v>0</v>
          </cell>
          <cell r="FG74">
            <v>12201</v>
          </cell>
          <cell r="FH74">
            <v>-2979</v>
          </cell>
          <cell r="FI74">
            <v>-45</v>
          </cell>
          <cell r="FJ74">
            <v>0</v>
          </cell>
          <cell r="FK74">
            <v>-2420</v>
          </cell>
          <cell r="FL74">
            <v>0</v>
          </cell>
          <cell r="FM74">
            <v>21906</v>
          </cell>
          <cell r="FN74">
            <v>5700</v>
          </cell>
          <cell r="FO74">
            <v>0</v>
          </cell>
          <cell r="FP74">
            <v>22162</v>
          </cell>
          <cell r="FQ74">
            <v>2026</v>
          </cell>
          <cell r="FR74">
            <v>45</v>
          </cell>
          <cell r="FS74">
            <v>-2864</v>
          </cell>
          <cell r="FT74">
            <v>-136</v>
          </cell>
          <cell r="FU74">
            <v>0</v>
          </cell>
          <cell r="FV74">
            <v>-2224</v>
          </cell>
          <cell r="FW74">
            <v>0</v>
          </cell>
          <cell r="FX74">
            <v>22747</v>
          </cell>
          <cell r="FY74">
            <v>6022</v>
          </cell>
          <cell r="FZ74">
            <v>0</v>
          </cell>
          <cell r="GA74">
            <v>23545</v>
          </cell>
          <cell r="GB74">
            <v>1965</v>
          </cell>
          <cell r="GC74">
            <v>136</v>
          </cell>
          <cell r="GD74">
            <v>1387</v>
          </cell>
          <cell r="GE74">
            <v>1412</v>
          </cell>
          <cell r="GF74">
            <v>46</v>
          </cell>
          <cell r="GG74">
            <v>0</v>
          </cell>
          <cell r="GH74">
            <v>127</v>
          </cell>
          <cell r="GI74">
            <v>3</v>
          </cell>
          <cell r="GJ74">
            <v>397</v>
          </cell>
          <cell r="GK74">
            <v>1</v>
          </cell>
          <cell r="GL74">
            <v>78</v>
          </cell>
          <cell r="GM74">
            <v>26</v>
          </cell>
          <cell r="GN74">
            <v>12</v>
          </cell>
          <cell r="GO74">
            <v>1</v>
          </cell>
          <cell r="GP74">
            <v>24494</v>
          </cell>
          <cell r="GQ74">
            <v>3943</v>
          </cell>
          <cell r="GR74">
            <v>628</v>
          </cell>
          <cell r="GS74">
            <v>28444</v>
          </cell>
          <cell r="GT74">
            <v>3943</v>
          </cell>
          <cell r="GU74">
            <v>709</v>
          </cell>
          <cell r="GV74">
            <v>0</v>
          </cell>
          <cell r="GW74">
            <v>0</v>
          </cell>
          <cell r="GX74">
            <v>0</v>
          </cell>
          <cell r="GY74">
            <v>247</v>
          </cell>
          <cell r="GZ74">
            <v>13</v>
          </cell>
          <cell r="HA74">
            <v>887</v>
          </cell>
          <cell r="HB74">
            <v>0</v>
          </cell>
          <cell r="HC74">
            <v>39</v>
          </cell>
          <cell r="HD74">
            <v>0</v>
          </cell>
          <cell r="HE74">
            <v>3</v>
          </cell>
          <cell r="HF74">
            <v>81</v>
          </cell>
          <cell r="HG74">
            <v>76</v>
          </cell>
          <cell r="HH74">
            <v>122</v>
          </cell>
          <cell r="HI74">
            <v>0</v>
          </cell>
          <cell r="HJ74">
            <v>0</v>
          </cell>
          <cell r="HK74">
            <v>0</v>
          </cell>
          <cell r="HL74">
            <v>1468</v>
          </cell>
          <cell r="HM74">
            <v>166</v>
          </cell>
          <cell r="HN74">
            <v>0</v>
          </cell>
          <cell r="HO74">
            <v>0</v>
          </cell>
          <cell r="HP74">
            <v>130</v>
          </cell>
          <cell r="HQ74">
            <v>24</v>
          </cell>
          <cell r="HR74">
            <v>48</v>
          </cell>
          <cell r="HS74">
            <v>0</v>
          </cell>
          <cell r="HT74">
            <v>60</v>
          </cell>
          <cell r="HU74">
            <v>0</v>
          </cell>
          <cell r="HV74">
            <v>267</v>
          </cell>
          <cell r="HW74">
            <v>120</v>
          </cell>
          <cell r="HX74">
            <v>44</v>
          </cell>
          <cell r="HY74">
            <v>245</v>
          </cell>
          <cell r="HZ74">
            <v>0</v>
          </cell>
          <cell r="IA74">
            <v>0</v>
          </cell>
          <cell r="IB74">
            <v>0</v>
          </cell>
          <cell r="IC74">
            <v>1104</v>
          </cell>
          <cell r="ID74">
            <v>83</v>
          </cell>
          <cell r="IE74">
            <v>0</v>
          </cell>
          <cell r="IF74">
            <v>5250</v>
          </cell>
          <cell r="IG74">
            <v>270</v>
          </cell>
          <cell r="IH74">
            <v>7</v>
          </cell>
          <cell r="II74">
            <v>3294</v>
          </cell>
          <cell r="IJ74">
            <v>0</v>
          </cell>
          <cell r="IK74">
            <v>3</v>
          </cell>
          <cell r="IL74">
            <v>0</v>
          </cell>
          <cell r="IM74">
            <v>1355</v>
          </cell>
          <cell r="IN74">
            <v>83</v>
          </cell>
          <cell r="IO74">
            <v>290</v>
          </cell>
          <cell r="IP74">
            <v>449</v>
          </cell>
          <cell r="IQ74">
            <v>0</v>
          </cell>
          <cell r="IR74">
            <v>0</v>
          </cell>
          <cell r="IS74">
            <v>0</v>
          </cell>
          <cell r="IT74">
            <v>11084</v>
          </cell>
          <cell r="IU74" t="str">
            <v>Northumbria Police</v>
          </cell>
          <cell r="IV74" t="str">
            <v>Fireboat, TRVs, small firefighting vehicles</v>
          </cell>
          <cell r="IW74" t="str">
            <v>..</v>
          </cell>
          <cell r="IX74" t="str">
            <v>RCCO</v>
          </cell>
          <cell r="IY74" t="str">
            <v>..</v>
          </cell>
          <cell r="IZ74" t="str">
            <v>..</v>
          </cell>
          <cell r="JA74" t="str">
            <v>..</v>
          </cell>
          <cell r="JB74" t="str">
            <v>..</v>
          </cell>
        </row>
        <row r="75">
          <cell r="A75" t="str">
            <v>E3620</v>
          </cell>
          <cell r="B75" t="str">
            <v>Surrey</v>
          </cell>
          <cell r="C75" t="str">
            <v>Sally Wilson</v>
          </cell>
          <cell r="D75" t="str">
            <v>Head of Professional Services</v>
          </cell>
          <cell r="E75" t="str">
            <v>01737 242444</v>
          </cell>
          <cell r="F75" t="str">
            <v>sally.wilson@surreycc.gov.uk</v>
          </cell>
          <cell r="G75" t="str">
            <v>Timothy Bannister</v>
          </cell>
          <cell r="H75" t="str">
            <v>Senior Accountant</v>
          </cell>
          <cell r="I75">
            <v>2085418060</v>
          </cell>
          <cell r="J75" t="str">
            <v>timothy.bannister@surreycc.gov.uk</v>
          </cell>
          <cell r="K75" t="str">
            <v>laura.noorbaccus@surreycc.gov.uk; fiona.ramsay@surreycc.gov.uk</v>
          </cell>
          <cell r="L75">
            <v>18</v>
          </cell>
          <cell r="M75">
            <v>7</v>
          </cell>
          <cell r="N75">
            <v>1</v>
          </cell>
          <cell r="O75">
            <v>0</v>
          </cell>
          <cell r="P75">
            <v>26</v>
          </cell>
          <cell r="Q75">
            <v>8</v>
          </cell>
          <cell r="R75">
            <v>17</v>
          </cell>
          <cell r="S75">
            <v>7</v>
          </cell>
          <cell r="T75">
            <v>1</v>
          </cell>
          <cell r="U75">
            <v>0</v>
          </cell>
          <cell r="V75">
            <v>25</v>
          </cell>
          <cell r="W75">
            <v>7</v>
          </cell>
          <cell r="X75">
            <v>30</v>
          </cell>
          <cell r="Y75">
            <v>30</v>
          </cell>
          <cell r="Z75">
            <v>2</v>
          </cell>
          <cell r="AA75">
            <v>42</v>
          </cell>
          <cell r="AB75">
            <v>39</v>
          </cell>
          <cell r="AC75">
            <v>0</v>
          </cell>
          <cell r="AD75">
            <v>4</v>
          </cell>
          <cell r="AE75">
            <v>117</v>
          </cell>
          <cell r="AF75">
            <v>77</v>
          </cell>
          <cell r="AG75">
            <v>7</v>
          </cell>
          <cell r="AH75">
            <v>4</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v>25614</v>
          </cell>
          <cell r="BC75">
            <v>1508</v>
          </cell>
          <cell r="BD75">
            <v>1052</v>
          </cell>
          <cell r="BE75">
            <v>2631</v>
          </cell>
          <cell r="BF75">
            <v>445</v>
          </cell>
          <cell r="BG75">
            <v>367</v>
          </cell>
          <cell r="BH75">
            <v>31617</v>
          </cell>
          <cell r="BI75">
            <v>73</v>
          </cell>
          <cell r="BJ75">
            <v>931</v>
          </cell>
          <cell r="BK75">
            <v>1854</v>
          </cell>
          <cell r="BL75">
            <v>7212</v>
          </cell>
          <cell r="BM75">
            <v>0</v>
          </cell>
          <cell r="BN75">
            <v>110</v>
          </cell>
          <cell r="BO75">
            <v>41797</v>
          </cell>
          <cell r="BP75">
            <v>681</v>
          </cell>
          <cell r="BQ75">
            <v>133</v>
          </cell>
          <cell r="BR75">
            <v>247</v>
          </cell>
          <cell r="BS75">
            <v>1061</v>
          </cell>
          <cell r="BT75">
            <v>40736</v>
          </cell>
          <cell r="BU75">
            <v>1323</v>
          </cell>
          <cell r="BV75">
            <v>-850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28001</v>
          </cell>
          <cell r="CP75">
            <v>2007</v>
          </cell>
          <cell r="CQ75">
            <v>957</v>
          </cell>
          <cell r="CR75">
            <v>2652</v>
          </cell>
          <cell r="CS75">
            <v>559</v>
          </cell>
          <cell r="CT75">
            <v>190</v>
          </cell>
          <cell r="CU75">
            <v>34366</v>
          </cell>
          <cell r="CV75">
            <v>22</v>
          </cell>
          <cell r="CW75">
            <v>762</v>
          </cell>
          <cell r="CX75">
            <v>1834</v>
          </cell>
          <cell r="CY75">
            <v>5477</v>
          </cell>
          <cell r="CZ75">
            <v>0</v>
          </cell>
          <cell r="DA75">
            <v>-60</v>
          </cell>
          <cell r="DB75">
            <v>42401</v>
          </cell>
          <cell r="DC75">
            <v>2524</v>
          </cell>
          <cell r="DD75">
            <v>0</v>
          </cell>
          <cell r="DE75">
            <v>870</v>
          </cell>
          <cell r="DF75">
            <v>3394</v>
          </cell>
          <cell r="DG75">
            <v>39007</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14.8</v>
          </cell>
          <cell r="EE75">
            <v>0</v>
          </cell>
          <cell r="EF75">
            <v>0</v>
          </cell>
          <cell r="EG75">
            <v>0</v>
          </cell>
          <cell r="EH75">
            <v>0</v>
          </cell>
          <cell r="EI75">
            <v>0</v>
          </cell>
          <cell r="EJ75">
            <v>0</v>
          </cell>
          <cell r="EK75">
            <v>0</v>
          </cell>
          <cell r="EL75" t="str">
            <v>..</v>
          </cell>
          <cell r="EM75" t="str">
            <v>..</v>
          </cell>
          <cell r="EN75">
            <v>2108</v>
          </cell>
          <cell r="EO75" t="str">
            <v>..</v>
          </cell>
          <cell r="EP75" t="str">
            <v>..</v>
          </cell>
          <cell r="EQ75" t="str">
            <v>..</v>
          </cell>
          <cell r="ER75">
            <v>29139</v>
          </cell>
          <cell r="ES75">
            <v>235</v>
          </cell>
          <cell r="ET75">
            <v>0</v>
          </cell>
          <cell r="EU75">
            <v>10577</v>
          </cell>
          <cell r="EV75">
            <v>42059</v>
          </cell>
          <cell r="EW75">
            <v>0</v>
          </cell>
          <cell r="EX75">
            <v>0</v>
          </cell>
          <cell r="EY75">
            <v>2645</v>
          </cell>
          <cell r="EZ75">
            <v>0</v>
          </cell>
          <cell r="FA75">
            <v>0</v>
          </cell>
          <cell r="FB75">
            <v>0</v>
          </cell>
          <cell r="FC75">
            <v>36202</v>
          </cell>
          <cell r="FD75">
            <v>160</v>
          </cell>
          <cell r="FE75">
            <v>0</v>
          </cell>
          <cell r="FF75">
            <v>0</v>
          </cell>
          <cell r="FG75">
            <v>39007</v>
          </cell>
          <cell r="FH75">
            <v>-2787</v>
          </cell>
          <cell r="FI75">
            <v>-26</v>
          </cell>
          <cell r="FJ75">
            <v>0</v>
          </cell>
          <cell r="FK75">
            <v>-2277</v>
          </cell>
          <cell r="FL75">
            <v>0</v>
          </cell>
          <cell r="FM75">
            <v>13297</v>
          </cell>
          <cell r="FN75">
            <v>2160</v>
          </cell>
          <cell r="FO75">
            <v>0</v>
          </cell>
          <cell r="FP75">
            <v>10367</v>
          </cell>
          <cell r="FQ75">
            <v>1322</v>
          </cell>
          <cell r="FR75">
            <v>0</v>
          </cell>
          <cell r="FS75">
            <v>-3117</v>
          </cell>
          <cell r="FT75">
            <v>-26</v>
          </cell>
          <cell r="FU75">
            <v>0</v>
          </cell>
          <cell r="FV75">
            <v>-2047</v>
          </cell>
          <cell r="FW75">
            <v>0</v>
          </cell>
          <cell r="FX75">
            <v>13593</v>
          </cell>
          <cell r="FY75">
            <v>2799</v>
          </cell>
          <cell r="FZ75">
            <v>0</v>
          </cell>
          <cell r="GA75">
            <v>11202</v>
          </cell>
          <cell r="GB75">
            <v>1300</v>
          </cell>
          <cell r="GC75">
            <v>0</v>
          </cell>
          <cell r="GD75">
            <v>919</v>
          </cell>
          <cell r="GE75">
            <v>43</v>
          </cell>
          <cell r="GF75">
            <v>14</v>
          </cell>
          <cell r="GG75">
            <v>0</v>
          </cell>
          <cell r="GH75">
            <v>314</v>
          </cell>
          <cell r="GI75">
            <v>257</v>
          </cell>
          <cell r="GJ75">
            <v>0</v>
          </cell>
          <cell r="GK75">
            <v>0</v>
          </cell>
          <cell r="GL75">
            <v>76</v>
          </cell>
          <cell r="GM75">
            <v>83</v>
          </cell>
          <cell r="GN75">
            <v>0</v>
          </cell>
          <cell r="GO75">
            <v>0</v>
          </cell>
          <cell r="GP75">
            <v>0</v>
          </cell>
          <cell r="GQ75">
            <v>0</v>
          </cell>
          <cell r="GR75">
            <v>0</v>
          </cell>
          <cell r="GS75">
            <v>0</v>
          </cell>
          <cell r="GT75">
            <v>0</v>
          </cell>
          <cell r="GU75">
            <v>0</v>
          </cell>
          <cell r="GV75">
            <v>0</v>
          </cell>
          <cell r="GW75">
            <v>0</v>
          </cell>
          <cell r="GX75">
            <v>2275</v>
          </cell>
          <cell r="GY75">
            <v>0</v>
          </cell>
          <cell r="GZ75">
            <v>0</v>
          </cell>
          <cell r="HA75">
            <v>910</v>
          </cell>
          <cell r="HB75">
            <v>0</v>
          </cell>
          <cell r="HC75">
            <v>51</v>
          </cell>
          <cell r="HD75">
            <v>50</v>
          </cell>
          <cell r="HE75">
            <v>0</v>
          </cell>
          <cell r="HF75">
            <v>0</v>
          </cell>
          <cell r="HG75">
            <v>0</v>
          </cell>
          <cell r="HH75">
            <v>192</v>
          </cell>
          <cell r="HI75">
            <v>0</v>
          </cell>
          <cell r="HJ75">
            <v>0</v>
          </cell>
          <cell r="HK75">
            <v>0</v>
          </cell>
          <cell r="HL75">
            <v>3478</v>
          </cell>
          <cell r="HM75">
            <v>0</v>
          </cell>
          <cell r="HN75">
            <v>0</v>
          </cell>
          <cell r="HO75">
            <v>2139</v>
          </cell>
          <cell r="HP75">
            <v>0</v>
          </cell>
          <cell r="HQ75">
            <v>0</v>
          </cell>
          <cell r="HR75">
            <v>549</v>
          </cell>
          <cell r="HS75">
            <v>0</v>
          </cell>
          <cell r="HT75">
            <v>108</v>
          </cell>
          <cell r="HU75">
            <v>113</v>
          </cell>
          <cell r="HV75">
            <v>0</v>
          </cell>
          <cell r="HW75">
            <v>0</v>
          </cell>
          <cell r="HX75">
            <v>0</v>
          </cell>
          <cell r="HY75">
            <v>356</v>
          </cell>
          <cell r="HZ75">
            <v>0</v>
          </cell>
          <cell r="IA75">
            <v>0</v>
          </cell>
          <cell r="IB75">
            <v>0</v>
          </cell>
          <cell r="IC75">
            <v>3265</v>
          </cell>
          <cell r="ID75">
            <v>0</v>
          </cell>
          <cell r="IE75">
            <v>0</v>
          </cell>
          <cell r="IF75">
            <v>2000</v>
          </cell>
          <cell r="IG75">
            <v>1000</v>
          </cell>
          <cell r="IH75">
            <v>0</v>
          </cell>
          <cell r="II75">
            <v>1850</v>
          </cell>
          <cell r="IJ75">
            <v>0</v>
          </cell>
          <cell r="IK75">
            <v>5</v>
          </cell>
          <cell r="IL75">
            <v>0</v>
          </cell>
          <cell r="IM75">
            <v>0</v>
          </cell>
          <cell r="IN75">
            <v>0</v>
          </cell>
          <cell r="IO75">
            <v>0</v>
          </cell>
          <cell r="IP75">
            <v>327</v>
          </cell>
          <cell r="IQ75">
            <v>0</v>
          </cell>
          <cell r="IR75">
            <v>0</v>
          </cell>
          <cell r="IS75">
            <v>0</v>
          </cell>
          <cell r="IT75">
            <v>5182</v>
          </cell>
          <cell r="IU75" t="str">
            <v xml:space="preserve">Chertsey, Esher, Godstone, Reigate fire stations shared with South East Coast Ambulance service (SECAmb). Egham, Farnham, Leatherhead fire stations shared with Surrey Police. Staines fire station shared with SECAmb due to close 31 August 2019. </v>
          </cell>
          <cell r="IV75" t="str">
            <v>3 x water tankers, 1 x EPU, 4 x H4Ts, 2 x H4Cs, 25 x MRVs, 2 x Boats, 2 x Rescue L/R, 2 x IRVs, 1 x PM</v>
          </cell>
          <cell r="IW75" t="str">
            <v>..</v>
          </cell>
          <cell r="IX75" t="str">
            <v>Cross border expenses</v>
          </cell>
          <cell r="IY75" t="str">
            <v>Cross border income</v>
          </cell>
          <cell r="IZ75" t="str">
            <v>Special Services/Reports/Secondments/Rent/Sponsorship/SEBS dividend</v>
          </cell>
          <cell r="JA75" t="str">
            <v>..</v>
          </cell>
          <cell r="JB7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76">
          <cell r="A76" t="str">
            <v>E3520</v>
          </cell>
          <cell r="B76" t="str">
            <v>Suffolk</v>
          </cell>
          <cell r="C76" t="str">
            <v>Sally Hammond</v>
          </cell>
          <cell r="D76" t="str">
            <v>Performance Improvement Manager</v>
          </cell>
          <cell r="E76" t="str">
            <v>01473 260588</v>
          </cell>
          <cell r="F76" t="str">
            <v xml:space="preserve">sally.hammond@suffolk.gov.uk </v>
          </cell>
          <cell r="G76" t="str">
            <v>Michael Davis</v>
          </cell>
          <cell r="H76" t="str">
            <v>Senior Service Accountant</v>
          </cell>
          <cell r="I76" t="str">
            <v>01473 264584</v>
          </cell>
          <cell r="J76" t="str">
            <v>michael.davis@suffolk.gov.uk</v>
          </cell>
          <cell r="K76" t="str">
            <v>..</v>
          </cell>
          <cell r="L76">
            <v>0</v>
          </cell>
          <cell r="M76">
            <v>29</v>
          </cell>
          <cell r="N76">
            <v>6</v>
          </cell>
          <cell r="O76">
            <v>0</v>
          </cell>
          <cell r="P76">
            <v>35</v>
          </cell>
          <cell r="Q76">
            <v>16</v>
          </cell>
          <cell r="R76">
            <v>0</v>
          </cell>
          <cell r="S76">
            <v>29</v>
          </cell>
          <cell r="T76">
            <v>6</v>
          </cell>
          <cell r="U76">
            <v>0</v>
          </cell>
          <cell r="V76">
            <v>35</v>
          </cell>
          <cell r="W76">
            <v>16</v>
          </cell>
          <cell r="X76">
            <v>43</v>
          </cell>
          <cell r="Y76">
            <v>43</v>
          </cell>
          <cell r="Z76">
            <v>2</v>
          </cell>
          <cell r="AA76">
            <v>14</v>
          </cell>
          <cell r="AB76">
            <v>30</v>
          </cell>
          <cell r="AC76">
            <v>0</v>
          </cell>
          <cell r="AD76">
            <v>2</v>
          </cell>
          <cell r="AE76">
            <v>91</v>
          </cell>
          <cell r="AF76">
            <v>52</v>
          </cell>
          <cell r="AG76">
            <v>4</v>
          </cell>
          <cell r="AH76">
            <v>3</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v>9679</v>
          </cell>
          <cell r="BC76">
            <v>3625</v>
          </cell>
          <cell r="BD76">
            <v>0</v>
          </cell>
          <cell r="BE76">
            <v>1591</v>
          </cell>
          <cell r="BF76">
            <v>249</v>
          </cell>
          <cell r="BG76">
            <v>165</v>
          </cell>
          <cell r="BH76">
            <v>15309</v>
          </cell>
          <cell r="BI76">
            <v>1175</v>
          </cell>
          <cell r="BJ76">
            <v>1799</v>
          </cell>
          <cell r="BK76">
            <v>4737</v>
          </cell>
          <cell r="BL76">
            <v>1662</v>
          </cell>
          <cell r="BM76">
            <v>0</v>
          </cell>
          <cell r="BN76">
            <v>0</v>
          </cell>
          <cell r="BO76">
            <v>24682</v>
          </cell>
          <cell r="BP76">
            <v>2449</v>
          </cell>
          <cell r="BQ76">
            <v>55</v>
          </cell>
          <cell r="BR76">
            <v>265</v>
          </cell>
          <cell r="BS76">
            <v>2769</v>
          </cell>
          <cell r="BT76">
            <v>21913</v>
          </cell>
          <cell r="BU76">
            <v>3155</v>
          </cell>
          <cell r="BV76">
            <v>-1112</v>
          </cell>
          <cell r="BW76">
            <v>0</v>
          </cell>
          <cell r="BX76">
            <v>313</v>
          </cell>
          <cell r="BY76">
            <v>0</v>
          </cell>
          <cell r="BZ76">
            <v>1448</v>
          </cell>
          <cell r="CA76">
            <v>0</v>
          </cell>
          <cell r="CB76">
            <v>0</v>
          </cell>
          <cell r="CC76">
            <v>0</v>
          </cell>
          <cell r="CD76">
            <v>0</v>
          </cell>
          <cell r="CE76">
            <v>0</v>
          </cell>
          <cell r="CF76">
            <v>0</v>
          </cell>
          <cell r="CG76">
            <v>0</v>
          </cell>
          <cell r="CH76">
            <v>0</v>
          </cell>
          <cell r="CI76">
            <v>0</v>
          </cell>
          <cell r="CJ76">
            <v>0</v>
          </cell>
          <cell r="CK76">
            <v>0</v>
          </cell>
          <cell r="CL76">
            <v>873</v>
          </cell>
          <cell r="CM76">
            <v>0</v>
          </cell>
          <cell r="CN76">
            <v>185</v>
          </cell>
          <cell r="CO76">
            <v>10259</v>
          </cell>
          <cell r="CP76">
            <v>3573</v>
          </cell>
          <cell r="CQ76">
            <v>0</v>
          </cell>
          <cell r="CR76">
            <v>1640</v>
          </cell>
          <cell r="CS76">
            <v>255</v>
          </cell>
          <cell r="CT76">
            <v>103</v>
          </cell>
          <cell r="CU76">
            <v>15830</v>
          </cell>
          <cell r="CV76">
            <v>1208</v>
          </cell>
          <cell r="CW76">
            <v>921</v>
          </cell>
          <cell r="CX76">
            <v>4793</v>
          </cell>
          <cell r="CY76">
            <v>1695</v>
          </cell>
          <cell r="CZ76">
            <v>0</v>
          </cell>
          <cell r="DA76">
            <v>0</v>
          </cell>
          <cell r="DB76">
            <v>24447</v>
          </cell>
          <cell r="DC76">
            <v>2449</v>
          </cell>
          <cell r="DD76">
            <v>50</v>
          </cell>
          <cell r="DE76">
            <v>213</v>
          </cell>
          <cell r="DF76">
            <v>2712</v>
          </cell>
          <cell r="DG76">
            <v>21735</v>
          </cell>
          <cell r="DH76">
            <v>0</v>
          </cell>
          <cell r="DI76">
            <v>0</v>
          </cell>
          <cell r="DJ76">
            <v>0</v>
          </cell>
          <cell r="DK76">
            <v>322</v>
          </cell>
          <cell r="DL76">
            <v>0</v>
          </cell>
          <cell r="DM76">
            <v>1491</v>
          </cell>
          <cell r="DN76">
            <v>0</v>
          </cell>
          <cell r="DO76">
            <v>0</v>
          </cell>
          <cell r="DP76">
            <v>0</v>
          </cell>
          <cell r="DQ76">
            <v>0</v>
          </cell>
          <cell r="DR76">
            <v>0</v>
          </cell>
          <cell r="DS76">
            <v>0</v>
          </cell>
          <cell r="DT76">
            <v>0</v>
          </cell>
          <cell r="DU76">
            <v>0</v>
          </cell>
          <cell r="DV76">
            <v>0</v>
          </cell>
          <cell r="DW76">
            <v>0</v>
          </cell>
          <cell r="DX76">
            <v>0</v>
          </cell>
          <cell r="DY76">
            <v>900</v>
          </cell>
          <cell r="DZ76">
            <v>0</v>
          </cell>
          <cell r="EA76">
            <v>182</v>
          </cell>
          <cell r="EB76">
            <v>0</v>
          </cell>
          <cell r="EC76">
            <v>0</v>
          </cell>
          <cell r="ED76" t="str">
            <v>..</v>
          </cell>
          <cell r="EE76" t="str">
            <v>..</v>
          </cell>
          <cell r="EF76">
            <v>0</v>
          </cell>
          <cell r="EG76">
            <v>0</v>
          </cell>
          <cell r="EH76">
            <v>0</v>
          </cell>
          <cell r="EI76">
            <v>0</v>
          </cell>
          <cell r="EJ76">
            <v>0</v>
          </cell>
          <cell r="EK76">
            <v>0</v>
          </cell>
          <cell r="EL76">
            <v>1194</v>
          </cell>
          <cell r="EM76">
            <v>482</v>
          </cell>
          <cell r="EN76">
            <v>1676</v>
          </cell>
          <cell r="EO76">
            <v>20735</v>
          </cell>
          <cell r="EP76">
            <v>1983</v>
          </cell>
          <cell r="EQ76">
            <v>251</v>
          </cell>
          <cell r="ER76">
            <v>22969</v>
          </cell>
          <cell r="ES76">
            <v>371</v>
          </cell>
          <cell r="ET76">
            <v>52</v>
          </cell>
          <cell r="EU76">
            <v>0</v>
          </cell>
          <cell r="EV76">
            <v>25068</v>
          </cell>
          <cell r="EW76">
            <v>79</v>
          </cell>
          <cell r="EX76">
            <v>32</v>
          </cell>
          <cell r="EY76">
            <v>111</v>
          </cell>
          <cell r="EZ76">
            <v>1378</v>
          </cell>
          <cell r="FA76">
            <v>132</v>
          </cell>
          <cell r="FB76">
            <v>16</v>
          </cell>
          <cell r="FC76">
            <v>1526</v>
          </cell>
          <cell r="FD76">
            <v>25</v>
          </cell>
          <cell r="FE76">
            <v>0</v>
          </cell>
          <cell r="FF76">
            <v>0</v>
          </cell>
          <cell r="FG76">
            <v>1662</v>
          </cell>
          <cell r="FH76">
            <v>-1557</v>
          </cell>
          <cell r="FI76">
            <v>0</v>
          </cell>
          <cell r="FJ76">
            <v>0</v>
          </cell>
          <cell r="FK76">
            <v>-1299</v>
          </cell>
          <cell r="FL76">
            <v>-165</v>
          </cell>
          <cell r="FM76">
            <v>5885</v>
          </cell>
          <cell r="FN76">
            <v>2061</v>
          </cell>
          <cell r="FO76">
            <v>0</v>
          </cell>
          <cell r="FP76">
            <v>4925</v>
          </cell>
          <cell r="FQ76">
            <v>504</v>
          </cell>
          <cell r="FR76">
            <v>62</v>
          </cell>
          <cell r="FS76">
            <v>-3078</v>
          </cell>
          <cell r="FT76">
            <v>0</v>
          </cell>
          <cell r="FU76">
            <v>0</v>
          </cell>
          <cell r="FV76">
            <v>-1337</v>
          </cell>
          <cell r="FW76">
            <v>0</v>
          </cell>
          <cell r="FX76">
            <v>5938</v>
          </cell>
          <cell r="FY76">
            <v>1943</v>
          </cell>
          <cell r="FZ76">
            <v>0</v>
          </cell>
          <cell r="GA76">
            <v>3466</v>
          </cell>
          <cell r="GB76">
            <v>514</v>
          </cell>
          <cell r="GC76">
            <v>0</v>
          </cell>
          <cell r="GD76">
            <v>401</v>
          </cell>
          <cell r="GE76">
            <v>409</v>
          </cell>
          <cell r="GF76">
            <v>23</v>
          </cell>
          <cell r="GG76">
            <v>5</v>
          </cell>
          <cell r="GH76">
            <v>44</v>
          </cell>
          <cell r="GI76">
            <v>27</v>
          </cell>
          <cell r="GJ76">
            <v>456</v>
          </cell>
          <cell r="GK76">
            <v>12</v>
          </cell>
          <cell r="GL76">
            <v>192</v>
          </cell>
          <cell r="GM76">
            <v>173</v>
          </cell>
          <cell r="GN76">
            <v>192</v>
          </cell>
          <cell r="GO76">
            <v>19</v>
          </cell>
          <cell r="GP76">
            <v>3787</v>
          </cell>
          <cell r="GQ76">
            <v>1225</v>
          </cell>
          <cell r="GR76" t="str">
            <v>..</v>
          </cell>
          <cell r="GS76">
            <v>2579</v>
          </cell>
          <cell r="GT76">
            <v>0</v>
          </cell>
          <cell r="GU76">
            <v>29</v>
          </cell>
          <cell r="GV76">
            <v>0</v>
          </cell>
          <cell r="GW76">
            <v>0</v>
          </cell>
          <cell r="GX76">
            <v>0</v>
          </cell>
          <cell r="GY76">
            <v>1322</v>
          </cell>
          <cell r="GZ76">
            <v>0</v>
          </cell>
          <cell r="HA76">
            <v>1500</v>
          </cell>
          <cell r="HB76">
            <v>248</v>
          </cell>
          <cell r="HC76">
            <v>0</v>
          </cell>
          <cell r="HD76">
            <v>1</v>
          </cell>
          <cell r="HE76">
            <v>264</v>
          </cell>
          <cell r="HF76">
            <v>23</v>
          </cell>
          <cell r="HG76">
            <v>7</v>
          </cell>
          <cell r="HH76">
            <v>269</v>
          </cell>
          <cell r="HI76">
            <v>0</v>
          </cell>
          <cell r="HJ76">
            <v>0</v>
          </cell>
          <cell r="HK76">
            <v>69</v>
          </cell>
          <cell r="HL76">
            <v>3703</v>
          </cell>
          <cell r="HM76">
            <v>0</v>
          </cell>
          <cell r="HN76">
            <v>0</v>
          </cell>
          <cell r="HO76">
            <v>0</v>
          </cell>
          <cell r="HP76">
            <v>1487</v>
          </cell>
          <cell r="HQ76">
            <v>0</v>
          </cell>
          <cell r="HR76">
            <v>637</v>
          </cell>
          <cell r="HS76">
            <v>198</v>
          </cell>
          <cell r="HT76">
            <v>0</v>
          </cell>
          <cell r="HU76">
            <v>1</v>
          </cell>
          <cell r="HV76">
            <v>70</v>
          </cell>
          <cell r="HW76">
            <v>3</v>
          </cell>
          <cell r="HX76">
            <v>0</v>
          </cell>
          <cell r="HY76">
            <v>391</v>
          </cell>
          <cell r="HZ76">
            <v>0</v>
          </cell>
          <cell r="IA76">
            <v>0</v>
          </cell>
          <cell r="IB76">
            <v>8</v>
          </cell>
          <cell r="IC76">
            <v>2795</v>
          </cell>
          <cell r="ID76">
            <v>0</v>
          </cell>
          <cell r="IE76">
            <v>0</v>
          </cell>
          <cell r="IF76">
            <v>7340</v>
          </cell>
          <cell r="IG76">
            <v>1157</v>
          </cell>
          <cell r="IH76">
            <v>0</v>
          </cell>
          <cell r="II76">
            <v>705</v>
          </cell>
          <cell r="IJ76">
            <v>73</v>
          </cell>
          <cell r="IK76">
            <v>0</v>
          </cell>
          <cell r="IL76">
            <v>0</v>
          </cell>
          <cell r="IM76">
            <v>0</v>
          </cell>
          <cell r="IN76">
            <v>0</v>
          </cell>
          <cell r="IO76">
            <v>0</v>
          </cell>
          <cell r="IP76">
            <v>600</v>
          </cell>
          <cell r="IQ76">
            <v>0</v>
          </cell>
          <cell r="IR76">
            <v>0</v>
          </cell>
          <cell r="IS76">
            <v>50</v>
          </cell>
          <cell r="IT76">
            <v>9925</v>
          </cell>
          <cell r="IU76" t="str">
            <v>11 shared with Police, 5 shared with Ambulance.</v>
          </cell>
          <cell r="IV76" t="str">
            <v>X3 CSV. X3 UNIMOG 4X4. X1 WATER RESCUE VAN. X2 WATER CARRIER. X1 OSU. X4 RESCUE BOATS.</v>
          </cell>
          <cell r="IW76" t="str">
            <v>..</v>
          </cell>
          <cell r="IX76" t="str">
            <v>..</v>
          </cell>
          <cell r="IY76" t="str">
            <v xml:space="preserve">Cross Border Charges </v>
          </cell>
          <cell r="IZ76" t="str">
            <v>Mostly relates to income collected in relation to shared BLI stations</v>
          </cell>
          <cell r="JA76" t="str">
            <v>..</v>
          </cell>
          <cell r="JB76"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77">
          <cell r="A77" t="str">
            <v>E6134</v>
          </cell>
          <cell r="B77" t="str">
            <v>Staffordshire</v>
          </cell>
          <cell r="C77" t="str">
            <v>Samantha Hollins</v>
          </cell>
          <cell r="D77" t="str">
            <v>Accountancy Assistant</v>
          </cell>
          <cell r="E77" t="str">
            <v>01785 898722</v>
          </cell>
          <cell r="F77" t="str">
            <v>samantha.durose@staffordshirefire.gov.uk</v>
          </cell>
          <cell r="G77" t="str">
            <v>Tracey Blake</v>
          </cell>
          <cell r="H77" t="str">
            <v>Management Accountant</v>
          </cell>
          <cell r="I77" t="str">
            <v>01785 898716</v>
          </cell>
          <cell r="J77" t="str">
            <v>t.blake@staffordshirefire.gov.uk</v>
          </cell>
          <cell r="K77" t="str">
            <v>..</v>
          </cell>
          <cell r="L77">
            <v>8</v>
          </cell>
          <cell r="M77">
            <v>23</v>
          </cell>
          <cell r="N77">
            <v>2</v>
          </cell>
          <cell r="O77">
            <v>0</v>
          </cell>
          <cell r="P77">
            <v>33</v>
          </cell>
          <cell r="Q77">
            <v>0</v>
          </cell>
          <cell r="R77">
            <v>8</v>
          </cell>
          <cell r="S77">
            <v>23</v>
          </cell>
          <cell r="T77">
            <v>2</v>
          </cell>
          <cell r="U77">
            <v>0</v>
          </cell>
          <cell r="V77">
            <v>33</v>
          </cell>
          <cell r="W77">
            <v>0</v>
          </cell>
          <cell r="X77">
            <v>41</v>
          </cell>
          <cell r="Y77">
            <v>41</v>
          </cell>
          <cell r="Z77">
            <v>2</v>
          </cell>
          <cell r="AA77">
            <v>11</v>
          </cell>
          <cell r="AB77">
            <v>42</v>
          </cell>
          <cell r="AC77">
            <v>0</v>
          </cell>
          <cell r="AD77">
            <v>7</v>
          </cell>
          <cell r="AE77">
            <v>103</v>
          </cell>
          <cell r="AF77">
            <v>70</v>
          </cell>
          <cell r="AG77">
            <v>8</v>
          </cell>
          <cell r="AH77">
            <v>3</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v>16625</v>
          </cell>
          <cell r="BC77">
            <v>4585</v>
          </cell>
          <cell r="BD77">
            <v>0</v>
          </cell>
          <cell r="BE77">
            <v>7502</v>
          </cell>
          <cell r="BF77">
            <v>385</v>
          </cell>
          <cell r="BG77">
            <v>539</v>
          </cell>
          <cell r="BH77">
            <v>29636</v>
          </cell>
          <cell r="BI77">
            <v>3144</v>
          </cell>
          <cell r="BJ77">
            <v>910</v>
          </cell>
          <cell r="BK77">
            <v>8763</v>
          </cell>
          <cell r="BL77">
            <v>251</v>
          </cell>
          <cell r="BM77">
            <v>136</v>
          </cell>
          <cell r="BN77">
            <v>0</v>
          </cell>
          <cell r="BO77">
            <v>42840</v>
          </cell>
          <cell r="BP77">
            <v>4002</v>
          </cell>
          <cell r="BQ77">
            <v>50</v>
          </cell>
          <cell r="BR77">
            <v>1999</v>
          </cell>
          <cell r="BS77">
            <v>6051</v>
          </cell>
          <cell r="BT77">
            <v>36789</v>
          </cell>
          <cell r="BU77">
            <v>2672</v>
          </cell>
          <cell r="BV77">
            <v>4173</v>
          </cell>
          <cell r="BW77">
            <v>0</v>
          </cell>
          <cell r="BX77">
            <v>0</v>
          </cell>
          <cell r="BY77">
            <v>0</v>
          </cell>
          <cell r="BZ77">
            <v>0</v>
          </cell>
          <cell r="CA77">
            <v>0</v>
          </cell>
          <cell r="CB77">
            <v>0</v>
          </cell>
          <cell r="CC77">
            <v>0</v>
          </cell>
          <cell r="CD77">
            <v>0</v>
          </cell>
          <cell r="CE77">
            <v>0</v>
          </cell>
          <cell r="CF77">
            <v>187</v>
          </cell>
          <cell r="CG77">
            <v>0</v>
          </cell>
          <cell r="CH77">
            <v>0</v>
          </cell>
          <cell r="CI77">
            <v>187</v>
          </cell>
          <cell r="CJ77">
            <v>103</v>
          </cell>
          <cell r="CK77">
            <v>0</v>
          </cell>
          <cell r="CL77">
            <v>1356</v>
          </cell>
          <cell r="CM77">
            <v>0</v>
          </cell>
          <cell r="CN77">
            <v>297</v>
          </cell>
          <cell r="CO77">
            <v>18164</v>
          </cell>
          <cell r="CP77">
            <v>5005</v>
          </cell>
          <cell r="CQ77">
            <v>0</v>
          </cell>
          <cell r="CR77">
            <v>7012</v>
          </cell>
          <cell r="CS77">
            <v>414</v>
          </cell>
          <cell r="CT77">
            <v>622</v>
          </cell>
          <cell r="CU77">
            <v>31217</v>
          </cell>
          <cell r="CV77">
            <v>3221</v>
          </cell>
          <cell r="CW77">
            <v>796</v>
          </cell>
          <cell r="CX77">
            <v>7929</v>
          </cell>
          <cell r="CY77">
            <v>250</v>
          </cell>
          <cell r="CZ77">
            <v>95</v>
          </cell>
          <cell r="DA77">
            <v>0</v>
          </cell>
          <cell r="DB77">
            <v>43508</v>
          </cell>
          <cell r="DC77">
            <v>17047</v>
          </cell>
          <cell r="DD77">
            <v>0</v>
          </cell>
          <cell r="DE77">
            <v>1251</v>
          </cell>
          <cell r="DF77">
            <v>18298</v>
          </cell>
          <cell r="DG77">
            <v>25210</v>
          </cell>
          <cell r="DH77">
            <v>2297</v>
          </cell>
          <cell r="DI77">
            <v>0</v>
          </cell>
          <cell r="DJ77">
            <v>0</v>
          </cell>
          <cell r="DK77">
            <v>0</v>
          </cell>
          <cell r="DL77">
            <v>0</v>
          </cell>
          <cell r="DM77">
            <v>0</v>
          </cell>
          <cell r="DN77">
            <v>0</v>
          </cell>
          <cell r="DO77">
            <v>0</v>
          </cell>
          <cell r="DP77">
            <v>0</v>
          </cell>
          <cell r="DQ77">
            <v>0</v>
          </cell>
          <cell r="DR77">
            <v>0</v>
          </cell>
          <cell r="DS77">
            <v>132</v>
          </cell>
          <cell r="DT77">
            <v>0</v>
          </cell>
          <cell r="DU77">
            <v>0</v>
          </cell>
          <cell r="DV77">
            <v>132</v>
          </cell>
          <cell r="DW77">
            <v>108</v>
          </cell>
          <cell r="DX77">
            <v>0</v>
          </cell>
          <cell r="DY77">
            <v>1358</v>
          </cell>
          <cell r="DZ77">
            <v>0</v>
          </cell>
          <cell r="EA77">
            <v>266</v>
          </cell>
          <cell r="EB77">
            <v>0</v>
          </cell>
          <cell r="EC77">
            <v>0</v>
          </cell>
          <cell r="ED77">
            <v>16.7</v>
          </cell>
          <cell r="EE77">
            <v>315</v>
          </cell>
          <cell r="EF77">
            <v>10637</v>
          </cell>
          <cell r="EG77">
            <v>3655</v>
          </cell>
          <cell r="EH77">
            <v>26247</v>
          </cell>
          <cell r="EI77">
            <v>385</v>
          </cell>
          <cell r="EJ77">
            <v>13</v>
          </cell>
          <cell r="EK77">
            <v>40937</v>
          </cell>
          <cell r="EL77">
            <v>0</v>
          </cell>
          <cell r="EM77">
            <v>5023</v>
          </cell>
          <cell r="EN77">
            <v>5023</v>
          </cell>
          <cell r="EO77">
            <v>20220</v>
          </cell>
          <cell r="EP77">
            <v>8089</v>
          </cell>
          <cell r="EQ77">
            <v>0</v>
          </cell>
          <cell r="ER77">
            <v>28309</v>
          </cell>
          <cell r="ES77">
            <v>-41</v>
          </cell>
          <cell r="ET77">
            <v>501</v>
          </cell>
          <cell r="EU77">
            <v>5669</v>
          </cell>
          <cell r="EV77">
            <v>39461</v>
          </cell>
          <cell r="EW77">
            <v>0</v>
          </cell>
          <cell r="EX77">
            <v>443</v>
          </cell>
          <cell r="EY77">
            <v>443</v>
          </cell>
          <cell r="EZ77">
            <v>1785</v>
          </cell>
          <cell r="FA77">
            <v>714</v>
          </cell>
          <cell r="FB77">
            <v>0</v>
          </cell>
          <cell r="FC77">
            <v>2499</v>
          </cell>
          <cell r="FD77">
            <v>-4</v>
          </cell>
          <cell r="FE77">
            <v>44</v>
          </cell>
          <cell r="FF77">
            <v>500</v>
          </cell>
          <cell r="FG77">
            <v>3482</v>
          </cell>
          <cell r="FH77">
            <v>-2180</v>
          </cell>
          <cell r="FI77">
            <v>-120</v>
          </cell>
          <cell r="FJ77">
            <v>0</v>
          </cell>
          <cell r="FK77">
            <v>-1892</v>
          </cell>
          <cell r="FL77">
            <v>0</v>
          </cell>
          <cell r="FM77">
            <v>10864</v>
          </cell>
          <cell r="FN77">
            <v>1738</v>
          </cell>
          <cell r="FO77">
            <v>0</v>
          </cell>
          <cell r="FP77">
            <v>8410</v>
          </cell>
          <cell r="FQ77">
            <v>1052</v>
          </cell>
          <cell r="FR77">
            <v>0</v>
          </cell>
          <cell r="FS77">
            <v>-1923</v>
          </cell>
          <cell r="FT77">
            <v>-206</v>
          </cell>
          <cell r="FU77">
            <v>0</v>
          </cell>
          <cell r="FV77">
            <v>-1653</v>
          </cell>
          <cell r="FW77">
            <v>-50</v>
          </cell>
          <cell r="FX77">
            <v>11474</v>
          </cell>
          <cell r="FY77">
            <v>2578</v>
          </cell>
          <cell r="FZ77">
            <v>50</v>
          </cell>
          <cell r="GA77">
            <v>10270</v>
          </cell>
          <cell r="GB77">
            <v>1080</v>
          </cell>
          <cell r="GC77">
            <v>0</v>
          </cell>
          <cell r="GD77">
            <v>736</v>
          </cell>
          <cell r="GE77">
            <v>766</v>
          </cell>
          <cell r="GF77">
            <v>20</v>
          </cell>
          <cell r="GG77">
            <v>1</v>
          </cell>
          <cell r="GH77">
            <v>51</v>
          </cell>
          <cell r="GI77">
            <v>145</v>
          </cell>
          <cell r="GJ77">
            <v>506</v>
          </cell>
          <cell r="GK77">
            <v>26</v>
          </cell>
          <cell r="GL77">
            <v>26</v>
          </cell>
          <cell r="GM77">
            <v>317</v>
          </cell>
          <cell r="GN77">
            <v>193</v>
          </cell>
          <cell r="GO77">
            <v>38</v>
          </cell>
          <cell r="GP77">
            <v>15311</v>
          </cell>
          <cell r="GQ77">
            <v>1906</v>
          </cell>
          <cell r="GR77">
            <v>0</v>
          </cell>
          <cell r="GS77">
            <v>14225</v>
          </cell>
          <cell r="GT77">
            <v>1906</v>
          </cell>
          <cell r="GU77">
            <v>0</v>
          </cell>
          <cell r="GV77">
            <v>0</v>
          </cell>
          <cell r="GW77">
            <v>0</v>
          </cell>
          <cell r="GX77">
            <v>0</v>
          </cell>
          <cell r="GY77">
            <v>794</v>
          </cell>
          <cell r="GZ77">
            <v>0</v>
          </cell>
          <cell r="HA77">
            <v>469</v>
          </cell>
          <cell r="HB77">
            <v>125</v>
          </cell>
          <cell r="HC77">
            <v>16</v>
          </cell>
          <cell r="HD77">
            <v>192</v>
          </cell>
          <cell r="HE77">
            <v>0</v>
          </cell>
          <cell r="HF77">
            <v>105</v>
          </cell>
          <cell r="HG77">
            <v>161</v>
          </cell>
          <cell r="HH77">
            <v>436</v>
          </cell>
          <cell r="HI77">
            <v>0</v>
          </cell>
          <cell r="HJ77">
            <v>0</v>
          </cell>
          <cell r="HK77">
            <v>0</v>
          </cell>
          <cell r="HL77">
            <v>2298</v>
          </cell>
          <cell r="HM77">
            <v>0</v>
          </cell>
          <cell r="HN77">
            <v>0</v>
          </cell>
          <cell r="HO77">
            <v>0</v>
          </cell>
          <cell r="HP77">
            <v>54</v>
          </cell>
          <cell r="HQ77">
            <v>36</v>
          </cell>
          <cell r="HR77">
            <v>1546</v>
          </cell>
          <cell r="HS77">
            <v>26</v>
          </cell>
          <cell r="HT77">
            <v>133</v>
          </cell>
          <cell r="HU77">
            <v>23</v>
          </cell>
          <cell r="HV77">
            <v>339</v>
          </cell>
          <cell r="HW77">
            <v>2</v>
          </cell>
          <cell r="HX77">
            <v>72</v>
          </cell>
          <cell r="HY77">
            <v>347</v>
          </cell>
          <cell r="HZ77">
            <v>0</v>
          </cell>
          <cell r="IA77">
            <v>0</v>
          </cell>
          <cell r="IB77">
            <v>0</v>
          </cell>
          <cell r="IC77">
            <v>2578</v>
          </cell>
          <cell r="ID77">
            <v>50</v>
          </cell>
          <cell r="IE77">
            <v>0</v>
          </cell>
          <cell r="IF77">
            <v>0</v>
          </cell>
          <cell r="IG77">
            <v>2408</v>
          </cell>
          <cell r="IH77">
            <v>85</v>
          </cell>
          <cell r="II77">
            <v>1815</v>
          </cell>
          <cell r="IJ77">
            <v>98</v>
          </cell>
          <cell r="IK77">
            <v>952</v>
          </cell>
          <cell r="IL77">
            <v>600</v>
          </cell>
          <cell r="IM77">
            <v>26</v>
          </cell>
          <cell r="IN77">
            <v>40</v>
          </cell>
          <cell r="IO77">
            <v>304</v>
          </cell>
          <cell r="IP77">
            <v>523</v>
          </cell>
          <cell r="IQ77">
            <v>0</v>
          </cell>
          <cell r="IR77">
            <v>0</v>
          </cell>
          <cell r="IS77">
            <v>0</v>
          </cell>
          <cell r="IT77">
            <v>6901</v>
          </cell>
          <cell r="IU77" t="str">
            <v>..</v>
          </cell>
          <cell r="IV77" t="str">
            <v>2 x TRV, 2 x Environmental Pod, 2 x Water Carriers, Unimog, 2 x WRU, Ford Ranger Pump, Welfare Support</v>
          </cell>
          <cell r="IW77" t="str">
            <v>..</v>
          </cell>
          <cell r="IX77" t="str">
            <v>..</v>
          </cell>
          <cell r="IY77" t="str">
            <v>..</v>
          </cell>
          <cell r="IZ77" t="str">
            <v>..</v>
          </cell>
          <cell r="JA77" t="str">
            <v>..</v>
          </cell>
          <cell r="JB77" t="str">
            <v>..</v>
          </cell>
        </row>
        <row r="78">
          <cell r="A78" t="str">
            <v>W6173</v>
          </cell>
          <cell r="B78" t="str">
            <v>South Wales</v>
          </cell>
          <cell r="C78" t="str">
            <v>Lisa Mullan</v>
          </cell>
          <cell r="D78" t="str">
            <v>Senior Accountant</v>
          </cell>
          <cell r="E78" t="str">
            <v>01443 232756</v>
          </cell>
          <cell r="F78" t="str">
            <v>l-mullan@southwales-fire.gov.uk</v>
          </cell>
          <cell r="G78" t="str">
            <v>Lisa Mullan</v>
          </cell>
          <cell r="H78" t="str">
            <v>Senior Accountant</v>
          </cell>
          <cell r="I78" t="str">
            <v>01443 232756</v>
          </cell>
          <cell r="J78" t="str">
            <v>l-mullan@southwales-fire.gov.uk</v>
          </cell>
          <cell r="K78">
            <v>0</v>
          </cell>
          <cell r="L78">
            <v>11</v>
          </cell>
          <cell r="M78">
            <v>27</v>
          </cell>
          <cell r="N78">
            <v>9</v>
          </cell>
          <cell r="O78">
            <v>0</v>
          </cell>
          <cell r="P78">
            <v>47</v>
          </cell>
          <cell r="Q78">
            <v>10</v>
          </cell>
          <cell r="R78">
            <v>11</v>
          </cell>
          <cell r="S78">
            <v>27</v>
          </cell>
          <cell r="T78">
            <v>9</v>
          </cell>
          <cell r="U78">
            <v>0</v>
          </cell>
          <cell r="V78">
            <v>47</v>
          </cell>
          <cell r="W78">
            <v>10</v>
          </cell>
          <cell r="X78">
            <v>61</v>
          </cell>
          <cell r="Y78">
            <v>61</v>
          </cell>
          <cell r="Z78">
            <v>3</v>
          </cell>
          <cell r="AA78">
            <v>63</v>
          </cell>
          <cell r="AB78">
            <v>115</v>
          </cell>
          <cell r="AC78">
            <v>0</v>
          </cell>
          <cell r="AD78">
            <v>10</v>
          </cell>
          <cell r="AE78">
            <v>252</v>
          </cell>
          <cell r="AF78">
            <v>160</v>
          </cell>
          <cell r="AG78">
            <v>13</v>
          </cell>
          <cell r="AH78">
            <v>13</v>
          </cell>
          <cell r="AI78">
            <v>792</v>
          </cell>
          <cell r="AJ78">
            <v>346</v>
          </cell>
          <cell r="AK78">
            <v>3</v>
          </cell>
          <cell r="AL78">
            <v>4</v>
          </cell>
          <cell r="AM78">
            <v>19</v>
          </cell>
          <cell r="AN78">
            <v>58</v>
          </cell>
          <cell r="AO78">
            <v>126</v>
          </cell>
          <cell r="AP78">
            <v>103</v>
          </cell>
          <cell r="AQ78">
            <v>479</v>
          </cell>
          <cell r="AR78">
            <v>792</v>
          </cell>
          <cell r="AS78">
            <v>0</v>
          </cell>
          <cell r="AT78">
            <v>0</v>
          </cell>
          <cell r="AU78">
            <v>26.2</v>
          </cell>
          <cell r="AV78">
            <v>97.6</v>
          </cell>
          <cell r="AW78">
            <v>222.3</v>
          </cell>
          <cell r="AX78">
            <v>346</v>
          </cell>
          <cell r="AY78">
            <v>38.9</v>
          </cell>
          <cell r="AZ78">
            <v>252.2</v>
          </cell>
          <cell r="BA78">
            <v>1429.2</v>
          </cell>
          <cell r="BB78">
            <v>37896</v>
          </cell>
          <cell r="BC78">
            <v>5559</v>
          </cell>
          <cell r="BD78">
            <v>1363</v>
          </cell>
          <cell r="BE78">
            <v>9378</v>
          </cell>
          <cell r="BF78">
            <v>1471</v>
          </cell>
          <cell r="BG78">
            <v>736</v>
          </cell>
          <cell r="BH78">
            <v>56403</v>
          </cell>
          <cell r="BI78">
            <v>4957</v>
          </cell>
          <cell r="BJ78">
            <v>1262</v>
          </cell>
          <cell r="BK78">
            <v>3827</v>
          </cell>
          <cell r="BL78">
            <v>62</v>
          </cell>
          <cell r="BM78">
            <v>0</v>
          </cell>
          <cell r="BN78">
            <v>1591</v>
          </cell>
          <cell r="BO78">
            <v>68102</v>
          </cell>
          <cell r="BP78">
            <v>0</v>
          </cell>
          <cell r="BQ78">
            <v>0</v>
          </cell>
          <cell r="BR78">
            <v>1621</v>
          </cell>
          <cell r="BS78">
            <v>1621</v>
          </cell>
          <cell r="BT78">
            <v>66481</v>
          </cell>
          <cell r="BU78">
            <v>6536</v>
          </cell>
          <cell r="BV78">
            <v>-6240</v>
          </cell>
          <cell r="BW78">
            <v>0</v>
          </cell>
          <cell r="BX78">
            <v>0</v>
          </cell>
          <cell r="BY78">
            <v>100</v>
          </cell>
          <cell r="BZ78">
            <v>1389</v>
          </cell>
          <cell r="CA78">
            <v>73</v>
          </cell>
          <cell r="CB78">
            <v>1560</v>
          </cell>
          <cell r="CC78">
            <v>0</v>
          </cell>
          <cell r="CD78">
            <v>0</v>
          </cell>
          <cell r="CE78">
            <v>1610</v>
          </cell>
          <cell r="CF78">
            <v>69</v>
          </cell>
          <cell r="CG78">
            <v>0</v>
          </cell>
          <cell r="CH78">
            <v>42</v>
          </cell>
          <cell r="CI78">
            <v>1721</v>
          </cell>
          <cell r="CJ78">
            <v>8</v>
          </cell>
          <cell r="CK78">
            <v>0</v>
          </cell>
          <cell r="CL78">
            <v>4</v>
          </cell>
          <cell r="CM78">
            <v>0</v>
          </cell>
          <cell r="CN78">
            <v>-56</v>
          </cell>
          <cell r="CO78">
            <v>38230</v>
          </cell>
          <cell r="CP78">
            <v>5925</v>
          </cell>
          <cell r="CQ78">
            <v>1394</v>
          </cell>
          <cell r="CR78">
            <v>9992</v>
          </cell>
          <cell r="CS78">
            <v>1473</v>
          </cell>
          <cell r="CT78">
            <v>754</v>
          </cell>
          <cell r="CU78">
            <v>57768</v>
          </cell>
          <cell r="CV78">
            <v>4788</v>
          </cell>
          <cell r="CW78">
            <v>1161</v>
          </cell>
          <cell r="CX78">
            <v>3861</v>
          </cell>
          <cell r="CY78">
            <v>64</v>
          </cell>
          <cell r="CZ78">
            <v>0</v>
          </cell>
          <cell r="DA78">
            <v>5255</v>
          </cell>
          <cell r="DB78">
            <v>72897</v>
          </cell>
          <cell r="DC78">
            <v>0</v>
          </cell>
          <cell r="DD78">
            <v>0</v>
          </cell>
          <cell r="DE78">
            <v>1070</v>
          </cell>
          <cell r="DF78">
            <v>1070</v>
          </cell>
          <cell r="DG78">
            <v>71827</v>
          </cell>
          <cell r="DH78">
            <v>0</v>
          </cell>
          <cell r="DI78">
            <v>0</v>
          </cell>
          <cell r="DJ78">
            <v>0</v>
          </cell>
          <cell r="DK78">
            <v>0</v>
          </cell>
          <cell r="DL78">
            <v>100</v>
          </cell>
          <cell r="DM78">
            <v>1392</v>
          </cell>
          <cell r="DN78">
            <v>73</v>
          </cell>
          <cell r="DO78">
            <v>1722</v>
          </cell>
          <cell r="DP78">
            <v>0</v>
          </cell>
          <cell r="DQ78">
            <v>0</v>
          </cell>
          <cell r="DR78">
            <v>1610</v>
          </cell>
          <cell r="DS78">
            <v>69</v>
          </cell>
          <cell r="DT78">
            <v>0</v>
          </cell>
          <cell r="DU78">
            <v>42</v>
          </cell>
          <cell r="DV78">
            <v>1721</v>
          </cell>
          <cell r="DW78">
            <v>8</v>
          </cell>
          <cell r="DX78">
            <v>0</v>
          </cell>
          <cell r="DY78">
            <v>4</v>
          </cell>
          <cell r="DZ78">
            <v>0</v>
          </cell>
          <cell r="EA78">
            <v>56</v>
          </cell>
          <cell r="EB78">
            <v>0</v>
          </cell>
          <cell r="EC78">
            <v>0</v>
          </cell>
          <cell r="ED78">
            <v>16.3</v>
          </cell>
          <cell r="EE78">
            <v>282</v>
          </cell>
          <cell r="EF78" t="str">
            <v>..</v>
          </cell>
          <cell r="EG78" t="str">
            <v>..</v>
          </cell>
          <cell r="EH78" t="str">
            <v>..</v>
          </cell>
          <cell r="EI78" t="str">
            <v>..</v>
          </cell>
          <cell r="EJ78" t="str">
            <v>..</v>
          </cell>
          <cell r="EK78" t="str">
            <v>..</v>
          </cell>
          <cell r="EL78">
            <v>0</v>
          </cell>
          <cell r="EM78">
            <v>0</v>
          </cell>
          <cell r="EN78">
            <v>0</v>
          </cell>
          <cell r="EO78" t="str">
            <v>..</v>
          </cell>
          <cell r="EP78" t="str">
            <v>..</v>
          </cell>
          <cell r="EQ78" t="str">
            <v>..</v>
          </cell>
          <cell r="ER78">
            <v>73017</v>
          </cell>
          <cell r="ES78">
            <v>0</v>
          </cell>
          <cell r="ET78">
            <v>0</v>
          </cell>
          <cell r="EU78">
            <v>0</v>
          </cell>
          <cell r="EV78">
            <v>73017</v>
          </cell>
          <cell r="EW78">
            <v>0</v>
          </cell>
          <cell r="EX78">
            <v>0</v>
          </cell>
          <cell r="EY78">
            <v>0</v>
          </cell>
          <cell r="EZ78">
            <v>0</v>
          </cell>
          <cell r="FA78">
            <v>0</v>
          </cell>
          <cell r="FB78">
            <v>0</v>
          </cell>
          <cell r="FC78">
            <v>0</v>
          </cell>
          <cell r="FD78">
            <v>0</v>
          </cell>
          <cell r="FE78">
            <v>0</v>
          </cell>
          <cell r="FF78">
            <v>0</v>
          </cell>
          <cell r="FG78">
            <v>0</v>
          </cell>
          <cell r="FH78">
            <v>-5103</v>
          </cell>
          <cell r="FI78">
            <v>-335</v>
          </cell>
          <cell r="FJ78">
            <v>-150</v>
          </cell>
          <cell r="FK78">
            <v>-3967</v>
          </cell>
          <cell r="FL78">
            <v>-499</v>
          </cell>
          <cell r="FM78">
            <v>20120</v>
          </cell>
          <cell r="FN78">
            <v>6154</v>
          </cell>
          <cell r="FO78">
            <v>182</v>
          </cell>
          <cell r="FP78">
            <v>16402</v>
          </cell>
          <cell r="FQ78">
            <v>644</v>
          </cell>
          <cell r="FR78">
            <v>0</v>
          </cell>
          <cell r="FS78">
            <v>-8382</v>
          </cell>
          <cell r="FT78">
            <v>-242</v>
          </cell>
          <cell r="FU78">
            <v>-84</v>
          </cell>
          <cell r="FV78">
            <v>-3852</v>
          </cell>
          <cell r="FW78">
            <v>0</v>
          </cell>
          <cell r="FX78">
            <v>20815</v>
          </cell>
          <cell r="FY78">
            <v>3902</v>
          </cell>
          <cell r="FZ78">
            <v>0</v>
          </cell>
          <cell r="GA78">
            <v>12157</v>
          </cell>
          <cell r="GB78">
            <v>651</v>
          </cell>
          <cell r="GC78">
            <v>0</v>
          </cell>
          <cell r="GD78">
            <v>1327</v>
          </cell>
          <cell r="GE78">
            <v>1363</v>
          </cell>
          <cell r="GF78">
            <v>44</v>
          </cell>
          <cell r="GG78">
            <v>11</v>
          </cell>
          <cell r="GH78">
            <v>151</v>
          </cell>
          <cell r="GI78">
            <v>20</v>
          </cell>
          <cell r="GJ78">
            <v>1074</v>
          </cell>
          <cell r="GK78">
            <v>27</v>
          </cell>
          <cell r="GL78">
            <v>61</v>
          </cell>
          <cell r="GM78">
            <v>384</v>
          </cell>
          <cell r="GN78">
            <v>212</v>
          </cell>
          <cell r="GO78">
            <v>36</v>
          </cell>
          <cell r="GP78">
            <v>15762</v>
          </cell>
          <cell r="GQ78">
            <v>3000</v>
          </cell>
          <cell r="GR78">
            <v>38</v>
          </cell>
          <cell r="GS78">
            <v>13299</v>
          </cell>
          <cell r="GT78">
            <v>3000</v>
          </cell>
          <cell r="GU78">
            <v>38</v>
          </cell>
          <cell r="GV78">
            <v>0</v>
          </cell>
          <cell r="GW78">
            <v>0</v>
          </cell>
          <cell r="GX78">
            <v>151</v>
          </cell>
          <cell r="GY78">
            <v>1290</v>
          </cell>
          <cell r="GZ78">
            <v>79</v>
          </cell>
          <cell r="HA78">
            <v>2290</v>
          </cell>
          <cell r="HB78">
            <v>45</v>
          </cell>
          <cell r="HC78">
            <v>0</v>
          </cell>
          <cell r="HD78">
            <v>0</v>
          </cell>
          <cell r="HE78">
            <v>0</v>
          </cell>
          <cell r="HF78">
            <v>266</v>
          </cell>
          <cell r="HG78">
            <v>0</v>
          </cell>
          <cell r="HH78">
            <v>113</v>
          </cell>
          <cell r="HI78">
            <v>0</v>
          </cell>
          <cell r="HJ78">
            <v>0</v>
          </cell>
          <cell r="HK78">
            <v>0</v>
          </cell>
          <cell r="HL78">
            <v>4234</v>
          </cell>
          <cell r="HM78">
            <v>0</v>
          </cell>
          <cell r="HN78">
            <v>0</v>
          </cell>
          <cell r="HO78">
            <v>2430</v>
          </cell>
          <cell r="HP78">
            <v>562</v>
          </cell>
          <cell r="HQ78">
            <v>999</v>
          </cell>
          <cell r="HR78">
            <v>254</v>
          </cell>
          <cell r="HS78">
            <v>0</v>
          </cell>
          <cell r="HT78">
            <v>0</v>
          </cell>
          <cell r="HU78">
            <v>15</v>
          </cell>
          <cell r="HV78">
            <v>0</v>
          </cell>
          <cell r="HW78">
            <v>383</v>
          </cell>
          <cell r="HX78">
            <v>0</v>
          </cell>
          <cell r="HY78">
            <v>24</v>
          </cell>
          <cell r="HZ78">
            <v>0</v>
          </cell>
          <cell r="IA78">
            <v>0</v>
          </cell>
          <cell r="IB78">
            <v>0</v>
          </cell>
          <cell r="IC78">
            <v>4667</v>
          </cell>
          <cell r="ID78">
            <v>1577</v>
          </cell>
          <cell r="IE78">
            <v>0</v>
          </cell>
          <cell r="IF78">
            <v>2627</v>
          </cell>
          <cell r="IG78">
            <v>1405</v>
          </cell>
          <cell r="IH78">
            <v>209</v>
          </cell>
          <cell r="II78">
            <v>2183</v>
          </cell>
          <cell r="IJ78">
            <v>0</v>
          </cell>
          <cell r="IK78">
            <v>0</v>
          </cell>
          <cell r="IL78">
            <v>150</v>
          </cell>
          <cell r="IM78">
            <v>0</v>
          </cell>
          <cell r="IN78">
            <v>480</v>
          </cell>
          <cell r="IO78">
            <v>0</v>
          </cell>
          <cell r="IP78">
            <v>0</v>
          </cell>
          <cell r="IQ78">
            <v>0</v>
          </cell>
          <cell r="IR78">
            <v>0</v>
          </cell>
          <cell r="IS78">
            <v>0</v>
          </cell>
          <cell r="IT78">
            <v>8631</v>
          </cell>
          <cell r="IU78" t="str">
            <v>Welsh Ambulance Service Trust, Gwent Police and Coastguard</v>
          </cell>
          <cell r="IV78" t="str">
            <v>Seven Rescue Tenders, Seven special rescue tenders,One foam tender,Six water carriers,Two BA support,Twenty Three 4x4,s,Four 6x6 wildfire appliances,Thirteen Boats,</v>
          </cell>
          <cell r="IW78">
            <v>0</v>
          </cell>
          <cell r="IX78" t="str">
            <v>Contracted Services, Invest Inc Rec, PFI chgs/payment, Holiday Acc Adj</v>
          </cell>
          <cell r="IY78">
            <v>0</v>
          </cell>
          <cell r="IZ78">
            <v>0</v>
          </cell>
          <cell r="JA78">
            <v>0</v>
          </cell>
          <cell r="JB78" t="str">
            <v>..</v>
          </cell>
        </row>
        <row r="79">
          <cell r="A79" t="str">
            <v>E2901</v>
          </cell>
          <cell r="B79" t="str">
            <v>Northumberland</v>
          </cell>
          <cell r="C79" t="str">
            <v>Graham Atkinson</v>
          </cell>
          <cell r="D79" t="str">
            <v>IRMP Officer</v>
          </cell>
          <cell r="E79" t="str">
            <v>01670 621165</v>
          </cell>
          <cell r="F79" t="str">
            <v>graham.atkinson@northumberland.gov.uk</v>
          </cell>
          <cell r="G79" t="str">
            <v>Natalie McDermott</v>
          </cell>
          <cell r="H79" t="str">
            <v>Senior Accountant</v>
          </cell>
          <cell r="I79" t="str">
            <v>01670 622170</v>
          </cell>
          <cell r="J79" t="str">
            <v>natalie.mcdermott@northumberland.gov.uk</v>
          </cell>
          <cell r="K79" t="str">
            <v>..</v>
          </cell>
          <cell r="L79">
            <v>1</v>
          </cell>
          <cell r="M79">
            <v>11</v>
          </cell>
          <cell r="N79">
            <v>3</v>
          </cell>
          <cell r="O79">
            <v>0</v>
          </cell>
          <cell r="P79">
            <v>15</v>
          </cell>
          <cell r="Q79">
            <v>7</v>
          </cell>
          <cell r="R79">
            <v>1</v>
          </cell>
          <cell r="S79">
            <v>11</v>
          </cell>
          <cell r="T79">
            <v>3</v>
          </cell>
          <cell r="U79">
            <v>0</v>
          </cell>
          <cell r="V79">
            <v>15</v>
          </cell>
          <cell r="W79">
            <v>7</v>
          </cell>
          <cell r="X79">
            <v>22</v>
          </cell>
          <cell r="Y79">
            <v>22</v>
          </cell>
          <cell r="Z79">
            <v>0</v>
          </cell>
          <cell r="AA79">
            <v>0</v>
          </cell>
          <cell r="AB79">
            <v>19</v>
          </cell>
          <cell r="AC79">
            <v>0</v>
          </cell>
          <cell r="AD79">
            <v>14</v>
          </cell>
          <cell r="AE79">
            <v>55</v>
          </cell>
          <cell r="AF79">
            <v>21</v>
          </cell>
          <cell r="AG79">
            <v>3</v>
          </cell>
          <cell r="AH79">
            <v>3</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v>6959</v>
          </cell>
          <cell r="BC79">
            <v>1883</v>
          </cell>
          <cell r="BD79">
            <v>653</v>
          </cell>
          <cell r="BE79">
            <v>1093</v>
          </cell>
          <cell r="BF79">
            <v>188</v>
          </cell>
          <cell r="BG79">
            <v>150</v>
          </cell>
          <cell r="BH79">
            <v>10926</v>
          </cell>
          <cell r="BI79">
            <v>1832</v>
          </cell>
          <cell r="BJ79">
            <v>259</v>
          </cell>
          <cell r="BK79">
            <v>1559</v>
          </cell>
          <cell r="BL79">
            <v>0</v>
          </cell>
          <cell r="BM79">
            <v>436</v>
          </cell>
          <cell r="BN79">
            <v>0</v>
          </cell>
          <cell r="BO79">
            <v>15012</v>
          </cell>
          <cell r="BP79">
            <v>1825</v>
          </cell>
          <cell r="BQ79">
            <v>0</v>
          </cell>
          <cell r="BR79">
            <v>680</v>
          </cell>
          <cell r="BS79">
            <v>2505</v>
          </cell>
          <cell r="BT79">
            <v>12507</v>
          </cell>
          <cell r="BU79">
            <v>1505</v>
          </cell>
          <cell r="BV79">
            <v>1519</v>
          </cell>
          <cell r="BW79">
            <v>0</v>
          </cell>
          <cell r="BX79">
            <v>0</v>
          </cell>
          <cell r="BY79">
            <v>0</v>
          </cell>
          <cell r="BZ79">
            <v>0</v>
          </cell>
          <cell r="CA79">
            <v>0</v>
          </cell>
          <cell r="CB79">
            <v>1770</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v>7176</v>
          </cell>
          <cell r="CP79">
            <v>1862</v>
          </cell>
          <cell r="CQ79">
            <v>659</v>
          </cell>
          <cell r="CR79">
            <v>1250</v>
          </cell>
          <cell r="CS79">
            <v>147</v>
          </cell>
          <cell r="CT79">
            <v>88</v>
          </cell>
          <cell r="CU79">
            <v>11182</v>
          </cell>
          <cell r="CV79">
            <v>3498</v>
          </cell>
          <cell r="CW79">
            <v>269</v>
          </cell>
          <cell r="CX79">
            <v>1188</v>
          </cell>
          <cell r="CY79">
            <v>0</v>
          </cell>
          <cell r="CZ79">
            <v>317</v>
          </cell>
          <cell r="DA79">
            <v>0</v>
          </cell>
          <cell r="DB79">
            <v>16454</v>
          </cell>
          <cell r="DC79">
            <v>1795</v>
          </cell>
          <cell r="DD79">
            <v>0</v>
          </cell>
          <cell r="DE79">
            <v>661</v>
          </cell>
          <cell r="DF79">
            <v>2456</v>
          </cell>
          <cell r="DG79">
            <v>13998</v>
          </cell>
          <cell r="DH79">
            <v>1385</v>
          </cell>
          <cell r="DI79">
            <v>1519</v>
          </cell>
          <cell r="DJ79" t="str">
            <v>..</v>
          </cell>
          <cell r="DK79" t="str">
            <v>..</v>
          </cell>
          <cell r="DL79" t="str">
            <v>..</v>
          </cell>
          <cell r="DM79" t="str">
            <v>..</v>
          </cell>
          <cell r="DN79" t="str">
            <v>..</v>
          </cell>
          <cell r="DO79">
            <v>1800</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v>18.5</v>
          </cell>
          <cell r="EE79" t="str">
            <v>..</v>
          </cell>
          <cell r="EF79">
            <v>0</v>
          </cell>
          <cell r="EG79">
            <v>0</v>
          </cell>
          <cell r="EH79">
            <v>0</v>
          </cell>
          <cell r="EI79">
            <v>0</v>
          </cell>
          <cell r="EJ79">
            <v>0</v>
          </cell>
          <cell r="EK79">
            <v>0</v>
          </cell>
          <cell r="EL79" t="str">
            <v>..</v>
          </cell>
          <cell r="EM79" t="str">
            <v>..</v>
          </cell>
          <cell r="EN79">
            <v>459</v>
          </cell>
          <cell r="EO79" t="str">
            <v>..</v>
          </cell>
          <cell r="EP79" t="str">
            <v>..</v>
          </cell>
          <cell r="EQ79" t="str">
            <v>..</v>
          </cell>
          <cell r="ER79">
            <v>13322</v>
          </cell>
          <cell r="ES79">
            <v>231</v>
          </cell>
          <cell r="ET79">
            <v>0</v>
          </cell>
          <cell r="EU79">
            <v>0</v>
          </cell>
          <cell r="EV79">
            <v>14012</v>
          </cell>
          <cell r="EW79" t="str">
            <v>..</v>
          </cell>
          <cell r="EX79" t="str">
            <v>..</v>
          </cell>
          <cell r="EY79">
            <v>525</v>
          </cell>
          <cell r="EZ79" t="str">
            <v>..</v>
          </cell>
          <cell r="FA79" t="str">
            <v>..</v>
          </cell>
          <cell r="FB79" t="str">
            <v>..</v>
          </cell>
          <cell r="FC79">
            <v>14620</v>
          </cell>
          <cell r="FD79">
            <v>238</v>
          </cell>
          <cell r="FE79">
            <v>0</v>
          </cell>
          <cell r="FF79">
            <v>0</v>
          </cell>
          <cell r="FG79">
            <v>15383</v>
          </cell>
          <cell r="FH79">
            <v>-950</v>
          </cell>
          <cell r="FI79">
            <v>0</v>
          </cell>
          <cell r="FJ79">
            <v>0</v>
          </cell>
          <cell r="FK79">
            <v>-777</v>
          </cell>
          <cell r="FL79">
            <v>0</v>
          </cell>
          <cell r="FM79">
            <v>5329</v>
          </cell>
          <cell r="FN79">
            <v>1625</v>
          </cell>
          <cell r="FO79">
            <v>5</v>
          </cell>
          <cell r="FP79">
            <v>5232</v>
          </cell>
          <cell r="FQ79">
            <v>284</v>
          </cell>
          <cell r="FR79">
            <v>0</v>
          </cell>
          <cell r="FS79">
            <v>-1800</v>
          </cell>
          <cell r="FT79">
            <v>0</v>
          </cell>
          <cell r="FU79">
            <v>0</v>
          </cell>
          <cell r="FV79">
            <v>-792</v>
          </cell>
          <cell r="FW79">
            <v>0</v>
          </cell>
          <cell r="FX79">
            <v>5430</v>
          </cell>
          <cell r="FY79">
            <v>1625</v>
          </cell>
          <cell r="FZ79">
            <v>5</v>
          </cell>
          <cell r="GA79">
            <v>4468</v>
          </cell>
          <cell r="GB79">
            <v>290</v>
          </cell>
          <cell r="GC79">
            <v>0</v>
          </cell>
          <cell r="GD79">
            <v>361</v>
          </cell>
          <cell r="GE79">
            <v>363</v>
          </cell>
          <cell r="GF79">
            <v>15</v>
          </cell>
          <cell r="GG79">
            <v>0</v>
          </cell>
          <cell r="GH79">
            <v>37</v>
          </cell>
          <cell r="GI79">
            <v>7</v>
          </cell>
          <cell r="GJ79">
            <v>206</v>
          </cell>
          <cell r="GK79">
            <v>10</v>
          </cell>
          <cell r="GL79">
            <v>21</v>
          </cell>
          <cell r="GM79">
            <v>117</v>
          </cell>
          <cell r="GN79">
            <v>57</v>
          </cell>
          <cell r="GO79">
            <v>18</v>
          </cell>
          <cell r="GP79">
            <v>448</v>
          </cell>
          <cell r="GQ79">
            <v>0</v>
          </cell>
          <cell r="GR79">
            <v>0</v>
          </cell>
          <cell r="GS79">
            <v>438</v>
          </cell>
          <cell r="GT79">
            <v>0</v>
          </cell>
          <cell r="GU79">
            <v>0</v>
          </cell>
          <cell r="GV79">
            <v>0</v>
          </cell>
          <cell r="GW79">
            <v>0</v>
          </cell>
          <cell r="GX79">
            <v>100</v>
          </cell>
          <cell r="GY79">
            <v>0</v>
          </cell>
          <cell r="GZ79">
            <v>0</v>
          </cell>
          <cell r="HA79">
            <v>73</v>
          </cell>
          <cell r="HB79">
            <v>60</v>
          </cell>
          <cell r="HC79">
            <v>0</v>
          </cell>
          <cell r="HD79">
            <v>0</v>
          </cell>
          <cell r="HE79">
            <v>30</v>
          </cell>
          <cell r="HF79">
            <v>0</v>
          </cell>
          <cell r="HG79">
            <v>0</v>
          </cell>
          <cell r="HH79">
            <v>0</v>
          </cell>
          <cell r="HI79">
            <v>0</v>
          </cell>
          <cell r="HJ79">
            <v>0</v>
          </cell>
          <cell r="HK79">
            <v>0</v>
          </cell>
          <cell r="HL79">
            <v>263</v>
          </cell>
          <cell r="HM79">
            <v>82</v>
          </cell>
          <cell r="HN79">
            <v>0</v>
          </cell>
          <cell r="HO79">
            <v>45</v>
          </cell>
          <cell r="HP79">
            <v>5</v>
          </cell>
          <cell r="HQ79">
            <v>0</v>
          </cell>
          <cell r="HR79">
            <v>502</v>
          </cell>
          <cell r="HS79">
            <v>209</v>
          </cell>
          <cell r="HT79">
            <v>0</v>
          </cell>
          <cell r="HU79">
            <v>0</v>
          </cell>
          <cell r="HV79">
            <v>0</v>
          </cell>
          <cell r="HW79">
            <v>0</v>
          </cell>
          <cell r="HX79">
            <v>0</v>
          </cell>
          <cell r="HY79">
            <v>0</v>
          </cell>
          <cell r="HZ79">
            <v>0</v>
          </cell>
          <cell r="IA79">
            <v>0</v>
          </cell>
          <cell r="IB79">
            <v>0</v>
          </cell>
          <cell r="IC79">
            <v>843</v>
          </cell>
          <cell r="ID79">
            <v>71</v>
          </cell>
          <cell r="IE79">
            <v>0</v>
          </cell>
          <cell r="IF79">
            <v>0</v>
          </cell>
          <cell r="IG79">
            <v>31</v>
          </cell>
          <cell r="IH79">
            <v>0</v>
          </cell>
          <cell r="II79">
            <v>1767</v>
          </cell>
          <cell r="IJ79">
            <v>33</v>
          </cell>
          <cell r="IK79">
            <v>0</v>
          </cell>
          <cell r="IL79">
            <v>0</v>
          </cell>
          <cell r="IM79">
            <v>11</v>
          </cell>
          <cell r="IN79">
            <v>0</v>
          </cell>
          <cell r="IO79">
            <v>0</v>
          </cell>
          <cell r="IP79">
            <v>0</v>
          </cell>
          <cell r="IQ79">
            <v>0</v>
          </cell>
          <cell r="IR79">
            <v>0</v>
          </cell>
          <cell r="IS79">
            <v>0</v>
          </cell>
          <cell r="IT79">
            <v>1913</v>
          </cell>
          <cell r="IU79" t="str">
            <v>Police, Ambulance, Mountain Rescue</v>
          </cell>
          <cell r="IV79" t="str">
            <v>6 x RTC/Fogging Units. 3 x Water Rescue Units, Special Rescue Unit, Incident Support Unit</v>
          </cell>
          <cell r="IW79" t="str">
            <v>..</v>
          </cell>
          <cell r="IX79" t="str">
            <v>..</v>
          </cell>
          <cell r="IY79" t="str">
            <v>..</v>
          </cell>
          <cell r="IZ79" t="str">
            <v>..</v>
          </cell>
          <cell r="JA79" t="str">
            <v>..</v>
          </cell>
          <cell r="JB79" t="str">
            <v>..</v>
          </cell>
        </row>
        <row r="80">
          <cell r="A80" t="str">
            <v>E6127</v>
          </cell>
          <cell r="B80" t="str">
            <v>North Yorkshire</v>
          </cell>
          <cell r="C80" t="str">
            <v>Angela Hatton</v>
          </cell>
          <cell r="D80" t="str">
            <v>Business Analyst</v>
          </cell>
          <cell r="E80" t="str">
            <v>01609 788573</v>
          </cell>
          <cell r="F80" t="str">
            <v>Angela.Hatton@northyorksfire.gov.uk</v>
          </cell>
          <cell r="G80" t="str">
            <v>Carol Morrissey</v>
          </cell>
          <cell r="H80" t="str">
            <v>Management Accountant</v>
          </cell>
          <cell r="I80" t="str">
            <v>01609 780150</v>
          </cell>
          <cell r="J80" t="str">
            <v>Carol.Morrissey@northyorksfire.gov.uk</v>
          </cell>
          <cell r="K80" t="str">
            <v>Beverley.Foster@northyorksfire.gov.uk</v>
          </cell>
          <cell r="L80">
            <v>5</v>
          </cell>
          <cell r="M80">
            <v>24</v>
          </cell>
          <cell r="N80">
            <v>7</v>
          </cell>
          <cell r="O80">
            <v>2</v>
          </cell>
          <cell r="P80">
            <v>38</v>
          </cell>
          <cell r="Q80">
            <v>2</v>
          </cell>
          <cell r="R80">
            <v>5</v>
          </cell>
          <cell r="S80">
            <v>24</v>
          </cell>
          <cell r="T80">
            <v>7</v>
          </cell>
          <cell r="U80">
            <v>2</v>
          </cell>
          <cell r="V80">
            <v>38</v>
          </cell>
          <cell r="W80">
            <v>2</v>
          </cell>
          <cell r="X80">
            <v>46</v>
          </cell>
          <cell r="Y80">
            <v>46</v>
          </cell>
          <cell r="Z80">
            <v>3</v>
          </cell>
          <cell r="AA80">
            <v>8</v>
          </cell>
          <cell r="AB80">
            <v>47</v>
          </cell>
          <cell r="AC80">
            <v>0</v>
          </cell>
          <cell r="AD80">
            <v>8</v>
          </cell>
          <cell r="AE80">
            <v>112</v>
          </cell>
          <cell r="AF80">
            <v>71</v>
          </cell>
          <cell r="AG80">
            <v>4</v>
          </cell>
          <cell r="AH80">
            <v>3</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v>14781</v>
          </cell>
          <cell r="BC80">
            <v>2968</v>
          </cell>
          <cell r="BD80">
            <v>701</v>
          </cell>
          <cell r="BE80">
            <v>3077</v>
          </cell>
          <cell r="BF80">
            <v>1108</v>
          </cell>
          <cell r="BG80">
            <v>134</v>
          </cell>
          <cell r="BH80">
            <v>22769</v>
          </cell>
          <cell r="BI80">
            <v>2889</v>
          </cell>
          <cell r="BJ80">
            <v>1321</v>
          </cell>
          <cell r="BK80">
            <v>3150</v>
          </cell>
          <cell r="BL80">
            <v>228</v>
          </cell>
          <cell r="BM80">
            <v>0</v>
          </cell>
          <cell r="BN80">
            <v>0</v>
          </cell>
          <cell r="BO80">
            <v>30357</v>
          </cell>
          <cell r="BP80">
            <v>1245</v>
          </cell>
          <cell r="BQ80">
            <v>0</v>
          </cell>
          <cell r="BR80">
            <v>575</v>
          </cell>
          <cell r="BS80">
            <v>1820</v>
          </cell>
          <cell r="BT80">
            <v>28537</v>
          </cell>
          <cell r="BU80">
            <v>2995</v>
          </cell>
          <cell r="BV80">
            <v>3459</v>
          </cell>
          <cell r="BW80">
            <v>0</v>
          </cell>
          <cell r="BX80">
            <v>1454</v>
          </cell>
          <cell r="BY80">
            <v>0</v>
          </cell>
          <cell r="BZ80">
            <v>1019</v>
          </cell>
          <cell r="CA80">
            <v>0</v>
          </cell>
          <cell r="CB80">
            <v>660</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v>0</v>
          </cell>
          <cell r="CO80">
            <v>16657</v>
          </cell>
          <cell r="CP80">
            <v>3164</v>
          </cell>
          <cell r="CQ80">
            <v>790</v>
          </cell>
          <cell r="CR80">
            <v>3378</v>
          </cell>
          <cell r="CS80">
            <v>768</v>
          </cell>
          <cell r="CT80">
            <v>429</v>
          </cell>
          <cell r="CU80">
            <v>25186</v>
          </cell>
          <cell r="CV80">
            <v>3545</v>
          </cell>
          <cell r="CW80">
            <v>1115</v>
          </cell>
          <cell r="CX80">
            <v>3059</v>
          </cell>
          <cell r="CY80">
            <v>185</v>
          </cell>
          <cell r="CZ80">
            <v>0</v>
          </cell>
          <cell r="DA80">
            <v>0</v>
          </cell>
          <cell r="DB80">
            <v>33090</v>
          </cell>
          <cell r="DC80">
            <v>1290</v>
          </cell>
          <cell r="DD80">
            <v>0</v>
          </cell>
          <cell r="DE80">
            <v>490</v>
          </cell>
          <cell r="DF80">
            <v>1780</v>
          </cell>
          <cell r="DG80">
            <v>31310</v>
          </cell>
          <cell r="DH80">
            <v>2098</v>
          </cell>
          <cell r="DI80">
            <v>0</v>
          </cell>
          <cell r="DJ80">
            <v>0</v>
          </cell>
          <cell r="DK80">
            <v>1093</v>
          </cell>
          <cell r="DL80">
            <v>0</v>
          </cell>
          <cell r="DM80">
            <v>613</v>
          </cell>
          <cell r="DN80">
            <v>0</v>
          </cell>
          <cell r="DO80">
            <v>565</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v>0</v>
          </cell>
          <cell r="EB80">
            <v>0</v>
          </cell>
          <cell r="EC80">
            <v>0</v>
          </cell>
          <cell r="ED80">
            <v>0</v>
          </cell>
          <cell r="EE80">
            <v>0</v>
          </cell>
          <cell r="EF80">
            <v>7418</v>
          </cell>
          <cell r="EG80">
            <v>3011</v>
          </cell>
          <cell r="EH80">
            <v>21450</v>
          </cell>
          <cell r="EI80">
            <v>94</v>
          </cell>
          <cell r="EJ80">
            <v>-5</v>
          </cell>
          <cell r="EK80">
            <v>31968</v>
          </cell>
          <cell r="EL80" t="str">
            <v>..</v>
          </cell>
          <cell r="EM80" t="str">
            <v>..</v>
          </cell>
          <cell r="EN80">
            <v>2595</v>
          </cell>
          <cell r="EO80" t="str">
            <v>..</v>
          </cell>
          <cell r="EP80" t="str">
            <v>..</v>
          </cell>
          <cell r="EQ80" t="str">
            <v>..</v>
          </cell>
          <cell r="ER80">
            <v>27805</v>
          </cell>
          <cell r="ES80">
            <v>158</v>
          </cell>
          <cell r="ET80">
            <v>974</v>
          </cell>
          <cell r="EU80">
            <v>0</v>
          </cell>
          <cell r="EV80">
            <v>31532</v>
          </cell>
          <cell r="EW80" t="str">
            <v>..</v>
          </cell>
          <cell r="EX80" t="str">
            <v>..</v>
          </cell>
          <cell r="EY80">
            <v>585</v>
          </cell>
          <cell r="EZ80" t="str">
            <v>..</v>
          </cell>
          <cell r="FA80" t="str">
            <v>..</v>
          </cell>
          <cell r="FB80" t="str">
            <v>..</v>
          </cell>
          <cell r="FC80">
            <v>6267</v>
          </cell>
          <cell r="FD80">
            <v>36</v>
          </cell>
          <cell r="FE80">
            <v>220</v>
          </cell>
          <cell r="FF80">
            <v>0</v>
          </cell>
          <cell r="FG80">
            <v>7108</v>
          </cell>
          <cell r="FH80">
            <v>-2051</v>
          </cell>
          <cell r="FI80">
            <v>-105</v>
          </cell>
          <cell r="FJ80">
            <v>0</v>
          </cell>
          <cell r="FK80">
            <v>-1761</v>
          </cell>
          <cell r="FL80">
            <v>-194</v>
          </cell>
          <cell r="FM80">
            <v>8649</v>
          </cell>
          <cell r="FN80">
            <v>3194</v>
          </cell>
          <cell r="FO80">
            <v>0</v>
          </cell>
          <cell r="FP80">
            <v>7732</v>
          </cell>
          <cell r="FQ80">
            <v>746</v>
          </cell>
          <cell r="FR80">
            <v>0</v>
          </cell>
          <cell r="FS80">
            <v>-2117</v>
          </cell>
          <cell r="FT80">
            <v>-146</v>
          </cell>
          <cell r="FU80">
            <v>0</v>
          </cell>
          <cell r="FV80">
            <v>-1657</v>
          </cell>
          <cell r="FW80">
            <v>0</v>
          </cell>
          <cell r="FX80">
            <v>8897</v>
          </cell>
          <cell r="FY80">
            <v>1145</v>
          </cell>
          <cell r="FZ80">
            <v>0</v>
          </cell>
          <cell r="GA80">
            <v>6122</v>
          </cell>
          <cell r="GB80">
            <v>777</v>
          </cell>
          <cell r="GC80">
            <v>0</v>
          </cell>
          <cell r="GD80">
            <v>592</v>
          </cell>
          <cell r="GE80">
            <v>630</v>
          </cell>
          <cell r="GF80">
            <v>27</v>
          </cell>
          <cell r="GG80">
            <v>2</v>
          </cell>
          <cell r="GH80">
            <v>92</v>
          </cell>
          <cell r="GI80">
            <v>30</v>
          </cell>
          <cell r="GJ80">
            <v>541</v>
          </cell>
          <cell r="GK80">
            <v>18</v>
          </cell>
          <cell r="GL80">
            <v>29</v>
          </cell>
          <cell r="GM80">
            <v>173</v>
          </cell>
          <cell r="GN80">
            <v>133</v>
          </cell>
          <cell r="GO80">
            <v>30</v>
          </cell>
          <cell r="GP80">
            <v>3972</v>
          </cell>
          <cell r="GQ80">
            <v>3838</v>
          </cell>
          <cell r="GR80">
            <v>296</v>
          </cell>
          <cell r="GS80">
            <v>5163</v>
          </cell>
          <cell r="GT80">
            <v>1789</v>
          </cell>
          <cell r="GU80">
            <v>144</v>
          </cell>
          <cell r="GV80">
            <v>0</v>
          </cell>
          <cell r="GW80">
            <v>0</v>
          </cell>
          <cell r="GX80">
            <v>897</v>
          </cell>
          <cell r="GY80">
            <v>0</v>
          </cell>
          <cell r="GZ80">
            <v>168</v>
          </cell>
          <cell r="HA80">
            <v>385</v>
          </cell>
          <cell r="HB80">
            <v>123</v>
          </cell>
          <cell r="HC80">
            <v>13</v>
          </cell>
          <cell r="HD80">
            <v>71</v>
          </cell>
          <cell r="HE80">
            <v>0</v>
          </cell>
          <cell r="HF80">
            <v>246</v>
          </cell>
          <cell r="HG80">
            <v>0</v>
          </cell>
          <cell r="HH80">
            <v>0</v>
          </cell>
          <cell r="HI80">
            <v>0</v>
          </cell>
          <cell r="HJ80">
            <v>0</v>
          </cell>
          <cell r="HK80">
            <v>10</v>
          </cell>
          <cell r="HL80">
            <v>1913</v>
          </cell>
          <cell r="HM80">
            <v>0</v>
          </cell>
          <cell r="HN80">
            <v>0</v>
          </cell>
          <cell r="HO80">
            <v>76</v>
          </cell>
          <cell r="HP80">
            <v>0</v>
          </cell>
          <cell r="HQ80">
            <v>509</v>
          </cell>
          <cell r="HR80">
            <v>919</v>
          </cell>
          <cell r="HS80">
            <v>7</v>
          </cell>
          <cell r="HT80">
            <v>12</v>
          </cell>
          <cell r="HU80">
            <v>40</v>
          </cell>
          <cell r="HV80">
            <v>0</v>
          </cell>
          <cell r="HW80">
            <v>261</v>
          </cell>
          <cell r="HX80">
            <v>96</v>
          </cell>
          <cell r="HY80">
            <v>0</v>
          </cell>
          <cell r="HZ80">
            <v>0</v>
          </cell>
          <cell r="IA80">
            <v>0</v>
          </cell>
          <cell r="IB80">
            <v>0</v>
          </cell>
          <cell r="IC80">
            <v>1920</v>
          </cell>
          <cell r="ID80">
            <v>0</v>
          </cell>
          <cell r="IE80">
            <v>0</v>
          </cell>
          <cell r="IF80">
            <v>0</v>
          </cell>
          <cell r="IG80">
            <v>0</v>
          </cell>
          <cell r="IH80">
            <v>487</v>
          </cell>
          <cell r="II80">
            <v>1307</v>
          </cell>
          <cell r="IJ80">
            <v>392</v>
          </cell>
          <cell r="IK80">
            <v>0</v>
          </cell>
          <cell r="IL80">
            <v>229</v>
          </cell>
          <cell r="IM80">
            <v>0</v>
          </cell>
          <cell r="IN80">
            <v>229</v>
          </cell>
          <cell r="IO80">
            <v>484</v>
          </cell>
          <cell r="IP80">
            <v>0</v>
          </cell>
          <cell r="IQ80">
            <v>0</v>
          </cell>
          <cell r="IR80">
            <v>0</v>
          </cell>
          <cell r="IS80">
            <v>528</v>
          </cell>
          <cell r="IT80">
            <v>3656</v>
          </cell>
          <cell r="IU80" t="str">
            <v>Ripon &amp; Bedale shared with North Yorkshire Police</v>
          </cell>
          <cell r="IV80" t="str">
            <v>6 TRVs &amp; 2 Boats</v>
          </cell>
          <cell r="IW80" t="str">
            <v>..</v>
          </cell>
          <cell r="IX80" t="str">
            <v>..</v>
          </cell>
          <cell r="IY80" t="str">
            <v>..</v>
          </cell>
          <cell r="IZ80" t="str">
            <v>..</v>
          </cell>
          <cell r="JA80" t="str">
            <v>..</v>
          </cell>
          <cell r="JB80" t="str">
            <v>..</v>
          </cell>
        </row>
        <row r="81">
          <cell r="A81" t="str">
            <v>W6172</v>
          </cell>
          <cell r="B81" t="str">
            <v>North Wales</v>
          </cell>
          <cell r="C81" t="str">
            <v>Lesley Marsh</v>
          </cell>
          <cell r="D81" t="str">
            <v>Corporate Planning Support Officer</v>
          </cell>
          <cell r="E81" t="str">
            <v>01745 539 217</v>
          </cell>
          <cell r="F81" t="str">
            <v>corporateplanning.helpdesk@nwales-fireservice.org.uk</v>
          </cell>
          <cell r="G81" t="str">
            <v>Helen Howard</v>
          </cell>
          <cell r="H81" t="str">
            <v>Head of Finance</v>
          </cell>
          <cell r="I81" t="str">
            <v>01745 535 282</v>
          </cell>
          <cell r="J81" t="str">
            <v>helen.howard@nwales-fireservice.org.uk</v>
          </cell>
          <cell r="K81" t="str">
            <v>..</v>
          </cell>
          <cell r="L81">
            <v>0</v>
          </cell>
          <cell r="M81">
            <v>36</v>
          </cell>
          <cell r="N81">
            <v>8</v>
          </cell>
          <cell r="O81">
            <v>0</v>
          </cell>
          <cell r="P81">
            <v>44</v>
          </cell>
          <cell r="Q81">
            <v>10</v>
          </cell>
          <cell r="R81">
            <v>0</v>
          </cell>
          <cell r="S81">
            <v>36</v>
          </cell>
          <cell r="T81">
            <v>8</v>
          </cell>
          <cell r="U81">
            <v>0</v>
          </cell>
          <cell r="V81">
            <v>44</v>
          </cell>
          <cell r="W81">
            <v>10</v>
          </cell>
          <cell r="X81">
            <v>54</v>
          </cell>
          <cell r="Y81">
            <v>54</v>
          </cell>
          <cell r="Z81">
            <v>3</v>
          </cell>
          <cell r="AA81">
            <v>32</v>
          </cell>
          <cell r="AB81">
            <v>43</v>
          </cell>
          <cell r="AC81">
            <v>0</v>
          </cell>
          <cell r="AD81">
            <v>4</v>
          </cell>
          <cell r="AE81">
            <v>136</v>
          </cell>
          <cell r="AF81">
            <v>110</v>
          </cell>
          <cell r="AG81">
            <v>12</v>
          </cell>
          <cell r="AH81">
            <v>4</v>
          </cell>
          <cell r="AI81">
            <v>248</v>
          </cell>
          <cell r="AJ81">
            <v>456</v>
          </cell>
          <cell r="AK81">
            <v>4</v>
          </cell>
          <cell r="AL81">
            <v>3</v>
          </cell>
          <cell r="AM81">
            <v>11</v>
          </cell>
          <cell r="AN81">
            <v>25</v>
          </cell>
          <cell r="AO81">
            <v>42</v>
          </cell>
          <cell r="AP81">
            <v>49</v>
          </cell>
          <cell r="AQ81">
            <v>111</v>
          </cell>
          <cell r="AR81">
            <v>245</v>
          </cell>
          <cell r="AS81">
            <v>0</v>
          </cell>
          <cell r="AT81">
            <v>0</v>
          </cell>
          <cell r="AU81">
            <v>38.75</v>
          </cell>
          <cell r="AV81">
            <v>62.5</v>
          </cell>
          <cell r="AW81">
            <v>276.25</v>
          </cell>
          <cell r="AX81">
            <v>377.5</v>
          </cell>
          <cell r="AY81">
            <v>30.25</v>
          </cell>
          <cell r="AZ81">
            <v>147.32</v>
          </cell>
          <cell r="BA81">
            <v>800.06999999999994</v>
          </cell>
          <cell r="BB81">
            <v>13068</v>
          </cell>
          <cell r="BC81">
            <v>4293</v>
          </cell>
          <cell r="BD81">
            <v>1365</v>
          </cell>
          <cell r="BE81">
            <v>4377</v>
          </cell>
          <cell r="BF81">
            <v>319</v>
          </cell>
          <cell r="BG81">
            <v>1456</v>
          </cell>
          <cell r="BH81">
            <v>24878</v>
          </cell>
          <cell r="BI81">
            <v>2126</v>
          </cell>
          <cell r="BJ81">
            <v>1075</v>
          </cell>
          <cell r="BK81">
            <v>4573</v>
          </cell>
          <cell r="BL81">
            <v>438</v>
          </cell>
          <cell r="BM81">
            <v>0</v>
          </cell>
          <cell r="BN81">
            <v>0</v>
          </cell>
          <cell r="BO81">
            <v>33090</v>
          </cell>
          <cell r="BP81">
            <v>1260</v>
          </cell>
          <cell r="BQ81">
            <v>224</v>
          </cell>
          <cell r="BR81">
            <v>244</v>
          </cell>
          <cell r="BS81">
            <v>1728</v>
          </cell>
          <cell r="BT81">
            <v>31362</v>
          </cell>
          <cell r="BU81">
            <v>3149</v>
          </cell>
          <cell r="BV81">
            <v>1246</v>
          </cell>
          <cell r="BW81">
            <v>251</v>
          </cell>
          <cell r="BX81">
            <v>2140</v>
          </cell>
          <cell r="BY81">
            <v>0</v>
          </cell>
          <cell r="BZ81">
            <v>509</v>
          </cell>
          <cell r="CA81">
            <v>-12</v>
          </cell>
          <cell r="CB81">
            <v>0</v>
          </cell>
          <cell r="CC81">
            <v>0</v>
          </cell>
          <cell r="CD81">
            <v>0</v>
          </cell>
          <cell r="CE81">
            <v>0</v>
          </cell>
          <cell r="CF81">
            <v>0</v>
          </cell>
          <cell r="CG81">
            <v>58</v>
          </cell>
          <cell r="CH81">
            <v>0</v>
          </cell>
          <cell r="CI81">
            <v>58</v>
          </cell>
          <cell r="CJ81">
            <v>337</v>
          </cell>
          <cell r="CK81">
            <v>643</v>
          </cell>
          <cell r="CL81">
            <v>1170</v>
          </cell>
          <cell r="CM81">
            <v>373</v>
          </cell>
          <cell r="CN81">
            <v>0</v>
          </cell>
          <cell r="CO81">
            <v>12992</v>
          </cell>
          <cell r="CP81">
            <v>4308</v>
          </cell>
          <cell r="CQ81">
            <v>1305</v>
          </cell>
          <cell r="CR81">
            <v>5234</v>
          </cell>
          <cell r="CS81">
            <v>345</v>
          </cell>
          <cell r="CT81">
            <v>1906</v>
          </cell>
          <cell r="CU81">
            <v>26090</v>
          </cell>
          <cell r="CV81">
            <v>2146</v>
          </cell>
          <cell r="CW81">
            <v>1127</v>
          </cell>
          <cell r="CX81">
            <v>4255</v>
          </cell>
          <cell r="CY81">
            <v>446</v>
          </cell>
          <cell r="CZ81">
            <v>0</v>
          </cell>
          <cell r="DA81">
            <v>0</v>
          </cell>
          <cell r="DB81">
            <v>34064</v>
          </cell>
          <cell r="DC81">
            <v>1059</v>
          </cell>
          <cell r="DD81">
            <v>76</v>
          </cell>
          <cell r="DE81">
            <v>141</v>
          </cell>
          <cell r="DF81">
            <v>1276</v>
          </cell>
          <cell r="DG81">
            <v>32788</v>
          </cell>
          <cell r="DH81">
            <v>3300</v>
          </cell>
          <cell r="DI81">
            <v>1300</v>
          </cell>
          <cell r="DJ81">
            <v>0</v>
          </cell>
          <cell r="DK81">
            <v>2519</v>
          </cell>
          <cell r="DL81">
            <v>0</v>
          </cell>
          <cell r="DM81">
            <v>640</v>
          </cell>
          <cell r="DN81">
            <v>-10</v>
          </cell>
          <cell r="DO81">
            <v>0</v>
          </cell>
          <cell r="DP81">
            <v>0</v>
          </cell>
          <cell r="DQ81">
            <v>0</v>
          </cell>
          <cell r="DR81">
            <v>0</v>
          </cell>
          <cell r="DS81">
            <v>0</v>
          </cell>
          <cell r="DT81">
            <v>60</v>
          </cell>
          <cell r="DU81">
            <v>0</v>
          </cell>
          <cell r="DV81">
            <v>60</v>
          </cell>
          <cell r="DW81">
            <v>371</v>
          </cell>
          <cell r="DX81">
            <v>662</v>
          </cell>
          <cell r="DY81">
            <v>1056</v>
          </cell>
          <cell r="DZ81">
            <v>370</v>
          </cell>
          <cell r="EA81">
            <v>0</v>
          </cell>
          <cell r="EB81">
            <v>0</v>
          </cell>
          <cell r="EC81">
            <v>0</v>
          </cell>
          <cell r="ED81">
            <v>14.7</v>
          </cell>
          <cell r="EE81">
            <v>721</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t="str">
            <v>..</v>
          </cell>
          <cell r="EV81" t="str">
            <v>..</v>
          </cell>
          <cell r="EW81" t="str">
            <v>..</v>
          </cell>
          <cell r="EX81" t="str">
            <v>..</v>
          </cell>
          <cell r="EY81" t="str">
            <v>..</v>
          </cell>
          <cell r="EZ81" t="str">
            <v>..</v>
          </cell>
          <cell r="FA81" t="str">
            <v>..</v>
          </cell>
          <cell r="FB81" t="str">
            <v>..</v>
          </cell>
          <cell r="FC81" t="str">
            <v>..</v>
          </cell>
          <cell r="FD81" t="str">
            <v>..</v>
          </cell>
          <cell r="FE81" t="str">
            <v>..</v>
          </cell>
          <cell r="FF81" t="str">
            <v>..</v>
          </cell>
          <cell r="FG81" t="str">
            <v>..</v>
          </cell>
          <cell r="FH81">
            <v>-1889</v>
          </cell>
          <cell r="FI81">
            <v>-31</v>
          </cell>
          <cell r="FJ81">
            <v>0</v>
          </cell>
          <cell r="FK81">
            <v>-1549</v>
          </cell>
          <cell r="FL81">
            <v>-120</v>
          </cell>
          <cell r="FM81">
            <v>6954</v>
          </cell>
          <cell r="FN81">
            <v>1305</v>
          </cell>
          <cell r="FO81">
            <v>95</v>
          </cell>
          <cell r="FP81">
            <v>4765</v>
          </cell>
          <cell r="FQ81">
            <v>436</v>
          </cell>
          <cell r="FR81">
            <v>0</v>
          </cell>
          <cell r="FS81">
            <v>-3052</v>
          </cell>
          <cell r="FT81">
            <v>-29</v>
          </cell>
          <cell r="FU81">
            <v>0</v>
          </cell>
          <cell r="FV81">
            <v>-1524</v>
          </cell>
          <cell r="FW81">
            <v>-180</v>
          </cell>
          <cell r="FX81">
            <v>7315</v>
          </cell>
          <cell r="FY81">
            <v>1366</v>
          </cell>
          <cell r="FZ81">
            <v>0</v>
          </cell>
          <cell r="GA81">
            <v>3896</v>
          </cell>
          <cell r="GB81">
            <v>415</v>
          </cell>
          <cell r="GC81">
            <v>0</v>
          </cell>
          <cell r="GD81">
            <v>438</v>
          </cell>
          <cell r="GE81">
            <v>453</v>
          </cell>
          <cell r="GF81">
            <v>12</v>
          </cell>
          <cell r="GG81">
            <v>1</v>
          </cell>
          <cell r="GH81">
            <v>55</v>
          </cell>
          <cell r="GI81">
            <v>5</v>
          </cell>
          <cell r="GJ81">
            <v>548</v>
          </cell>
          <cell r="GK81">
            <v>19</v>
          </cell>
          <cell r="GL81">
            <v>15</v>
          </cell>
          <cell r="GM81">
            <v>47</v>
          </cell>
          <cell r="GN81">
            <v>96</v>
          </cell>
          <cell r="GO81">
            <v>83</v>
          </cell>
          <cell r="GP81">
            <v>639</v>
          </cell>
          <cell r="GQ81">
            <v>2056</v>
          </cell>
          <cell r="GR81">
            <v>180</v>
          </cell>
          <cell r="GS81">
            <v>769</v>
          </cell>
          <cell r="GT81">
            <v>1376</v>
          </cell>
          <cell r="GU81">
            <v>450</v>
          </cell>
          <cell r="GV81">
            <v>0</v>
          </cell>
          <cell r="GW81">
            <v>0</v>
          </cell>
          <cell r="GX81">
            <v>12</v>
          </cell>
          <cell r="GY81">
            <v>781</v>
          </cell>
          <cell r="GZ81">
            <v>0</v>
          </cell>
          <cell r="HA81">
            <v>1577</v>
          </cell>
          <cell r="HB81">
            <v>120</v>
          </cell>
          <cell r="HC81">
            <v>50</v>
          </cell>
          <cell r="HD81">
            <v>0</v>
          </cell>
          <cell r="HE81">
            <v>297</v>
          </cell>
          <cell r="HF81">
            <v>131</v>
          </cell>
          <cell r="HG81">
            <v>38</v>
          </cell>
          <cell r="HH81">
            <v>723</v>
          </cell>
          <cell r="HI81">
            <v>0</v>
          </cell>
          <cell r="HJ81">
            <v>0</v>
          </cell>
          <cell r="HK81">
            <v>0</v>
          </cell>
          <cell r="HL81">
            <v>3729</v>
          </cell>
          <cell r="HM81">
            <v>0</v>
          </cell>
          <cell r="HN81">
            <v>0</v>
          </cell>
          <cell r="HO81">
            <v>0</v>
          </cell>
          <cell r="HP81">
            <v>582</v>
          </cell>
          <cell r="HQ81">
            <v>0</v>
          </cell>
          <cell r="HR81">
            <v>42</v>
          </cell>
          <cell r="HS81">
            <v>269</v>
          </cell>
          <cell r="HT81">
            <v>54</v>
          </cell>
          <cell r="HU81">
            <v>86</v>
          </cell>
          <cell r="HV81">
            <v>445</v>
          </cell>
          <cell r="HW81">
            <v>87</v>
          </cell>
          <cell r="HX81">
            <v>3</v>
          </cell>
          <cell r="HY81">
            <v>145</v>
          </cell>
          <cell r="HZ81">
            <v>0</v>
          </cell>
          <cell r="IA81">
            <v>143</v>
          </cell>
          <cell r="IB81">
            <v>0</v>
          </cell>
          <cell r="IC81">
            <v>1856</v>
          </cell>
          <cell r="ID81">
            <v>0</v>
          </cell>
          <cell r="IE81">
            <v>0</v>
          </cell>
          <cell r="IF81">
            <v>0</v>
          </cell>
          <cell r="IG81">
            <v>788</v>
          </cell>
          <cell r="IH81">
            <v>0</v>
          </cell>
          <cell r="II81">
            <v>180</v>
          </cell>
          <cell r="IJ81">
            <v>0</v>
          </cell>
          <cell r="IK81">
            <v>11</v>
          </cell>
          <cell r="IL81">
            <v>0</v>
          </cell>
          <cell r="IM81">
            <v>369</v>
          </cell>
          <cell r="IN81">
            <v>190</v>
          </cell>
          <cell r="IO81">
            <v>395</v>
          </cell>
          <cell r="IP81">
            <v>30</v>
          </cell>
          <cell r="IQ81">
            <v>0</v>
          </cell>
          <cell r="IR81">
            <v>0</v>
          </cell>
          <cell r="IS81">
            <v>0</v>
          </cell>
          <cell r="IT81">
            <v>1963</v>
          </cell>
          <cell r="IU81" t="str">
            <v>Ambulance, Police and Coastguard</v>
          </cell>
          <cell r="IV81" t="str">
            <v>Boats, EPU, Foam Carrier, ICU, 6x6, 4x4, Water Carrier, TRU, EPU, Water Incident</v>
          </cell>
          <cell r="IW81" t="str">
            <v>..</v>
          </cell>
          <cell r="IX81" t="str">
            <v>..</v>
          </cell>
          <cell r="IY81" t="str">
            <v>..</v>
          </cell>
          <cell r="IZ81" t="str">
            <v>..</v>
          </cell>
          <cell r="JA81" t="str">
            <v>..</v>
          </cell>
          <cell r="JB81" t="str">
            <v>..</v>
          </cell>
        </row>
        <row r="82">
          <cell r="A82" t="str">
            <v>E2620</v>
          </cell>
          <cell r="B82" t="str">
            <v>Norfolk</v>
          </cell>
          <cell r="C82" t="str">
            <v>Stephen Maxwell</v>
          </cell>
          <cell r="D82" t="str">
            <v>Intelligence and Performance Analyst</v>
          </cell>
          <cell r="E82" t="str">
            <v>0300 123 1396</v>
          </cell>
          <cell r="F82" t="str">
            <v>stephen.maxwell@fire.norfolk.gov.uk</v>
          </cell>
          <cell r="G82" t="str">
            <v>Sarah Williamson</v>
          </cell>
          <cell r="H82" t="str">
            <v>Senior Finance Assistant</v>
          </cell>
          <cell r="I82" t="str">
            <v>01603 222805</v>
          </cell>
          <cell r="J82" t="str">
            <v>mailto:sarah.williamson@norfolk.gov.uk</v>
          </cell>
          <cell r="K82" t="str">
            <v>..</v>
          </cell>
          <cell r="L82">
            <v>3</v>
          </cell>
          <cell r="M82">
            <v>33</v>
          </cell>
          <cell r="N82">
            <v>6</v>
          </cell>
          <cell r="O82">
            <v>0</v>
          </cell>
          <cell r="P82">
            <v>42</v>
          </cell>
          <cell r="Q82">
            <v>10</v>
          </cell>
          <cell r="R82">
            <v>3</v>
          </cell>
          <cell r="S82">
            <v>33</v>
          </cell>
          <cell r="T82">
            <v>6</v>
          </cell>
          <cell r="U82">
            <v>0</v>
          </cell>
          <cell r="V82">
            <v>42</v>
          </cell>
          <cell r="W82">
            <v>13</v>
          </cell>
          <cell r="X82">
            <v>53</v>
          </cell>
          <cell r="Y82">
            <v>53</v>
          </cell>
          <cell r="Z82">
            <v>4</v>
          </cell>
          <cell r="AA82">
            <v>12</v>
          </cell>
          <cell r="AB82">
            <v>47</v>
          </cell>
          <cell r="AC82">
            <v>0</v>
          </cell>
          <cell r="AD82">
            <v>10</v>
          </cell>
          <cell r="AE82">
            <v>126</v>
          </cell>
          <cell r="AF82">
            <v>51</v>
          </cell>
          <cell r="AG82">
            <v>4</v>
          </cell>
          <cell r="AH82">
            <v>6</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v>12764</v>
          </cell>
          <cell r="BC82">
            <v>4964</v>
          </cell>
          <cell r="BD82">
            <v>912</v>
          </cell>
          <cell r="BE82">
            <v>2468</v>
          </cell>
          <cell r="BF82">
            <v>256</v>
          </cell>
          <cell r="BG82">
            <v>1505</v>
          </cell>
          <cell r="BH82">
            <v>22869</v>
          </cell>
          <cell r="BI82">
            <v>1513</v>
          </cell>
          <cell r="BJ82">
            <v>1502</v>
          </cell>
          <cell r="BK82">
            <v>2525</v>
          </cell>
          <cell r="BL82">
            <v>1254</v>
          </cell>
          <cell r="BM82">
            <v>29</v>
          </cell>
          <cell r="BN82">
            <v>0</v>
          </cell>
          <cell r="BO82">
            <v>29692</v>
          </cell>
          <cell r="BP82">
            <v>1128</v>
          </cell>
          <cell r="BQ82">
            <v>0</v>
          </cell>
          <cell r="BR82">
            <v>776</v>
          </cell>
          <cell r="BS82">
            <v>1904</v>
          </cell>
          <cell r="BT82">
            <v>27788</v>
          </cell>
          <cell r="BU82">
            <v>2511</v>
          </cell>
          <cell r="BV82">
            <v>1290</v>
          </cell>
          <cell r="BW82">
            <v>0</v>
          </cell>
          <cell r="BX82" t="str">
            <v>..</v>
          </cell>
          <cell r="BY82" t="str">
            <v>..</v>
          </cell>
          <cell r="BZ82" t="str">
            <v>..</v>
          </cell>
          <cell r="CA82" t="str">
            <v>..</v>
          </cell>
          <cell r="CB82">
            <v>0</v>
          </cell>
          <cell r="CC82" t="str">
            <v>..</v>
          </cell>
          <cell r="CD82" t="str">
            <v>..</v>
          </cell>
          <cell r="CE82" t="str">
            <v>..</v>
          </cell>
          <cell r="CF82" t="str">
            <v>..</v>
          </cell>
          <cell r="CG82" t="str">
            <v>..</v>
          </cell>
          <cell r="CH82" t="str">
            <v>..</v>
          </cell>
          <cell r="CI82" t="str">
            <v>..</v>
          </cell>
          <cell r="CJ82" t="str">
            <v>..</v>
          </cell>
          <cell r="CK82" t="str">
            <v>..</v>
          </cell>
          <cell r="CL82">
            <v>625</v>
          </cell>
          <cell r="CM82" t="str">
            <v>..</v>
          </cell>
          <cell r="CN82" t="str">
            <v>..</v>
          </cell>
          <cell r="CO82">
            <v>13918</v>
          </cell>
          <cell r="CP82">
            <v>5310</v>
          </cell>
          <cell r="CQ82">
            <v>866</v>
          </cell>
          <cell r="CR82">
            <v>2658</v>
          </cell>
          <cell r="CS82">
            <v>225</v>
          </cell>
          <cell r="CT82">
            <v>1554</v>
          </cell>
          <cell r="CU82">
            <v>24531</v>
          </cell>
          <cell r="CV82">
            <v>1374</v>
          </cell>
          <cell r="CW82">
            <v>1485</v>
          </cell>
          <cell r="CX82">
            <v>2979</v>
          </cell>
          <cell r="CY82">
            <v>1254</v>
          </cell>
          <cell r="CZ82">
            <v>26</v>
          </cell>
          <cell r="DA82">
            <v>0</v>
          </cell>
          <cell r="DB82">
            <v>31649</v>
          </cell>
          <cell r="DC82">
            <v>2437</v>
          </cell>
          <cell r="DD82">
            <v>0</v>
          </cell>
          <cell r="DE82">
            <v>752</v>
          </cell>
          <cell r="DF82">
            <v>3189</v>
          </cell>
          <cell r="DG82">
            <v>28460</v>
          </cell>
          <cell r="DH82">
            <v>2170</v>
          </cell>
          <cell r="DI82">
            <v>1290</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v>
          </cell>
          <cell r="DX82" t="str">
            <v>..</v>
          </cell>
          <cell r="DY82">
            <v>907</v>
          </cell>
          <cell r="DZ82" t="str">
            <v>..</v>
          </cell>
          <cell r="EA82">
            <v>77</v>
          </cell>
          <cell r="EB82" t="str">
            <v>..</v>
          </cell>
          <cell r="EC82" t="str">
            <v>..</v>
          </cell>
          <cell r="ED82">
            <v>15.5</v>
          </cell>
          <cell r="EE82" t="str">
            <v>..</v>
          </cell>
          <cell r="EF82">
            <v>0</v>
          </cell>
          <cell r="EG82">
            <v>0</v>
          </cell>
          <cell r="EH82">
            <v>0</v>
          </cell>
          <cell r="EI82">
            <v>0</v>
          </cell>
          <cell r="EJ82">
            <v>0</v>
          </cell>
          <cell r="EK82">
            <v>0</v>
          </cell>
          <cell r="EL82">
            <v>756</v>
          </cell>
          <cell r="EM82">
            <v>614</v>
          </cell>
          <cell r="EN82">
            <v>1370</v>
          </cell>
          <cell r="EO82">
            <v>24043</v>
          </cell>
          <cell r="EP82">
            <v>2916</v>
          </cell>
          <cell r="EQ82">
            <v>315</v>
          </cell>
          <cell r="ER82">
            <v>27274</v>
          </cell>
          <cell r="ES82">
            <v>401</v>
          </cell>
          <cell r="ET82">
            <v>1254</v>
          </cell>
          <cell r="EU82">
            <v>0</v>
          </cell>
          <cell r="EV82">
            <v>30299</v>
          </cell>
          <cell r="EW82">
            <v>261</v>
          </cell>
          <cell r="EX82">
            <v>155</v>
          </cell>
          <cell r="EY82">
            <v>416</v>
          </cell>
          <cell r="EZ82">
            <v>8214</v>
          </cell>
          <cell r="FA82">
            <v>990</v>
          </cell>
          <cell r="FB82">
            <v>107</v>
          </cell>
          <cell r="FC82">
            <v>9311</v>
          </cell>
          <cell r="FD82">
            <v>136</v>
          </cell>
          <cell r="FE82">
            <v>1254</v>
          </cell>
          <cell r="FF82">
            <v>0</v>
          </cell>
          <cell r="FG82">
            <v>11117</v>
          </cell>
          <cell r="FH82">
            <v>-1842</v>
          </cell>
          <cell r="FI82">
            <v>-158</v>
          </cell>
          <cell r="FJ82">
            <v>0</v>
          </cell>
          <cell r="FK82">
            <v>-1560</v>
          </cell>
          <cell r="FL82">
            <v>-15</v>
          </cell>
          <cell r="FM82">
            <v>7226</v>
          </cell>
          <cell r="FN82">
            <v>1494</v>
          </cell>
          <cell r="FO82">
            <v>0</v>
          </cell>
          <cell r="FP82">
            <v>5145</v>
          </cell>
          <cell r="FQ82">
            <v>1076</v>
          </cell>
          <cell r="FR82">
            <v>0</v>
          </cell>
          <cell r="FS82">
            <v>-3712</v>
          </cell>
          <cell r="FT82">
            <v>-158</v>
          </cell>
          <cell r="FU82">
            <v>0</v>
          </cell>
          <cell r="FV82">
            <v>-1616</v>
          </cell>
          <cell r="FW82">
            <v>0</v>
          </cell>
          <cell r="FX82">
            <v>7481</v>
          </cell>
          <cell r="FY82">
            <v>1647</v>
          </cell>
          <cell r="FZ82">
            <v>0</v>
          </cell>
          <cell r="GA82">
            <v>3642</v>
          </cell>
          <cell r="GB82">
            <v>1128</v>
          </cell>
          <cell r="GC82">
            <v>0</v>
          </cell>
          <cell r="GD82">
            <v>617</v>
          </cell>
          <cell r="GE82">
            <v>633</v>
          </cell>
          <cell r="GF82">
            <v>17</v>
          </cell>
          <cell r="GG82">
            <v>4</v>
          </cell>
          <cell r="GH82">
            <v>45</v>
          </cell>
          <cell r="GI82">
            <v>25</v>
          </cell>
          <cell r="GJ82">
            <v>515</v>
          </cell>
          <cell r="GK82">
            <v>7</v>
          </cell>
          <cell r="GL82">
            <v>48</v>
          </cell>
          <cell r="GM82">
            <v>114</v>
          </cell>
          <cell r="GN82">
            <v>61</v>
          </cell>
          <cell r="GO82">
            <v>10</v>
          </cell>
          <cell r="GP82">
            <v>1160</v>
          </cell>
          <cell r="GQ82">
            <v>0</v>
          </cell>
          <cell r="GR82">
            <v>48</v>
          </cell>
          <cell r="GS82">
            <v>1356</v>
          </cell>
          <cell r="GT82">
            <v>0</v>
          </cell>
          <cell r="GU82">
            <v>48</v>
          </cell>
          <cell r="GV82">
            <v>0</v>
          </cell>
          <cell r="GW82">
            <v>13</v>
          </cell>
          <cell r="GX82">
            <v>739</v>
          </cell>
          <cell r="GY82">
            <v>82</v>
          </cell>
          <cell r="GZ82">
            <v>24</v>
          </cell>
          <cell r="HA82">
            <v>118</v>
          </cell>
          <cell r="HB82">
            <v>0</v>
          </cell>
          <cell r="HC82">
            <v>0</v>
          </cell>
          <cell r="HD82">
            <v>0</v>
          </cell>
          <cell r="HE82">
            <v>235</v>
          </cell>
          <cell r="HF82">
            <v>0</v>
          </cell>
          <cell r="HG82">
            <v>0</v>
          </cell>
          <cell r="HH82">
            <v>82</v>
          </cell>
          <cell r="HI82">
            <v>0</v>
          </cell>
          <cell r="HJ82">
            <v>476</v>
          </cell>
          <cell r="HK82">
            <v>0</v>
          </cell>
          <cell r="HL82">
            <v>1769</v>
          </cell>
          <cell r="HM82">
            <v>0</v>
          </cell>
          <cell r="HN82">
            <v>34</v>
          </cell>
          <cell r="HO82">
            <v>113</v>
          </cell>
          <cell r="HP82">
            <v>45</v>
          </cell>
          <cell r="HQ82">
            <v>0</v>
          </cell>
          <cell r="HR82">
            <v>210</v>
          </cell>
          <cell r="HS82">
            <v>0</v>
          </cell>
          <cell r="HT82">
            <v>0</v>
          </cell>
          <cell r="HU82">
            <v>9</v>
          </cell>
          <cell r="HV82">
            <v>0</v>
          </cell>
          <cell r="HW82">
            <v>0</v>
          </cell>
          <cell r="HX82">
            <v>0</v>
          </cell>
          <cell r="HY82">
            <v>125</v>
          </cell>
          <cell r="HZ82">
            <v>0</v>
          </cell>
          <cell r="IA82">
            <v>26</v>
          </cell>
          <cell r="IB82">
            <v>0</v>
          </cell>
          <cell r="IC82">
            <v>562</v>
          </cell>
          <cell r="ID82">
            <v>0</v>
          </cell>
          <cell r="IE82">
            <v>0</v>
          </cell>
          <cell r="IF82">
            <v>542</v>
          </cell>
          <cell r="IG82">
            <v>800</v>
          </cell>
          <cell r="IH82">
            <v>221</v>
          </cell>
          <cell r="II82">
            <v>500</v>
          </cell>
          <cell r="IJ82">
            <v>0</v>
          </cell>
          <cell r="IK82">
            <v>0</v>
          </cell>
          <cell r="IL82">
            <v>0</v>
          </cell>
          <cell r="IM82">
            <v>203</v>
          </cell>
          <cell r="IN82">
            <v>100</v>
          </cell>
          <cell r="IO82">
            <v>140</v>
          </cell>
          <cell r="IP82">
            <v>352</v>
          </cell>
          <cell r="IQ82">
            <v>0</v>
          </cell>
          <cell r="IR82">
            <v>133</v>
          </cell>
          <cell r="IS82">
            <v>0</v>
          </cell>
          <cell r="IT82">
            <v>2991</v>
          </cell>
          <cell r="IU82" t="str">
            <v xml:space="preserve">Wymondham Fire Station:  Police.
Hunstanton Fire Station:  Police. 
Gorleston Fire Station:  Maritime &amp; Coastguard Agency, Norfolk Lowland Search and Rescue.
Gt Yarmouth Fire Station:  East of England Ambulance Service. 
Sandringham Fire Station:  East of England Ambulance Service. 
Diamond Jubilee Fire Station:  East of England Ambulance Service. 
Sheringham Fire Station:  East of England Ambulance Service, Police &amp; Maritime  
Coastguard Agency.
Wroxham Fire Station:  Norfolk Lowland Search and Rescue.
North Lynn Fire Station: Police. 
Downham Market Fire Station:  Police.
Reepham Fire Station:  Police, extension works to commence 28th May 19. 
Holt Fire Station:  Police, extension works to commence 28th May 19. 
Attleborough Fire Station:  Police, at planning stage.
</v>
          </cell>
          <cell r="IV82" t="str">
            <v xml:space="preserve">EPU x2, TRU x3, ORV x2, CU x1, WC x2, Welfare x1, IRU x1 </v>
          </cell>
          <cell r="IW82" t="str">
            <v>cross border activity with Cambridgeshire Fire &amp; Rescue Service</v>
          </cell>
          <cell r="IX82" t="str">
            <v>..</v>
          </cell>
          <cell r="IY82" t="str">
            <v>..</v>
          </cell>
          <cell r="IZ82" t="str">
            <v>..</v>
          </cell>
          <cell r="JA82" t="str">
            <v>..</v>
          </cell>
          <cell r="JB82"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83">
          <cell r="A83" t="str">
            <v>W6171</v>
          </cell>
          <cell r="B83" t="str">
            <v>Mid and West Wales</v>
          </cell>
          <cell r="C83" t="str">
            <v>Christopher Rees</v>
          </cell>
          <cell r="D83" t="str">
            <v>Statistical Analyst</v>
          </cell>
          <cell r="E83" t="str">
            <v>01267 226829</v>
          </cell>
          <cell r="F83" t="str">
            <v>c.rees@mawwfire.gov.uk</v>
          </cell>
          <cell r="G83" t="str">
            <v>Louise Bishop</v>
          </cell>
          <cell r="H83" t="str">
            <v>Accountant</v>
          </cell>
          <cell r="I83" t="str">
            <v>01267 226880</v>
          </cell>
          <cell r="J83" t="str">
            <v>l.bishop@mawwfire.gov.uk</v>
          </cell>
          <cell r="K83" t="str">
            <v>..</v>
          </cell>
          <cell r="L83">
            <v>4</v>
          </cell>
          <cell r="M83">
            <v>43</v>
          </cell>
          <cell r="N83">
            <v>9</v>
          </cell>
          <cell r="O83">
            <v>2</v>
          </cell>
          <cell r="P83">
            <v>58</v>
          </cell>
          <cell r="Q83">
            <v>17</v>
          </cell>
          <cell r="R83">
            <v>4</v>
          </cell>
          <cell r="S83">
            <v>43</v>
          </cell>
          <cell r="T83">
            <v>9</v>
          </cell>
          <cell r="U83">
            <v>2</v>
          </cell>
          <cell r="V83">
            <v>58</v>
          </cell>
          <cell r="W83">
            <v>19</v>
          </cell>
          <cell r="X83">
            <v>69</v>
          </cell>
          <cell r="Y83">
            <v>69</v>
          </cell>
          <cell r="Z83">
            <v>3</v>
          </cell>
          <cell r="AA83">
            <v>55</v>
          </cell>
          <cell r="AB83">
            <v>43</v>
          </cell>
          <cell r="AC83">
            <v>0</v>
          </cell>
          <cell r="AD83">
            <v>24</v>
          </cell>
          <cell r="AE83">
            <v>194</v>
          </cell>
          <cell r="AF83">
            <v>125</v>
          </cell>
          <cell r="AG83">
            <v>14</v>
          </cell>
          <cell r="AH83">
            <v>7</v>
          </cell>
          <cell r="AI83">
            <v>384</v>
          </cell>
          <cell r="AJ83">
            <v>769</v>
          </cell>
          <cell r="AK83">
            <v>3</v>
          </cell>
          <cell r="AL83">
            <v>3</v>
          </cell>
          <cell r="AM83">
            <v>18</v>
          </cell>
          <cell r="AN83">
            <v>46</v>
          </cell>
          <cell r="AO83">
            <v>107</v>
          </cell>
          <cell r="AP83">
            <v>47</v>
          </cell>
          <cell r="AQ83">
            <v>160</v>
          </cell>
          <cell r="AR83">
            <v>384</v>
          </cell>
          <cell r="AS83">
            <v>0</v>
          </cell>
          <cell r="AT83">
            <v>0</v>
          </cell>
          <cell r="AU83">
            <v>52</v>
          </cell>
          <cell r="AV83">
            <v>128.5</v>
          </cell>
          <cell r="AW83">
            <v>470.25</v>
          </cell>
          <cell r="AX83">
            <v>650.75</v>
          </cell>
          <cell r="AY83">
            <v>26.3</v>
          </cell>
          <cell r="AZ83">
            <v>197</v>
          </cell>
          <cell r="BA83">
            <v>1258.05</v>
          </cell>
          <cell r="BB83">
            <v>20842</v>
          </cell>
          <cell r="BC83">
            <v>7130</v>
          </cell>
          <cell r="BD83">
            <v>1316</v>
          </cell>
          <cell r="BE83">
            <v>5647</v>
          </cell>
          <cell r="BF83">
            <v>515</v>
          </cell>
          <cell r="BG83">
            <v>11</v>
          </cell>
          <cell r="BH83">
            <v>35461</v>
          </cell>
          <cell r="BI83">
            <v>2239</v>
          </cell>
          <cell r="BJ83">
            <v>2893</v>
          </cell>
          <cell r="BK83">
            <v>6522</v>
          </cell>
          <cell r="BL83">
            <v>1123</v>
          </cell>
          <cell r="BM83">
            <v>0</v>
          </cell>
          <cell r="BN83">
            <v>0</v>
          </cell>
          <cell r="BO83">
            <v>48238</v>
          </cell>
          <cell r="BP83">
            <v>3072</v>
          </cell>
          <cell r="BQ83">
            <v>1332</v>
          </cell>
          <cell r="BR83">
            <v>0</v>
          </cell>
          <cell r="BS83">
            <v>4404</v>
          </cell>
          <cell r="BT83">
            <v>43834</v>
          </cell>
          <cell r="BU83">
            <v>1942</v>
          </cell>
          <cell r="BV83">
            <v>883</v>
          </cell>
          <cell r="BW83">
            <v>118</v>
          </cell>
          <cell r="BX83">
            <v>1941</v>
          </cell>
          <cell r="BY83">
            <v>729</v>
          </cell>
          <cell r="BZ83">
            <v>745</v>
          </cell>
          <cell r="CA83">
            <v>42</v>
          </cell>
          <cell r="CB83">
            <v>0</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v>21345</v>
          </cell>
          <cell r="CP83">
            <v>7675</v>
          </cell>
          <cell r="CQ83">
            <v>1299</v>
          </cell>
          <cell r="CR83">
            <v>6160</v>
          </cell>
          <cell r="CS83">
            <v>497</v>
          </cell>
          <cell r="CT83">
            <v>91</v>
          </cell>
          <cell r="CU83">
            <v>37067</v>
          </cell>
          <cell r="CV83">
            <v>2308</v>
          </cell>
          <cell r="CW83">
            <v>1991</v>
          </cell>
          <cell r="CX83">
            <v>4543</v>
          </cell>
          <cell r="CY83">
            <v>4671</v>
          </cell>
          <cell r="CZ83">
            <v>0</v>
          </cell>
          <cell r="DA83">
            <v>0</v>
          </cell>
          <cell r="DB83">
            <v>50580</v>
          </cell>
          <cell r="DC83">
            <v>1879</v>
          </cell>
          <cell r="DD83">
            <v>712</v>
          </cell>
          <cell r="DE83">
            <v>0</v>
          </cell>
          <cell r="DF83">
            <v>2591</v>
          </cell>
          <cell r="DG83">
            <v>47989</v>
          </cell>
          <cell r="DH83">
            <v>2300</v>
          </cell>
          <cell r="DI83">
            <v>900</v>
          </cell>
          <cell r="DJ83">
            <v>0</v>
          </cell>
          <cell r="DK83">
            <v>2293</v>
          </cell>
          <cell r="DL83">
            <v>638</v>
          </cell>
          <cell r="DM83">
            <v>811</v>
          </cell>
          <cell r="DN83">
            <v>20</v>
          </cell>
          <cell r="DO83">
            <v>0</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113.976</v>
          </cell>
          <cell r="ED83" t="str">
            <v>..</v>
          </cell>
          <cell r="EE83" t="str">
            <v>..</v>
          </cell>
          <cell r="EF83" t="str">
            <v>..</v>
          </cell>
          <cell r="EG83" t="str">
            <v>..</v>
          </cell>
          <cell r="EH83" t="str">
            <v>..</v>
          </cell>
          <cell r="EI83" t="str">
            <v>..</v>
          </cell>
          <cell r="EJ83" t="str">
            <v>..</v>
          </cell>
          <cell r="EK83" t="str">
            <v>..</v>
          </cell>
          <cell r="EL83" t="str">
            <v>..</v>
          </cell>
          <cell r="EM83" t="str">
            <v>..</v>
          </cell>
          <cell r="EN83">
            <v>5416</v>
          </cell>
          <cell r="EO83" t="str">
            <v>..</v>
          </cell>
          <cell r="EP83" t="str">
            <v>..</v>
          </cell>
          <cell r="EQ83" t="str">
            <v>..</v>
          </cell>
          <cell r="ER83">
            <v>38293</v>
          </cell>
          <cell r="ES83">
            <v>236</v>
          </cell>
          <cell r="ET83">
            <v>1831</v>
          </cell>
          <cell r="EU83">
            <v>0</v>
          </cell>
          <cell r="EV83">
            <v>45776</v>
          </cell>
          <cell r="EW83" t="str">
            <v>..</v>
          </cell>
          <cell r="EX83" t="str">
            <v>..</v>
          </cell>
          <cell r="EY83">
            <v>5416</v>
          </cell>
          <cell r="EZ83" t="str">
            <v>..</v>
          </cell>
          <cell r="FA83" t="str">
            <v>..</v>
          </cell>
          <cell r="FB83" t="str">
            <v>..</v>
          </cell>
          <cell r="FC83">
            <v>38293</v>
          </cell>
          <cell r="FD83">
            <v>236</v>
          </cell>
          <cell r="FE83">
            <v>1831</v>
          </cell>
          <cell r="FF83">
            <v>0</v>
          </cell>
          <cell r="FG83">
            <v>45776</v>
          </cell>
          <cell r="FH83">
            <v>-3168</v>
          </cell>
          <cell r="FI83">
            <v>-498</v>
          </cell>
          <cell r="FJ83">
            <v>0</v>
          </cell>
          <cell r="FK83">
            <v>-2560</v>
          </cell>
          <cell r="FL83">
            <v>-157</v>
          </cell>
          <cell r="FM83">
            <v>11453</v>
          </cell>
          <cell r="FN83">
            <v>1955</v>
          </cell>
          <cell r="FO83">
            <v>8</v>
          </cell>
          <cell r="FP83">
            <v>7033</v>
          </cell>
          <cell r="FQ83" t="str">
            <v>..</v>
          </cell>
          <cell r="FR83" t="str">
            <v>..</v>
          </cell>
          <cell r="FS83">
            <v>-4551</v>
          </cell>
          <cell r="FT83">
            <v>-450</v>
          </cell>
          <cell r="FU83">
            <v>0</v>
          </cell>
          <cell r="FV83">
            <v>-2711</v>
          </cell>
          <cell r="FW83">
            <v>-150</v>
          </cell>
          <cell r="FX83">
            <v>12243</v>
          </cell>
          <cell r="FY83">
            <v>2090</v>
          </cell>
          <cell r="FZ83">
            <v>10</v>
          </cell>
          <cell r="GA83">
            <v>6481</v>
          </cell>
          <cell r="GB83" t="str">
            <v>..</v>
          </cell>
          <cell r="GC83" t="str">
            <v>..</v>
          </cell>
          <cell r="GD83">
            <v>736</v>
          </cell>
          <cell r="GE83">
            <v>761</v>
          </cell>
          <cell r="GF83">
            <v>21</v>
          </cell>
          <cell r="GG83">
            <v>2</v>
          </cell>
          <cell r="GH83">
            <v>96</v>
          </cell>
          <cell r="GI83">
            <v>19</v>
          </cell>
          <cell r="GJ83">
            <v>947</v>
          </cell>
          <cell r="GK83">
            <v>39</v>
          </cell>
          <cell r="GL83">
            <v>37</v>
          </cell>
          <cell r="GM83">
            <v>482</v>
          </cell>
          <cell r="GN83">
            <v>360</v>
          </cell>
          <cell r="GO83">
            <v>29</v>
          </cell>
          <cell r="GP83">
            <v>7328</v>
          </cell>
          <cell r="GQ83">
            <v>707</v>
          </cell>
          <cell r="GR83" t="str">
            <v>..</v>
          </cell>
          <cell r="GS83">
            <v>7725</v>
          </cell>
          <cell r="GT83">
            <v>880</v>
          </cell>
          <cell r="GU83" t="str">
            <v>..</v>
          </cell>
          <cell r="GV83">
            <v>373</v>
          </cell>
          <cell r="GW83">
            <v>0</v>
          </cell>
          <cell r="GX83">
            <v>0</v>
          </cell>
          <cell r="GY83">
            <v>757</v>
          </cell>
          <cell r="GZ83">
            <v>5</v>
          </cell>
          <cell r="HA83">
            <v>1493</v>
          </cell>
          <cell r="HB83">
            <v>0</v>
          </cell>
          <cell r="HC83">
            <v>0</v>
          </cell>
          <cell r="HD83">
            <v>0</v>
          </cell>
          <cell r="HE83">
            <v>0</v>
          </cell>
          <cell r="HF83">
            <v>64</v>
          </cell>
          <cell r="HG83">
            <v>297</v>
          </cell>
          <cell r="HH83">
            <v>1385</v>
          </cell>
          <cell r="HI83">
            <v>0</v>
          </cell>
          <cell r="HJ83">
            <v>0</v>
          </cell>
          <cell r="HK83">
            <v>0</v>
          </cell>
          <cell r="HL83">
            <v>4374</v>
          </cell>
          <cell r="HM83">
            <v>204</v>
          </cell>
          <cell r="HN83">
            <v>0</v>
          </cell>
          <cell r="HO83">
            <v>0</v>
          </cell>
          <cell r="HP83">
            <v>626</v>
          </cell>
          <cell r="HQ83">
            <v>22</v>
          </cell>
          <cell r="HR83">
            <v>629</v>
          </cell>
          <cell r="HS83">
            <v>0</v>
          </cell>
          <cell r="HT83">
            <v>0</v>
          </cell>
          <cell r="HU83">
            <v>300</v>
          </cell>
          <cell r="HV83">
            <v>0</v>
          </cell>
          <cell r="HW83">
            <v>136</v>
          </cell>
          <cell r="HX83" t="str">
            <v>..</v>
          </cell>
          <cell r="HY83">
            <v>467</v>
          </cell>
          <cell r="HZ83">
            <v>0</v>
          </cell>
          <cell r="IA83">
            <v>0</v>
          </cell>
          <cell r="IB83">
            <v>0</v>
          </cell>
          <cell r="IC83" t="str">
            <v>..</v>
          </cell>
          <cell r="ID83">
            <v>1900</v>
          </cell>
          <cell r="IE83">
            <v>240</v>
          </cell>
          <cell r="IF83">
            <v>0</v>
          </cell>
          <cell r="IG83">
            <v>3580</v>
          </cell>
          <cell r="IH83">
            <v>35</v>
          </cell>
          <cell r="II83">
            <v>5744</v>
          </cell>
          <cell r="IJ83">
            <v>0</v>
          </cell>
          <cell r="IK83">
            <v>0</v>
          </cell>
          <cell r="IL83">
            <v>0</v>
          </cell>
          <cell r="IM83">
            <v>0</v>
          </cell>
          <cell r="IN83">
            <v>75</v>
          </cell>
          <cell r="IO83">
            <v>1130</v>
          </cell>
          <cell r="IP83">
            <v>439</v>
          </cell>
          <cell r="IQ83">
            <v>0</v>
          </cell>
          <cell r="IR83">
            <v>0</v>
          </cell>
          <cell r="IS83">
            <v>0</v>
          </cell>
          <cell r="IT83">
            <v>13143</v>
          </cell>
          <cell r="IU83">
            <v>0</v>
          </cell>
          <cell r="IV83" t="str">
            <v>..</v>
          </cell>
          <cell r="IW83" t="str">
            <v>..</v>
          </cell>
          <cell r="IX83" t="str">
            <v>..</v>
          </cell>
          <cell r="IY83" t="str">
            <v>..</v>
          </cell>
          <cell r="IZ83" t="str">
            <v>..</v>
          </cell>
          <cell r="JA83" t="str">
            <v>..</v>
          </cell>
          <cell r="JB83" t="str">
            <v>Could you explain why we still need to report section B using SeRCOP as it is no longer needed in the statement of accounts.</v>
          </cell>
        </row>
        <row r="84">
          <cell r="A84" t="str">
            <v>E6143</v>
          </cell>
          <cell r="B84" t="str">
            <v>Merseyside</v>
          </cell>
          <cell r="C84" t="str">
            <v>Jackie Sutton</v>
          </cell>
          <cell r="D84" t="str">
            <v>IRMP Officer</v>
          </cell>
          <cell r="E84">
            <v>1512964563</v>
          </cell>
          <cell r="F84" t="str">
            <v>jackiesutton@merseyfire.gov.uk</v>
          </cell>
          <cell r="G84" t="str">
            <v>Simon Purcell</v>
          </cell>
          <cell r="H84" t="str">
            <v>Accountant</v>
          </cell>
          <cell r="I84">
            <v>1512964204</v>
          </cell>
          <cell r="J84" t="str">
            <v>simonpurcell@merseyfire.gov.uk</v>
          </cell>
          <cell r="K84">
            <v>0</v>
          </cell>
          <cell r="L84">
            <v>12</v>
          </cell>
          <cell r="M84">
            <v>0</v>
          </cell>
          <cell r="N84">
            <v>11</v>
          </cell>
          <cell r="O84">
            <v>0</v>
          </cell>
          <cell r="P84">
            <v>23</v>
          </cell>
          <cell r="Q84">
            <v>7</v>
          </cell>
          <cell r="R84">
            <v>12</v>
          </cell>
          <cell r="S84">
            <v>0</v>
          </cell>
          <cell r="T84">
            <v>11</v>
          </cell>
          <cell r="U84">
            <v>0</v>
          </cell>
          <cell r="V84">
            <v>23</v>
          </cell>
          <cell r="W84">
            <v>7</v>
          </cell>
          <cell r="X84">
            <v>30</v>
          </cell>
          <cell r="Y84">
            <v>29</v>
          </cell>
          <cell r="Z84">
            <v>4</v>
          </cell>
          <cell r="AA84">
            <v>31</v>
          </cell>
          <cell r="AB84">
            <v>46</v>
          </cell>
          <cell r="AC84">
            <v>0</v>
          </cell>
          <cell r="AD84">
            <v>16</v>
          </cell>
          <cell r="AE84">
            <v>126</v>
          </cell>
          <cell r="AF84">
            <v>117</v>
          </cell>
          <cell r="AG84">
            <v>9</v>
          </cell>
          <cell r="AH84">
            <v>6</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v>30809</v>
          </cell>
          <cell r="BC84">
            <v>710</v>
          </cell>
          <cell r="BD84">
            <v>1281</v>
          </cell>
          <cell r="BE84">
            <v>9680</v>
          </cell>
          <cell r="BF84">
            <v>1609</v>
          </cell>
          <cell r="BG84">
            <v>731</v>
          </cell>
          <cell r="BH84">
            <v>44820</v>
          </cell>
          <cell r="BI84">
            <v>4075</v>
          </cell>
          <cell r="BJ84">
            <v>7682</v>
          </cell>
          <cell r="BK84">
            <v>5305</v>
          </cell>
          <cell r="BL84">
            <v>645</v>
          </cell>
          <cell r="BM84">
            <v>0</v>
          </cell>
          <cell r="BN84">
            <v>3143</v>
          </cell>
          <cell r="BO84">
            <v>65670</v>
          </cell>
          <cell r="BP84">
            <v>14882</v>
          </cell>
          <cell r="BQ84">
            <v>907</v>
          </cell>
          <cell r="BR84">
            <v>2546</v>
          </cell>
          <cell r="BS84">
            <v>18335</v>
          </cell>
          <cell r="BT84">
            <v>47335</v>
          </cell>
          <cell r="BU84">
            <v>11444</v>
          </cell>
          <cell r="BV84">
            <v>5156</v>
          </cell>
          <cell r="BW84">
            <v>1665</v>
          </cell>
          <cell r="BX84">
            <v>7830</v>
          </cell>
          <cell r="BY84">
            <v>0</v>
          </cell>
          <cell r="BZ84">
            <v>1985</v>
          </cell>
          <cell r="CA84">
            <v>266</v>
          </cell>
          <cell r="CB84">
            <v>363</v>
          </cell>
          <cell r="CC84">
            <v>0</v>
          </cell>
          <cell r="CD84">
            <v>0</v>
          </cell>
          <cell r="CE84">
            <v>0</v>
          </cell>
          <cell r="CF84">
            <v>0</v>
          </cell>
          <cell r="CG84">
            <v>0</v>
          </cell>
          <cell r="CH84">
            <v>0</v>
          </cell>
          <cell r="CI84">
            <v>0</v>
          </cell>
          <cell r="CJ84">
            <v>907</v>
          </cell>
          <cell r="CK84">
            <v>0</v>
          </cell>
          <cell r="CL84">
            <v>0</v>
          </cell>
          <cell r="CM84">
            <v>0</v>
          </cell>
          <cell r="CN84">
            <v>907</v>
          </cell>
          <cell r="CO84">
            <v>34875</v>
          </cell>
          <cell r="CP84">
            <v>1160</v>
          </cell>
          <cell r="CQ84">
            <v>1386</v>
          </cell>
          <cell r="CR84">
            <v>10067</v>
          </cell>
          <cell r="CS84">
            <v>1801</v>
          </cell>
          <cell r="CT84">
            <v>471</v>
          </cell>
          <cell r="CU84">
            <v>49760</v>
          </cell>
          <cell r="CV84">
            <v>3883</v>
          </cell>
          <cell r="CW84">
            <v>7930</v>
          </cell>
          <cell r="CX84">
            <v>5170</v>
          </cell>
          <cell r="CY84">
            <v>613</v>
          </cell>
          <cell r="CZ84">
            <v>0</v>
          </cell>
          <cell r="DA84">
            <v>3214</v>
          </cell>
          <cell r="DB84">
            <v>70570</v>
          </cell>
          <cell r="DC84">
            <v>16998</v>
          </cell>
          <cell r="DD84">
            <v>868</v>
          </cell>
          <cell r="DE84">
            <v>2083</v>
          </cell>
          <cell r="DF84">
            <v>19949</v>
          </cell>
          <cell r="DG84">
            <v>50621</v>
          </cell>
          <cell r="DH84">
            <v>6000</v>
          </cell>
          <cell r="DI84">
            <v>5000</v>
          </cell>
          <cell r="DJ84">
            <v>1875</v>
          </cell>
          <cell r="DK84">
            <v>4640</v>
          </cell>
          <cell r="DL84">
            <v>0</v>
          </cell>
          <cell r="DM84">
            <v>2076</v>
          </cell>
          <cell r="DN84">
            <v>172</v>
          </cell>
          <cell r="DO84">
            <v>394</v>
          </cell>
          <cell r="DP84">
            <v>0</v>
          </cell>
          <cell r="DQ84">
            <v>0</v>
          </cell>
          <cell r="DR84">
            <v>0</v>
          </cell>
          <cell r="DS84">
            <v>0</v>
          </cell>
          <cell r="DT84">
            <v>0</v>
          </cell>
          <cell r="DU84">
            <v>0</v>
          </cell>
          <cell r="DV84">
            <v>0</v>
          </cell>
          <cell r="DW84">
            <v>868</v>
          </cell>
          <cell r="DX84">
            <v>0</v>
          </cell>
          <cell r="DY84">
            <v>0</v>
          </cell>
          <cell r="DZ84">
            <v>0</v>
          </cell>
          <cell r="EA84">
            <v>868</v>
          </cell>
          <cell r="EB84">
            <v>0</v>
          </cell>
          <cell r="EC84">
            <v>8</v>
          </cell>
          <cell r="ED84">
            <v>15.2</v>
          </cell>
          <cell r="EE84">
            <v>0</v>
          </cell>
          <cell r="EF84">
            <v>26586</v>
          </cell>
          <cell r="EG84">
            <v>4227</v>
          </cell>
          <cell r="EH84">
            <v>29224</v>
          </cell>
          <cell r="EI84">
            <v>166</v>
          </cell>
          <cell r="EJ84">
            <v>79</v>
          </cell>
          <cell r="EK84">
            <v>60282</v>
          </cell>
          <cell r="EL84" t="str">
            <v>..</v>
          </cell>
          <cell r="EM84" t="str">
            <v>..</v>
          </cell>
          <cell r="EN84">
            <v>7012</v>
          </cell>
          <cell r="EO84" t="str">
            <v>..</v>
          </cell>
          <cell r="EP84" t="str">
            <v>..</v>
          </cell>
          <cell r="EQ84" t="str">
            <v>..</v>
          </cell>
          <cell r="ER84">
            <v>50717</v>
          </cell>
          <cell r="ES84">
            <v>0</v>
          </cell>
          <cell r="ET84">
            <v>1050</v>
          </cell>
          <cell r="EU84">
            <v>0</v>
          </cell>
          <cell r="EV84">
            <v>58779</v>
          </cell>
          <cell r="EW84">
            <v>0</v>
          </cell>
          <cell r="EX84">
            <v>0</v>
          </cell>
          <cell r="EY84">
            <v>2000</v>
          </cell>
          <cell r="EZ84">
            <v>0</v>
          </cell>
          <cell r="FA84">
            <v>0</v>
          </cell>
          <cell r="FB84">
            <v>0</v>
          </cell>
          <cell r="FC84">
            <v>14000</v>
          </cell>
          <cell r="FD84">
            <v>0</v>
          </cell>
          <cell r="FE84">
            <v>500</v>
          </cell>
          <cell r="FF84">
            <v>0</v>
          </cell>
          <cell r="FG84">
            <v>16500</v>
          </cell>
          <cell r="FH84">
            <v>-3537</v>
          </cell>
          <cell r="FI84">
            <v>-314</v>
          </cell>
          <cell r="FJ84">
            <v>0</v>
          </cell>
          <cell r="FK84">
            <v>-2773</v>
          </cell>
          <cell r="FL84">
            <v>-118</v>
          </cell>
          <cell r="FM84">
            <v>30117</v>
          </cell>
          <cell r="FN84">
            <v>7811</v>
          </cell>
          <cell r="FO84">
            <v>0</v>
          </cell>
          <cell r="FP84">
            <v>31186</v>
          </cell>
          <cell r="FQ84">
            <v>1751</v>
          </cell>
          <cell r="FR84">
            <v>0</v>
          </cell>
          <cell r="FS84">
            <v>-6487</v>
          </cell>
          <cell r="FT84">
            <v>-332</v>
          </cell>
          <cell r="FU84">
            <v>0</v>
          </cell>
          <cell r="FV84">
            <v>-2755</v>
          </cell>
          <cell r="FW84">
            <v>-121</v>
          </cell>
          <cell r="FX84">
            <v>31485</v>
          </cell>
          <cell r="FY84">
            <v>5363</v>
          </cell>
          <cell r="FZ84">
            <v>0</v>
          </cell>
          <cell r="GA84">
            <v>27153</v>
          </cell>
          <cell r="GB84">
            <v>1755</v>
          </cell>
          <cell r="GC84">
            <v>0</v>
          </cell>
          <cell r="GD84">
            <v>1983</v>
          </cell>
          <cell r="GE84">
            <v>1986</v>
          </cell>
          <cell r="GF84">
            <v>61</v>
          </cell>
          <cell r="GG84">
            <v>2</v>
          </cell>
          <cell r="GH84">
            <v>194</v>
          </cell>
          <cell r="GI84">
            <v>2</v>
          </cell>
          <cell r="GJ84">
            <v>607</v>
          </cell>
          <cell r="GK84">
            <v>0</v>
          </cell>
          <cell r="GL84">
            <v>83</v>
          </cell>
          <cell r="GM84">
            <v>55</v>
          </cell>
          <cell r="GN84">
            <v>14</v>
          </cell>
          <cell r="GO84">
            <v>1</v>
          </cell>
          <cell r="GP84">
            <v>25715</v>
          </cell>
          <cell r="GQ84">
            <v>2000</v>
          </cell>
          <cell r="GR84">
            <v>948</v>
          </cell>
          <cell r="GS84">
            <v>23064</v>
          </cell>
          <cell r="GT84">
            <v>2000</v>
          </cell>
          <cell r="GU84">
            <v>1155</v>
          </cell>
          <cell r="GV84">
            <v>0</v>
          </cell>
          <cell r="GW84">
            <v>0</v>
          </cell>
          <cell r="GX84">
            <v>5271</v>
          </cell>
          <cell r="GY84">
            <v>785</v>
          </cell>
          <cell r="GZ84">
            <v>0</v>
          </cell>
          <cell r="HA84">
            <v>2047</v>
          </cell>
          <cell r="HB84">
            <v>244</v>
          </cell>
          <cell r="HC84">
            <v>0</v>
          </cell>
          <cell r="HD84">
            <v>0</v>
          </cell>
          <cell r="HE84">
            <v>205</v>
          </cell>
          <cell r="HF84">
            <v>324</v>
          </cell>
          <cell r="HG84">
            <v>374</v>
          </cell>
          <cell r="HH84">
            <v>251</v>
          </cell>
          <cell r="HI84">
            <v>658</v>
          </cell>
          <cell r="HJ84">
            <v>0</v>
          </cell>
          <cell r="HK84">
            <v>0</v>
          </cell>
          <cell r="HL84">
            <v>10159</v>
          </cell>
          <cell r="HM84">
            <v>0</v>
          </cell>
          <cell r="HN84">
            <v>0</v>
          </cell>
          <cell r="HO84">
            <v>5163</v>
          </cell>
          <cell r="HP84">
            <v>733</v>
          </cell>
          <cell r="HQ84">
            <v>0</v>
          </cell>
          <cell r="HR84">
            <v>1047</v>
          </cell>
          <cell r="HS84">
            <v>227</v>
          </cell>
          <cell r="HT84">
            <v>84</v>
          </cell>
          <cell r="HU84">
            <v>0</v>
          </cell>
          <cell r="HV84">
            <v>243</v>
          </cell>
          <cell r="HW84">
            <v>700</v>
          </cell>
          <cell r="HX84">
            <v>198</v>
          </cell>
          <cell r="HY84">
            <v>473</v>
          </cell>
          <cell r="HZ84">
            <v>829</v>
          </cell>
          <cell r="IA84">
            <v>0</v>
          </cell>
          <cell r="IB84">
            <v>0</v>
          </cell>
          <cell r="IC84">
            <v>9697</v>
          </cell>
          <cell r="ID84">
            <v>0</v>
          </cell>
          <cell r="IE84">
            <v>0</v>
          </cell>
          <cell r="IF84">
            <v>7878</v>
          </cell>
          <cell r="IG84">
            <v>4369</v>
          </cell>
          <cell r="IH84">
            <v>0</v>
          </cell>
          <cell r="II84">
            <v>2823</v>
          </cell>
          <cell r="IJ84">
            <v>831</v>
          </cell>
          <cell r="IK84">
            <v>21</v>
          </cell>
          <cell r="IL84">
            <v>0</v>
          </cell>
          <cell r="IM84">
            <v>1119</v>
          </cell>
          <cell r="IN84">
            <v>881</v>
          </cell>
          <cell r="IO84">
            <v>265</v>
          </cell>
          <cell r="IP84">
            <v>898</v>
          </cell>
          <cell r="IQ84">
            <v>2417</v>
          </cell>
          <cell r="IR84">
            <v>0</v>
          </cell>
          <cell r="IS84">
            <v>0</v>
          </cell>
          <cell r="IT84">
            <v>21502</v>
          </cell>
          <cell r="IU84" t="str">
            <v>North West Ambulance Service, Merseyside Police</v>
          </cell>
          <cell r="IV84" t="str">
            <v>7 prime movers, 1 crane lorry, 1 MTFA, 2 wildfire, 2 rescue boats, 1 hovercraft, 2 water rescue vehicles, 1 CSU, 14 PODS</v>
          </cell>
          <cell r="IW84" t="str">
            <v>..</v>
          </cell>
          <cell r="IX84" t="str">
            <v>ICT £1869   PFI £680  Pensions £119  Mgmt £475</v>
          </cell>
          <cell r="IY84" t="str">
            <v>Shared accommodation with Police, Ambulance, etc.</v>
          </cell>
          <cell r="IZ84" t="str">
            <v>..</v>
          </cell>
          <cell r="JA84" t="str">
            <v>..</v>
          </cell>
          <cell r="JB84" t="str">
            <v>..</v>
          </cell>
        </row>
        <row r="85">
          <cell r="A85" t="str">
            <v>E6123</v>
          </cell>
          <cell r="B85" t="str">
            <v>Lancashire</v>
          </cell>
          <cell r="C85" t="str">
            <v>Stuart Blackburn</v>
          </cell>
          <cell r="D85" t="str">
            <v>Management Accountant</v>
          </cell>
          <cell r="E85" t="str">
            <v>01772 866851</v>
          </cell>
          <cell r="F85" t="str">
            <v>stuartblackburn@lancsfirerescue.org.uk</v>
          </cell>
          <cell r="G85" t="str">
            <v>Stuart Blackburn</v>
          </cell>
          <cell r="H85" t="str">
            <v>Management Accountant</v>
          </cell>
          <cell r="I85" t="str">
            <v>01772 866851</v>
          </cell>
          <cell r="J85" t="str">
            <v>stuartblackburn@lancsfirerescue.org.uk</v>
          </cell>
          <cell r="K85" t="str">
            <v>..</v>
          </cell>
          <cell r="L85">
            <v>9</v>
          </cell>
          <cell r="M85">
            <v>18</v>
          </cell>
          <cell r="N85">
            <v>12</v>
          </cell>
          <cell r="O85">
            <v>0</v>
          </cell>
          <cell r="P85">
            <v>39</v>
          </cell>
          <cell r="Q85">
            <v>6</v>
          </cell>
          <cell r="R85">
            <v>9</v>
          </cell>
          <cell r="S85">
            <v>18</v>
          </cell>
          <cell r="T85">
            <v>12</v>
          </cell>
          <cell r="U85">
            <v>0</v>
          </cell>
          <cell r="V85">
            <v>39</v>
          </cell>
          <cell r="W85">
            <v>6</v>
          </cell>
          <cell r="X85">
            <v>59</v>
          </cell>
          <cell r="Y85">
            <v>59</v>
          </cell>
          <cell r="Z85">
            <v>4</v>
          </cell>
          <cell r="AA85">
            <v>17</v>
          </cell>
          <cell r="AB85">
            <v>25</v>
          </cell>
          <cell r="AC85">
            <v>28</v>
          </cell>
          <cell r="AD85">
            <v>14</v>
          </cell>
          <cell r="AE85">
            <v>147</v>
          </cell>
          <cell r="AF85">
            <v>84</v>
          </cell>
          <cell r="AG85">
            <v>7</v>
          </cell>
          <cell r="AH85">
            <v>7</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v>29560</v>
          </cell>
          <cell r="BC85">
            <v>4411</v>
          </cell>
          <cell r="BD85">
            <v>24</v>
          </cell>
          <cell r="BE85">
            <v>6407</v>
          </cell>
          <cell r="BF85">
            <v>865</v>
          </cell>
          <cell r="BG85">
            <v>514</v>
          </cell>
          <cell r="BH85">
            <v>41781</v>
          </cell>
          <cell r="BI85">
            <v>3873</v>
          </cell>
          <cell r="BJ85">
            <v>2027</v>
          </cell>
          <cell r="BK85">
            <v>6509</v>
          </cell>
          <cell r="BL85">
            <v>321</v>
          </cell>
          <cell r="BM85">
            <v>1179</v>
          </cell>
          <cell r="BN85">
            <v>0</v>
          </cell>
          <cell r="BO85">
            <v>55690</v>
          </cell>
          <cell r="BP85">
            <v>2811</v>
          </cell>
          <cell r="BQ85">
            <v>0</v>
          </cell>
          <cell r="BR85">
            <v>2857</v>
          </cell>
          <cell r="BS85">
            <v>5668</v>
          </cell>
          <cell r="BT85">
            <v>50022</v>
          </cell>
          <cell r="BU85">
            <v>4290</v>
          </cell>
          <cell r="BV85">
            <v>-11337</v>
          </cell>
          <cell r="BW85">
            <v>0</v>
          </cell>
          <cell r="BX85">
            <v>10</v>
          </cell>
          <cell r="BY85">
            <v>13</v>
          </cell>
          <cell r="BZ85">
            <v>89</v>
          </cell>
          <cell r="CA85">
            <v>-358</v>
          </cell>
          <cell r="CB85">
            <v>1704</v>
          </cell>
          <cell r="CC85">
            <v>0</v>
          </cell>
          <cell r="CD85">
            <v>0</v>
          </cell>
          <cell r="CE85">
            <v>0</v>
          </cell>
          <cell r="CF85">
            <v>66</v>
          </cell>
          <cell r="CG85">
            <v>0</v>
          </cell>
          <cell r="CH85">
            <v>0</v>
          </cell>
          <cell r="CI85">
            <v>66</v>
          </cell>
          <cell r="CJ85">
            <v>0</v>
          </cell>
          <cell r="CK85">
            <v>0</v>
          </cell>
          <cell r="CL85">
            <v>0</v>
          </cell>
          <cell r="CM85">
            <v>0</v>
          </cell>
          <cell r="CN85">
            <v>45</v>
          </cell>
          <cell r="CO85">
            <v>32616</v>
          </cell>
          <cell r="CP85">
            <v>4702</v>
          </cell>
          <cell r="CQ85">
            <v>43</v>
          </cell>
          <cell r="CR85">
            <v>6862</v>
          </cell>
          <cell r="CS85">
            <v>496</v>
          </cell>
          <cell r="CT85">
            <v>604</v>
          </cell>
          <cell r="CU85">
            <v>45323</v>
          </cell>
          <cell r="CV85">
            <v>5611</v>
          </cell>
          <cell r="CW85">
            <v>1913</v>
          </cell>
          <cell r="CX85">
            <v>5936</v>
          </cell>
          <cell r="CY85">
            <v>372</v>
          </cell>
          <cell r="CZ85">
            <v>1201</v>
          </cell>
          <cell r="DA85">
            <v>0</v>
          </cell>
          <cell r="DB85">
            <v>60356</v>
          </cell>
          <cell r="DC85">
            <v>2749</v>
          </cell>
          <cell r="DD85">
            <v>0</v>
          </cell>
          <cell r="DE85">
            <v>3736</v>
          </cell>
          <cell r="DF85">
            <v>6485</v>
          </cell>
          <cell r="DG85">
            <v>53871</v>
          </cell>
          <cell r="DH85">
            <v>5006</v>
          </cell>
          <cell r="DI85">
            <v>-11832</v>
          </cell>
          <cell r="DJ85">
            <v>0</v>
          </cell>
          <cell r="DK85">
            <v>10</v>
          </cell>
          <cell r="DL85">
            <v>13</v>
          </cell>
          <cell r="DM85">
            <v>90</v>
          </cell>
          <cell r="DN85">
            <v>-352</v>
          </cell>
          <cell r="DO85">
            <v>1704</v>
          </cell>
          <cell r="DP85">
            <v>0</v>
          </cell>
          <cell r="DQ85">
            <v>0</v>
          </cell>
          <cell r="DR85">
            <v>0</v>
          </cell>
          <cell r="DS85">
            <v>45</v>
          </cell>
          <cell r="DT85">
            <v>0</v>
          </cell>
          <cell r="DU85">
            <v>0</v>
          </cell>
          <cell r="DV85">
            <v>45</v>
          </cell>
          <cell r="DW85">
            <v>0</v>
          </cell>
          <cell r="DX85">
            <v>0</v>
          </cell>
          <cell r="DY85">
            <v>0</v>
          </cell>
          <cell r="DZ85">
            <v>0</v>
          </cell>
          <cell r="EA85">
            <v>45</v>
          </cell>
          <cell r="EB85">
            <v>0</v>
          </cell>
          <cell r="EC85">
            <v>0</v>
          </cell>
          <cell r="ED85">
            <v>14.7</v>
          </cell>
          <cell r="EE85">
            <v>0</v>
          </cell>
          <cell r="EF85" t="str">
            <v>..</v>
          </cell>
          <cell r="EG85">
            <v>25290</v>
          </cell>
          <cell r="EH85">
            <v>30442</v>
          </cell>
          <cell r="EI85">
            <v>311</v>
          </cell>
          <cell r="EJ85">
            <v>8</v>
          </cell>
          <cell r="EK85">
            <v>56051</v>
          </cell>
          <cell r="EL85" t="str">
            <v>..</v>
          </cell>
          <cell r="EM85" t="str">
            <v>..</v>
          </cell>
          <cell r="EN85" t="str">
            <v>..</v>
          </cell>
          <cell r="EO85" t="str">
            <v>..</v>
          </cell>
          <cell r="EP85" t="str">
            <v>..</v>
          </cell>
          <cell r="EQ85" t="str">
            <v>..</v>
          </cell>
          <cell r="ER85" t="str">
            <v>..</v>
          </cell>
          <cell r="ES85" t="str">
            <v>..</v>
          </cell>
          <cell r="ET85" t="str">
            <v>..</v>
          </cell>
          <cell r="EU85" t="str">
            <v>..</v>
          </cell>
          <cell r="EV85" t="str">
            <v>..</v>
          </cell>
          <cell r="EW85" t="str">
            <v>..</v>
          </cell>
          <cell r="EX85" t="str">
            <v>..</v>
          </cell>
          <cell r="EY85" t="str">
            <v>..</v>
          </cell>
          <cell r="EZ85" t="str">
            <v>..</v>
          </cell>
          <cell r="FA85" t="str">
            <v>..</v>
          </cell>
          <cell r="FB85" t="str">
            <v>..</v>
          </cell>
          <cell r="FC85" t="str">
            <v>..</v>
          </cell>
          <cell r="FD85" t="str">
            <v>..</v>
          </cell>
          <cell r="FE85" t="str">
            <v>..</v>
          </cell>
          <cell r="FF85" t="str">
            <v>..</v>
          </cell>
          <cell r="FG85" t="str">
            <v>..</v>
          </cell>
          <cell r="FH85">
            <v>-3699</v>
          </cell>
          <cell r="FI85">
            <v>-266</v>
          </cell>
          <cell r="FJ85">
            <v>0</v>
          </cell>
          <cell r="FK85">
            <v>-3074</v>
          </cell>
          <cell r="FL85">
            <v>-168</v>
          </cell>
          <cell r="FM85">
            <v>19297</v>
          </cell>
          <cell r="FN85">
            <v>4418</v>
          </cell>
          <cell r="FO85">
            <v>3</v>
          </cell>
          <cell r="FP85">
            <v>16511</v>
          </cell>
          <cell r="FQ85">
            <v>968</v>
          </cell>
          <cell r="FR85">
            <v>0</v>
          </cell>
          <cell r="FS85">
            <v>-3600</v>
          </cell>
          <cell r="FT85">
            <v>-326</v>
          </cell>
          <cell r="FU85">
            <v>0</v>
          </cell>
          <cell r="FV85">
            <v>-3022</v>
          </cell>
          <cell r="FW85">
            <v>0</v>
          </cell>
          <cell r="FX85">
            <v>20015</v>
          </cell>
          <cell r="FY85">
            <v>2910</v>
          </cell>
          <cell r="FZ85">
            <v>0</v>
          </cell>
          <cell r="GA85">
            <v>15977</v>
          </cell>
          <cell r="GB85">
            <v>988</v>
          </cell>
          <cell r="GC85">
            <v>0</v>
          </cell>
          <cell r="GD85">
            <v>1169</v>
          </cell>
          <cell r="GE85">
            <v>1158</v>
          </cell>
          <cell r="GF85">
            <v>44</v>
          </cell>
          <cell r="GG85">
            <v>3</v>
          </cell>
          <cell r="GH85">
            <v>143</v>
          </cell>
          <cell r="GI85">
            <v>8</v>
          </cell>
          <cell r="GJ85">
            <v>779</v>
          </cell>
          <cell r="GK85">
            <v>19</v>
          </cell>
          <cell r="GL85">
            <v>95</v>
          </cell>
          <cell r="GM85">
            <v>306</v>
          </cell>
          <cell r="GN85">
            <v>176</v>
          </cell>
          <cell r="GO85">
            <v>34</v>
          </cell>
          <cell r="GP85">
            <v>7884</v>
          </cell>
          <cell r="GQ85">
            <v>7899</v>
          </cell>
          <cell r="GR85">
            <v>1084</v>
          </cell>
          <cell r="GS85">
            <v>8020</v>
          </cell>
          <cell r="GT85">
            <v>8350</v>
          </cell>
          <cell r="GU85">
            <v>1282</v>
          </cell>
          <cell r="GV85">
            <v>0</v>
          </cell>
          <cell r="GW85">
            <v>0</v>
          </cell>
          <cell r="GX85">
            <v>1498</v>
          </cell>
          <cell r="GY85">
            <v>0</v>
          </cell>
          <cell r="GZ85">
            <v>151</v>
          </cell>
          <cell r="HA85">
            <v>1750</v>
          </cell>
          <cell r="HB85">
            <v>688</v>
          </cell>
          <cell r="HC85">
            <v>0</v>
          </cell>
          <cell r="HD85">
            <v>0</v>
          </cell>
          <cell r="HE85">
            <v>0</v>
          </cell>
          <cell r="HF85">
            <v>0</v>
          </cell>
          <cell r="HG85">
            <v>0</v>
          </cell>
          <cell r="HH85">
            <v>0</v>
          </cell>
          <cell r="HI85">
            <v>0</v>
          </cell>
          <cell r="HJ85">
            <v>0</v>
          </cell>
          <cell r="HK85">
            <v>0</v>
          </cell>
          <cell r="HL85">
            <v>4087</v>
          </cell>
          <cell r="HM85">
            <v>0</v>
          </cell>
          <cell r="HN85">
            <v>0</v>
          </cell>
          <cell r="HO85">
            <v>635</v>
          </cell>
          <cell r="HP85">
            <v>136</v>
          </cell>
          <cell r="HQ85">
            <v>0</v>
          </cell>
          <cell r="HR85">
            <v>996</v>
          </cell>
          <cell r="HS85">
            <v>211</v>
          </cell>
          <cell r="HT85">
            <v>0</v>
          </cell>
          <cell r="HU85">
            <v>0</v>
          </cell>
          <cell r="HV85">
            <v>0</v>
          </cell>
          <cell r="HW85">
            <v>0</v>
          </cell>
          <cell r="HX85">
            <v>0</v>
          </cell>
          <cell r="HY85">
            <v>0</v>
          </cell>
          <cell r="HZ85">
            <v>0</v>
          </cell>
          <cell r="IA85">
            <v>0</v>
          </cell>
          <cell r="IB85">
            <v>0</v>
          </cell>
          <cell r="IC85">
            <v>1978</v>
          </cell>
          <cell r="ID85">
            <v>0</v>
          </cell>
          <cell r="IE85">
            <v>0</v>
          </cell>
          <cell r="IF85">
            <v>1370</v>
          </cell>
          <cell r="IG85">
            <v>1145</v>
          </cell>
          <cell r="IH85">
            <v>0</v>
          </cell>
          <cell r="II85">
            <v>2145</v>
          </cell>
          <cell r="IJ85">
            <v>497</v>
          </cell>
          <cell r="IK85">
            <v>100</v>
          </cell>
          <cell r="IL85">
            <v>0</v>
          </cell>
          <cell r="IM85">
            <v>1398</v>
          </cell>
          <cell r="IN85">
            <v>720</v>
          </cell>
          <cell r="IO85">
            <v>0</v>
          </cell>
          <cell r="IP85">
            <v>82</v>
          </cell>
          <cell r="IQ85">
            <v>0</v>
          </cell>
          <cell r="IR85">
            <v>0</v>
          </cell>
          <cell r="IS85">
            <v>0</v>
          </cell>
          <cell r="IT85">
            <v>7457</v>
          </cell>
          <cell r="IU85" t="str">
            <v>3 Lancs Police; 3 North West Ambulance Service</v>
          </cell>
          <cell r="IV85" t="str">
            <v>Wildfire Units, Fire Boats, Foam Units, BA Unit, Prime Movers, 4x4</v>
          </cell>
          <cell r="IW85">
            <v>0</v>
          </cell>
          <cell r="IX85">
            <v>0</v>
          </cell>
          <cell r="IY85">
            <v>0</v>
          </cell>
          <cell r="IZ85">
            <v>0</v>
          </cell>
          <cell r="JA85">
            <v>0</v>
          </cell>
          <cell r="JB85" t="str">
            <v>..</v>
          </cell>
        </row>
        <row r="86">
          <cell r="A86" t="str">
            <v>E2101</v>
          </cell>
          <cell r="B86" t="str">
            <v>Isle of Wight</v>
          </cell>
          <cell r="C86" t="str">
            <v>Leighton Bryant</v>
          </cell>
          <cell r="D86" t="str">
            <v>Data Knowledge Manager</v>
          </cell>
          <cell r="E86" t="str">
            <v>01983 525121</v>
          </cell>
          <cell r="F86" t="str">
            <v>leighton.bryant@iow.gov.uk</v>
          </cell>
          <cell r="G86" t="str">
            <v>Ann Barber</v>
          </cell>
          <cell r="H86" t="str">
            <v>Senior Accontant</v>
          </cell>
          <cell r="I86" t="str">
            <v>01983821000 ext 6312</v>
          </cell>
          <cell r="J86" t="str">
            <v>ann.barber@iow.gov.uk</v>
          </cell>
          <cell r="K86" t="str">
            <v>..</v>
          </cell>
          <cell r="L86">
            <v>1</v>
          </cell>
          <cell r="M86">
            <v>8</v>
          </cell>
          <cell r="N86">
            <v>1</v>
          </cell>
          <cell r="O86">
            <v>0</v>
          </cell>
          <cell r="P86">
            <v>10</v>
          </cell>
          <cell r="Q86">
            <v>1</v>
          </cell>
          <cell r="R86">
            <v>1</v>
          </cell>
          <cell r="S86">
            <v>8</v>
          </cell>
          <cell r="T86">
            <v>1</v>
          </cell>
          <cell r="U86">
            <v>0</v>
          </cell>
          <cell r="V86">
            <v>10</v>
          </cell>
          <cell r="W86">
            <v>1</v>
          </cell>
          <cell r="X86">
            <v>16</v>
          </cell>
          <cell r="Y86">
            <v>16</v>
          </cell>
          <cell r="Z86">
            <v>2</v>
          </cell>
          <cell r="AA86">
            <v>3</v>
          </cell>
          <cell r="AB86">
            <v>13</v>
          </cell>
          <cell r="AC86">
            <v>0</v>
          </cell>
          <cell r="AD86">
            <v>4</v>
          </cell>
          <cell r="AE86">
            <v>38</v>
          </cell>
          <cell r="AF86">
            <v>16</v>
          </cell>
          <cell r="AG86">
            <v>2</v>
          </cell>
          <cell r="AH86">
            <v>1</v>
          </cell>
          <cell r="AI86" t="str">
            <v>..</v>
          </cell>
          <cell r="AJ86" t="str">
            <v>..</v>
          </cell>
          <cell r="AK86">
            <v>0</v>
          </cell>
          <cell r="AL86">
            <v>0</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v>3820.9295000000002</v>
          </cell>
          <cell r="BC86">
            <v>777.73662000000013</v>
          </cell>
          <cell r="BD86">
            <v>0</v>
          </cell>
          <cell r="BE86">
            <v>538.79261999999994</v>
          </cell>
          <cell r="BF86">
            <v>41.819180000000003</v>
          </cell>
          <cell r="BG86">
            <v>4.3947899999999995</v>
          </cell>
          <cell r="BH86">
            <v>5183.6727100000007</v>
          </cell>
          <cell r="BI86">
            <v>393.75031999999993</v>
          </cell>
          <cell r="BJ86">
            <v>197.11608999999999</v>
          </cell>
          <cell r="BK86">
            <v>969.21798999999999</v>
          </cell>
          <cell r="BL86">
            <v>350.14497999999998</v>
          </cell>
          <cell r="BM86">
            <v>0</v>
          </cell>
          <cell r="BN86">
            <v>0</v>
          </cell>
          <cell r="BO86">
            <v>7093.9020900000014</v>
          </cell>
          <cell r="BP86">
            <v>113</v>
          </cell>
          <cell r="BQ86">
            <v>0</v>
          </cell>
          <cell r="BR86">
            <v>178</v>
          </cell>
          <cell r="BS86">
            <v>291</v>
          </cell>
          <cell r="BT86">
            <v>6802.9020900000014</v>
          </cell>
          <cell r="BU86">
            <v>636</v>
          </cell>
          <cell r="BV86">
            <v>-333</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58.637999999999998</v>
          </cell>
          <cell r="CL86">
            <v>463.12299999999999</v>
          </cell>
          <cell r="CM86">
            <v>0</v>
          </cell>
          <cell r="CN86">
            <v>152</v>
          </cell>
          <cell r="CO86">
            <v>3904.4583503827703</v>
          </cell>
          <cell r="CP86">
            <v>1086.9092042963612</v>
          </cell>
          <cell r="CQ86">
            <v>0</v>
          </cell>
          <cell r="CR86">
            <v>528.18100000000004</v>
          </cell>
          <cell r="CS86">
            <v>40.935000000000002</v>
          </cell>
          <cell r="CT86">
            <v>4.218</v>
          </cell>
          <cell r="CU86">
            <v>5564.7015546791317</v>
          </cell>
          <cell r="CV86">
            <v>328.178</v>
          </cell>
          <cell r="CW86">
            <v>200.38200000000001</v>
          </cell>
          <cell r="CX86">
            <v>701.89800000000002</v>
          </cell>
          <cell r="CY86">
            <v>591.13</v>
          </cell>
          <cell r="CZ86">
            <v>0</v>
          </cell>
          <cell r="DA86">
            <v>0</v>
          </cell>
          <cell r="DB86">
            <v>7386.2895546791315</v>
          </cell>
          <cell r="DC86">
            <v>424</v>
          </cell>
          <cell r="DD86">
            <v>0</v>
          </cell>
          <cell r="DE86">
            <v>90</v>
          </cell>
          <cell r="DF86">
            <v>514</v>
          </cell>
          <cell r="DG86">
            <v>6872.2895546791315</v>
          </cell>
          <cell r="DH86">
            <v>581</v>
          </cell>
          <cell r="DI86">
            <v>69</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69</v>
          </cell>
          <cell r="DY86">
            <v>207</v>
          </cell>
          <cell r="DZ86">
            <v>0</v>
          </cell>
          <cell r="EA86">
            <v>68</v>
          </cell>
          <cell r="EB86">
            <v>0</v>
          </cell>
          <cell r="EC86">
            <v>0</v>
          </cell>
          <cell r="ED86">
            <v>23.5</v>
          </cell>
          <cell r="EE86">
            <v>0</v>
          </cell>
          <cell r="EF86">
            <v>0</v>
          </cell>
          <cell r="EG86">
            <v>0</v>
          </cell>
          <cell r="EH86">
            <v>0</v>
          </cell>
          <cell r="EI86">
            <v>0</v>
          </cell>
          <cell r="EJ86">
            <v>0</v>
          </cell>
          <cell r="EK86">
            <v>0</v>
          </cell>
          <cell r="EL86" t="str">
            <v>..</v>
          </cell>
          <cell r="EM86" t="str">
            <v>..</v>
          </cell>
          <cell r="EN86">
            <v>1457</v>
          </cell>
          <cell r="EO86" t="str">
            <v>..</v>
          </cell>
          <cell r="EP86" t="str">
            <v>..</v>
          </cell>
          <cell r="EQ86" t="str">
            <v>..</v>
          </cell>
          <cell r="ER86">
            <v>5982</v>
          </cell>
          <cell r="ES86">
            <v>0</v>
          </cell>
          <cell r="ET86">
            <v>0</v>
          </cell>
          <cell r="EU86">
            <v>0</v>
          </cell>
          <cell r="EV86">
            <v>7439</v>
          </cell>
          <cell r="EW86" t="str">
            <v>..</v>
          </cell>
          <cell r="EX86" t="str">
            <v>..</v>
          </cell>
          <cell r="EY86">
            <v>88</v>
          </cell>
          <cell r="EZ86" t="str">
            <v>..</v>
          </cell>
          <cell r="FA86" t="str">
            <v>..</v>
          </cell>
          <cell r="FB86" t="str">
            <v>..</v>
          </cell>
          <cell r="FC86">
            <v>263</v>
          </cell>
          <cell r="FD86">
            <v>0</v>
          </cell>
          <cell r="FE86">
            <v>0</v>
          </cell>
          <cell r="FF86">
            <v>0</v>
          </cell>
          <cell r="FG86">
            <v>351</v>
          </cell>
          <cell r="FH86">
            <v>-390.58529000000004</v>
          </cell>
          <cell r="FI86">
            <v>0</v>
          </cell>
          <cell r="FJ86">
            <v>0</v>
          </cell>
          <cell r="FK86">
            <v>-368.21229</v>
          </cell>
          <cell r="FL86">
            <v>0</v>
          </cell>
          <cell r="FM86">
            <v>1609.5161300000002</v>
          </cell>
          <cell r="FN86">
            <v>162.24722999999997</v>
          </cell>
          <cell r="FO86">
            <v>0</v>
          </cell>
          <cell r="FP86">
            <v>1012.9657800000001</v>
          </cell>
          <cell r="FQ86">
            <v>441.01342999999997</v>
          </cell>
          <cell r="FR86">
            <v>0</v>
          </cell>
          <cell r="FS86">
            <v>-668.8974768779608</v>
          </cell>
          <cell r="FT86">
            <v>0</v>
          </cell>
          <cell r="FU86">
            <v>0</v>
          </cell>
          <cell r="FV86">
            <v>-375.57653579999999</v>
          </cell>
          <cell r="FW86">
            <v>0</v>
          </cell>
          <cell r="FX86">
            <v>1641.7064526000001</v>
          </cell>
          <cell r="FY86">
            <v>1.6020000000000001</v>
          </cell>
          <cell r="FZ86">
            <v>0</v>
          </cell>
          <cell r="GA86">
            <v>598.83443992203945</v>
          </cell>
          <cell r="GB86">
            <v>412.08600000000001</v>
          </cell>
          <cell r="GC86">
            <v>0</v>
          </cell>
          <cell r="GD86">
            <v>117</v>
          </cell>
          <cell r="GE86">
            <v>119</v>
          </cell>
          <cell r="GF86">
            <v>2</v>
          </cell>
          <cell r="GG86">
            <v>0</v>
          </cell>
          <cell r="GH86">
            <v>21</v>
          </cell>
          <cell r="GI86">
            <v>2</v>
          </cell>
          <cell r="GJ86">
            <v>92</v>
          </cell>
          <cell r="GK86">
            <v>15</v>
          </cell>
          <cell r="GL86">
            <v>0</v>
          </cell>
          <cell r="GM86">
            <v>3</v>
          </cell>
          <cell r="GN86">
            <v>4</v>
          </cell>
          <cell r="GO86">
            <v>0</v>
          </cell>
          <cell r="GP86">
            <v>139</v>
          </cell>
          <cell r="GQ86">
            <v>0</v>
          </cell>
          <cell r="GR86">
            <v>0</v>
          </cell>
          <cell r="GS86">
            <v>54</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19</v>
          </cell>
          <cell r="HL86">
            <v>19</v>
          </cell>
          <cell r="HM86">
            <v>77</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1</v>
          </cell>
          <cell r="IC86">
            <v>78</v>
          </cell>
          <cell r="ID86">
            <v>303</v>
          </cell>
          <cell r="IE86">
            <v>0</v>
          </cell>
          <cell r="IF86">
            <v>0</v>
          </cell>
          <cell r="IG86">
            <v>0</v>
          </cell>
          <cell r="IH86">
            <v>0</v>
          </cell>
          <cell r="II86">
            <v>300</v>
          </cell>
          <cell r="IJ86">
            <v>0</v>
          </cell>
          <cell r="IK86">
            <v>0</v>
          </cell>
          <cell r="IL86">
            <v>0</v>
          </cell>
          <cell r="IM86">
            <v>0</v>
          </cell>
          <cell r="IN86">
            <v>0</v>
          </cell>
          <cell r="IO86">
            <v>0</v>
          </cell>
          <cell r="IP86">
            <v>0</v>
          </cell>
          <cell r="IQ86">
            <v>0</v>
          </cell>
          <cell r="IR86">
            <v>0</v>
          </cell>
          <cell r="IS86">
            <v>7</v>
          </cell>
          <cell r="IT86">
            <v>610</v>
          </cell>
          <cell r="IU86" t="str">
            <v>police share Cowes station and use it as a Police Station.2 other Fire station facilities are used by Ambulance service but not 'shared'.</v>
          </cell>
          <cell r="IV86" t="str">
            <v>rescue tender, water/animal rescue tender, landrover</v>
          </cell>
          <cell r="IW86" t="str">
            <v>..</v>
          </cell>
          <cell r="IX86" t="str">
            <v>..</v>
          </cell>
          <cell r="IY86" t="str">
            <v>..</v>
          </cell>
          <cell r="IZ86" t="str">
            <v>..</v>
          </cell>
          <cell r="JA86" t="str">
            <v>..</v>
          </cell>
          <cell r="JB86" t="str">
            <v>..</v>
          </cell>
        </row>
        <row r="87">
          <cell r="A87" t="str">
            <v>E6118</v>
          </cell>
          <cell r="B87" t="str">
            <v>Hereford and Worcester</v>
          </cell>
          <cell r="C87" t="str">
            <v>Magdalena Sadys</v>
          </cell>
          <cell r="D87" t="str">
            <v>Performance Analyst</v>
          </cell>
          <cell r="E87" t="str">
            <v>01905 368333</v>
          </cell>
          <cell r="F87" t="str">
            <v>msadys@hwfire.org.uk</v>
          </cell>
          <cell r="G87" t="str">
            <v>Deborah Randall</v>
          </cell>
          <cell r="H87" t="str">
            <v>Chief Accountant</v>
          </cell>
          <cell r="I87" t="str">
            <v>01905 368301</v>
          </cell>
          <cell r="J87" t="str">
            <v>drandall@hwfire.org.uk</v>
          </cell>
          <cell r="K87" t="str">
            <v>aelliott@hwfire.org.uk</v>
          </cell>
          <cell r="L87">
            <v>0</v>
          </cell>
          <cell r="M87">
            <v>19</v>
          </cell>
          <cell r="N87">
            <v>8</v>
          </cell>
          <cell r="O87">
            <v>0</v>
          </cell>
          <cell r="P87">
            <v>27</v>
          </cell>
          <cell r="Q87">
            <v>1</v>
          </cell>
          <cell r="R87">
            <v>0</v>
          </cell>
          <cell r="S87">
            <v>17</v>
          </cell>
          <cell r="T87">
            <v>8</v>
          </cell>
          <cell r="U87">
            <v>0</v>
          </cell>
          <cell r="V87">
            <v>25</v>
          </cell>
          <cell r="W87">
            <v>2</v>
          </cell>
          <cell r="X87">
            <v>41</v>
          </cell>
          <cell r="Y87">
            <v>41</v>
          </cell>
          <cell r="Z87">
            <v>2</v>
          </cell>
          <cell r="AA87">
            <v>19</v>
          </cell>
          <cell r="AB87">
            <v>36</v>
          </cell>
          <cell r="AC87">
            <v>0</v>
          </cell>
          <cell r="AD87">
            <v>7</v>
          </cell>
          <cell r="AE87">
            <v>105</v>
          </cell>
          <cell r="AF87">
            <v>56</v>
          </cell>
          <cell r="AG87">
            <v>5</v>
          </cell>
          <cell r="AH87">
            <v>3</v>
          </cell>
          <cell r="AI87">
            <v>230</v>
          </cell>
          <cell r="AJ87">
            <v>222.4</v>
          </cell>
          <cell r="AK87">
            <v>3</v>
          </cell>
          <cell r="AL87">
            <v>2</v>
          </cell>
          <cell r="AM87">
            <v>10</v>
          </cell>
          <cell r="AN87">
            <v>15</v>
          </cell>
          <cell r="AO87">
            <v>42</v>
          </cell>
          <cell r="AP87">
            <v>27</v>
          </cell>
          <cell r="AQ87">
            <v>131</v>
          </cell>
          <cell r="AR87">
            <v>230</v>
          </cell>
          <cell r="AS87">
            <v>0</v>
          </cell>
          <cell r="AT87">
            <v>0</v>
          </cell>
          <cell r="AU87">
            <v>15.38</v>
          </cell>
          <cell r="AV87">
            <v>32.83</v>
          </cell>
          <cell r="AW87">
            <v>174.17</v>
          </cell>
          <cell r="AX87">
            <v>222.4</v>
          </cell>
          <cell r="AY87">
            <v>19.25</v>
          </cell>
          <cell r="AZ87">
            <v>103.17</v>
          </cell>
          <cell r="BA87">
            <v>574.79999999999995</v>
          </cell>
          <cell r="BB87">
            <v>12526</v>
          </cell>
          <cell r="BC87">
            <v>3393</v>
          </cell>
          <cell r="BD87">
            <v>789</v>
          </cell>
          <cell r="BE87">
            <v>3745</v>
          </cell>
          <cell r="BF87">
            <v>503</v>
          </cell>
          <cell r="BG87">
            <v>73</v>
          </cell>
          <cell r="BH87">
            <v>21029</v>
          </cell>
          <cell r="BI87">
            <v>3775</v>
          </cell>
          <cell r="BJ87">
            <v>786</v>
          </cell>
          <cell r="BK87">
            <v>4548</v>
          </cell>
          <cell r="BL87">
            <v>0</v>
          </cell>
          <cell r="BM87">
            <v>0</v>
          </cell>
          <cell r="BN87">
            <v>1033</v>
          </cell>
          <cell r="BO87">
            <v>31171</v>
          </cell>
          <cell r="BP87">
            <v>1184</v>
          </cell>
          <cell r="BQ87">
            <v>4</v>
          </cell>
          <cell r="BR87">
            <v>411</v>
          </cell>
          <cell r="BS87">
            <v>1599</v>
          </cell>
          <cell r="BT87">
            <v>29572</v>
          </cell>
          <cell r="BU87">
            <v>2882</v>
          </cell>
          <cell r="BV87">
            <v>3874</v>
          </cell>
          <cell r="BW87">
            <v>1370</v>
          </cell>
          <cell r="BX87">
            <v>1365</v>
          </cell>
          <cell r="BY87">
            <v>270</v>
          </cell>
          <cell r="BZ87">
            <v>486</v>
          </cell>
          <cell r="CA87">
            <v>54</v>
          </cell>
          <cell r="CB87">
            <v>0</v>
          </cell>
          <cell r="CC87">
            <v>257</v>
          </cell>
          <cell r="CD87" t="str">
            <v>..</v>
          </cell>
          <cell r="CE87" t="str">
            <v>..</v>
          </cell>
          <cell r="CF87">
            <v>72</v>
          </cell>
          <cell r="CG87" t="str">
            <v>..</v>
          </cell>
          <cell r="CH87" t="str">
            <v>..</v>
          </cell>
          <cell r="CI87" t="str">
            <v>..</v>
          </cell>
          <cell r="CJ87">
            <v>3772</v>
          </cell>
          <cell r="CK87" t="str">
            <v>..</v>
          </cell>
          <cell r="CL87">
            <v>326</v>
          </cell>
          <cell r="CM87" t="str">
            <v>..</v>
          </cell>
          <cell r="CN87" t="str">
            <v>..</v>
          </cell>
          <cell r="CO87">
            <v>13485</v>
          </cell>
          <cell r="CP87">
            <v>3845</v>
          </cell>
          <cell r="CQ87">
            <v>753</v>
          </cell>
          <cell r="CR87">
            <v>3712</v>
          </cell>
          <cell r="CS87">
            <v>563</v>
          </cell>
          <cell r="CT87">
            <v>120</v>
          </cell>
          <cell r="CU87">
            <v>22478</v>
          </cell>
          <cell r="CV87">
            <v>2289</v>
          </cell>
          <cell r="CW87">
            <v>506</v>
          </cell>
          <cell r="CX87">
            <v>4623</v>
          </cell>
          <cell r="CY87">
            <v>0</v>
          </cell>
          <cell r="CZ87">
            <v>0</v>
          </cell>
          <cell r="DA87">
            <v>1055</v>
          </cell>
          <cell r="DB87">
            <v>30951</v>
          </cell>
          <cell r="DC87">
            <v>1025</v>
          </cell>
          <cell r="DD87">
            <v>0</v>
          </cell>
          <cell r="DE87">
            <v>0</v>
          </cell>
          <cell r="DF87">
            <v>1025</v>
          </cell>
          <cell r="DG87">
            <v>29926</v>
          </cell>
          <cell r="DH87">
            <v>3204</v>
          </cell>
          <cell r="DI87">
            <v>0</v>
          </cell>
          <cell r="DJ87">
            <v>0</v>
          </cell>
          <cell r="DK87">
            <v>910</v>
          </cell>
          <cell r="DL87">
            <v>314</v>
          </cell>
          <cell r="DM87">
            <v>810</v>
          </cell>
          <cell r="DN87">
            <v>50</v>
          </cell>
          <cell r="DO87">
            <v>0</v>
          </cell>
          <cell r="DP87">
            <v>285</v>
          </cell>
          <cell r="DQ87" t="str">
            <v>..</v>
          </cell>
          <cell r="DR87" t="str">
            <v>..</v>
          </cell>
          <cell r="DS87">
            <v>79</v>
          </cell>
          <cell r="DT87" t="str">
            <v>..</v>
          </cell>
          <cell r="DU87" t="str">
            <v>..</v>
          </cell>
          <cell r="DV87" t="str">
            <v>..</v>
          </cell>
          <cell r="DW87">
            <v>2289</v>
          </cell>
          <cell r="DX87" t="str">
            <v>..</v>
          </cell>
          <cell r="DY87">
            <v>347</v>
          </cell>
          <cell r="DZ87" t="str">
            <v>..</v>
          </cell>
          <cell r="EA87" t="str">
            <v>..</v>
          </cell>
          <cell r="EB87">
            <v>0</v>
          </cell>
          <cell r="EC87">
            <v>0</v>
          </cell>
          <cell r="ED87">
            <v>14.8</v>
          </cell>
          <cell r="EE87">
            <v>300</v>
          </cell>
          <cell r="EF87">
            <v>6807</v>
          </cell>
          <cell r="EG87">
            <v>2661</v>
          </cell>
          <cell r="EH87">
            <v>23494</v>
          </cell>
          <cell r="EI87">
            <v>141</v>
          </cell>
          <cell r="EJ87">
            <v>0</v>
          </cell>
          <cell r="EK87">
            <v>33103</v>
          </cell>
          <cell r="EL87">
            <v>1705</v>
          </cell>
          <cell r="EM87">
            <v>1822</v>
          </cell>
          <cell r="EN87">
            <v>3527</v>
          </cell>
          <cell r="EO87">
            <v>26399</v>
          </cell>
          <cell r="EP87">
            <v>1523</v>
          </cell>
          <cell r="EQ87">
            <v>125</v>
          </cell>
          <cell r="ER87">
            <v>28047</v>
          </cell>
          <cell r="ES87">
            <v>60</v>
          </cell>
          <cell r="ET87">
            <v>820</v>
          </cell>
          <cell r="EU87">
            <v>0</v>
          </cell>
          <cell r="EV87">
            <v>32454</v>
          </cell>
          <cell r="EW87">
            <v>630</v>
          </cell>
          <cell r="EX87">
            <v>674</v>
          </cell>
          <cell r="EY87">
            <v>1304</v>
          </cell>
          <cell r="EZ87">
            <v>12731</v>
          </cell>
          <cell r="FA87">
            <v>735</v>
          </cell>
          <cell r="FB87">
            <v>125</v>
          </cell>
          <cell r="FC87">
            <v>13591</v>
          </cell>
          <cell r="FD87">
            <v>60</v>
          </cell>
          <cell r="FE87">
            <v>395</v>
          </cell>
          <cell r="FF87">
            <v>0</v>
          </cell>
          <cell r="FG87">
            <v>15350</v>
          </cell>
          <cell r="FH87">
            <v>-1834</v>
          </cell>
          <cell r="FI87">
            <v>-5</v>
          </cell>
          <cell r="FJ87">
            <v>-4</v>
          </cell>
          <cell r="FK87">
            <v>-1507</v>
          </cell>
          <cell r="FL87">
            <v>-104</v>
          </cell>
          <cell r="FM87">
            <v>7597</v>
          </cell>
          <cell r="FN87">
            <v>2427</v>
          </cell>
          <cell r="FO87">
            <v>5</v>
          </cell>
          <cell r="FP87">
            <v>6575</v>
          </cell>
          <cell r="FQ87">
            <v>725</v>
          </cell>
          <cell r="FR87">
            <v>0</v>
          </cell>
          <cell r="FS87">
            <v>-1858</v>
          </cell>
          <cell r="FT87">
            <v>-5</v>
          </cell>
          <cell r="FU87">
            <v>-4</v>
          </cell>
          <cell r="FV87">
            <v>-1503</v>
          </cell>
          <cell r="FW87">
            <v>0</v>
          </cell>
          <cell r="FX87">
            <v>7833</v>
          </cell>
          <cell r="FY87">
            <v>1808</v>
          </cell>
          <cell r="FZ87">
            <v>0</v>
          </cell>
          <cell r="GA87">
            <v>6271</v>
          </cell>
          <cell r="GB87">
            <v>715</v>
          </cell>
          <cell r="GC87">
            <v>0</v>
          </cell>
          <cell r="GD87">
            <v>450</v>
          </cell>
          <cell r="GE87">
            <v>456</v>
          </cell>
          <cell r="GF87">
            <v>24</v>
          </cell>
          <cell r="GG87">
            <v>0</v>
          </cell>
          <cell r="GH87">
            <v>38</v>
          </cell>
          <cell r="GI87">
            <v>19</v>
          </cell>
          <cell r="GJ87">
            <v>513</v>
          </cell>
          <cell r="GK87">
            <v>22</v>
          </cell>
          <cell r="GL87">
            <v>38</v>
          </cell>
          <cell r="GM87">
            <v>127</v>
          </cell>
          <cell r="GN87">
            <v>116</v>
          </cell>
          <cell r="GO87">
            <v>10</v>
          </cell>
          <cell r="GP87">
            <v>12348</v>
          </cell>
          <cell r="GQ87">
            <v>1838</v>
          </cell>
          <cell r="GR87">
            <v>308</v>
          </cell>
          <cell r="GS87">
            <v>12768</v>
          </cell>
          <cell r="GT87">
            <v>1838</v>
          </cell>
          <cell r="GU87">
            <v>393</v>
          </cell>
          <cell r="GV87">
            <v>0</v>
          </cell>
          <cell r="GW87">
            <v>0</v>
          </cell>
          <cell r="GX87">
            <v>923</v>
          </cell>
          <cell r="GY87">
            <v>391</v>
          </cell>
          <cell r="GZ87">
            <v>7</v>
          </cell>
          <cell r="HA87">
            <v>550</v>
          </cell>
          <cell r="HB87">
            <v>21</v>
          </cell>
          <cell r="HC87">
            <v>0</v>
          </cell>
          <cell r="HD87">
            <v>110</v>
          </cell>
          <cell r="HE87">
            <v>37</v>
          </cell>
          <cell r="HF87">
            <v>235</v>
          </cell>
          <cell r="HG87">
            <v>293</v>
          </cell>
          <cell r="HH87">
            <v>0</v>
          </cell>
          <cell r="HI87">
            <v>0</v>
          </cell>
          <cell r="HJ87">
            <v>0</v>
          </cell>
          <cell r="HK87">
            <v>0</v>
          </cell>
          <cell r="HL87">
            <v>2567</v>
          </cell>
          <cell r="HM87">
            <v>0</v>
          </cell>
          <cell r="HN87">
            <v>0</v>
          </cell>
          <cell r="HO87">
            <v>1535</v>
          </cell>
          <cell r="HP87">
            <v>485</v>
          </cell>
          <cell r="HQ87">
            <v>0</v>
          </cell>
          <cell r="HR87">
            <v>3001</v>
          </cell>
          <cell r="HS87">
            <v>459</v>
          </cell>
          <cell r="HT87">
            <v>0</v>
          </cell>
          <cell r="HU87">
            <v>0</v>
          </cell>
          <cell r="HV87">
            <v>264</v>
          </cell>
          <cell r="HW87">
            <v>5</v>
          </cell>
          <cell r="HX87">
            <v>325</v>
          </cell>
          <cell r="HY87">
            <v>591</v>
          </cell>
          <cell r="HZ87">
            <v>1370</v>
          </cell>
          <cell r="IA87">
            <v>0</v>
          </cell>
          <cell r="IB87">
            <v>0</v>
          </cell>
          <cell r="IC87">
            <v>8035</v>
          </cell>
          <cell r="ID87">
            <v>0</v>
          </cell>
          <cell r="IE87">
            <v>0</v>
          </cell>
          <cell r="IF87">
            <v>16648</v>
          </cell>
          <cell r="IG87">
            <v>1241</v>
          </cell>
          <cell r="IH87">
            <v>0</v>
          </cell>
          <cell r="II87">
            <v>3853</v>
          </cell>
          <cell r="IJ87">
            <v>147</v>
          </cell>
          <cell r="IK87">
            <v>0</v>
          </cell>
          <cell r="IL87">
            <v>347</v>
          </cell>
          <cell r="IM87">
            <v>24</v>
          </cell>
          <cell r="IN87">
            <v>264</v>
          </cell>
          <cell r="IO87">
            <v>257</v>
          </cell>
          <cell r="IP87">
            <v>18</v>
          </cell>
          <cell r="IQ87">
            <v>0</v>
          </cell>
          <cell r="IR87">
            <v>0</v>
          </cell>
          <cell r="IS87">
            <v>0</v>
          </cell>
          <cell r="IT87">
            <v>22799</v>
          </cell>
          <cell r="IU87" t="str">
            <v>Bromsgrove Police &amp; Fire stn, and by 03/2020 Wyre Forest Emergency Services Hub</v>
          </cell>
          <cell r="IV87" t="str">
            <v>ISV, Argocat, Off Road x 3, EPU, Line Rescue, RAV x2, Water Rescue x4 YFA x2 Water Carrier x 3, CSU</v>
          </cell>
          <cell r="IW87" t="str">
            <v>..</v>
          </cell>
          <cell r="IX87" t="str">
            <v>Injury scheme and ill health charges and back funding of LGPS deficit</v>
          </cell>
          <cell r="IY87" t="str">
            <v>Rental Income</v>
          </cell>
          <cell r="IZ87" t="str">
            <v>Sale of Assets, incident recovery costs and sale of assets</v>
          </cell>
          <cell r="JA87" t="str">
            <v>..</v>
          </cell>
          <cell r="JB87" t="str">
            <v>..</v>
          </cell>
        </row>
        <row r="88">
          <cell r="A88" t="str">
            <v>E6115</v>
          </cell>
          <cell r="B88" t="str">
            <v>Essex</v>
          </cell>
          <cell r="C88" t="str">
            <v>Paula Drane</v>
          </cell>
          <cell r="D88" t="str">
            <v>Finance Manager</v>
          </cell>
          <cell r="E88" t="str">
            <v>01376 576189</v>
          </cell>
          <cell r="F88" t="str">
            <v>paula.drane@essex-fire.gov.uk</v>
          </cell>
          <cell r="G88" t="str">
            <v>Paula Drane</v>
          </cell>
          <cell r="H88" t="str">
            <v>Finance Manager</v>
          </cell>
          <cell r="I88" t="str">
            <v>01376 576189</v>
          </cell>
          <cell r="J88" t="str">
            <v>paula.drane@essex-fire.gov.uk</v>
          </cell>
          <cell r="K88" t="str">
            <v>finance@essex-fire.gov.uk</v>
          </cell>
          <cell r="L88">
            <v>13</v>
          </cell>
          <cell r="M88">
            <v>34</v>
          </cell>
          <cell r="N88">
            <v>3</v>
          </cell>
          <cell r="O88">
            <v>0</v>
          </cell>
          <cell r="P88">
            <v>50</v>
          </cell>
          <cell r="Q88">
            <v>19</v>
          </cell>
          <cell r="R88">
            <v>13</v>
          </cell>
          <cell r="S88">
            <v>34</v>
          </cell>
          <cell r="T88">
            <v>3</v>
          </cell>
          <cell r="U88">
            <v>0</v>
          </cell>
          <cell r="V88">
            <v>50</v>
          </cell>
          <cell r="W88">
            <v>29</v>
          </cell>
          <cell r="X88">
            <v>75</v>
          </cell>
          <cell r="Y88">
            <v>69</v>
          </cell>
          <cell r="Z88">
            <v>4</v>
          </cell>
          <cell r="AA88">
            <v>26</v>
          </cell>
          <cell r="AB88">
            <v>49</v>
          </cell>
          <cell r="AC88">
            <v>0</v>
          </cell>
          <cell r="AD88">
            <v>13</v>
          </cell>
          <cell r="AE88">
            <v>161</v>
          </cell>
          <cell r="AF88">
            <v>129</v>
          </cell>
          <cell r="AG88">
            <v>14</v>
          </cell>
          <cell r="AH88">
            <v>6</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v>30993</v>
          </cell>
          <cell r="BC88">
            <v>5634</v>
          </cell>
          <cell r="BD88">
            <v>1423</v>
          </cell>
          <cell r="BE88">
            <v>12995</v>
          </cell>
          <cell r="BF88">
            <v>2194</v>
          </cell>
          <cell r="BG88">
            <v>669</v>
          </cell>
          <cell r="BH88">
            <v>53908</v>
          </cell>
          <cell r="BI88">
            <v>4314</v>
          </cell>
          <cell r="BJ88">
            <v>1752</v>
          </cell>
          <cell r="BK88">
            <v>7667</v>
          </cell>
          <cell r="BL88">
            <v>568</v>
          </cell>
          <cell r="BM88">
            <v>0</v>
          </cell>
          <cell r="BN88">
            <v>1911</v>
          </cell>
          <cell r="BO88">
            <v>70120</v>
          </cell>
          <cell r="BP88">
            <v>2690</v>
          </cell>
          <cell r="BQ88">
            <v>0</v>
          </cell>
          <cell r="BR88">
            <v>1552</v>
          </cell>
          <cell r="BS88">
            <v>4242</v>
          </cell>
          <cell r="BT88">
            <v>65878</v>
          </cell>
          <cell r="BU88">
            <v>4489</v>
          </cell>
          <cell r="BV88">
            <v>7685</v>
          </cell>
          <cell r="BW88">
            <v>0</v>
          </cell>
          <cell r="BX88">
            <v>4973</v>
          </cell>
          <cell r="BY88">
            <v>0</v>
          </cell>
          <cell r="BZ88">
            <v>1301</v>
          </cell>
          <cell r="CA88">
            <v>-83</v>
          </cell>
          <cell r="CB88">
            <v>0</v>
          </cell>
          <cell r="CC88">
            <v>0</v>
          </cell>
          <cell r="CD88">
            <v>0</v>
          </cell>
          <cell r="CE88">
            <v>0</v>
          </cell>
          <cell r="CF88">
            <v>0</v>
          </cell>
          <cell r="CG88">
            <v>0</v>
          </cell>
          <cell r="CH88">
            <v>0</v>
          </cell>
          <cell r="CI88">
            <v>0</v>
          </cell>
          <cell r="CJ88">
            <v>0</v>
          </cell>
          <cell r="CK88">
            <v>0</v>
          </cell>
          <cell r="CL88">
            <v>214</v>
          </cell>
          <cell r="CM88">
            <v>0</v>
          </cell>
          <cell r="CN88">
            <v>512</v>
          </cell>
          <cell r="CO88">
            <v>32267</v>
          </cell>
          <cell r="CP88">
            <v>6078</v>
          </cell>
          <cell r="CQ88">
            <v>1438</v>
          </cell>
          <cell r="CR88">
            <v>13610</v>
          </cell>
          <cell r="CS88">
            <v>2242</v>
          </cell>
          <cell r="CT88">
            <v>635</v>
          </cell>
          <cell r="CU88">
            <v>56270</v>
          </cell>
          <cell r="CV88">
            <v>4242</v>
          </cell>
          <cell r="CW88">
            <v>1956</v>
          </cell>
          <cell r="CX88">
            <v>8026</v>
          </cell>
          <cell r="CY88">
            <v>637</v>
          </cell>
          <cell r="CZ88">
            <v>0</v>
          </cell>
          <cell r="DA88">
            <v>6454</v>
          </cell>
          <cell r="DB88">
            <v>77585</v>
          </cell>
          <cell r="DC88">
            <v>2402</v>
          </cell>
          <cell r="DD88">
            <v>0</v>
          </cell>
          <cell r="DE88">
            <v>1386</v>
          </cell>
          <cell r="DF88">
            <v>3788</v>
          </cell>
          <cell r="DG88">
            <v>73797</v>
          </cell>
          <cell r="DH88">
            <v>0</v>
          </cell>
          <cell r="DI88">
            <v>0</v>
          </cell>
          <cell r="DJ88">
            <v>0</v>
          </cell>
          <cell r="DK88">
            <v>5100</v>
          </cell>
          <cell r="DL88">
            <v>0</v>
          </cell>
          <cell r="DM88">
            <v>1243</v>
          </cell>
          <cell r="DN88">
            <v>-40</v>
          </cell>
          <cell r="DO88">
            <v>0</v>
          </cell>
          <cell r="DP88">
            <v>0</v>
          </cell>
          <cell r="DQ88">
            <v>0</v>
          </cell>
          <cell r="DR88">
            <v>0</v>
          </cell>
          <cell r="DS88">
            <v>0</v>
          </cell>
          <cell r="DT88">
            <v>0</v>
          </cell>
          <cell r="DU88">
            <v>0</v>
          </cell>
          <cell r="DV88">
            <v>0</v>
          </cell>
          <cell r="DW88">
            <v>0</v>
          </cell>
          <cell r="DX88">
            <v>0</v>
          </cell>
          <cell r="DY88">
            <v>145</v>
          </cell>
          <cell r="DZ88">
            <v>0</v>
          </cell>
          <cell r="EA88">
            <v>242</v>
          </cell>
          <cell r="EB88">
            <v>70367</v>
          </cell>
          <cell r="EC88">
            <v>0</v>
          </cell>
          <cell r="ED88">
            <v>16.2</v>
          </cell>
          <cell r="EE88">
            <v>0</v>
          </cell>
          <cell r="EF88">
            <v>8337</v>
          </cell>
          <cell r="EG88">
            <v>18584</v>
          </cell>
          <cell r="EH88">
            <v>46233</v>
          </cell>
          <cell r="EI88">
            <v>643</v>
          </cell>
          <cell r="EJ88">
            <v>0</v>
          </cell>
          <cell r="EK88">
            <v>73797</v>
          </cell>
          <cell r="EL88">
            <v>4683</v>
          </cell>
          <cell r="EM88">
            <v>7683</v>
          </cell>
          <cell r="EN88">
            <v>12366</v>
          </cell>
          <cell r="EO88">
            <v>48502</v>
          </cell>
          <cell r="EP88">
            <v>6221</v>
          </cell>
          <cell r="EQ88">
            <v>719</v>
          </cell>
          <cell r="ER88">
            <v>55442</v>
          </cell>
          <cell r="ES88">
            <v>1053</v>
          </cell>
          <cell r="ET88">
            <v>991</v>
          </cell>
          <cell r="EU88">
            <v>515</v>
          </cell>
          <cell r="EV88">
            <v>70367</v>
          </cell>
          <cell r="EW88">
            <v>2</v>
          </cell>
          <cell r="EX88">
            <v>2</v>
          </cell>
          <cell r="EY88">
            <v>4</v>
          </cell>
          <cell r="EZ88">
            <v>5</v>
          </cell>
          <cell r="FA88">
            <v>2</v>
          </cell>
          <cell r="FB88">
            <v>1</v>
          </cell>
          <cell r="FC88">
            <v>8</v>
          </cell>
          <cell r="FD88">
            <v>0</v>
          </cell>
          <cell r="FE88">
            <v>0</v>
          </cell>
          <cell r="FF88">
            <v>0</v>
          </cell>
          <cell r="FG88">
            <v>12</v>
          </cell>
          <cell r="FH88">
            <v>-3903</v>
          </cell>
          <cell r="FI88">
            <v>-241</v>
          </cell>
          <cell r="FJ88">
            <v>0</v>
          </cell>
          <cell r="FK88">
            <v>-3178</v>
          </cell>
          <cell r="FL88">
            <v>-8</v>
          </cell>
          <cell r="FM88">
            <v>18359</v>
          </cell>
          <cell r="FN88">
            <v>3919</v>
          </cell>
          <cell r="FO88">
            <v>325</v>
          </cell>
          <cell r="FP88">
            <v>15273</v>
          </cell>
          <cell r="FQ88">
            <v>2079</v>
          </cell>
          <cell r="FR88">
            <v>0</v>
          </cell>
          <cell r="FS88">
            <v>-4000</v>
          </cell>
          <cell r="FT88">
            <v>-250</v>
          </cell>
          <cell r="FU88">
            <v>0</v>
          </cell>
          <cell r="FV88">
            <v>-3000</v>
          </cell>
          <cell r="FW88">
            <v>0</v>
          </cell>
          <cell r="FX88">
            <v>18500</v>
          </cell>
          <cell r="FY88">
            <v>4000</v>
          </cell>
          <cell r="FZ88">
            <v>0</v>
          </cell>
          <cell r="GA88">
            <v>15250</v>
          </cell>
          <cell r="GB88">
            <v>2100</v>
          </cell>
          <cell r="GC88">
            <v>0</v>
          </cell>
          <cell r="GD88">
            <v>1292</v>
          </cell>
          <cell r="GE88">
            <v>1300</v>
          </cell>
          <cell r="GF88">
            <v>46</v>
          </cell>
          <cell r="GG88">
            <v>2</v>
          </cell>
          <cell r="GH88">
            <v>145</v>
          </cell>
          <cell r="GI88">
            <v>14</v>
          </cell>
          <cell r="GJ88">
            <v>747</v>
          </cell>
          <cell r="GK88">
            <v>34</v>
          </cell>
          <cell r="GL88">
            <v>92</v>
          </cell>
          <cell r="GM88">
            <v>151</v>
          </cell>
          <cell r="GN88">
            <v>115</v>
          </cell>
          <cell r="GO88">
            <v>17</v>
          </cell>
          <cell r="GP88">
            <v>5761</v>
          </cell>
          <cell r="GQ88">
            <v>6823</v>
          </cell>
          <cell r="GR88">
            <v>1046</v>
          </cell>
          <cell r="GS88">
            <v>5653</v>
          </cell>
          <cell r="GT88">
            <v>7935</v>
          </cell>
          <cell r="GU88">
            <v>850</v>
          </cell>
          <cell r="GV88">
            <v>0</v>
          </cell>
          <cell r="GW88">
            <v>0</v>
          </cell>
          <cell r="GX88">
            <v>0</v>
          </cell>
          <cell r="GY88">
            <v>1002</v>
          </cell>
          <cell r="GZ88">
            <v>0</v>
          </cell>
          <cell r="HA88">
            <v>2301</v>
          </cell>
          <cell r="HB88">
            <v>187</v>
          </cell>
          <cell r="HC88">
            <v>0</v>
          </cell>
          <cell r="HD88">
            <v>0</v>
          </cell>
          <cell r="HE88">
            <v>173</v>
          </cell>
          <cell r="HF88">
            <v>93</v>
          </cell>
          <cell r="HG88">
            <v>94</v>
          </cell>
          <cell r="HH88">
            <v>42</v>
          </cell>
          <cell r="HI88">
            <v>0</v>
          </cell>
          <cell r="HJ88">
            <v>0</v>
          </cell>
          <cell r="HK88">
            <v>0</v>
          </cell>
          <cell r="HL88">
            <v>3892</v>
          </cell>
          <cell r="HM88">
            <v>0</v>
          </cell>
          <cell r="HN88">
            <v>0</v>
          </cell>
          <cell r="HO88">
            <v>0</v>
          </cell>
          <cell r="HP88">
            <v>1404</v>
          </cell>
          <cell r="HQ88">
            <v>185</v>
          </cell>
          <cell r="HR88">
            <v>419</v>
          </cell>
          <cell r="HS88">
            <v>621</v>
          </cell>
          <cell r="HT88">
            <v>27</v>
          </cell>
          <cell r="HU88">
            <v>0</v>
          </cell>
          <cell r="HV88">
            <v>424</v>
          </cell>
          <cell r="HW88">
            <v>0</v>
          </cell>
          <cell r="HX88">
            <v>243</v>
          </cell>
          <cell r="HY88">
            <v>210</v>
          </cell>
          <cell r="HZ88">
            <v>0</v>
          </cell>
          <cell r="IA88">
            <v>0</v>
          </cell>
          <cell r="IB88">
            <v>0</v>
          </cell>
          <cell r="IC88">
            <v>3533</v>
          </cell>
          <cell r="ID88">
            <v>0</v>
          </cell>
          <cell r="IE88">
            <v>0</v>
          </cell>
          <cell r="IF88">
            <v>100</v>
          </cell>
          <cell r="IG88">
            <v>2500</v>
          </cell>
          <cell r="IH88">
            <v>0</v>
          </cell>
          <cell r="II88">
            <v>0</v>
          </cell>
          <cell r="IJ88">
            <v>890</v>
          </cell>
          <cell r="IK88">
            <v>50</v>
          </cell>
          <cell r="IL88">
            <v>100</v>
          </cell>
          <cell r="IM88">
            <v>800</v>
          </cell>
          <cell r="IN88">
            <v>375</v>
          </cell>
          <cell r="IO88">
            <v>150</v>
          </cell>
          <cell r="IP88">
            <v>360</v>
          </cell>
          <cell r="IQ88">
            <v>0</v>
          </cell>
          <cell r="IR88">
            <v>0</v>
          </cell>
          <cell r="IS88">
            <v>0</v>
          </cell>
          <cell r="IT88">
            <v>5325</v>
          </cell>
          <cell r="IU88" t="str">
            <v>Essex Police and East of England Ambulance Service</v>
          </cell>
          <cell r="IV88" t="str">
            <v>ARU, Hooklifts, Mercedes sprinters, Rangers, Water Bowsers, HLL, Foam Modules, Fireboat, Curtainsider</v>
          </cell>
          <cell r="IW88" t="str">
            <v>..</v>
          </cell>
          <cell r="IX88" t="str">
            <v>Financing items</v>
          </cell>
          <cell r="IY88" t="str">
            <v>..</v>
          </cell>
          <cell r="IZ88" t="str">
            <v>..</v>
          </cell>
          <cell r="JA88" t="str">
            <v>..</v>
          </cell>
          <cell r="JB88" t="str">
            <v>..</v>
          </cell>
        </row>
        <row r="89">
          <cell r="A89" t="str">
            <v>E6114</v>
          </cell>
          <cell r="B89" t="str">
            <v>East Sussex</v>
          </cell>
          <cell r="C89" t="str">
            <v>Gavin Turner</v>
          </cell>
          <cell r="D89" t="str">
            <v>Gavin Turner</v>
          </cell>
          <cell r="E89" t="str">
            <v>01323 462287</v>
          </cell>
          <cell r="F89" t="str">
            <v>gavin.turner@esfrs.org</v>
          </cell>
          <cell r="G89" t="str">
            <v>Gavin Turner</v>
          </cell>
          <cell r="H89" t="str">
            <v>Gavin Turner</v>
          </cell>
          <cell r="I89" t="str">
            <v>01323 462287</v>
          </cell>
          <cell r="J89" t="str">
            <v>gavinturner@esfrs.org</v>
          </cell>
          <cell r="K89" t="str">
            <v xml:space="preserve">Joanna.Knightley@eastsussex.gov.uk </v>
          </cell>
          <cell r="L89">
            <v>6</v>
          </cell>
          <cell r="M89">
            <v>12</v>
          </cell>
          <cell r="N89">
            <v>6</v>
          </cell>
          <cell r="O89">
            <v>0</v>
          </cell>
          <cell r="P89">
            <v>24</v>
          </cell>
          <cell r="Q89">
            <v>3</v>
          </cell>
          <cell r="R89">
            <v>6</v>
          </cell>
          <cell r="S89">
            <v>12</v>
          </cell>
          <cell r="T89">
            <v>6</v>
          </cell>
          <cell r="U89">
            <v>0</v>
          </cell>
          <cell r="V89">
            <v>24</v>
          </cell>
          <cell r="W89">
            <v>3</v>
          </cell>
          <cell r="X89">
            <v>41</v>
          </cell>
          <cell r="Y89">
            <v>41</v>
          </cell>
          <cell r="Z89">
            <v>3</v>
          </cell>
          <cell r="AA89">
            <v>5</v>
          </cell>
          <cell r="AB89">
            <v>38</v>
          </cell>
          <cell r="AC89">
            <v>10</v>
          </cell>
          <cell r="AD89">
            <v>48</v>
          </cell>
          <cell r="AE89">
            <v>145</v>
          </cell>
          <cell r="AF89">
            <v>69</v>
          </cell>
          <cell r="AG89">
            <v>6</v>
          </cell>
          <cell r="AH89">
            <v>2</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v>16533.080859999998</v>
          </cell>
          <cell r="BC89">
            <v>2133.9435800000001</v>
          </cell>
          <cell r="BD89">
            <v>1955.5976999999998</v>
          </cell>
          <cell r="BE89">
            <v>5871.8395100000007</v>
          </cell>
          <cell r="BF89">
            <v>811.03707999999995</v>
          </cell>
          <cell r="BG89">
            <v>1039.7499199999997</v>
          </cell>
          <cell r="BH89">
            <v>28345.248649999994</v>
          </cell>
          <cell r="BI89">
            <v>2347.9080700000009</v>
          </cell>
          <cell r="BJ89">
            <v>1181.6636199999998</v>
          </cell>
          <cell r="BK89">
            <v>6350.2920999999997</v>
          </cell>
          <cell r="BL89">
            <v>947.67369999999994</v>
          </cell>
          <cell r="BM89">
            <v>0</v>
          </cell>
          <cell r="BN89">
            <v>2289.6102999999998</v>
          </cell>
          <cell r="BO89">
            <v>41462.396439999997</v>
          </cell>
          <cell r="BP89">
            <v>932.53217999999993</v>
          </cell>
          <cell r="BQ89">
            <v>1373.36617</v>
          </cell>
          <cell r="BR89">
            <v>1099.2051000000004</v>
          </cell>
          <cell r="BS89">
            <v>3405.1034500000005</v>
          </cell>
          <cell r="BT89">
            <v>38057.292989999994</v>
          </cell>
          <cell r="BU89">
            <v>496.03126000000003</v>
          </cell>
          <cell r="BV89">
            <v>0</v>
          </cell>
          <cell r="BW89" t="str">
            <v>..</v>
          </cell>
          <cell r="BX89">
            <v>431</v>
          </cell>
          <cell r="BY89" t="str">
            <v>..</v>
          </cell>
          <cell r="BZ89">
            <v>496</v>
          </cell>
          <cell r="CA89">
            <v>-206</v>
          </cell>
          <cell r="CB89" t="str">
            <v>..</v>
          </cell>
          <cell r="CC89">
            <v>79.123709999999988</v>
          </cell>
          <cell r="CD89">
            <v>0</v>
          </cell>
          <cell r="CE89">
            <v>1812.70526</v>
          </cell>
          <cell r="CF89">
            <v>0</v>
          </cell>
          <cell r="CG89">
            <v>0.245</v>
          </cell>
          <cell r="CH89">
            <v>6.8811900000000001</v>
          </cell>
          <cell r="CI89">
            <v>1898.95516</v>
          </cell>
          <cell r="CJ89">
            <v>17.566330000000001</v>
          </cell>
          <cell r="CK89">
            <v>0.62008000000000008</v>
          </cell>
          <cell r="CL89">
            <v>111.43139000000001</v>
          </cell>
          <cell r="CM89">
            <v>357.01476000000002</v>
          </cell>
          <cell r="CN89">
            <v>1373.36617</v>
          </cell>
          <cell r="CO89">
            <v>18222.900000000001</v>
          </cell>
          <cell r="CP89">
            <v>2407.1999999999998</v>
          </cell>
          <cell r="CQ89">
            <v>1977.4</v>
          </cell>
          <cell r="CR89">
            <v>6336.3</v>
          </cell>
          <cell r="CS89">
            <v>545.20000000000005</v>
          </cell>
          <cell r="CT89">
            <v>752.3</v>
          </cell>
          <cell r="CU89">
            <v>30241.300000000003</v>
          </cell>
          <cell r="CV89">
            <v>2348.1999999999998</v>
          </cell>
          <cell r="CW89">
            <v>1139.0999999999999</v>
          </cell>
          <cell r="CX89">
            <v>5752.6</v>
          </cell>
          <cell r="CY89">
            <v>743.5</v>
          </cell>
          <cell r="CZ89">
            <v>0</v>
          </cell>
          <cell r="DA89">
            <v>2114.1999999999998</v>
          </cell>
          <cell r="DB89">
            <v>42338.9</v>
          </cell>
          <cell r="DC89">
            <v>1691.8</v>
          </cell>
          <cell r="DD89">
            <v>1414</v>
          </cell>
          <cell r="DE89">
            <v>692.5</v>
          </cell>
          <cell r="DF89">
            <v>3798.3</v>
          </cell>
          <cell r="DG89">
            <v>38540.6</v>
          </cell>
          <cell r="DH89">
            <v>496</v>
          </cell>
          <cell r="DI89">
            <v>0</v>
          </cell>
          <cell r="DJ89" t="str">
            <v>..</v>
          </cell>
          <cell r="DK89">
            <v>431</v>
          </cell>
          <cell r="DL89" t="str">
            <v>..</v>
          </cell>
          <cell r="DM89">
            <v>496</v>
          </cell>
          <cell r="DN89">
            <v>-230</v>
          </cell>
          <cell r="DO89" t="str">
            <v>..</v>
          </cell>
          <cell r="DP89">
            <v>0</v>
          </cell>
          <cell r="DQ89">
            <v>0</v>
          </cell>
          <cell r="DR89">
            <v>1977.4</v>
          </cell>
          <cell r="DS89">
            <v>0</v>
          </cell>
          <cell r="DT89">
            <v>25.8</v>
          </cell>
          <cell r="DU89">
            <v>8.1999999999999993</v>
          </cell>
          <cell r="DV89">
            <v>2011.4</v>
          </cell>
          <cell r="DW89">
            <v>52.8</v>
          </cell>
          <cell r="DX89">
            <v>1.4</v>
          </cell>
          <cell r="DY89">
            <v>32.9</v>
          </cell>
          <cell r="DZ89">
            <v>286.89999999999998</v>
          </cell>
          <cell r="EA89">
            <v>1414</v>
          </cell>
          <cell r="EB89" t="str">
            <v>..</v>
          </cell>
          <cell r="EC89">
            <v>0</v>
          </cell>
          <cell r="ED89" t="str">
            <v>..</v>
          </cell>
          <cell r="EE89" t="str">
            <v>..</v>
          </cell>
          <cell r="EF89">
            <v>4284.9949999999999</v>
          </cell>
          <cell r="EG89">
            <v>7435.7049999999999</v>
          </cell>
          <cell r="EH89">
            <v>27214.9</v>
          </cell>
          <cell r="EI89">
            <v>170</v>
          </cell>
          <cell r="EJ89">
            <v>-69</v>
          </cell>
          <cell r="EK89">
            <v>39036.6</v>
          </cell>
          <cell r="EL89">
            <v>1002.3714699999999</v>
          </cell>
          <cell r="EM89">
            <v>1073.3096699999999</v>
          </cell>
          <cell r="EN89">
            <v>2075.6811399999997</v>
          </cell>
          <cell r="EO89">
            <v>21391.744912000002</v>
          </cell>
          <cell r="EP89">
            <v>1757.61203</v>
          </cell>
          <cell r="EQ89">
            <v>173.2997</v>
          </cell>
          <cell r="ER89">
            <v>23322.656642000002</v>
          </cell>
          <cell r="ES89">
            <v>41.424589999999995</v>
          </cell>
          <cell r="ET89">
            <v>849.837672</v>
          </cell>
          <cell r="EU89">
            <v>12263.727126000002</v>
          </cell>
          <cell r="EV89">
            <v>38553.327170000004</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v>-2248</v>
          </cell>
          <cell r="FI89">
            <v>-31</v>
          </cell>
          <cell r="FJ89">
            <v>0</v>
          </cell>
          <cell r="FK89">
            <v>-1829</v>
          </cell>
          <cell r="FL89">
            <v>0</v>
          </cell>
          <cell r="FM89">
            <v>9528</v>
          </cell>
          <cell r="FN89">
            <v>2471</v>
          </cell>
          <cell r="FO89">
            <v>61</v>
          </cell>
          <cell r="FP89">
            <v>7952</v>
          </cell>
          <cell r="FQ89">
            <v>31</v>
          </cell>
          <cell r="FR89" t="str">
            <v>..</v>
          </cell>
          <cell r="FS89">
            <v>-3694</v>
          </cell>
          <cell r="FT89">
            <v>-83</v>
          </cell>
          <cell r="FU89">
            <v>0</v>
          </cell>
          <cell r="FV89">
            <v>-1627</v>
          </cell>
          <cell r="FW89">
            <v>0</v>
          </cell>
          <cell r="FX89">
            <v>9622</v>
          </cell>
          <cell r="FY89">
            <v>992</v>
          </cell>
          <cell r="FZ89">
            <v>0</v>
          </cell>
          <cell r="GA89">
            <v>5210</v>
          </cell>
          <cell r="GB89">
            <v>31</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t="str">
            <v>..</v>
          </cell>
          <cell r="GO89" t="str">
            <v>..</v>
          </cell>
          <cell r="GP89">
            <v>17764</v>
          </cell>
          <cell r="GQ89">
            <v>3142</v>
          </cell>
          <cell r="GR89">
            <v>319</v>
          </cell>
          <cell r="GS89">
            <v>23042</v>
          </cell>
          <cell r="GT89">
            <v>2417</v>
          </cell>
          <cell r="GU89">
            <v>187</v>
          </cell>
          <cell r="GV89">
            <v>0</v>
          </cell>
          <cell r="GW89">
            <v>0</v>
          </cell>
          <cell r="GX89">
            <v>0</v>
          </cell>
          <cell r="GY89">
            <v>931</v>
          </cell>
          <cell r="GZ89">
            <v>0</v>
          </cell>
          <cell r="HA89">
            <v>281</v>
          </cell>
          <cell r="HB89">
            <v>0</v>
          </cell>
          <cell r="HC89">
            <v>0</v>
          </cell>
          <cell r="HD89">
            <v>0</v>
          </cell>
          <cell r="HE89">
            <v>123</v>
          </cell>
          <cell r="HF89">
            <v>0</v>
          </cell>
          <cell r="HG89">
            <v>0</v>
          </cell>
          <cell r="HH89">
            <v>681</v>
          </cell>
          <cell r="HI89">
            <v>0</v>
          </cell>
          <cell r="HJ89">
            <v>0</v>
          </cell>
          <cell r="HK89">
            <v>0</v>
          </cell>
          <cell r="HL89">
            <v>2016</v>
          </cell>
          <cell r="HM89">
            <v>0</v>
          </cell>
          <cell r="HN89">
            <v>0</v>
          </cell>
          <cell r="HO89">
            <v>0</v>
          </cell>
          <cell r="HP89">
            <v>317</v>
          </cell>
          <cell r="HQ89">
            <v>0</v>
          </cell>
          <cell r="HR89">
            <v>680</v>
          </cell>
          <cell r="HS89">
            <v>0</v>
          </cell>
          <cell r="HT89">
            <v>0</v>
          </cell>
          <cell r="HU89">
            <v>0</v>
          </cell>
          <cell r="HV89">
            <v>13</v>
          </cell>
          <cell r="HW89">
            <v>0</v>
          </cell>
          <cell r="HX89">
            <v>0</v>
          </cell>
          <cell r="HY89">
            <v>0</v>
          </cell>
          <cell r="HZ89">
            <v>0</v>
          </cell>
          <cell r="IA89">
            <v>0</v>
          </cell>
          <cell r="IB89">
            <v>0</v>
          </cell>
          <cell r="IC89">
            <v>1010</v>
          </cell>
          <cell r="ID89">
            <v>0</v>
          </cell>
          <cell r="IE89">
            <v>0</v>
          </cell>
          <cell r="IF89">
            <v>0</v>
          </cell>
          <cell r="IG89">
            <v>3375</v>
          </cell>
          <cell r="IH89">
            <v>0</v>
          </cell>
          <cell r="II89">
            <v>3353</v>
          </cell>
          <cell r="IJ89">
            <v>0</v>
          </cell>
          <cell r="IK89">
            <v>0</v>
          </cell>
          <cell r="IL89">
            <v>0</v>
          </cell>
          <cell r="IM89">
            <v>0</v>
          </cell>
          <cell r="IN89">
            <v>0</v>
          </cell>
          <cell r="IO89">
            <v>0</v>
          </cell>
          <cell r="IP89">
            <v>0</v>
          </cell>
          <cell r="IQ89">
            <v>0</v>
          </cell>
          <cell r="IR89">
            <v>0</v>
          </cell>
          <cell r="IS89">
            <v>0</v>
          </cell>
          <cell r="IT89">
            <v>6728</v>
          </cell>
          <cell r="IU89" t="str">
            <v>Sussex Police / SECAmb</v>
          </cell>
          <cell r="IV89" t="str">
            <v>Landrover defenders</v>
          </cell>
          <cell r="IW89" t="str">
            <v>..</v>
          </cell>
          <cell r="IX89" t="str">
            <v>CERA, Transfers to Reserves and MRP</v>
          </cell>
          <cell r="IY89" t="str">
            <v>..</v>
          </cell>
          <cell r="IZ89" t="str">
            <v>..</v>
          </cell>
          <cell r="JA89" t="str">
            <v>..</v>
          </cell>
          <cell r="JB89" t="str">
            <v>..</v>
          </cell>
        </row>
        <row r="90">
          <cell r="A90" t="str">
            <v>E6113</v>
          </cell>
          <cell r="B90" t="str">
            <v>Durham</v>
          </cell>
          <cell r="C90" t="str">
            <v>Alison Harrison</v>
          </cell>
          <cell r="D90" t="str">
            <v>Finance Officer</v>
          </cell>
          <cell r="E90" t="str">
            <v>0191 3755575</v>
          </cell>
          <cell r="F90" t="str">
            <v>aharriso@ddfire.gov.uk</v>
          </cell>
          <cell r="G90" t="str">
            <v>Joanne Whitfield</v>
          </cell>
          <cell r="H90" t="str">
            <v>Strategic Fianance Manager</v>
          </cell>
          <cell r="I90" t="str">
            <v>0191 3755598</v>
          </cell>
          <cell r="J90" t="str">
            <v>jwhitfield@ddfire.gov.uk</v>
          </cell>
          <cell r="K90" t="str">
            <v>..</v>
          </cell>
          <cell r="L90">
            <v>2</v>
          </cell>
          <cell r="M90">
            <v>6</v>
          </cell>
          <cell r="N90">
            <v>7</v>
          </cell>
          <cell r="O90">
            <v>0</v>
          </cell>
          <cell r="P90">
            <v>15</v>
          </cell>
          <cell r="Q90">
            <v>4</v>
          </cell>
          <cell r="R90">
            <v>2</v>
          </cell>
          <cell r="S90">
            <v>6</v>
          </cell>
          <cell r="T90">
            <v>7</v>
          </cell>
          <cell r="U90">
            <v>0</v>
          </cell>
          <cell r="V90">
            <v>15</v>
          </cell>
          <cell r="W90">
            <v>4</v>
          </cell>
          <cell r="X90">
            <v>27</v>
          </cell>
          <cell r="Y90">
            <v>26</v>
          </cell>
          <cell r="Z90">
            <v>2</v>
          </cell>
          <cell r="AA90">
            <v>15</v>
          </cell>
          <cell r="AB90">
            <v>34</v>
          </cell>
          <cell r="AC90">
            <v>3</v>
          </cell>
          <cell r="AD90">
            <v>3</v>
          </cell>
          <cell r="AE90">
            <v>83</v>
          </cell>
          <cell r="AF90">
            <v>38</v>
          </cell>
          <cell r="AG90">
            <v>6</v>
          </cell>
          <cell r="AH90">
            <v>4</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v>17750</v>
          </cell>
          <cell r="BC90">
            <v>2111</v>
          </cell>
          <cell r="BD90">
            <v>844</v>
          </cell>
          <cell r="BE90">
            <v>3264</v>
          </cell>
          <cell r="BF90">
            <v>428</v>
          </cell>
          <cell r="BG90">
            <v>232</v>
          </cell>
          <cell r="BH90">
            <v>24629</v>
          </cell>
          <cell r="BI90">
            <v>2677</v>
          </cell>
          <cell r="BJ90">
            <v>640</v>
          </cell>
          <cell r="BK90">
            <v>3736</v>
          </cell>
          <cell r="BL90">
            <v>370</v>
          </cell>
          <cell r="BM90">
            <v>0</v>
          </cell>
          <cell r="BN90">
            <v>0</v>
          </cell>
          <cell r="BO90">
            <v>32052</v>
          </cell>
          <cell r="BP90">
            <v>1702</v>
          </cell>
          <cell r="BQ90">
            <v>0</v>
          </cell>
          <cell r="BR90">
            <v>838</v>
          </cell>
          <cell r="BS90">
            <v>2540</v>
          </cell>
          <cell r="BT90">
            <v>29512</v>
          </cell>
          <cell r="BU90">
            <v>2920</v>
          </cell>
          <cell r="BV90">
            <v>3083</v>
          </cell>
          <cell r="BW90">
            <v>0</v>
          </cell>
          <cell r="BX90">
            <v>1305</v>
          </cell>
          <cell r="BY90">
            <v>0</v>
          </cell>
          <cell r="BZ90">
            <v>136</v>
          </cell>
          <cell r="CA90">
            <v>-56</v>
          </cell>
          <cell r="CB90">
            <v>905</v>
          </cell>
          <cell r="CC90">
            <v>0</v>
          </cell>
          <cell r="CD90">
            <v>0</v>
          </cell>
          <cell r="CE90">
            <v>0</v>
          </cell>
          <cell r="CF90">
            <v>0</v>
          </cell>
          <cell r="CG90">
            <v>0</v>
          </cell>
          <cell r="CH90">
            <v>0</v>
          </cell>
          <cell r="CI90">
            <v>0</v>
          </cell>
          <cell r="CJ90">
            <v>0</v>
          </cell>
          <cell r="CK90">
            <v>0</v>
          </cell>
          <cell r="CL90">
            <v>0</v>
          </cell>
          <cell r="CM90">
            <v>0</v>
          </cell>
          <cell r="CN90">
            <v>0</v>
          </cell>
          <cell r="CO90">
            <v>19380</v>
          </cell>
          <cell r="CP90">
            <v>1840</v>
          </cell>
          <cell r="CQ90">
            <v>947</v>
          </cell>
          <cell r="CR90">
            <v>3392</v>
          </cell>
          <cell r="CS90">
            <v>366</v>
          </cell>
          <cell r="CT90">
            <v>270</v>
          </cell>
          <cell r="CU90">
            <v>26195</v>
          </cell>
          <cell r="CV90">
            <v>2730</v>
          </cell>
          <cell r="CW90">
            <v>617</v>
          </cell>
          <cell r="CX90">
            <v>3878</v>
          </cell>
          <cell r="CY90">
            <v>383</v>
          </cell>
          <cell r="CZ90">
            <v>0</v>
          </cell>
          <cell r="DA90">
            <v>418</v>
          </cell>
          <cell r="DB90">
            <v>34221</v>
          </cell>
          <cell r="DC90">
            <v>3366</v>
          </cell>
          <cell r="DD90">
            <v>0</v>
          </cell>
          <cell r="DE90">
            <v>547</v>
          </cell>
          <cell r="DF90">
            <v>3913</v>
          </cell>
          <cell r="DG90">
            <v>30308</v>
          </cell>
          <cell r="DH90">
            <v>2800</v>
          </cell>
          <cell r="DI90">
            <v>3100</v>
          </cell>
          <cell r="DJ90">
            <v>0</v>
          </cell>
          <cell r="DK90">
            <v>274</v>
          </cell>
          <cell r="DL90">
            <v>0</v>
          </cell>
          <cell r="DM90">
            <v>48</v>
          </cell>
          <cell r="DN90">
            <v>-20</v>
          </cell>
          <cell r="DO90">
            <v>899</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16.600000000000001</v>
          </cell>
          <cell r="EE90">
            <v>82</v>
          </cell>
          <cell r="EF90">
            <v>9024</v>
          </cell>
          <cell r="EG90">
            <v>1409</v>
          </cell>
          <cell r="EH90">
            <v>17865</v>
          </cell>
          <cell r="EI90">
            <v>96</v>
          </cell>
          <cell r="EJ90">
            <v>15</v>
          </cell>
          <cell r="EK90">
            <v>28409</v>
          </cell>
          <cell r="EL90" t="str">
            <v>..</v>
          </cell>
          <cell r="EM90" t="str">
            <v>..</v>
          </cell>
          <cell r="EN90">
            <v>6633</v>
          </cell>
          <cell r="EO90" t="str">
            <v>..</v>
          </cell>
          <cell r="EP90" t="str">
            <v>..</v>
          </cell>
          <cell r="EQ90" t="str">
            <v>..</v>
          </cell>
          <cell r="ER90">
            <v>25587</v>
          </cell>
          <cell r="ES90">
            <v>0</v>
          </cell>
          <cell r="ET90">
            <v>212</v>
          </cell>
          <cell r="EU90">
            <v>0</v>
          </cell>
          <cell r="EV90">
            <v>32432</v>
          </cell>
          <cell r="EW90" t="str">
            <v>..</v>
          </cell>
          <cell r="EX90" t="str">
            <v>..</v>
          </cell>
          <cell r="EY90">
            <v>212</v>
          </cell>
          <cell r="EZ90" t="str">
            <v>..</v>
          </cell>
          <cell r="FA90" t="str">
            <v>..</v>
          </cell>
          <cell r="FB90" t="str">
            <v>..</v>
          </cell>
          <cell r="FC90">
            <v>12691</v>
          </cell>
          <cell r="FD90">
            <v>0</v>
          </cell>
          <cell r="FE90">
            <v>0</v>
          </cell>
          <cell r="FF90">
            <v>0</v>
          </cell>
          <cell r="FG90">
            <v>12903</v>
          </cell>
          <cell r="FH90">
            <v>-1831</v>
          </cell>
          <cell r="FI90">
            <v>-165</v>
          </cell>
          <cell r="FJ90">
            <v>0</v>
          </cell>
          <cell r="FK90">
            <v>-1555</v>
          </cell>
          <cell r="FL90">
            <v>0</v>
          </cell>
          <cell r="FM90">
            <v>8929</v>
          </cell>
          <cell r="FN90">
            <v>1563</v>
          </cell>
          <cell r="FO90">
            <v>0</v>
          </cell>
          <cell r="FP90">
            <v>6941</v>
          </cell>
          <cell r="FQ90">
            <v>470</v>
          </cell>
          <cell r="FR90">
            <v>0</v>
          </cell>
          <cell r="FS90">
            <v>-1751</v>
          </cell>
          <cell r="FT90">
            <v>-65</v>
          </cell>
          <cell r="FU90">
            <v>-9</v>
          </cell>
          <cell r="FV90">
            <v>-1569</v>
          </cell>
          <cell r="FW90">
            <v>-12</v>
          </cell>
          <cell r="FX90">
            <v>9717</v>
          </cell>
          <cell r="FY90">
            <v>3005</v>
          </cell>
          <cell r="FZ90">
            <v>0</v>
          </cell>
          <cell r="GA90">
            <v>9316</v>
          </cell>
          <cell r="GB90">
            <v>433</v>
          </cell>
          <cell r="GC90">
            <v>0</v>
          </cell>
          <cell r="GD90">
            <v>596</v>
          </cell>
          <cell r="GE90">
            <v>614</v>
          </cell>
          <cell r="GF90">
            <v>14</v>
          </cell>
          <cell r="GG90">
            <v>0</v>
          </cell>
          <cell r="GH90">
            <v>43</v>
          </cell>
          <cell r="GI90">
            <v>3</v>
          </cell>
          <cell r="GJ90">
            <v>384</v>
          </cell>
          <cell r="GK90">
            <v>8</v>
          </cell>
          <cell r="GL90">
            <v>29</v>
          </cell>
          <cell r="GM90">
            <v>128</v>
          </cell>
          <cell r="GN90">
            <v>72</v>
          </cell>
          <cell r="GO90">
            <v>12</v>
          </cell>
          <cell r="GP90">
            <v>5929</v>
          </cell>
          <cell r="GQ90">
            <v>1388</v>
          </cell>
          <cell r="GR90">
            <v>384</v>
          </cell>
          <cell r="GS90">
            <v>5865</v>
          </cell>
          <cell r="GT90">
            <v>1425</v>
          </cell>
          <cell r="GU90">
            <v>431</v>
          </cell>
          <cell r="GV90">
            <v>0</v>
          </cell>
          <cell r="GW90">
            <v>0</v>
          </cell>
          <cell r="GX90">
            <v>97</v>
          </cell>
          <cell r="GY90">
            <v>73</v>
          </cell>
          <cell r="GZ90">
            <v>0</v>
          </cell>
          <cell r="HA90">
            <v>59</v>
          </cell>
          <cell r="HB90">
            <v>18</v>
          </cell>
          <cell r="HC90">
            <v>0</v>
          </cell>
          <cell r="HD90">
            <v>41</v>
          </cell>
          <cell r="HE90">
            <v>8</v>
          </cell>
          <cell r="HF90">
            <v>2</v>
          </cell>
          <cell r="HG90">
            <v>3</v>
          </cell>
          <cell r="HH90">
            <v>57</v>
          </cell>
          <cell r="HI90">
            <v>0</v>
          </cell>
          <cell r="HJ90">
            <v>0</v>
          </cell>
          <cell r="HK90">
            <v>32</v>
          </cell>
          <cell r="HL90">
            <v>390</v>
          </cell>
          <cell r="HM90">
            <v>0</v>
          </cell>
          <cell r="HN90">
            <v>0</v>
          </cell>
          <cell r="HO90">
            <v>668</v>
          </cell>
          <cell r="HP90">
            <v>39</v>
          </cell>
          <cell r="HQ90">
            <v>0</v>
          </cell>
          <cell r="HR90">
            <v>0</v>
          </cell>
          <cell r="HS90">
            <v>79</v>
          </cell>
          <cell r="HT90">
            <v>0</v>
          </cell>
          <cell r="HU90">
            <v>21</v>
          </cell>
          <cell r="HV90">
            <v>0</v>
          </cell>
          <cell r="HW90">
            <v>136</v>
          </cell>
          <cell r="HX90">
            <v>0</v>
          </cell>
          <cell r="HY90">
            <v>63</v>
          </cell>
          <cell r="HZ90">
            <v>0</v>
          </cell>
          <cell r="IA90">
            <v>0</v>
          </cell>
          <cell r="IB90">
            <v>54</v>
          </cell>
          <cell r="IC90">
            <v>1060</v>
          </cell>
          <cell r="ID90">
            <v>0</v>
          </cell>
          <cell r="IE90">
            <v>0</v>
          </cell>
          <cell r="IF90">
            <v>4000</v>
          </cell>
          <cell r="IG90">
            <v>250</v>
          </cell>
          <cell r="IH90">
            <v>0</v>
          </cell>
          <cell r="II90">
            <v>1202</v>
          </cell>
          <cell r="IJ90">
            <v>0</v>
          </cell>
          <cell r="IK90">
            <v>0</v>
          </cell>
          <cell r="IL90">
            <v>0</v>
          </cell>
          <cell r="IM90">
            <v>0</v>
          </cell>
          <cell r="IN90">
            <v>100</v>
          </cell>
          <cell r="IO90">
            <v>0</v>
          </cell>
          <cell r="IP90">
            <v>103</v>
          </cell>
          <cell r="IQ90">
            <v>0</v>
          </cell>
          <cell r="IR90">
            <v>0</v>
          </cell>
          <cell r="IS90">
            <v>4</v>
          </cell>
          <cell r="IT90">
            <v>5659</v>
          </cell>
          <cell r="IU90" t="str">
            <v>Police, Ambulance &amp; Mountain Rescue</v>
          </cell>
          <cell r="IV90" t="str">
            <v>Boats x 2, TRV's x 5 &amp; Specials x 8</v>
          </cell>
          <cell r="IW90" t="str">
            <v>..</v>
          </cell>
          <cell r="IX90" t="str">
            <v>Contingencies</v>
          </cell>
          <cell r="IY90" t="str">
            <v>..</v>
          </cell>
          <cell r="IZ90" t="str">
            <v>..</v>
          </cell>
          <cell r="JA90" t="str">
            <v>..</v>
          </cell>
          <cell r="JB90" t="str">
            <v>..</v>
          </cell>
        </row>
        <row r="91">
          <cell r="A91" t="str">
            <v>E6162</v>
          </cell>
          <cell r="B91" t="str">
            <v>Dorset and Wiltshire</v>
          </cell>
          <cell r="C91" t="str">
            <v>Jane Barnes</v>
          </cell>
          <cell r="D91" t="str">
            <v>Performance Information Manager</v>
          </cell>
          <cell r="E91" t="str">
            <v>01722 691095</v>
          </cell>
          <cell r="F91" t="str">
            <v>jane.barnes@dwfire.org.uk</v>
          </cell>
          <cell r="G91" t="str">
            <v>Ian Cotter</v>
          </cell>
          <cell r="H91" t="str">
            <v>Head of Financial Services</v>
          </cell>
          <cell r="I91" t="str">
            <v>01722 691109</v>
          </cell>
          <cell r="J91" t="str">
            <v>Ian.cotter@dwfire.org.uk</v>
          </cell>
          <cell r="K91" t="str">
            <v>..</v>
          </cell>
          <cell r="L91">
            <v>3</v>
          </cell>
          <cell r="M91">
            <v>37</v>
          </cell>
          <cell r="N91">
            <v>10</v>
          </cell>
          <cell r="O91">
            <v>0</v>
          </cell>
          <cell r="P91">
            <v>50</v>
          </cell>
          <cell r="Q91">
            <v>6</v>
          </cell>
          <cell r="R91">
            <v>3</v>
          </cell>
          <cell r="S91">
            <v>37</v>
          </cell>
          <cell r="T91">
            <v>10</v>
          </cell>
          <cell r="U91">
            <v>0</v>
          </cell>
          <cell r="V91">
            <v>50</v>
          </cell>
          <cell r="W91">
            <v>6</v>
          </cell>
          <cell r="X91">
            <v>74</v>
          </cell>
          <cell r="Y91">
            <v>74</v>
          </cell>
          <cell r="Z91">
            <v>4</v>
          </cell>
          <cell r="AA91">
            <v>58</v>
          </cell>
          <cell r="AB91">
            <v>50</v>
          </cell>
          <cell r="AC91">
            <v>4</v>
          </cell>
          <cell r="AD91">
            <v>3</v>
          </cell>
          <cell r="AE91">
            <v>193</v>
          </cell>
          <cell r="AF91">
            <v>195</v>
          </cell>
          <cell r="AG91">
            <v>8</v>
          </cell>
          <cell r="AH91">
            <v>7</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v>22403</v>
          </cell>
          <cell r="BC91">
            <v>7105</v>
          </cell>
          <cell r="BD91">
            <v>1430</v>
          </cell>
          <cell r="BE91">
            <v>9719</v>
          </cell>
          <cell r="BF91">
            <v>520</v>
          </cell>
          <cell r="BG91">
            <v>2685</v>
          </cell>
          <cell r="BH91">
            <v>43862</v>
          </cell>
          <cell r="BI91">
            <v>3781</v>
          </cell>
          <cell r="BJ91">
            <v>1410</v>
          </cell>
          <cell r="BK91">
            <v>5145</v>
          </cell>
          <cell r="BL91">
            <v>1727</v>
          </cell>
          <cell r="BM91">
            <v>0</v>
          </cell>
          <cell r="BN91">
            <v>0</v>
          </cell>
          <cell r="BO91">
            <v>55925</v>
          </cell>
          <cell r="BP91">
            <v>2164</v>
          </cell>
          <cell r="BQ91">
            <v>0</v>
          </cell>
          <cell r="BR91">
            <v>1460</v>
          </cell>
          <cell r="BS91">
            <v>3624</v>
          </cell>
          <cell r="BT91">
            <v>52301</v>
          </cell>
          <cell r="BU91">
            <v>4013</v>
          </cell>
          <cell r="BV91">
            <v>5815</v>
          </cell>
          <cell r="BW91">
            <v>1103</v>
          </cell>
          <cell r="BX91">
            <v>1406</v>
          </cell>
          <cell r="BY91">
            <v>110</v>
          </cell>
          <cell r="BZ91">
            <v>434</v>
          </cell>
          <cell r="CA91">
            <v>-53</v>
          </cell>
          <cell r="CB91">
            <v>840</v>
          </cell>
          <cell r="CC91">
            <v>0</v>
          </cell>
          <cell r="CD91">
            <v>0</v>
          </cell>
          <cell r="CE91">
            <v>1430</v>
          </cell>
          <cell r="CF91">
            <v>353</v>
          </cell>
          <cell r="CG91">
            <v>2</v>
          </cell>
          <cell r="CH91">
            <v>4</v>
          </cell>
          <cell r="CI91">
            <v>1789</v>
          </cell>
          <cell r="CJ91">
            <v>0</v>
          </cell>
          <cell r="CK91">
            <v>6</v>
          </cell>
          <cell r="CL91">
            <v>702</v>
          </cell>
          <cell r="CM91">
            <v>57</v>
          </cell>
          <cell r="CN91">
            <v>584</v>
          </cell>
          <cell r="CO91">
            <v>23202</v>
          </cell>
          <cell r="CP91">
            <v>8235</v>
          </cell>
          <cell r="CQ91">
            <v>1513</v>
          </cell>
          <cell r="CR91">
            <v>10664</v>
          </cell>
          <cell r="CS91">
            <v>679</v>
          </cell>
          <cell r="CT91">
            <v>2288</v>
          </cell>
          <cell r="CU91">
            <v>46581</v>
          </cell>
          <cell r="CV91">
            <v>3884</v>
          </cell>
          <cell r="CW91">
            <v>1455</v>
          </cell>
          <cell r="CX91">
            <v>4987</v>
          </cell>
          <cell r="CY91">
            <v>1677</v>
          </cell>
          <cell r="CZ91">
            <v>0</v>
          </cell>
          <cell r="DA91">
            <v>0</v>
          </cell>
          <cell r="DB91">
            <v>58584</v>
          </cell>
          <cell r="DC91">
            <v>5231</v>
          </cell>
          <cell r="DD91">
            <v>0</v>
          </cell>
          <cell r="DE91">
            <v>1004</v>
          </cell>
          <cell r="DF91">
            <v>6235</v>
          </cell>
          <cell r="DG91">
            <v>52349</v>
          </cell>
          <cell r="DH91">
            <v>0</v>
          </cell>
          <cell r="DI91">
            <v>0</v>
          </cell>
          <cell r="DJ91">
            <v>0</v>
          </cell>
          <cell r="DK91">
            <v>1503</v>
          </cell>
          <cell r="DL91">
            <v>0</v>
          </cell>
          <cell r="DM91">
            <v>709</v>
          </cell>
          <cell r="DN91">
            <v>-60</v>
          </cell>
          <cell r="DO91">
            <v>858</v>
          </cell>
          <cell r="DP91">
            <v>0</v>
          </cell>
          <cell r="DQ91">
            <v>0</v>
          </cell>
          <cell r="DR91">
            <v>1513</v>
          </cell>
          <cell r="DS91">
            <v>381</v>
          </cell>
          <cell r="DT91">
            <v>5</v>
          </cell>
          <cell r="DU91">
            <v>4</v>
          </cell>
          <cell r="DV91">
            <v>1903</v>
          </cell>
          <cell r="DW91">
            <v>0</v>
          </cell>
          <cell r="DX91">
            <v>8</v>
          </cell>
          <cell r="DY91">
            <v>631</v>
          </cell>
          <cell r="DZ91">
            <v>87</v>
          </cell>
          <cell r="EA91">
            <v>464</v>
          </cell>
          <cell r="EB91">
            <v>0</v>
          </cell>
          <cell r="EC91">
            <v>21</v>
          </cell>
          <cell r="ED91">
            <v>18.8</v>
          </cell>
          <cell r="EE91">
            <v>232</v>
          </cell>
          <cell r="EF91">
            <v>9085</v>
          </cell>
          <cell r="EG91">
            <v>4996</v>
          </cell>
          <cell r="EH91">
            <v>41763</v>
          </cell>
          <cell r="EI91" t="str">
            <v>..</v>
          </cell>
          <cell r="EJ91">
            <v>0</v>
          </cell>
          <cell r="EK91">
            <v>55844</v>
          </cell>
          <cell r="EL91" t="str">
            <v>..</v>
          </cell>
          <cell r="EM91" t="str">
            <v>..</v>
          </cell>
          <cell r="EN91">
            <v>5683</v>
          </cell>
          <cell r="EO91" t="str">
            <v>..</v>
          </cell>
          <cell r="EP91" t="str">
            <v>..</v>
          </cell>
          <cell r="EQ91" t="str">
            <v>..</v>
          </cell>
          <cell r="ER91">
            <v>43483</v>
          </cell>
          <cell r="ES91">
            <v>14</v>
          </cell>
          <cell r="ET91">
            <v>5395</v>
          </cell>
          <cell r="EU91">
            <v>1739</v>
          </cell>
          <cell r="EV91">
            <v>56314</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v>-3265</v>
          </cell>
          <cell r="FI91">
            <v>-31</v>
          </cell>
          <cell r="FJ91">
            <v>0</v>
          </cell>
          <cell r="FK91">
            <v>-2813</v>
          </cell>
          <cell r="FL91">
            <v>0</v>
          </cell>
          <cell r="FM91">
            <v>12313</v>
          </cell>
          <cell r="FN91">
            <v>2493</v>
          </cell>
          <cell r="FO91">
            <v>0</v>
          </cell>
          <cell r="FP91">
            <v>8697</v>
          </cell>
          <cell r="FQ91">
            <v>1313</v>
          </cell>
          <cell r="FR91">
            <v>13</v>
          </cell>
          <cell r="FS91">
            <v>-3225</v>
          </cell>
          <cell r="FT91">
            <v>-45</v>
          </cell>
          <cell r="FU91">
            <v>0</v>
          </cell>
          <cell r="FV91">
            <v>-2782</v>
          </cell>
          <cell r="FW91">
            <v>0</v>
          </cell>
          <cell r="FX91">
            <v>13068</v>
          </cell>
          <cell r="FY91">
            <v>3658</v>
          </cell>
          <cell r="FZ91">
            <v>0</v>
          </cell>
          <cell r="GA91">
            <v>10674</v>
          </cell>
          <cell r="GB91">
            <v>1409</v>
          </cell>
          <cell r="GC91">
            <v>0</v>
          </cell>
          <cell r="GD91">
            <v>883</v>
          </cell>
          <cell r="GE91">
            <v>900</v>
          </cell>
          <cell r="GF91">
            <v>34</v>
          </cell>
          <cell r="GG91">
            <v>7</v>
          </cell>
          <cell r="GH91">
            <v>80</v>
          </cell>
          <cell r="GI91">
            <v>73</v>
          </cell>
          <cell r="GJ91">
            <v>846</v>
          </cell>
          <cell r="GK91">
            <v>59</v>
          </cell>
          <cell r="GL91">
            <v>47</v>
          </cell>
          <cell r="GM91">
            <v>277</v>
          </cell>
          <cell r="GN91">
            <v>172</v>
          </cell>
          <cell r="GO91">
            <v>57</v>
          </cell>
          <cell r="GP91">
            <v>15611</v>
          </cell>
          <cell r="GQ91">
            <v>6686</v>
          </cell>
          <cell r="GR91">
            <v>638</v>
          </cell>
          <cell r="GS91">
            <v>15131</v>
          </cell>
          <cell r="GT91">
            <v>2726</v>
          </cell>
          <cell r="GU91">
            <v>813</v>
          </cell>
          <cell r="GV91">
            <v>0</v>
          </cell>
          <cell r="GW91">
            <v>0</v>
          </cell>
          <cell r="GX91">
            <v>0</v>
          </cell>
          <cell r="GY91">
            <v>552</v>
          </cell>
          <cell r="GZ91">
            <v>0</v>
          </cell>
          <cell r="HA91">
            <v>3046</v>
          </cell>
          <cell r="HB91">
            <v>674</v>
          </cell>
          <cell r="HC91">
            <v>0</v>
          </cell>
          <cell r="HD91">
            <v>21</v>
          </cell>
          <cell r="HE91">
            <v>754</v>
          </cell>
          <cell r="HF91">
            <v>150</v>
          </cell>
          <cell r="HG91">
            <v>527</v>
          </cell>
          <cell r="HH91">
            <v>271</v>
          </cell>
          <cell r="HI91">
            <v>0</v>
          </cell>
          <cell r="HJ91">
            <v>0</v>
          </cell>
          <cell r="HK91">
            <v>0</v>
          </cell>
          <cell r="HL91">
            <v>5995</v>
          </cell>
          <cell r="HM91">
            <v>593</v>
          </cell>
          <cell r="HN91">
            <v>0</v>
          </cell>
          <cell r="HO91">
            <v>0</v>
          </cell>
          <cell r="HP91">
            <v>924</v>
          </cell>
          <cell r="HQ91">
            <v>0</v>
          </cell>
          <cell r="HR91">
            <v>3267</v>
          </cell>
          <cell r="HS91">
            <v>509</v>
          </cell>
          <cell r="HT91">
            <v>0</v>
          </cell>
          <cell r="HU91">
            <v>3</v>
          </cell>
          <cell r="HV91">
            <v>324</v>
          </cell>
          <cell r="HW91">
            <v>14</v>
          </cell>
          <cell r="HX91">
            <v>335</v>
          </cell>
          <cell r="HY91">
            <v>97</v>
          </cell>
          <cell r="HZ91">
            <v>0</v>
          </cell>
          <cell r="IA91">
            <v>0</v>
          </cell>
          <cell r="IB91">
            <v>0</v>
          </cell>
          <cell r="IC91">
            <v>6066</v>
          </cell>
          <cell r="ID91">
            <v>813</v>
          </cell>
          <cell r="IE91">
            <v>0</v>
          </cell>
          <cell r="IF91">
            <v>0</v>
          </cell>
          <cell r="IG91">
            <v>1329</v>
          </cell>
          <cell r="IH91">
            <v>0</v>
          </cell>
          <cell r="II91">
            <v>5017</v>
          </cell>
          <cell r="IJ91">
            <v>591</v>
          </cell>
          <cell r="IK91">
            <v>0</v>
          </cell>
          <cell r="IL91">
            <v>0</v>
          </cell>
          <cell r="IM91">
            <v>267</v>
          </cell>
          <cell r="IN91">
            <v>0</v>
          </cell>
          <cell r="IO91">
            <v>282</v>
          </cell>
          <cell r="IP91">
            <v>105</v>
          </cell>
          <cell r="IQ91">
            <v>0</v>
          </cell>
          <cell r="IR91">
            <v>0</v>
          </cell>
          <cell r="IS91">
            <v>0</v>
          </cell>
          <cell r="IT91">
            <v>8404</v>
          </cell>
          <cell r="IU91" t="str">
            <v>Mere, Bradford On Avon, Lyme Regis, Beaminster, Portland, Christchurch</v>
          </cell>
          <cell r="IV91" t="str">
            <v>4x4s, Water Carriers, Tech Rescue, Ops Supp Unit, Control Units, Trailers</v>
          </cell>
          <cell r="IW91" t="str">
            <v>..</v>
          </cell>
          <cell r="IX91" t="str">
            <v>..</v>
          </cell>
          <cell r="IY91" t="str">
            <v>..</v>
          </cell>
          <cell r="IZ91" t="str">
            <v>..</v>
          </cell>
          <cell r="JA91" t="str">
            <v>..</v>
          </cell>
          <cell r="JB91" t="str">
            <v>..</v>
          </cell>
        </row>
        <row r="92">
          <cell r="A92" t="str">
            <v>E6161</v>
          </cell>
          <cell r="B92" t="str">
            <v>Devon and Somerset</v>
          </cell>
          <cell r="C92" t="str">
            <v>Jon Blyde</v>
          </cell>
          <cell r="D92" t="str">
            <v>Audit &amp; Review Manager</v>
          </cell>
          <cell r="E92" t="str">
            <v>01392 872184   </v>
          </cell>
          <cell r="F92" t="str">
            <v>StrategicReturns@dsfire.gov.uk</v>
          </cell>
          <cell r="G92" t="str">
            <v>Andrew Furbear</v>
          </cell>
          <cell r="H92" t="str">
            <v>Head of Finance</v>
          </cell>
          <cell r="I92" t="str">
            <v>01392 872317</v>
          </cell>
          <cell r="J92" t="str">
            <v>Afurbear@dsfire.gov.uk</v>
          </cell>
          <cell r="K92" t="str">
            <v>..</v>
          </cell>
          <cell r="L92">
            <v>3</v>
          </cell>
          <cell r="M92">
            <v>71</v>
          </cell>
          <cell r="N92">
            <v>9</v>
          </cell>
          <cell r="O92">
            <v>2</v>
          </cell>
          <cell r="P92">
            <v>85</v>
          </cell>
          <cell r="Q92">
            <v>10</v>
          </cell>
          <cell r="R92">
            <v>3</v>
          </cell>
          <cell r="S92">
            <v>71</v>
          </cell>
          <cell r="T92">
            <v>9</v>
          </cell>
          <cell r="U92">
            <v>2</v>
          </cell>
          <cell r="V92">
            <v>85</v>
          </cell>
          <cell r="W92">
            <v>10</v>
          </cell>
          <cell r="X92">
            <v>121</v>
          </cell>
          <cell r="Y92">
            <v>121</v>
          </cell>
          <cell r="Z92">
            <v>7</v>
          </cell>
          <cell r="AA92">
            <v>154</v>
          </cell>
          <cell r="AB92">
            <v>80</v>
          </cell>
          <cell r="AC92">
            <v>2</v>
          </cell>
          <cell r="AD92">
            <v>21</v>
          </cell>
          <cell r="AE92">
            <v>385</v>
          </cell>
          <cell r="AF92">
            <v>179</v>
          </cell>
          <cell r="AG92">
            <v>21</v>
          </cell>
          <cell r="AH92">
            <v>17</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v>28716</v>
          </cell>
          <cell r="BC92">
            <v>12618</v>
          </cell>
          <cell r="BD92">
            <v>1422</v>
          </cell>
          <cell r="BE92">
            <v>9661</v>
          </cell>
          <cell r="BF92">
            <v>3473</v>
          </cell>
          <cell r="BG92">
            <v>487</v>
          </cell>
          <cell r="BH92">
            <v>56377</v>
          </cell>
          <cell r="BI92">
            <v>3933</v>
          </cell>
          <cell r="BJ92">
            <v>4259</v>
          </cell>
          <cell r="BK92">
            <v>8449</v>
          </cell>
          <cell r="BL92">
            <v>768</v>
          </cell>
          <cell r="BM92">
            <v>0</v>
          </cell>
          <cell r="BN92">
            <v>0</v>
          </cell>
          <cell r="BO92">
            <v>73786</v>
          </cell>
          <cell r="BP92">
            <v>4752</v>
          </cell>
          <cell r="BQ92">
            <v>0</v>
          </cell>
          <cell r="BR92">
            <v>768</v>
          </cell>
          <cell r="BS92">
            <v>5520</v>
          </cell>
          <cell r="BT92">
            <v>68266</v>
          </cell>
          <cell r="BU92">
            <v>6930</v>
          </cell>
          <cell r="BV92">
            <v>9414</v>
          </cell>
          <cell r="BW92">
            <v>0</v>
          </cell>
          <cell r="BX92">
            <v>2004</v>
          </cell>
          <cell r="BY92">
            <v>0</v>
          </cell>
          <cell r="BZ92">
            <v>1084</v>
          </cell>
          <cell r="CA92">
            <v>345</v>
          </cell>
          <cell r="CB92">
            <v>90</v>
          </cell>
          <cell r="CC92" t="str">
            <v>..</v>
          </cell>
          <cell r="CD92" t="str">
            <v>..</v>
          </cell>
          <cell r="CE92" t="str">
            <v>..</v>
          </cell>
          <cell r="CF92" t="str">
            <v>..</v>
          </cell>
          <cell r="CG92" t="str">
            <v>..</v>
          </cell>
          <cell r="CH92" t="str">
            <v>..</v>
          </cell>
          <cell r="CI92" t="str">
            <v>..</v>
          </cell>
          <cell r="CJ92" t="str">
            <v>..</v>
          </cell>
          <cell r="CK92" t="str">
            <v>..</v>
          </cell>
          <cell r="CL92">
            <v>31</v>
          </cell>
          <cell r="CM92" t="str">
            <v>..</v>
          </cell>
          <cell r="CN92">
            <v>64</v>
          </cell>
          <cell r="CO92">
            <v>30647</v>
          </cell>
          <cell r="CP92">
            <v>15135</v>
          </cell>
          <cell r="CQ92">
            <v>1419</v>
          </cell>
          <cell r="CR92">
            <v>10040</v>
          </cell>
          <cell r="CS92">
            <v>3761</v>
          </cell>
          <cell r="CT92">
            <v>307</v>
          </cell>
          <cell r="CU92">
            <v>61309</v>
          </cell>
          <cell r="CV92">
            <v>3941</v>
          </cell>
          <cell r="CW92">
            <v>4155</v>
          </cell>
          <cell r="CX92">
            <v>7047</v>
          </cell>
          <cell r="CY92">
            <v>655</v>
          </cell>
          <cell r="CZ92">
            <v>0</v>
          </cell>
          <cell r="DA92">
            <v>0</v>
          </cell>
          <cell r="DB92">
            <v>77107</v>
          </cell>
          <cell r="DC92">
            <v>7252</v>
          </cell>
          <cell r="DD92">
            <v>0</v>
          </cell>
          <cell r="DE92">
            <v>564</v>
          </cell>
          <cell r="DF92">
            <v>7816</v>
          </cell>
          <cell r="DG92">
            <v>69291</v>
          </cell>
          <cell r="DH92">
            <v>6456</v>
          </cell>
          <cell r="DI92">
            <v>9326</v>
          </cell>
          <cell r="DJ92">
            <v>0</v>
          </cell>
          <cell r="DK92">
            <v>2054</v>
          </cell>
          <cell r="DL92">
            <v>0</v>
          </cell>
          <cell r="DM92">
            <v>1081</v>
          </cell>
          <cell r="DN92">
            <v>201</v>
          </cell>
          <cell r="DO92">
            <v>98</v>
          </cell>
          <cell r="DP92" t="str">
            <v>..</v>
          </cell>
          <cell r="DQ92" t="str">
            <v>..</v>
          </cell>
          <cell r="DR92" t="str">
            <v>..</v>
          </cell>
          <cell r="DS92" t="str">
            <v>..</v>
          </cell>
          <cell r="DT92" t="str">
            <v>..</v>
          </cell>
          <cell r="DU92" t="str">
            <v>..</v>
          </cell>
          <cell r="DV92" t="str">
            <v>..</v>
          </cell>
          <cell r="DW92" t="str">
            <v>..</v>
          </cell>
          <cell r="DX92" t="str">
            <v>..</v>
          </cell>
          <cell r="DY92">
            <v>56</v>
          </cell>
          <cell r="DZ92" t="str">
            <v>..</v>
          </cell>
          <cell r="EA92">
            <v>60</v>
          </cell>
          <cell r="EB92">
            <v>0</v>
          </cell>
          <cell r="EC92">
            <v>64</v>
          </cell>
          <cell r="ED92">
            <v>19.600000000000001</v>
          </cell>
          <cell r="EE92" t="str">
            <v>..</v>
          </cell>
          <cell r="EF92">
            <v>16672</v>
          </cell>
          <cell r="EG92">
            <v>5341</v>
          </cell>
          <cell r="EH92">
            <v>52554</v>
          </cell>
          <cell r="EI92">
            <v>684</v>
          </cell>
          <cell r="EJ92">
            <v>-110</v>
          </cell>
          <cell r="EK92">
            <v>75141</v>
          </cell>
          <cell r="EL92" t="str">
            <v>..</v>
          </cell>
          <cell r="EM92" t="str">
            <v>..</v>
          </cell>
          <cell r="EN92">
            <v>4081</v>
          </cell>
          <cell r="EO92" t="str">
            <v>..</v>
          </cell>
          <cell r="EP92" t="str">
            <v>..</v>
          </cell>
          <cell r="EQ92" t="str">
            <v>..</v>
          </cell>
          <cell r="ER92">
            <v>69662</v>
          </cell>
          <cell r="ES92">
            <v>337</v>
          </cell>
          <cell r="ET92">
            <v>1116</v>
          </cell>
          <cell r="EU92">
            <v>0</v>
          </cell>
          <cell r="EV92">
            <v>75196</v>
          </cell>
          <cell r="EW92" t="str">
            <v>..</v>
          </cell>
          <cell r="EX92" t="str">
            <v>..</v>
          </cell>
          <cell r="EY92">
            <v>1164</v>
          </cell>
          <cell r="EZ92" t="str">
            <v>..</v>
          </cell>
          <cell r="FA92" t="str">
            <v>..</v>
          </cell>
          <cell r="FB92" t="str">
            <v>..</v>
          </cell>
          <cell r="FC92">
            <v>20222</v>
          </cell>
          <cell r="FD92">
            <v>106</v>
          </cell>
          <cell r="FE92">
            <v>457</v>
          </cell>
          <cell r="FF92">
            <v>0</v>
          </cell>
          <cell r="FG92">
            <v>21949</v>
          </cell>
          <cell r="FH92">
            <v>-4470</v>
          </cell>
          <cell r="FI92">
            <v>-281</v>
          </cell>
          <cell r="FJ92">
            <v>0</v>
          </cell>
          <cell r="FK92">
            <v>-3810</v>
          </cell>
          <cell r="FL92">
            <v>-19</v>
          </cell>
          <cell r="FM92">
            <v>17480</v>
          </cell>
          <cell r="FN92">
            <v>4070</v>
          </cell>
          <cell r="FO92">
            <v>0</v>
          </cell>
          <cell r="FP92">
            <v>12970</v>
          </cell>
          <cell r="FQ92">
            <v>2380</v>
          </cell>
          <cell r="FR92">
            <v>237</v>
          </cell>
          <cell r="FS92">
            <v>-4558</v>
          </cell>
          <cell r="FT92">
            <v>-124</v>
          </cell>
          <cell r="FU92">
            <v>0</v>
          </cell>
          <cell r="FV92">
            <v>-4012</v>
          </cell>
          <cell r="FW92">
            <v>0</v>
          </cell>
          <cell r="FX92">
            <v>17604</v>
          </cell>
          <cell r="FY92">
            <v>3246</v>
          </cell>
          <cell r="FZ92">
            <v>0</v>
          </cell>
          <cell r="GA92">
            <v>12156</v>
          </cell>
          <cell r="GB92">
            <v>2320</v>
          </cell>
          <cell r="GC92">
            <v>0</v>
          </cell>
          <cell r="GD92">
            <v>1257</v>
          </cell>
          <cell r="GE92">
            <v>1283</v>
          </cell>
          <cell r="GF92">
            <v>26</v>
          </cell>
          <cell r="GG92">
            <v>4</v>
          </cell>
          <cell r="GH92">
            <v>117</v>
          </cell>
          <cell r="GI92">
            <v>56</v>
          </cell>
          <cell r="GJ92">
            <v>1302</v>
          </cell>
          <cell r="GK92">
            <v>63</v>
          </cell>
          <cell r="GL92">
            <v>64</v>
          </cell>
          <cell r="GM92">
            <v>607</v>
          </cell>
          <cell r="GN92">
            <v>281</v>
          </cell>
          <cell r="GO92">
            <v>98</v>
          </cell>
          <cell r="GP92">
            <v>31994</v>
          </cell>
          <cell r="GQ92">
            <v>5316</v>
          </cell>
          <cell r="GR92">
            <v>1167</v>
          </cell>
          <cell r="GS92">
            <v>33561</v>
          </cell>
          <cell r="GT92">
            <v>5316</v>
          </cell>
          <cell r="GU92">
            <v>1611</v>
          </cell>
          <cell r="GV92">
            <v>0</v>
          </cell>
          <cell r="GW92">
            <v>0</v>
          </cell>
          <cell r="GX92">
            <v>0</v>
          </cell>
          <cell r="GY92">
            <v>1297</v>
          </cell>
          <cell r="GZ92">
            <v>524</v>
          </cell>
          <cell r="HA92">
            <v>665</v>
          </cell>
          <cell r="HB92">
            <v>6</v>
          </cell>
          <cell r="HC92">
            <v>0</v>
          </cell>
          <cell r="HD92">
            <v>0</v>
          </cell>
          <cell r="HE92">
            <v>0</v>
          </cell>
          <cell r="HF92">
            <v>0</v>
          </cell>
          <cell r="HG92">
            <v>0</v>
          </cell>
          <cell r="HH92">
            <v>15</v>
          </cell>
          <cell r="HI92">
            <v>0</v>
          </cell>
          <cell r="HJ92">
            <v>0</v>
          </cell>
          <cell r="HK92">
            <v>381</v>
          </cell>
          <cell r="HL92">
            <v>2888</v>
          </cell>
          <cell r="HM92">
            <v>0</v>
          </cell>
          <cell r="HN92">
            <v>0</v>
          </cell>
          <cell r="HO92">
            <v>83</v>
          </cell>
          <cell r="HP92">
            <v>148</v>
          </cell>
          <cell r="HQ92">
            <v>581</v>
          </cell>
          <cell r="HR92">
            <v>1584</v>
          </cell>
          <cell r="HS92">
            <v>0</v>
          </cell>
          <cell r="HT92">
            <v>30</v>
          </cell>
          <cell r="HU92">
            <v>0</v>
          </cell>
          <cell r="HV92">
            <v>74</v>
          </cell>
          <cell r="HW92">
            <v>0</v>
          </cell>
          <cell r="HX92">
            <v>0</v>
          </cell>
          <cell r="HY92">
            <v>236</v>
          </cell>
          <cell r="HZ92">
            <v>0</v>
          </cell>
          <cell r="IA92">
            <v>0</v>
          </cell>
          <cell r="IB92">
            <v>142</v>
          </cell>
          <cell r="IC92">
            <v>2878</v>
          </cell>
          <cell r="ID92">
            <v>0</v>
          </cell>
          <cell r="IE92">
            <v>0</v>
          </cell>
          <cell r="IF92">
            <v>1202</v>
          </cell>
          <cell r="IG92">
            <v>2233</v>
          </cell>
          <cell r="IH92">
            <v>1584</v>
          </cell>
          <cell r="II92">
            <v>2785</v>
          </cell>
          <cell r="IJ92">
            <v>199</v>
          </cell>
          <cell r="IK92">
            <v>0</v>
          </cell>
          <cell r="IL92">
            <v>0</v>
          </cell>
          <cell r="IM92">
            <v>92</v>
          </cell>
          <cell r="IN92">
            <v>176</v>
          </cell>
          <cell r="IO92">
            <v>0</v>
          </cell>
          <cell r="IP92">
            <v>543</v>
          </cell>
          <cell r="IQ92">
            <v>0</v>
          </cell>
          <cell r="IR92">
            <v>0</v>
          </cell>
          <cell r="IS92">
            <v>0</v>
          </cell>
          <cell r="IT92">
            <v>8814</v>
          </cell>
          <cell r="IU92" t="str">
            <v>Avon &amp; Somerset Police 1, Devon &amp; Cornwall Police 3, South Western Ambulance Service NHS Foundation Trust 6,</v>
          </cell>
          <cell r="IV92" t="str">
            <v>HRT x 4, Water Carrier x 6, Specialist Rescue x 5, Prime Movers x 4, Light 4 x 4 - x 45, Trailed units x 58, Pods x 14, Marine Craft x 18</v>
          </cell>
          <cell r="IW92" t="str">
            <v>..</v>
          </cell>
          <cell r="IX92" t="str">
            <v>..</v>
          </cell>
          <cell r="IY92" t="str">
            <v>..</v>
          </cell>
          <cell r="IZ92" t="str">
            <v>..</v>
          </cell>
          <cell r="JA92" t="str">
            <v>..</v>
          </cell>
          <cell r="JB92" t="str">
            <v>..</v>
          </cell>
        </row>
        <row r="93">
          <cell r="A93" t="str">
            <v>E6110</v>
          </cell>
          <cell r="B93" t="str">
            <v>Derbyshire</v>
          </cell>
          <cell r="C93" t="str">
            <v>Rachel McNamee</v>
          </cell>
          <cell r="D93" t="str">
            <v>Head of Accountancy</v>
          </cell>
          <cell r="E93" t="str">
            <v>01773 305413</v>
          </cell>
          <cell r="F93" t="str">
            <v>rmcnamee@derbys-fire.gov.uk</v>
          </cell>
          <cell r="G93" t="str">
            <v>Simon Allsop</v>
          </cell>
          <cell r="H93" t="str">
            <v>Director of Finance</v>
          </cell>
          <cell r="I93" t="str">
            <v>01773 305410</v>
          </cell>
          <cell r="J93" t="str">
            <v>sallsop@derbys-fire.gov.uk</v>
          </cell>
          <cell r="K93" t="str">
            <v>pfrith@derbys-fire.gov.uk;sibuckley@derbys-fire.gov.uk</v>
          </cell>
          <cell r="L93">
            <v>4</v>
          </cell>
          <cell r="M93">
            <v>19</v>
          </cell>
          <cell r="N93">
            <v>8</v>
          </cell>
          <cell r="O93">
            <v>0</v>
          </cell>
          <cell r="P93">
            <v>31</v>
          </cell>
          <cell r="Q93" t="str">
            <v>..</v>
          </cell>
          <cell r="R93">
            <v>4</v>
          </cell>
          <cell r="S93">
            <v>19</v>
          </cell>
          <cell r="T93">
            <v>8</v>
          </cell>
          <cell r="U93">
            <v>0</v>
          </cell>
          <cell r="V93">
            <v>31</v>
          </cell>
          <cell r="W93" t="str">
            <v>..</v>
          </cell>
          <cell r="X93">
            <v>41</v>
          </cell>
          <cell r="Y93">
            <v>41</v>
          </cell>
          <cell r="Z93">
            <v>2</v>
          </cell>
          <cell r="AA93">
            <v>3</v>
          </cell>
          <cell r="AB93">
            <v>39</v>
          </cell>
          <cell r="AC93">
            <v>0</v>
          </cell>
          <cell r="AD93">
            <v>11</v>
          </cell>
          <cell r="AE93">
            <v>96</v>
          </cell>
          <cell r="AF93">
            <v>140</v>
          </cell>
          <cell r="AG93">
            <v>4</v>
          </cell>
          <cell r="AH93">
            <v>6</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v>16731</v>
          </cell>
          <cell r="BC93">
            <v>3308</v>
          </cell>
          <cell r="BD93">
            <v>1088</v>
          </cell>
          <cell r="BE93">
            <v>6524</v>
          </cell>
          <cell r="BF93">
            <v>358</v>
          </cell>
          <cell r="BG93">
            <v>1272</v>
          </cell>
          <cell r="BH93">
            <v>29281</v>
          </cell>
          <cell r="BI93">
            <v>3272</v>
          </cell>
          <cell r="BJ93">
            <v>1450</v>
          </cell>
          <cell r="BK93">
            <v>3909</v>
          </cell>
          <cell r="BL93">
            <v>58</v>
          </cell>
          <cell r="BM93">
            <v>0</v>
          </cell>
          <cell r="BN93">
            <v>0</v>
          </cell>
          <cell r="BO93">
            <v>37970</v>
          </cell>
          <cell r="BP93">
            <v>342</v>
          </cell>
          <cell r="BQ93">
            <v>0</v>
          </cell>
          <cell r="BR93">
            <v>2130</v>
          </cell>
          <cell r="BS93">
            <v>2472</v>
          </cell>
          <cell r="BT93">
            <v>35498</v>
          </cell>
          <cell r="BU93">
            <v>4877</v>
          </cell>
          <cell r="BV93">
            <v>25204</v>
          </cell>
          <cell r="BW93">
            <v>0</v>
          </cell>
          <cell r="BX93">
            <v>679</v>
          </cell>
          <cell r="BY93">
            <v>162</v>
          </cell>
          <cell r="BZ93">
            <v>432</v>
          </cell>
          <cell r="CA93">
            <v>-69</v>
          </cell>
          <cell r="CB93">
            <v>0</v>
          </cell>
          <cell r="CC93">
            <v>0</v>
          </cell>
          <cell r="CD93">
            <v>0</v>
          </cell>
          <cell r="CE93">
            <v>0</v>
          </cell>
          <cell r="CF93">
            <v>0</v>
          </cell>
          <cell r="CG93">
            <v>0</v>
          </cell>
          <cell r="CH93">
            <v>932</v>
          </cell>
          <cell r="CI93">
            <v>932</v>
          </cell>
          <cell r="CJ93" t="str">
            <v>..</v>
          </cell>
          <cell r="CK93" t="str">
            <v>..</v>
          </cell>
          <cell r="CL93" t="str">
            <v>..</v>
          </cell>
          <cell r="CM93" t="str">
            <v>..</v>
          </cell>
          <cell r="CN93">
            <v>552</v>
          </cell>
          <cell r="CO93">
            <v>19140</v>
          </cell>
          <cell r="CP93">
            <v>3874</v>
          </cell>
          <cell r="CQ93">
            <v>1037</v>
          </cell>
          <cell r="CR93">
            <v>6859</v>
          </cell>
          <cell r="CS93">
            <v>373</v>
          </cell>
          <cell r="CT93">
            <v>239</v>
          </cell>
          <cell r="CU93">
            <v>31522</v>
          </cell>
          <cell r="CV93">
            <v>3511</v>
          </cell>
          <cell r="CW93">
            <v>1327</v>
          </cell>
          <cell r="CX93">
            <v>3590</v>
          </cell>
          <cell r="CY93">
            <v>77</v>
          </cell>
          <cell r="CZ93">
            <v>0</v>
          </cell>
          <cell r="DA93">
            <v>0</v>
          </cell>
          <cell r="DB93">
            <v>40027</v>
          </cell>
          <cell r="DC93">
            <v>1785</v>
          </cell>
          <cell r="DD93">
            <v>0</v>
          </cell>
          <cell r="DE93">
            <v>778</v>
          </cell>
          <cell r="DF93">
            <v>2563</v>
          </cell>
          <cell r="DG93">
            <v>37464</v>
          </cell>
          <cell r="DH93">
            <v>4877</v>
          </cell>
          <cell r="DI93">
            <v>25204</v>
          </cell>
          <cell r="DJ93">
            <v>0</v>
          </cell>
          <cell r="DK93">
            <v>679</v>
          </cell>
          <cell r="DL93">
            <v>42</v>
          </cell>
          <cell r="DM93">
            <v>402</v>
          </cell>
          <cell r="DN93">
            <v>-40</v>
          </cell>
          <cell r="DO93">
            <v>0</v>
          </cell>
          <cell r="DP93">
            <v>0</v>
          </cell>
          <cell r="DQ93">
            <v>0</v>
          </cell>
          <cell r="DR93">
            <v>778</v>
          </cell>
          <cell r="DS93">
            <v>0</v>
          </cell>
          <cell r="DT93">
            <v>0</v>
          </cell>
          <cell r="DU93">
            <v>1</v>
          </cell>
          <cell r="DV93">
            <v>779</v>
          </cell>
          <cell r="DW93">
            <v>0</v>
          </cell>
          <cell r="DX93">
            <v>1</v>
          </cell>
          <cell r="DY93">
            <v>1</v>
          </cell>
          <cell r="DZ93">
            <v>0</v>
          </cell>
          <cell r="EA93">
            <v>390</v>
          </cell>
          <cell r="EB93">
            <v>0</v>
          </cell>
          <cell r="EC93">
            <v>0</v>
          </cell>
          <cell r="ED93">
            <v>12.8</v>
          </cell>
          <cell r="EE93">
            <v>168</v>
          </cell>
          <cell r="EF93" t="str">
            <v>..</v>
          </cell>
          <cell r="EG93">
            <v>14457</v>
          </cell>
          <cell r="EH93">
            <v>23320</v>
          </cell>
          <cell r="EI93">
            <v>220</v>
          </cell>
          <cell r="EJ93">
            <v>-132</v>
          </cell>
          <cell r="EK93">
            <v>37865</v>
          </cell>
          <cell r="EL93">
            <v>2261</v>
          </cell>
          <cell r="EM93">
            <v>4082</v>
          </cell>
          <cell r="EN93">
            <v>6343</v>
          </cell>
          <cell r="EO93">
            <v>31111</v>
          </cell>
          <cell r="EP93">
            <v>2067</v>
          </cell>
          <cell r="EQ93">
            <v>0</v>
          </cell>
          <cell r="ER93">
            <v>33178</v>
          </cell>
          <cell r="ES93">
            <v>171</v>
          </cell>
          <cell r="ET93">
            <v>683</v>
          </cell>
          <cell r="EU93">
            <v>0</v>
          </cell>
          <cell r="EV93">
            <v>40375</v>
          </cell>
          <cell r="EW93">
            <v>148</v>
          </cell>
          <cell r="EX93">
            <v>228</v>
          </cell>
          <cell r="EY93">
            <v>376</v>
          </cell>
          <cell r="EZ93">
            <v>1854</v>
          </cell>
          <cell r="FA93">
            <v>83</v>
          </cell>
          <cell r="FB93">
            <v>0</v>
          </cell>
          <cell r="FC93">
            <v>1937</v>
          </cell>
          <cell r="FD93">
            <v>11</v>
          </cell>
          <cell r="FE93">
            <v>73</v>
          </cell>
          <cell r="FF93">
            <v>0</v>
          </cell>
          <cell r="FG93">
            <v>2397</v>
          </cell>
          <cell r="FH93">
            <v>-2234</v>
          </cell>
          <cell r="FI93">
            <v>-274</v>
          </cell>
          <cell r="FJ93">
            <v>0</v>
          </cell>
          <cell r="FK93">
            <v>-1822</v>
          </cell>
          <cell r="FL93">
            <v>-12</v>
          </cell>
          <cell r="FM93">
            <v>11227</v>
          </cell>
          <cell r="FN93">
            <v>2616</v>
          </cell>
          <cell r="FO93">
            <v>166</v>
          </cell>
          <cell r="FP93">
            <v>9667</v>
          </cell>
          <cell r="FQ93">
            <v>437</v>
          </cell>
          <cell r="FR93" t="str">
            <v>..</v>
          </cell>
          <cell r="FS93">
            <v>-2180</v>
          </cell>
          <cell r="FT93">
            <v>-330</v>
          </cell>
          <cell r="FU93">
            <v>0</v>
          </cell>
          <cell r="FV93">
            <v>-1820</v>
          </cell>
          <cell r="FW93">
            <v>0</v>
          </cell>
          <cell r="FX93">
            <v>11650</v>
          </cell>
          <cell r="FY93">
            <v>1755</v>
          </cell>
          <cell r="FZ93">
            <v>0</v>
          </cell>
          <cell r="GA93">
            <v>9075</v>
          </cell>
          <cell r="GB93">
            <v>445</v>
          </cell>
          <cell r="GC93" t="str">
            <v>..</v>
          </cell>
          <cell r="GD93">
            <v>740</v>
          </cell>
          <cell r="GE93">
            <v>747</v>
          </cell>
          <cell r="GF93">
            <v>23</v>
          </cell>
          <cell r="GG93">
            <v>0</v>
          </cell>
          <cell r="GH93">
            <v>50</v>
          </cell>
          <cell r="GI93">
            <v>6</v>
          </cell>
          <cell r="GJ93">
            <v>497</v>
          </cell>
          <cell r="GK93">
            <v>10</v>
          </cell>
          <cell r="GL93">
            <v>44</v>
          </cell>
          <cell r="GM93">
            <v>193</v>
          </cell>
          <cell r="GN93">
            <v>111</v>
          </cell>
          <cell r="GO93">
            <v>39</v>
          </cell>
          <cell r="GP93">
            <v>8308</v>
          </cell>
          <cell r="GQ93">
            <v>2500</v>
          </cell>
          <cell r="GR93">
            <v>390</v>
          </cell>
          <cell r="GS93">
            <v>7131</v>
          </cell>
          <cell r="GT93">
            <v>1900</v>
          </cell>
          <cell r="GU93">
            <v>1262</v>
          </cell>
          <cell r="GV93">
            <v>0</v>
          </cell>
          <cell r="GW93">
            <v>0</v>
          </cell>
          <cell r="GX93">
            <v>4711</v>
          </cell>
          <cell r="GY93">
            <v>0</v>
          </cell>
          <cell r="GZ93">
            <v>1</v>
          </cell>
          <cell r="HA93">
            <v>1915</v>
          </cell>
          <cell r="HB93">
            <v>141</v>
          </cell>
          <cell r="HC93">
            <v>0</v>
          </cell>
          <cell r="HD93">
            <v>36</v>
          </cell>
          <cell r="HE93">
            <v>94</v>
          </cell>
          <cell r="HF93">
            <v>354</v>
          </cell>
          <cell r="HG93">
            <v>2</v>
          </cell>
          <cell r="HH93">
            <v>0</v>
          </cell>
          <cell r="HI93">
            <v>0</v>
          </cell>
          <cell r="HJ93">
            <v>0</v>
          </cell>
          <cell r="HK93">
            <v>0</v>
          </cell>
          <cell r="HL93">
            <v>7254</v>
          </cell>
          <cell r="HM93">
            <v>0</v>
          </cell>
          <cell r="HN93">
            <v>0</v>
          </cell>
          <cell r="HO93">
            <v>2686</v>
          </cell>
          <cell r="HP93">
            <v>0</v>
          </cell>
          <cell r="HQ93">
            <v>162</v>
          </cell>
          <cell r="HR93">
            <v>110</v>
          </cell>
          <cell r="HS93">
            <v>77</v>
          </cell>
          <cell r="HT93">
            <v>0</v>
          </cell>
          <cell r="HU93">
            <v>68</v>
          </cell>
          <cell r="HV93">
            <v>46</v>
          </cell>
          <cell r="HW93">
            <v>7</v>
          </cell>
          <cell r="HX93">
            <v>162</v>
          </cell>
          <cell r="HY93">
            <v>0</v>
          </cell>
          <cell r="HZ93">
            <v>0</v>
          </cell>
          <cell r="IA93">
            <v>0</v>
          </cell>
          <cell r="IB93">
            <v>0</v>
          </cell>
          <cell r="IC93">
            <v>3318</v>
          </cell>
          <cell r="ID93">
            <v>0</v>
          </cell>
          <cell r="IE93">
            <v>0</v>
          </cell>
          <cell r="IF93">
            <v>300</v>
          </cell>
          <cell r="IG93">
            <v>0</v>
          </cell>
          <cell r="IH93">
            <v>1325</v>
          </cell>
          <cell r="II93">
            <v>80</v>
          </cell>
          <cell r="IJ93">
            <v>210</v>
          </cell>
          <cell r="IK93">
            <v>0</v>
          </cell>
          <cell r="IL93">
            <v>327</v>
          </cell>
          <cell r="IM93">
            <v>2035</v>
          </cell>
          <cell r="IN93">
            <v>1075</v>
          </cell>
          <cell r="IO93">
            <v>35</v>
          </cell>
          <cell r="IP93">
            <v>0</v>
          </cell>
          <cell r="IQ93">
            <v>0</v>
          </cell>
          <cell r="IR93">
            <v>0</v>
          </cell>
          <cell r="IS93">
            <v>0</v>
          </cell>
          <cell r="IT93">
            <v>5387</v>
          </cell>
          <cell r="IU93" t="str">
            <v>..</v>
          </cell>
          <cell r="IV93" t="str">
            <v>2 x Water Rescue Units + 1 x Rescue Tender with Hiab and Palfinger Crane</v>
          </cell>
          <cell r="IW93" t="str">
            <v>..</v>
          </cell>
          <cell r="IX93" t="str">
            <v>..</v>
          </cell>
          <cell r="IY93" t="str">
            <v>..</v>
          </cell>
          <cell r="IZ93" t="str">
            <v>..</v>
          </cell>
          <cell r="JA93" t="str">
            <v>..</v>
          </cell>
          <cell r="JB93" t="str">
            <v>..</v>
          </cell>
        </row>
        <row r="94">
          <cell r="A94" t="str">
            <v>E6107</v>
          </cell>
          <cell r="B94" t="str">
            <v>Cleveland</v>
          </cell>
          <cell r="C94" t="str">
            <v>T Graham</v>
          </cell>
          <cell r="D94" t="str">
            <v>Head of Risk and Performance</v>
          </cell>
          <cell r="E94" t="str">
            <v>01429874024</v>
          </cell>
          <cell r="F94" t="str">
            <v>tgraham@clevelandfire.gov.uk</v>
          </cell>
          <cell r="G94" t="str">
            <v>C Cordiner</v>
          </cell>
          <cell r="H94" t="str">
            <v>Head of Finance and Procurement</v>
          </cell>
          <cell r="I94" t="str">
            <v>01429874040</v>
          </cell>
          <cell r="J94" t="str">
            <v>ccordiner@clevelandfire.gov.uk</v>
          </cell>
          <cell r="K94" t="str">
            <v xml:space="preserve">Ipotts@clevelandfire.gov.uk </v>
          </cell>
          <cell r="L94">
            <v>6</v>
          </cell>
          <cell r="M94">
            <v>6</v>
          </cell>
          <cell r="N94">
            <v>2</v>
          </cell>
          <cell r="O94">
            <v>0</v>
          </cell>
          <cell r="P94">
            <v>14</v>
          </cell>
          <cell r="Q94">
            <v>1</v>
          </cell>
          <cell r="R94">
            <v>6</v>
          </cell>
          <cell r="S94">
            <v>6</v>
          </cell>
          <cell r="T94">
            <v>2</v>
          </cell>
          <cell r="U94">
            <v>0</v>
          </cell>
          <cell r="V94">
            <v>14</v>
          </cell>
          <cell r="W94">
            <v>1</v>
          </cell>
          <cell r="X94">
            <v>25</v>
          </cell>
          <cell r="Y94">
            <v>21</v>
          </cell>
          <cell r="Z94">
            <v>3</v>
          </cell>
          <cell r="AA94">
            <v>7</v>
          </cell>
          <cell r="AB94">
            <v>22</v>
          </cell>
          <cell r="AC94">
            <v>3</v>
          </cell>
          <cell r="AD94">
            <v>3</v>
          </cell>
          <cell r="AE94">
            <v>59</v>
          </cell>
          <cell r="AF94">
            <v>40</v>
          </cell>
          <cell r="AG94">
            <v>4</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v>14791</v>
          </cell>
          <cell r="BC94">
            <v>896</v>
          </cell>
          <cell r="BD94">
            <v>950</v>
          </cell>
          <cell r="BE94">
            <v>3672</v>
          </cell>
          <cell r="BF94">
            <v>476</v>
          </cell>
          <cell r="BG94">
            <v>584</v>
          </cell>
          <cell r="BH94">
            <v>21369</v>
          </cell>
          <cell r="BI94">
            <v>1982</v>
          </cell>
          <cell r="BJ94">
            <v>797</v>
          </cell>
          <cell r="BK94">
            <v>2305</v>
          </cell>
          <cell r="BL94">
            <v>412</v>
          </cell>
          <cell r="BM94">
            <v>0</v>
          </cell>
          <cell r="BN94">
            <v>0</v>
          </cell>
          <cell r="BO94">
            <v>26865</v>
          </cell>
          <cell r="BP94">
            <v>0</v>
          </cell>
          <cell r="BQ94">
            <v>0</v>
          </cell>
          <cell r="BR94">
            <v>1544</v>
          </cell>
          <cell r="BS94">
            <v>1544</v>
          </cell>
          <cell r="BT94">
            <v>25321</v>
          </cell>
          <cell r="BU94">
            <v>838</v>
          </cell>
          <cell r="BV94">
            <v>4188</v>
          </cell>
          <cell r="BW94">
            <v>352</v>
          </cell>
          <cell r="BX94">
            <v>458</v>
          </cell>
          <cell r="BY94">
            <v>2</v>
          </cell>
          <cell r="BZ94">
            <v>0</v>
          </cell>
          <cell r="CA94">
            <v>64</v>
          </cell>
          <cell r="CB94">
            <v>0</v>
          </cell>
          <cell r="CC94">
            <v>0</v>
          </cell>
          <cell r="CD94">
            <v>0</v>
          </cell>
          <cell r="CE94">
            <v>0</v>
          </cell>
          <cell r="CF94">
            <v>0</v>
          </cell>
          <cell r="CG94">
            <v>0</v>
          </cell>
          <cell r="CH94">
            <v>0</v>
          </cell>
          <cell r="CI94">
            <v>0</v>
          </cell>
          <cell r="CJ94">
            <v>1619</v>
          </cell>
          <cell r="CK94">
            <v>651</v>
          </cell>
          <cell r="CL94">
            <v>1883</v>
          </cell>
          <cell r="CM94">
            <v>336</v>
          </cell>
          <cell r="CN94">
            <v>95</v>
          </cell>
          <cell r="CO94">
            <v>15338</v>
          </cell>
          <cell r="CP94">
            <v>1127</v>
          </cell>
          <cell r="CQ94">
            <v>707</v>
          </cell>
          <cell r="CR94">
            <v>4039</v>
          </cell>
          <cell r="CS94">
            <v>471</v>
          </cell>
          <cell r="CT94">
            <v>612</v>
          </cell>
          <cell r="CU94">
            <v>22294</v>
          </cell>
          <cell r="CV94">
            <v>1797</v>
          </cell>
          <cell r="CW94">
            <v>736</v>
          </cell>
          <cell r="CX94">
            <v>1994</v>
          </cell>
          <cell r="CY94">
            <v>365</v>
          </cell>
          <cell r="CZ94">
            <v>0</v>
          </cell>
          <cell r="DA94">
            <v>0</v>
          </cell>
          <cell r="DB94">
            <v>27186</v>
          </cell>
          <cell r="DC94">
            <v>0</v>
          </cell>
          <cell r="DD94">
            <v>0</v>
          </cell>
          <cell r="DE94">
            <v>1034</v>
          </cell>
          <cell r="DF94">
            <v>1034</v>
          </cell>
          <cell r="DG94">
            <v>26152</v>
          </cell>
          <cell r="DH94">
            <v>838</v>
          </cell>
          <cell r="DI94">
            <v>4188</v>
          </cell>
          <cell r="DJ94">
            <v>228</v>
          </cell>
          <cell r="DK94">
            <v>500</v>
          </cell>
          <cell r="DL94">
            <v>1</v>
          </cell>
          <cell r="DM94">
            <v>0</v>
          </cell>
          <cell r="DN94">
            <v>50</v>
          </cell>
          <cell r="DO94">
            <v>0</v>
          </cell>
          <cell r="DP94">
            <v>0</v>
          </cell>
          <cell r="DQ94">
            <v>0</v>
          </cell>
          <cell r="DR94">
            <v>0</v>
          </cell>
          <cell r="DS94">
            <v>0</v>
          </cell>
          <cell r="DT94">
            <v>0</v>
          </cell>
          <cell r="DU94">
            <v>0</v>
          </cell>
          <cell r="DV94">
            <v>0</v>
          </cell>
          <cell r="DW94">
            <v>1600</v>
          </cell>
          <cell r="DX94">
            <v>650</v>
          </cell>
          <cell r="DY94">
            <v>1900</v>
          </cell>
          <cell r="DZ94">
            <v>300</v>
          </cell>
          <cell r="EA94">
            <v>100</v>
          </cell>
          <cell r="EB94">
            <v>0</v>
          </cell>
          <cell r="EC94">
            <v>2</v>
          </cell>
          <cell r="ED94">
            <v>16.100000000000001</v>
          </cell>
          <cell r="EE94">
            <v>53</v>
          </cell>
          <cell r="EF94">
            <v>12549</v>
          </cell>
          <cell r="EG94">
            <v>1821</v>
          </cell>
          <cell r="EH94">
            <v>11801</v>
          </cell>
          <cell r="EI94">
            <v>60</v>
          </cell>
          <cell r="EJ94">
            <v>143</v>
          </cell>
          <cell r="EK94">
            <v>26374</v>
          </cell>
          <cell r="EL94">
            <v>407</v>
          </cell>
          <cell r="EM94">
            <v>3054</v>
          </cell>
          <cell r="EN94">
            <v>3461</v>
          </cell>
          <cell r="EO94">
            <v>20896</v>
          </cell>
          <cell r="EP94">
            <v>1426</v>
          </cell>
          <cell r="EQ94">
            <v>197</v>
          </cell>
          <cell r="ER94">
            <v>22519</v>
          </cell>
          <cell r="ES94">
            <v>0</v>
          </cell>
          <cell r="ET94">
            <v>179</v>
          </cell>
          <cell r="EU94">
            <v>0</v>
          </cell>
          <cell r="EV94">
            <v>26159</v>
          </cell>
          <cell r="EW94">
            <v>76</v>
          </cell>
          <cell r="EX94">
            <v>573</v>
          </cell>
          <cell r="EY94">
            <v>649</v>
          </cell>
          <cell r="EZ94">
            <v>5873</v>
          </cell>
          <cell r="FA94">
            <v>0</v>
          </cell>
          <cell r="FB94">
            <v>55</v>
          </cell>
          <cell r="FC94">
            <v>5928</v>
          </cell>
          <cell r="FD94">
            <v>0</v>
          </cell>
          <cell r="FE94">
            <v>0</v>
          </cell>
          <cell r="FF94">
            <v>0</v>
          </cell>
          <cell r="FG94">
            <v>6577</v>
          </cell>
          <cell r="FH94">
            <v>-1638</v>
          </cell>
          <cell r="FI94">
            <v>0</v>
          </cell>
          <cell r="FJ94">
            <v>0</v>
          </cell>
          <cell r="FK94">
            <v>-1351</v>
          </cell>
          <cell r="FL94">
            <v>-22</v>
          </cell>
          <cell r="FM94">
            <v>12551</v>
          </cell>
          <cell r="FN94">
            <v>3622</v>
          </cell>
          <cell r="FO94">
            <v>0</v>
          </cell>
          <cell r="FP94">
            <v>13162</v>
          </cell>
          <cell r="FQ94">
            <v>222</v>
          </cell>
          <cell r="FR94">
            <v>15</v>
          </cell>
          <cell r="FS94">
            <v>-1526</v>
          </cell>
          <cell r="FT94">
            <v>-20</v>
          </cell>
          <cell r="FU94">
            <v>0</v>
          </cell>
          <cell r="FV94">
            <v>-1271</v>
          </cell>
          <cell r="FW94">
            <v>-50</v>
          </cell>
          <cell r="FX94">
            <v>12844</v>
          </cell>
          <cell r="FY94">
            <v>1961</v>
          </cell>
          <cell r="FZ94">
            <v>50</v>
          </cell>
          <cell r="GA94">
            <v>11988</v>
          </cell>
          <cell r="GB94">
            <v>223</v>
          </cell>
          <cell r="GC94">
            <v>0</v>
          </cell>
          <cell r="GD94">
            <v>590</v>
          </cell>
          <cell r="GE94">
            <v>620</v>
          </cell>
          <cell r="GF94">
            <v>32</v>
          </cell>
          <cell r="GG94">
            <v>0</v>
          </cell>
          <cell r="GH94">
            <v>61</v>
          </cell>
          <cell r="GI94">
            <v>1</v>
          </cell>
          <cell r="GJ94">
            <v>272</v>
          </cell>
          <cell r="GK94">
            <v>1</v>
          </cell>
          <cell r="GL94">
            <v>0</v>
          </cell>
          <cell r="GM94">
            <v>0</v>
          </cell>
          <cell r="GN94">
            <v>0</v>
          </cell>
          <cell r="GO94">
            <v>0</v>
          </cell>
          <cell r="GP94">
            <v>8331</v>
          </cell>
          <cell r="GQ94">
            <v>1552</v>
          </cell>
          <cell r="GR94">
            <v>0</v>
          </cell>
          <cell r="GS94">
            <v>9285</v>
          </cell>
          <cell r="GT94">
            <v>1552</v>
          </cell>
          <cell r="GU94">
            <v>0</v>
          </cell>
          <cell r="GV94">
            <v>0</v>
          </cell>
          <cell r="GW94">
            <v>0</v>
          </cell>
          <cell r="GX94">
            <v>4662</v>
          </cell>
          <cell r="GY94">
            <v>952</v>
          </cell>
          <cell r="GZ94">
            <v>0</v>
          </cell>
          <cell r="HA94">
            <v>520</v>
          </cell>
          <cell r="HB94">
            <v>12</v>
          </cell>
          <cell r="HC94">
            <v>0</v>
          </cell>
          <cell r="HD94">
            <v>26</v>
          </cell>
          <cell r="HE94">
            <v>0</v>
          </cell>
          <cell r="HF94">
            <v>0</v>
          </cell>
          <cell r="HG94">
            <v>0</v>
          </cell>
          <cell r="HH94">
            <v>0</v>
          </cell>
          <cell r="HI94">
            <v>0</v>
          </cell>
          <cell r="HJ94">
            <v>0</v>
          </cell>
          <cell r="HK94">
            <v>0</v>
          </cell>
          <cell r="HL94">
            <v>6172</v>
          </cell>
          <cell r="HM94">
            <v>0</v>
          </cell>
          <cell r="HN94">
            <v>0</v>
          </cell>
          <cell r="HO94">
            <v>284</v>
          </cell>
          <cell r="HP94">
            <v>63</v>
          </cell>
          <cell r="HQ94">
            <v>0</v>
          </cell>
          <cell r="HR94">
            <v>228</v>
          </cell>
          <cell r="HS94">
            <v>21</v>
          </cell>
          <cell r="HT94">
            <v>0</v>
          </cell>
          <cell r="HU94">
            <v>66</v>
          </cell>
          <cell r="HV94">
            <v>0</v>
          </cell>
          <cell r="HW94">
            <v>0</v>
          </cell>
          <cell r="HX94">
            <v>0</v>
          </cell>
          <cell r="HY94">
            <v>0</v>
          </cell>
          <cell r="HZ94">
            <v>0</v>
          </cell>
          <cell r="IA94">
            <v>0</v>
          </cell>
          <cell r="IB94">
            <v>0</v>
          </cell>
          <cell r="IC94">
            <v>662</v>
          </cell>
          <cell r="ID94">
            <v>0</v>
          </cell>
          <cell r="IE94">
            <v>0</v>
          </cell>
          <cell r="IF94">
            <v>0</v>
          </cell>
          <cell r="IG94">
            <v>1632</v>
          </cell>
          <cell r="IH94">
            <v>742</v>
          </cell>
          <cell r="II94">
            <v>525</v>
          </cell>
          <cell r="IJ94">
            <v>60</v>
          </cell>
          <cell r="IK94">
            <v>0</v>
          </cell>
          <cell r="IL94">
            <v>50</v>
          </cell>
          <cell r="IM94">
            <v>148</v>
          </cell>
          <cell r="IN94">
            <v>0</v>
          </cell>
          <cell r="IO94">
            <v>200</v>
          </cell>
          <cell r="IP94">
            <v>125</v>
          </cell>
          <cell r="IQ94">
            <v>0</v>
          </cell>
          <cell r="IR94">
            <v>0</v>
          </cell>
          <cell r="IS94">
            <v>0</v>
          </cell>
          <cell r="IT94">
            <v>3482</v>
          </cell>
          <cell r="IU94" t="str">
            <v>1 shared with Police / Others have touch down facility for Police and Ambulance plus community facilities</v>
          </cell>
          <cell r="IV94" t="str">
            <v>C4 - Unimog, B2 &amp; H2 small fire units, Hotel 4 line rescue, Lima 4 landrover, Mike 4 Ford Ranger, Echo 4 Water Rescue</v>
          </cell>
          <cell r="IW94" t="str">
            <v>..</v>
          </cell>
          <cell r="IX94" t="str">
            <v>..</v>
          </cell>
          <cell r="IY94" t="str">
            <v>..</v>
          </cell>
          <cell r="IZ94" t="str">
            <v>..</v>
          </cell>
          <cell r="JA94" t="str">
            <v>..</v>
          </cell>
          <cell r="JB94" t="str">
            <v>..</v>
          </cell>
        </row>
        <row r="95">
          <cell r="A95" t="str">
            <v>E6105</v>
          </cell>
          <cell r="B95" t="str">
            <v>Cambridgeshire</v>
          </cell>
          <cell r="C95" t="str">
            <v>Amanda Shepherd</v>
          </cell>
          <cell r="D95" t="str">
            <v>Business Inteligence Analyst</v>
          </cell>
          <cell r="E95" t="str">
            <v>01480 444518</v>
          </cell>
          <cell r="F95" t="str">
            <v>amanda.shepherd@cambsfire.gov.uk</v>
          </cell>
          <cell r="G95" t="str">
            <v>Martin J Gridley</v>
          </cell>
          <cell r="H95" t="str">
            <v>Finance Manager</v>
          </cell>
          <cell r="I95">
            <v>1480444565</v>
          </cell>
          <cell r="J95" t="str">
            <v>martin.j.gridley@cambsfire.gov.uk</v>
          </cell>
          <cell r="K95" t="str">
            <v>..</v>
          </cell>
          <cell r="L95">
            <v>3</v>
          </cell>
          <cell r="M95">
            <v>19</v>
          </cell>
          <cell r="N95">
            <v>4</v>
          </cell>
          <cell r="O95">
            <v>1</v>
          </cell>
          <cell r="P95">
            <v>27</v>
          </cell>
          <cell r="Q95">
            <v>7</v>
          </cell>
          <cell r="R95">
            <v>3</v>
          </cell>
          <cell r="S95">
            <v>19</v>
          </cell>
          <cell r="T95">
            <v>4</v>
          </cell>
          <cell r="U95">
            <v>1</v>
          </cell>
          <cell r="V95">
            <v>27</v>
          </cell>
          <cell r="W95">
            <v>7</v>
          </cell>
          <cell r="X95">
            <v>36</v>
          </cell>
          <cell r="Y95">
            <v>36</v>
          </cell>
          <cell r="Z95">
            <v>2</v>
          </cell>
          <cell r="AA95">
            <v>5</v>
          </cell>
          <cell r="AB95">
            <v>42</v>
          </cell>
          <cell r="AC95">
            <v>3</v>
          </cell>
          <cell r="AD95">
            <v>88</v>
          </cell>
          <cell r="AE95">
            <v>176</v>
          </cell>
          <cell r="AF95">
            <v>74</v>
          </cell>
          <cell r="AG95">
            <v>4</v>
          </cell>
          <cell r="AH95">
            <v>3</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v>11983</v>
          </cell>
          <cell r="BC95">
            <v>2459</v>
          </cell>
          <cell r="BD95">
            <v>1611</v>
          </cell>
          <cell r="BE95">
            <v>5487</v>
          </cell>
          <cell r="BF95">
            <v>700</v>
          </cell>
          <cell r="BG95">
            <v>806</v>
          </cell>
          <cell r="BH95">
            <v>23046</v>
          </cell>
          <cell r="BI95">
            <v>1439</v>
          </cell>
          <cell r="BJ95">
            <v>907</v>
          </cell>
          <cell r="BK95">
            <v>4893</v>
          </cell>
          <cell r="BL95">
            <v>78</v>
          </cell>
          <cell r="BM95">
            <v>0</v>
          </cell>
          <cell r="BN95">
            <v>0</v>
          </cell>
          <cell r="BO95">
            <v>30363</v>
          </cell>
          <cell r="BP95">
            <v>0</v>
          </cell>
          <cell r="BQ95">
            <v>0</v>
          </cell>
          <cell r="BR95">
            <v>1933</v>
          </cell>
          <cell r="BS95">
            <v>1933</v>
          </cell>
          <cell r="BT95">
            <v>28430</v>
          </cell>
          <cell r="BU95">
            <v>6663</v>
          </cell>
          <cell r="BV95">
            <v>8384</v>
          </cell>
          <cell r="BW95">
            <v>0</v>
          </cell>
          <cell r="BX95">
            <v>129</v>
          </cell>
          <cell r="BY95">
            <v>0</v>
          </cell>
          <cell r="BZ95">
            <v>141</v>
          </cell>
          <cell r="CA95">
            <v>110</v>
          </cell>
          <cell r="CB95">
            <v>0</v>
          </cell>
          <cell r="CC95" t="str">
            <v>..</v>
          </cell>
          <cell r="CD95" t="str">
            <v>..</v>
          </cell>
          <cell r="CE95" t="str">
            <v>..</v>
          </cell>
          <cell r="CF95" t="str">
            <v>..</v>
          </cell>
          <cell r="CG95" t="str">
            <v>..</v>
          </cell>
          <cell r="CH95" t="str">
            <v>..</v>
          </cell>
          <cell r="CI95" t="str">
            <v>..</v>
          </cell>
          <cell r="CJ95" t="str">
            <v>..</v>
          </cell>
          <cell r="CK95" t="str">
            <v>..</v>
          </cell>
          <cell r="CL95">
            <v>105</v>
          </cell>
          <cell r="CM95" t="str">
            <v>..</v>
          </cell>
          <cell r="CN95">
            <v>1220</v>
          </cell>
          <cell r="CO95">
            <v>13003</v>
          </cell>
          <cell r="CP95">
            <v>2864</v>
          </cell>
          <cell r="CQ95">
            <v>1533</v>
          </cell>
          <cell r="CR95">
            <v>5737</v>
          </cell>
          <cell r="CS95">
            <v>548</v>
          </cell>
          <cell r="CT95">
            <v>752</v>
          </cell>
          <cell r="CU95">
            <v>24437</v>
          </cell>
          <cell r="CV95">
            <v>1454</v>
          </cell>
          <cell r="CW95">
            <v>845</v>
          </cell>
          <cell r="CX95">
            <v>4558</v>
          </cell>
          <cell r="CY95">
            <v>102</v>
          </cell>
          <cell r="CZ95">
            <v>0</v>
          </cell>
          <cell r="DA95">
            <v>0</v>
          </cell>
          <cell r="DB95">
            <v>31396</v>
          </cell>
          <cell r="DC95">
            <v>0</v>
          </cell>
          <cell r="DD95">
            <v>0</v>
          </cell>
          <cell r="DE95">
            <v>1213</v>
          </cell>
          <cell r="DF95">
            <v>1213</v>
          </cell>
          <cell r="DG95">
            <v>30183</v>
          </cell>
          <cell r="DH95">
            <v>3505</v>
          </cell>
          <cell r="DI95">
            <v>12280</v>
          </cell>
          <cell r="DJ95">
            <v>0</v>
          </cell>
          <cell r="DK95">
            <v>124</v>
          </cell>
          <cell r="DL95">
            <v>0</v>
          </cell>
          <cell r="DM95">
            <v>193</v>
          </cell>
          <cell r="DN95">
            <v>90</v>
          </cell>
          <cell r="DO95">
            <v>0</v>
          </cell>
          <cell r="DP95" t="str">
            <v>..</v>
          </cell>
          <cell r="DQ95" t="str">
            <v>..</v>
          </cell>
          <cell r="DR95" t="str">
            <v>..</v>
          </cell>
          <cell r="DS95" t="str">
            <v>..</v>
          </cell>
          <cell r="DT95" t="str">
            <v>..</v>
          </cell>
          <cell r="DU95" t="str">
            <v>..</v>
          </cell>
          <cell r="DV95" t="str">
            <v>..</v>
          </cell>
          <cell r="DW95" t="str">
            <v>..</v>
          </cell>
          <cell r="DX95" t="str">
            <v>..</v>
          </cell>
          <cell r="DY95">
            <v>79</v>
          </cell>
          <cell r="DZ95" t="str">
            <v>..</v>
          </cell>
          <cell r="EA95">
            <v>1021</v>
          </cell>
          <cell r="EB95">
            <v>0</v>
          </cell>
          <cell r="EC95">
            <v>0</v>
          </cell>
          <cell r="ED95">
            <v>18.600000000000001</v>
          </cell>
          <cell r="EE95">
            <v>364</v>
          </cell>
          <cell r="EF95">
            <v>6809</v>
          </cell>
          <cell r="EG95">
            <v>3880</v>
          </cell>
          <cell r="EH95">
            <v>20164</v>
          </cell>
          <cell r="EI95">
            <v>62</v>
          </cell>
          <cell r="EJ95">
            <v>113</v>
          </cell>
          <cell r="EK95">
            <v>31028</v>
          </cell>
          <cell r="EL95">
            <v>106</v>
          </cell>
          <cell r="EM95">
            <v>288</v>
          </cell>
          <cell r="EN95">
            <v>394</v>
          </cell>
          <cell r="EO95">
            <v>30395</v>
          </cell>
          <cell r="EP95">
            <v>3082</v>
          </cell>
          <cell r="EQ95">
            <v>393</v>
          </cell>
          <cell r="ER95">
            <v>33870</v>
          </cell>
          <cell r="ES95">
            <v>127</v>
          </cell>
          <cell r="ET95">
            <v>672</v>
          </cell>
          <cell r="EU95">
            <v>30</v>
          </cell>
          <cell r="EV95">
            <v>35093</v>
          </cell>
          <cell r="EW95">
            <v>54</v>
          </cell>
          <cell r="EX95">
            <v>151</v>
          </cell>
          <cell r="EY95">
            <v>205</v>
          </cell>
          <cell r="EZ95">
            <v>15497</v>
          </cell>
          <cell r="FA95">
            <v>2023</v>
          </cell>
          <cell r="FB95">
            <v>206</v>
          </cell>
          <cell r="FC95">
            <v>17726</v>
          </cell>
          <cell r="FD95">
            <v>65</v>
          </cell>
          <cell r="FE95">
            <v>0</v>
          </cell>
          <cell r="FF95">
            <v>0</v>
          </cell>
          <cell r="FG95">
            <v>17996</v>
          </cell>
          <cell r="FH95">
            <v>-1629</v>
          </cell>
          <cell r="FI95">
            <v>-45</v>
          </cell>
          <cell r="FJ95">
            <v>0</v>
          </cell>
          <cell r="FK95">
            <v>-1402</v>
          </cell>
          <cell r="FL95">
            <v>-1</v>
          </cell>
          <cell r="FM95">
            <v>6648</v>
          </cell>
          <cell r="FN95">
            <v>1693</v>
          </cell>
          <cell r="FO95">
            <v>405</v>
          </cell>
          <cell r="FP95">
            <v>5669</v>
          </cell>
          <cell r="FQ95">
            <v>608</v>
          </cell>
          <cell r="FR95">
            <v>0</v>
          </cell>
          <cell r="FS95">
            <v>-2932</v>
          </cell>
          <cell r="FT95">
            <v>-110</v>
          </cell>
          <cell r="FU95">
            <v>0</v>
          </cell>
          <cell r="FV95">
            <v>-1382</v>
          </cell>
          <cell r="FW95">
            <v>0</v>
          </cell>
          <cell r="FX95">
            <v>6916</v>
          </cell>
          <cell r="FY95">
            <v>1278</v>
          </cell>
          <cell r="FZ95">
            <v>0</v>
          </cell>
          <cell r="GA95">
            <v>3770</v>
          </cell>
          <cell r="GB95">
            <v>633</v>
          </cell>
          <cell r="GC95">
            <v>0</v>
          </cell>
          <cell r="GD95">
            <v>441</v>
          </cell>
          <cell r="GE95">
            <v>456</v>
          </cell>
          <cell r="GF95">
            <v>22</v>
          </cell>
          <cell r="GG95">
            <v>1</v>
          </cell>
          <cell r="GH95">
            <v>43</v>
          </cell>
          <cell r="GI95">
            <v>8</v>
          </cell>
          <cell r="GJ95">
            <v>366</v>
          </cell>
          <cell r="GK95">
            <v>13</v>
          </cell>
          <cell r="GL95">
            <v>26</v>
          </cell>
          <cell r="GM95">
            <v>213</v>
          </cell>
          <cell r="GN95">
            <v>16</v>
          </cell>
          <cell r="GO95">
            <v>0</v>
          </cell>
          <cell r="GP95">
            <v>10033</v>
          </cell>
          <cell r="GQ95">
            <v>2471</v>
          </cell>
          <cell r="GR95">
            <v>371</v>
          </cell>
          <cell r="GS95">
            <v>8509</v>
          </cell>
          <cell r="GT95">
            <v>2502</v>
          </cell>
          <cell r="GU95">
            <v>450</v>
          </cell>
          <cell r="GV95">
            <v>0</v>
          </cell>
          <cell r="GW95">
            <v>0</v>
          </cell>
          <cell r="GX95">
            <v>0</v>
          </cell>
          <cell r="GY95">
            <v>440</v>
          </cell>
          <cell r="GZ95">
            <v>0</v>
          </cell>
          <cell r="HA95">
            <v>843</v>
          </cell>
          <cell r="HB95">
            <v>893</v>
          </cell>
          <cell r="HC95">
            <v>0</v>
          </cell>
          <cell r="HD95">
            <v>39</v>
          </cell>
          <cell r="HE95">
            <v>138</v>
          </cell>
          <cell r="HF95">
            <v>31</v>
          </cell>
          <cell r="HG95">
            <v>29</v>
          </cell>
          <cell r="HH95">
            <v>479</v>
          </cell>
          <cell r="HI95">
            <v>0</v>
          </cell>
          <cell r="HJ95">
            <v>0</v>
          </cell>
          <cell r="HK95">
            <v>0</v>
          </cell>
          <cell r="HL95">
            <v>2892</v>
          </cell>
          <cell r="HM95">
            <v>0</v>
          </cell>
          <cell r="HN95">
            <v>0</v>
          </cell>
          <cell r="HO95">
            <v>74</v>
          </cell>
          <cell r="HP95">
            <v>1216</v>
          </cell>
          <cell r="HQ95">
            <v>0</v>
          </cell>
          <cell r="HR95">
            <v>548</v>
          </cell>
          <cell r="HS95">
            <v>148</v>
          </cell>
          <cell r="HT95">
            <v>0</v>
          </cell>
          <cell r="HU95">
            <v>0</v>
          </cell>
          <cell r="HV95">
            <v>0</v>
          </cell>
          <cell r="HW95">
            <v>387</v>
          </cell>
          <cell r="HX95">
            <v>0</v>
          </cell>
          <cell r="HY95">
            <v>236</v>
          </cell>
          <cell r="HZ95">
            <v>0</v>
          </cell>
          <cell r="IA95">
            <v>0</v>
          </cell>
          <cell r="IB95">
            <v>0</v>
          </cell>
          <cell r="IC95">
            <v>2609</v>
          </cell>
          <cell r="ID95">
            <v>0</v>
          </cell>
          <cell r="IE95">
            <v>0</v>
          </cell>
          <cell r="IF95">
            <v>0</v>
          </cell>
          <cell r="IG95">
            <v>1210</v>
          </cell>
          <cell r="IH95">
            <v>0</v>
          </cell>
          <cell r="II95">
            <v>1616</v>
          </cell>
          <cell r="IJ95">
            <v>719</v>
          </cell>
          <cell r="IK95">
            <v>0</v>
          </cell>
          <cell r="IL95">
            <v>50</v>
          </cell>
          <cell r="IM95">
            <v>0</v>
          </cell>
          <cell r="IN95">
            <v>300</v>
          </cell>
          <cell r="IO95">
            <v>0</v>
          </cell>
          <cell r="IP95">
            <v>292</v>
          </cell>
          <cell r="IQ95">
            <v>0</v>
          </cell>
          <cell r="IR95">
            <v>0</v>
          </cell>
          <cell r="IS95">
            <v>0</v>
          </cell>
          <cell r="IT95">
            <v>4187</v>
          </cell>
          <cell r="IU95" t="str">
            <v>Ambulance Service</v>
          </cell>
          <cell r="IV95" t="str">
            <v>..</v>
          </cell>
          <cell r="IW95" t="str">
            <v>..</v>
          </cell>
          <cell r="IX95" t="str">
            <v>..</v>
          </cell>
          <cell r="IY95" t="str">
            <v>..</v>
          </cell>
          <cell r="IZ95" t="str">
            <v>Includes recharge of Combined Control</v>
          </cell>
          <cell r="JA95" t="str">
            <v>..</v>
          </cell>
          <cell r="JB95" t="str">
            <v>..</v>
          </cell>
        </row>
        <row r="96">
          <cell r="A96" t="str">
            <v>E6104</v>
          </cell>
          <cell r="B96" t="str">
            <v>Buckinghamshire</v>
          </cell>
          <cell r="C96" t="str">
            <v>..</v>
          </cell>
          <cell r="D96" t="str">
            <v>..</v>
          </cell>
          <cell r="E96" t="str">
            <v>..</v>
          </cell>
          <cell r="F96" t="str">
            <v>..</v>
          </cell>
          <cell r="G96" t="str">
            <v>Laura Taylor</v>
          </cell>
          <cell r="H96" t="str">
            <v>Trainee Accountant</v>
          </cell>
          <cell r="I96">
            <v>1296744487</v>
          </cell>
          <cell r="J96" t="str">
            <v>ltaylor@bucksfire.gov.uk</v>
          </cell>
          <cell r="K96" t="str">
            <v>..</v>
          </cell>
          <cell r="L96">
            <v>6</v>
          </cell>
          <cell r="M96">
            <v>10</v>
          </cell>
          <cell r="N96">
            <v>4</v>
          </cell>
          <cell r="O96">
            <v>0</v>
          </cell>
          <cell r="P96">
            <v>20</v>
          </cell>
          <cell r="Q96">
            <v>1</v>
          </cell>
          <cell r="R96">
            <v>5</v>
          </cell>
          <cell r="S96">
            <v>10</v>
          </cell>
          <cell r="T96">
            <v>4</v>
          </cell>
          <cell r="U96">
            <v>0</v>
          </cell>
          <cell r="V96">
            <v>19</v>
          </cell>
          <cell r="W96">
            <v>3</v>
          </cell>
          <cell r="X96">
            <v>30</v>
          </cell>
          <cell r="Y96">
            <v>30</v>
          </cell>
          <cell r="Z96">
            <v>2</v>
          </cell>
          <cell r="AA96">
            <v>4</v>
          </cell>
          <cell r="AB96">
            <v>32</v>
          </cell>
          <cell r="AC96">
            <v>0</v>
          </cell>
          <cell r="AD96">
            <v>9</v>
          </cell>
          <cell r="AE96">
            <v>77</v>
          </cell>
          <cell r="AF96">
            <v>47</v>
          </cell>
          <cell r="AG96">
            <v>2</v>
          </cell>
          <cell r="AH96">
            <v>3</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v>13027</v>
          </cell>
          <cell r="BC96">
            <v>1031</v>
          </cell>
          <cell r="BD96">
            <v>722</v>
          </cell>
          <cell r="BE96">
            <v>4432</v>
          </cell>
          <cell r="BF96">
            <v>535</v>
          </cell>
          <cell r="BG96">
            <v>534</v>
          </cell>
          <cell r="BH96">
            <v>20281</v>
          </cell>
          <cell r="BI96">
            <v>1517</v>
          </cell>
          <cell r="BJ96">
            <v>595</v>
          </cell>
          <cell r="BK96">
            <v>3965</v>
          </cell>
          <cell r="BL96">
            <v>0</v>
          </cell>
          <cell r="BM96">
            <v>0</v>
          </cell>
          <cell r="BN96">
            <v>0</v>
          </cell>
          <cell r="BO96">
            <v>26358</v>
          </cell>
          <cell r="BP96">
            <v>1098</v>
          </cell>
          <cell r="BQ96">
            <v>0</v>
          </cell>
          <cell r="BR96">
            <v>582</v>
          </cell>
          <cell r="BS96">
            <v>1680</v>
          </cell>
          <cell r="BT96">
            <v>24678</v>
          </cell>
          <cell r="BU96">
            <v>2919</v>
          </cell>
          <cell r="BV96">
            <v>4036</v>
          </cell>
          <cell r="BW96">
            <v>0</v>
          </cell>
          <cell r="BX96">
            <v>47</v>
          </cell>
          <cell r="BY96">
            <v>0</v>
          </cell>
          <cell r="BZ96">
            <v>314</v>
          </cell>
          <cell r="CA96">
            <v>-226</v>
          </cell>
          <cell r="CB96">
            <v>0</v>
          </cell>
          <cell r="CC96">
            <v>0</v>
          </cell>
          <cell r="CD96">
            <v>0</v>
          </cell>
          <cell r="CE96">
            <v>722</v>
          </cell>
          <cell r="CF96">
            <v>13</v>
          </cell>
          <cell r="CG96">
            <v>0</v>
          </cell>
          <cell r="CH96">
            <v>0</v>
          </cell>
          <cell r="CI96">
            <v>735</v>
          </cell>
          <cell r="CJ96">
            <v>0</v>
          </cell>
          <cell r="CK96">
            <v>0</v>
          </cell>
          <cell r="CL96">
            <v>110</v>
          </cell>
          <cell r="CM96">
            <v>0</v>
          </cell>
          <cell r="CN96">
            <v>0</v>
          </cell>
          <cell r="CO96">
            <v>15538</v>
          </cell>
          <cell r="CP96">
            <v>1852</v>
          </cell>
          <cell r="CQ96">
            <v>790</v>
          </cell>
          <cell r="CR96">
            <v>4730</v>
          </cell>
          <cell r="CS96">
            <v>535</v>
          </cell>
          <cell r="CT96">
            <v>353</v>
          </cell>
          <cell r="CU96">
            <v>23798</v>
          </cell>
          <cell r="CV96">
            <v>1613</v>
          </cell>
          <cell r="CW96">
            <v>643</v>
          </cell>
          <cell r="CX96">
            <v>2882</v>
          </cell>
          <cell r="CY96">
            <v>0</v>
          </cell>
          <cell r="CZ96">
            <v>0</v>
          </cell>
          <cell r="DA96">
            <v>0</v>
          </cell>
          <cell r="DB96">
            <v>28936</v>
          </cell>
          <cell r="DC96">
            <v>1097</v>
          </cell>
          <cell r="DD96">
            <v>0</v>
          </cell>
          <cell r="DE96">
            <v>478</v>
          </cell>
          <cell r="DF96">
            <v>1575</v>
          </cell>
          <cell r="DG96">
            <v>27361</v>
          </cell>
          <cell r="DH96">
            <v>2919</v>
          </cell>
          <cell r="DI96">
            <v>4036</v>
          </cell>
          <cell r="DJ96">
            <v>0</v>
          </cell>
          <cell r="DK96">
            <v>47</v>
          </cell>
          <cell r="DL96">
            <v>0</v>
          </cell>
          <cell r="DM96">
            <v>311</v>
          </cell>
          <cell r="DN96">
            <v>-150</v>
          </cell>
          <cell r="DO96">
            <v>0</v>
          </cell>
          <cell r="DP96">
            <v>0</v>
          </cell>
          <cell r="DQ96">
            <v>0</v>
          </cell>
          <cell r="DR96">
            <v>790</v>
          </cell>
          <cell r="DS96">
            <v>22</v>
          </cell>
          <cell r="DT96">
            <v>0</v>
          </cell>
          <cell r="DU96">
            <v>0</v>
          </cell>
          <cell r="DV96">
            <v>812</v>
          </cell>
          <cell r="DW96">
            <v>0</v>
          </cell>
          <cell r="DX96">
            <v>0</v>
          </cell>
          <cell r="DY96">
            <v>220</v>
          </cell>
          <cell r="DZ96">
            <v>0</v>
          </cell>
          <cell r="EA96">
            <v>0</v>
          </cell>
          <cell r="EB96">
            <v>0</v>
          </cell>
          <cell r="EC96">
            <v>30</v>
          </cell>
          <cell r="ED96">
            <v>15.5</v>
          </cell>
          <cell r="EE96">
            <v>0</v>
          </cell>
          <cell r="EF96">
            <v>2636</v>
          </cell>
          <cell r="EG96">
            <v>5763</v>
          </cell>
          <cell r="EH96">
            <v>19117</v>
          </cell>
          <cell r="EI96">
            <v>120</v>
          </cell>
          <cell r="EJ96">
            <v>107</v>
          </cell>
          <cell r="EK96">
            <v>27743</v>
          </cell>
          <cell r="EL96" t="str">
            <v>..</v>
          </cell>
          <cell r="EM96" t="str">
            <v>..</v>
          </cell>
          <cell r="EN96">
            <v>982</v>
          </cell>
          <cell r="EO96" t="str">
            <v>..</v>
          </cell>
          <cell r="EP96" t="str">
            <v>..</v>
          </cell>
          <cell r="EQ96" t="str">
            <v>..</v>
          </cell>
          <cell r="ER96">
            <v>24979</v>
          </cell>
          <cell r="ES96">
            <v>0</v>
          </cell>
          <cell r="ET96">
            <v>1249</v>
          </cell>
          <cell r="EU96">
            <v>387</v>
          </cell>
          <cell r="EV96">
            <v>27597</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v>-1429</v>
          </cell>
          <cell r="FI96">
            <v>-122</v>
          </cell>
          <cell r="FJ96">
            <v>0</v>
          </cell>
          <cell r="FK96">
            <v>-1233</v>
          </cell>
          <cell r="FL96">
            <v>0</v>
          </cell>
          <cell r="FM96">
            <v>6860</v>
          </cell>
          <cell r="FN96">
            <v>2737</v>
          </cell>
          <cell r="FO96">
            <v>0</v>
          </cell>
          <cell r="FP96">
            <v>6813</v>
          </cell>
          <cell r="FQ96">
            <v>217</v>
          </cell>
          <cell r="FR96">
            <v>121</v>
          </cell>
          <cell r="FS96">
            <v>-2690</v>
          </cell>
          <cell r="FT96">
            <v>-122</v>
          </cell>
          <cell r="FU96">
            <v>0</v>
          </cell>
          <cell r="FV96">
            <v>-1303</v>
          </cell>
          <cell r="FW96">
            <v>0</v>
          </cell>
          <cell r="FX96">
            <v>6994</v>
          </cell>
          <cell r="FY96">
            <v>563</v>
          </cell>
          <cell r="FZ96">
            <v>0</v>
          </cell>
          <cell r="GA96">
            <v>3442</v>
          </cell>
          <cell r="GB96">
            <v>213</v>
          </cell>
          <cell r="GC96">
            <v>0</v>
          </cell>
          <cell r="GD96">
            <v>455</v>
          </cell>
          <cell r="GE96">
            <v>459</v>
          </cell>
          <cell r="GF96">
            <v>29</v>
          </cell>
          <cell r="GG96">
            <v>5</v>
          </cell>
          <cell r="GH96">
            <v>30</v>
          </cell>
          <cell r="GI96">
            <v>9</v>
          </cell>
          <cell r="GJ96">
            <v>373</v>
          </cell>
          <cell r="GK96">
            <v>0</v>
          </cell>
          <cell r="GL96">
            <v>48</v>
          </cell>
          <cell r="GM96">
            <v>176</v>
          </cell>
          <cell r="GN96">
            <v>59</v>
          </cell>
          <cell r="GO96">
            <v>0</v>
          </cell>
          <cell r="GP96">
            <v>8229</v>
          </cell>
          <cell r="GQ96">
            <v>1500</v>
          </cell>
          <cell r="GR96">
            <v>3196</v>
          </cell>
          <cell r="GS96">
            <v>5898</v>
          </cell>
          <cell r="GT96">
            <v>1500</v>
          </cell>
          <cell r="GU96">
            <v>2943</v>
          </cell>
          <cell r="GV96">
            <v>0</v>
          </cell>
          <cell r="GW96">
            <v>0</v>
          </cell>
          <cell r="GX96">
            <v>1871</v>
          </cell>
          <cell r="GY96">
            <v>208</v>
          </cell>
          <cell r="GZ96">
            <v>0</v>
          </cell>
          <cell r="HA96">
            <v>2068</v>
          </cell>
          <cell r="HB96">
            <v>0</v>
          </cell>
          <cell r="HC96">
            <v>0</v>
          </cell>
          <cell r="HD96">
            <v>0</v>
          </cell>
          <cell r="HE96">
            <v>0</v>
          </cell>
          <cell r="HF96">
            <v>0</v>
          </cell>
          <cell r="HG96">
            <v>73</v>
          </cell>
          <cell r="HH96">
            <v>255</v>
          </cell>
          <cell r="HI96">
            <v>0</v>
          </cell>
          <cell r="HJ96">
            <v>0</v>
          </cell>
          <cell r="HK96">
            <v>0</v>
          </cell>
          <cell r="HL96">
            <v>4475</v>
          </cell>
          <cell r="HM96">
            <v>0</v>
          </cell>
          <cell r="HN96">
            <v>0</v>
          </cell>
          <cell r="HO96">
            <v>6319</v>
          </cell>
          <cell r="HP96">
            <v>500</v>
          </cell>
          <cell r="HQ96">
            <v>0</v>
          </cell>
          <cell r="HR96">
            <v>522</v>
          </cell>
          <cell r="HS96">
            <v>0</v>
          </cell>
          <cell r="HT96">
            <v>0</v>
          </cell>
          <cell r="HU96">
            <v>0</v>
          </cell>
          <cell r="HV96">
            <v>0</v>
          </cell>
          <cell r="HW96">
            <v>0</v>
          </cell>
          <cell r="HX96">
            <v>120</v>
          </cell>
          <cell r="HY96">
            <v>197</v>
          </cell>
          <cell r="HZ96">
            <v>0</v>
          </cell>
          <cell r="IA96">
            <v>0</v>
          </cell>
          <cell r="IB96">
            <v>0</v>
          </cell>
          <cell r="IC96">
            <v>7658</v>
          </cell>
          <cell r="ID96">
            <v>0</v>
          </cell>
          <cell r="IE96">
            <v>0</v>
          </cell>
          <cell r="IF96">
            <v>5875</v>
          </cell>
          <cell r="IG96">
            <v>500</v>
          </cell>
          <cell r="IH96">
            <v>0</v>
          </cell>
          <cell r="II96">
            <v>815</v>
          </cell>
          <cell r="IJ96">
            <v>0</v>
          </cell>
          <cell r="IK96">
            <v>0</v>
          </cell>
          <cell r="IL96">
            <v>90</v>
          </cell>
          <cell r="IM96">
            <v>0</v>
          </cell>
          <cell r="IN96">
            <v>0</v>
          </cell>
          <cell r="IO96">
            <v>138</v>
          </cell>
          <cell r="IP96">
            <v>182</v>
          </cell>
          <cell r="IQ96">
            <v>0</v>
          </cell>
          <cell r="IR96">
            <v>0</v>
          </cell>
          <cell r="IS96">
            <v>0</v>
          </cell>
          <cell r="IT96">
            <v>7600</v>
          </cell>
          <cell r="IU96" t="str">
            <v>Police and Ambulance</v>
          </cell>
          <cell r="IV96" t="str">
            <v>2 Water Rescue (inc Boat) &amp; 2 tankers</v>
          </cell>
          <cell r="IW96" t="str">
            <v>..</v>
          </cell>
          <cell r="IX96" t="str">
            <v>..</v>
          </cell>
          <cell r="IY96" t="str">
            <v>..</v>
          </cell>
          <cell r="IZ96" t="str">
            <v>Aerial sites, seconded officers recharges, rents</v>
          </cell>
          <cell r="JA96" t="str">
            <v>..</v>
          </cell>
          <cell r="JB96" t="str">
            <v>..</v>
          </cell>
        </row>
        <row r="97">
          <cell r="A97" t="str">
            <v>E6147</v>
          </cell>
          <cell r="B97" t="str">
            <v>West Yorkshire</v>
          </cell>
          <cell r="C97" t="str">
            <v>Alison Wood</v>
          </cell>
          <cell r="D97" t="str">
            <v>Chief Finance &amp; Procurement Officer</v>
          </cell>
          <cell r="E97" t="str">
            <v>01274655711</v>
          </cell>
          <cell r="F97" t="str">
            <v>Alison.Wood@Westyorksfire.gov.uk</v>
          </cell>
          <cell r="G97" t="str">
            <v>Caroline Johnson</v>
          </cell>
          <cell r="H97" t="str">
            <v xml:space="preserve">Capital Accountant </v>
          </cell>
          <cell r="I97" t="str">
            <v>01274655713</v>
          </cell>
          <cell r="J97" t="str">
            <v>Caroline.Johnson@Westyorksfire.gov.uk</v>
          </cell>
          <cell r="K97" t="str">
            <v>James.Buttery@Westyorksfire.gov.uk</v>
          </cell>
          <cell r="L97">
            <v>25</v>
          </cell>
          <cell r="M97">
            <v>8</v>
          </cell>
          <cell r="N97">
            <v>7</v>
          </cell>
          <cell r="O97">
            <v>0</v>
          </cell>
          <cell r="P97">
            <v>40</v>
          </cell>
          <cell r="Q97">
            <v>11</v>
          </cell>
          <cell r="R97">
            <v>25</v>
          </cell>
          <cell r="S97">
            <v>8</v>
          </cell>
          <cell r="T97">
            <v>7</v>
          </cell>
          <cell r="U97">
            <v>0</v>
          </cell>
          <cell r="V97">
            <v>40</v>
          </cell>
          <cell r="W97">
            <v>11</v>
          </cell>
          <cell r="X97">
            <v>43</v>
          </cell>
          <cell r="Y97">
            <v>43</v>
          </cell>
          <cell r="Z97">
            <v>5</v>
          </cell>
          <cell r="AA97">
            <v>31</v>
          </cell>
          <cell r="AB97">
            <v>66</v>
          </cell>
          <cell r="AC97">
            <v>0</v>
          </cell>
          <cell r="AD97">
            <v>11</v>
          </cell>
          <cell r="AE97">
            <v>156</v>
          </cell>
          <cell r="AF97">
            <v>142</v>
          </cell>
          <cell r="AG97">
            <v>8</v>
          </cell>
          <cell r="AH97">
            <v>5</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v>44728</v>
          </cell>
          <cell r="BC97">
            <v>1628</v>
          </cell>
          <cell r="BD97">
            <v>1773</v>
          </cell>
          <cell r="BE97">
            <v>9365</v>
          </cell>
          <cell r="BF97">
            <v>743</v>
          </cell>
          <cell r="BG97">
            <v>2593</v>
          </cell>
          <cell r="BH97">
            <v>60830</v>
          </cell>
          <cell r="BI97">
            <v>4234</v>
          </cell>
          <cell r="BJ97">
            <v>2368</v>
          </cell>
          <cell r="BK97">
            <v>2977</v>
          </cell>
          <cell r="BL97">
            <v>2062</v>
          </cell>
          <cell r="BM97">
            <v>0</v>
          </cell>
          <cell r="BN97">
            <v>517</v>
          </cell>
          <cell r="BO97">
            <v>72988</v>
          </cell>
          <cell r="BP97">
            <v>1953</v>
          </cell>
          <cell r="BQ97">
            <v>835</v>
          </cell>
          <cell r="BR97">
            <v>0</v>
          </cell>
          <cell r="BS97">
            <v>2788</v>
          </cell>
          <cell r="BT97">
            <v>70200</v>
          </cell>
          <cell r="BU97">
            <v>11595</v>
          </cell>
          <cell r="BV97">
            <v>-24092</v>
          </cell>
          <cell r="BW97">
            <v>0</v>
          </cell>
          <cell r="BX97">
            <v>4361</v>
          </cell>
          <cell r="BY97">
            <v>0</v>
          </cell>
          <cell r="BZ97">
            <v>274</v>
          </cell>
          <cell r="CA97">
            <v>264</v>
          </cell>
          <cell r="CB97">
            <v>0</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v>48634</v>
          </cell>
          <cell r="CP97">
            <v>1847</v>
          </cell>
          <cell r="CQ97">
            <v>1806</v>
          </cell>
          <cell r="CR97">
            <v>10031</v>
          </cell>
          <cell r="CS97">
            <v>787</v>
          </cell>
          <cell r="CT97">
            <v>2390</v>
          </cell>
          <cell r="CU97">
            <v>65495</v>
          </cell>
          <cell r="CV97">
            <v>4417</v>
          </cell>
          <cell r="CW97">
            <v>2392</v>
          </cell>
          <cell r="CX97">
            <v>2771</v>
          </cell>
          <cell r="CY97">
            <v>2425</v>
          </cell>
          <cell r="CZ97">
            <v>0</v>
          </cell>
          <cell r="DA97">
            <v>2271</v>
          </cell>
          <cell r="DB97">
            <v>79771</v>
          </cell>
          <cell r="DC97">
            <v>1777</v>
          </cell>
          <cell r="DD97">
            <v>794</v>
          </cell>
          <cell r="DE97">
            <v>0</v>
          </cell>
          <cell r="DF97">
            <v>2571</v>
          </cell>
          <cell r="DG97">
            <v>77200</v>
          </cell>
          <cell r="DH97">
            <v>7948</v>
          </cell>
          <cell r="DI97">
            <v>-24092</v>
          </cell>
          <cell r="DJ97">
            <v>0</v>
          </cell>
          <cell r="DK97">
            <v>3796</v>
          </cell>
          <cell r="DL97">
            <v>0</v>
          </cell>
          <cell r="DM97">
            <v>235</v>
          </cell>
          <cell r="DN97">
            <v>264</v>
          </cell>
          <cell r="DO97">
            <v>0</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v>0</v>
          </cell>
          <cell r="EC97">
            <v>0</v>
          </cell>
          <cell r="ED97">
            <v>17.2</v>
          </cell>
          <cell r="EE97" t="str">
            <v>..</v>
          </cell>
          <cell r="EF97" t="str">
            <v>..</v>
          </cell>
          <cell r="EG97" t="str">
            <v>..</v>
          </cell>
          <cell r="EH97" t="str">
            <v>..</v>
          </cell>
          <cell r="EI97" t="str">
            <v>..</v>
          </cell>
          <cell r="EJ97" t="str">
            <v>..</v>
          </cell>
          <cell r="EK97" t="str">
            <v>..</v>
          </cell>
          <cell r="EL97" t="str">
            <v>..</v>
          </cell>
          <cell r="EM97" t="str">
            <v>..</v>
          </cell>
          <cell r="EN97">
            <v>3152</v>
          </cell>
          <cell r="EO97" t="str">
            <v>..</v>
          </cell>
          <cell r="EP97" t="str">
            <v>..</v>
          </cell>
          <cell r="EQ97" t="str">
            <v>..</v>
          </cell>
          <cell r="ER97">
            <v>77708</v>
          </cell>
          <cell r="ES97">
            <v>0</v>
          </cell>
          <cell r="ET97">
            <v>685</v>
          </cell>
          <cell r="EU97">
            <v>250</v>
          </cell>
          <cell r="EV97">
            <v>81795</v>
          </cell>
          <cell r="EW97">
            <v>0</v>
          </cell>
          <cell r="EX97">
            <v>0</v>
          </cell>
          <cell r="EY97">
            <v>1009</v>
          </cell>
          <cell r="EZ97">
            <v>0</v>
          </cell>
          <cell r="FA97">
            <v>0</v>
          </cell>
          <cell r="FB97">
            <v>0</v>
          </cell>
          <cell r="FC97">
            <v>24865</v>
          </cell>
          <cell r="FD97">
            <v>0</v>
          </cell>
          <cell r="FE97">
            <v>0</v>
          </cell>
          <cell r="FF97">
            <v>0</v>
          </cell>
          <cell r="FG97">
            <v>25874</v>
          </cell>
          <cell r="FH97">
            <v>-5177</v>
          </cell>
          <cell r="FI97">
            <v>-349</v>
          </cell>
          <cell r="FJ97">
            <v>0</v>
          </cell>
          <cell r="FK97">
            <v>-4323</v>
          </cell>
          <cell r="FL97">
            <v>-336</v>
          </cell>
          <cell r="FM97">
            <v>36892</v>
          </cell>
          <cell r="FN97">
            <v>8471</v>
          </cell>
          <cell r="FO97">
            <v>0</v>
          </cell>
          <cell r="FP97">
            <v>35178</v>
          </cell>
          <cell r="FQ97">
            <v>1208</v>
          </cell>
          <cell r="FR97">
            <v>0</v>
          </cell>
          <cell r="FS97">
            <v>-4707</v>
          </cell>
          <cell r="FT97">
            <v>-402</v>
          </cell>
          <cell r="FU97">
            <v>0</v>
          </cell>
          <cell r="FV97">
            <v>-3919</v>
          </cell>
          <cell r="FW97">
            <v>-99</v>
          </cell>
          <cell r="FX97">
            <v>38553</v>
          </cell>
          <cell r="FY97">
            <v>9239</v>
          </cell>
          <cell r="FZ97">
            <v>0</v>
          </cell>
          <cell r="GA97">
            <v>38665</v>
          </cell>
          <cell r="GB97">
            <v>1208</v>
          </cell>
          <cell r="GC97">
            <v>0</v>
          </cell>
          <cell r="GD97">
            <v>2403</v>
          </cell>
          <cell r="GE97">
            <v>72</v>
          </cell>
          <cell r="GF97">
            <v>66</v>
          </cell>
          <cell r="GG97">
            <v>4</v>
          </cell>
          <cell r="GH97">
            <v>152</v>
          </cell>
          <cell r="GI97">
            <v>2</v>
          </cell>
          <cell r="GJ97">
            <v>828</v>
          </cell>
          <cell r="GK97">
            <v>19</v>
          </cell>
          <cell r="GL97">
            <v>105</v>
          </cell>
          <cell r="GM97">
            <v>96</v>
          </cell>
          <cell r="GN97">
            <v>81</v>
          </cell>
          <cell r="GO97">
            <v>17</v>
          </cell>
          <cell r="GP97">
            <v>21355</v>
          </cell>
          <cell r="GQ97">
            <v>14388</v>
          </cell>
          <cell r="GR97">
            <v>493</v>
          </cell>
          <cell r="GS97">
            <v>31173</v>
          </cell>
          <cell r="GT97">
            <v>5177</v>
          </cell>
          <cell r="GU97">
            <v>768</v>
          </cell>
          <cell r="GV97">
            <v>0</v>
          </cell>
          <cell r="GW97">
            <v>0</v>
          </cell>
          <cell r="GX97">
            <v>6</v>
          </cell>
          <cell r="GY97">
            <v>2169</v>
          </cell>
          <cell r="GZ97">
            <v>0</v>
          </cell>
          <cell r="HA97">
            <v>2395</v>
          </cell>
          <cell r="HB97">
            <v>0</v>
          </cell>
          <cell r="HC97">
            <v>22</v>
          </cell>
          <cell r="HD97">
            <v>19</v>
          </cell>
          <cell r="HE97">
            <v>75</v>
          </cell>
          <cell r="HF97">
            <v>455</v>
          </cell>
          <cell r="HG97">
            <v>0</v>
          </cell>
          <cell r="HH97">
            <v>857</v>
          </cell>
          <cell r="HI97">
            <v>462</v>
          </cell>
          <cell r="HJ97">
            <v>112</v>
          </cell>
          <cell r="HK97">
            <v>0</v>
          </cell>
          <cell r="HL97">
            <v>6572</v>
          </cell>
          <cell r="HM97">
            <v>30</v>
          </cell>
          <cell r="HN97">
            <v>0</v>
          </cell>
          <cell r="HO97">
            <v>118</v>
          </cell>
          <cell r="HP97">
            <v>1191</v>
          </cell>
          <cell r="HQ97">
            <v>0</v>
          </cell>
          <cell r="HR97">
            <v>731</v>
          </cell>
          <cell r="HS97">
            <v>0</v>
          </cell>
          <cell r="HT97">
            <v>0</v>
          </cell>
          <cell r="HU97">
            <v>55</v>
          </cell>
          <cell r="HV97">
            <v>109</v>
          </cell>
          <cell r="HW97">
            <v>139</v>
          </cell>
          <cell r="HX97">
            <v>31</v>
          </cell>
          <cell r="HY97">
            <v>1416</v>
          </cell>
          <cell r="HZ97">
            <v>398</v>
          </cell>
          <cell r="IA97">
            <v>35</v>
          </cell>
          <cell r="IB97">
            <v>0</v>
          </cell>
          <cell r="IC97">
            <v>4253</v>
          </cell>
          <cell r="ID97">
            <v>1195</v>
          </cell>
          <cell r="IE97">
            <v>0</v>
          </cell>
          <cell r="IF97">
            <v>2822</v>
          </cell>
          <cell r="IG97">
            <v>2531</v>
          </cell>
          <cell r="IH97">
            <v>0</v>
          </cell>
          <cell r="II97">
            <v>1699</v>
          </cell>
          <cell r="IJ97">
            <v>0</v>
          </cell>
          <cell r="IK97">
            <v>16</v>
          </cell>
          <cell r="IL97">
            <v>163</v>
          </cell>
          <cell r="IM97">
            <v>397</v>
          </cell>
          <cell r="IN97">
            <v>1134</v>
          </cell>
          <cell r="IO97">
            <v>487</v>
          </cell>
          <cell r="IP97">
            <v>1213</v>
          </cell>
          <cell r="IQ97">
            <v>520</v>
          </cell>
          <cell r="IR97">
            <v>0</v>
          </cell>
          <cell r="IS97">
            <v>0</v>
          </cell>
          <cell r="IT97">
            <v>12177</v>
          </cell>
          <cell r="IU97" t="str">
            <v xml:space="preserve">West Yorkshire Police, Yorkshire Ambulance </v>
          </cell>
          <cell r="IV97" t="str">
            <v>..</v>
          </cell>
          <cell r="IW97" t="str">
            <v>..</v>
          </cell>
          <cell r="IX97" t="str">
            <v>..</v>
          </cell>
          <cell r="IY97" t="str">
            <v>..</v>
          </cell>
          <cell r="IZ97" t="str">
            <v>..</v>
          </cell>
          <cell r="JA97" t="str">
            <v>..</v>
          </cell>
          <cell r="JB97"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gov.uk/government/collections/detailed-analysis-of-non-fire-incidents-attended-by-fire-and-rescue-services-england"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6.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2"/>
  </sheetPr>
  <dimension ref="A1:X3709"/>
  <sheetViews>
    <sheetView showGridLines="0" zoomScaleNormal="100" workbookViewId="0">
      <pane xSplit="1" ySplit="3" topLeftCell="B4" activePane="bottomRight" state="frozen"/>
      <selection activeCell="L18" sqref="L18"/>
      <selection pane="topRight" activeCell="L18" sqref="L18"/>
      <selection pane="bottomLeft" activeCell="L18" sqref="L18"/>
      <selection pane="bottomRight"/>
    </sheetView>
  </sheetViews>
  <sheetFormatPr defaultColWidth="9.1796875" defaultRowHeight="15.5" x14ac:dyDescent="0.35"/>
  <cols>
    <col min="1" max="1" width="31.26953125" style="103" customWidth="1"/>
    <col min="2" max="2" width="13.26953125" style="103" customWidth="1"/>
    <col min="3" max="3" width="12.54296875" style="103" customWidth="1"/>
    <col min="4" max="4" width="2.453125" style="103" customWidth="1"/>
    <col min="5" max="5" width="11.26953125" style="103" customWidth="1"/>
    <col min="6" max="6" width="12.81640625" style="105" customWidth="1"/>
    <col min="7" max="7" width="12.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6384" width="9.1796875" style="103"/>
  </cols>
  <sheetData>
    <row r="1" spans="1:24" s="52" customFormat="1" ht="24.75" customHeight="1" x14ac:dyDescent="0.35">
      <c r="A1" s="49" t="s">
        <v>338</v>
      </c>
      <c r="B1" s="50"/>
      <c r="C1" s="50"/>
      <c r="D1" s="50"/>
      <c r="E1" s="50"/>
      <c r="F1" s="51"/>
      <c r="G1" s="51"/>
      <c r="H1" s="50"/>
      <c r="I1" s="50"/>
      <c r="J1" s="50"/>
      <c r="K1" s="50"/>
      <c r="L1" s="50"/>
      <c r="M1" s="50"/>
      <c r="N1" s="50"/>
      <c r="O1" s="50"/>
      <c r="P1" s="50"/>
    </row>
    <row r="2" spans="1:24" s="57" customFormat="1" ht="34.5" customHeight="1" x14ac:dyDescent="0.35">
      <c r="A2" s="379"/>
      <c r="B2" s="377" t="s">
        <v>337</v>
      </c>
      <c r="C2" s="377"/>
      <c r="D2" s="55"/>
      <c r="E2" s="378" t="s">
        <v>336</v>
      </c>
      <c r="F2" s="378"/>
      <c r="G2" s="378"/>
      <c r="H2" s="378" t="s">
        <v>167</v>
      </c>
      <c r="I2" s="378"/>
      <c r="J2" s="107"/>
      <c r="K2" s="376" t="s">
        <v>168</v>
      </c>
      <c r="L2" s="376"/>
      <c r="M2" s="376"/>
      <c r="N2" s="376" t="s">
        <v>169</v>
      </c>
      <c r="O2" s="376"/>
      <c r="P2" s="376"/>
    </row>
    <row r="3" spans="1:24" s="57" customFormat="1" ht="30.5" x14ac:dyDescent="0.35">
      <c r="A3" s="379"/>
      <c r="B3" s="60" t="s">
        <v>238</v>
      </c>
      <c r="C3" s="60" t="s">
        <v>237</v>
      </c>
      <c r="D3" s="59"/>
      <c r="E3" s="60" t="s">
        <v>170</v>
      </c>
      <c r="F3" s="60" t="s">
        <v>171</v>
      </c>
      <c r="G3" s="60" t="s">
        <v>172</v>
      </c>
      <c r="H3" s="60" t="s">
        <v>235</v>
      </c>
      <c r="I3" s="60" t="s">
        <v>171</v>
      </c>
      <c r="J3" s="60"/>
      <c r="K3" s="61" t="s">
        <v>175</v>
      </c>
      <c r="L3" s="61" t="s">
        <v>234</v>
      </c>
      <c r="M3" s="60" t="s">
        <v>233</v>
      </c>
      <c r="N3" s="60" t="s">
        <v>232</v>
      </c>
      <c r="O3" s="60" t="s">
        <v>179</v>
      </c>
      <c r="P3" s="60" t="s">
        <v>180</v>
      </c>
    </row>
    <row r="4" spans="1:24" s="67" customFormat="1" ht="25.5" customHeight="1" x14ac:dyDescent="0.35">
      <c r="A4" s="62" t="s">
        <v>181</v>
      </c>
      <c r="B4" s="64">
        <v>51810.3</v>
      </c>
      <c r="C4" s="64">
        <v>100</v>
      </c>
      <c r="D4" s="63"/>
      <c r="E4" s="64">
        <v>29879.5</v>
      </c>
      <c r="F4" s="64">
        <v>14425</v>
      </c>
      <c r="G4" s="64">
        <v>1591.5</v>
      </c>
      <c r="H4" s="64">
        <v>664</v>
      </c>
      <c r="I4" s="64">
        <v>775</v>
      </c>
      <c r="J4" s="75" t="s">
        <v>3</v>
      </c>
      <c r="K4" s="64">
        <v>2098</v>
      </c>
      <c r="L4" s="64">
        <v>141</v>
      </c>
      <c r="M4" s="64">
        <v>1022</v>
      </c>
      <c r="N4" s="64">
        <v>5195</v>
      </c>
      <c r="O4" s="64">
        <v>318</v>
      </c>
      <c r="P4" s="64">
        <v>269</v>
      </c>
      <c r="Q4" s="62"/>
      <c r="R4" s="65"/>
      <c r="S4" s="65"/>
      <c r="T4" s="65"/>
      <c r="U4" s="81"/>
      <c r="V4" s="65"/>
      <c r="W4" s="65"/>
      <c r="X4" s="65"/>
    </row>
    <row r="5" spans="1:24" s="71" customFormat="1" ht="25.5" customHeight="1" x14ac:dyDescent="0.35">
      <c r="A5" s="62" t="s">
        <v>182</v>
      </c>
      <c r="B5" s="70">
        <v>32816.300000000003</v>
      </c>
      <c r="C5" s="70">
        <v>63.33933600075661</v>
      </c>
      <c r="D5" s="69"/>
      <c r="E5" s="70">
        <v>16171.5</v>
      </c>
      <c r="F5" s="70">
        <v>13847</v>
      </c>
      <c r="G5" s="70">
        <v>1136.5</v>
      </c>
      <c r="H5" s="70">
        <v>377</v>
      </c>
      <c r="I5" s="70">
        <v>755</v>
      </c>
      <c r="J5" s="75" t="s">
        <v>3</v>
      </c>
      <c r="K5" s="70">
        <v>1633</v>
      </c>
      <c r="L5" s="70">
        <v>103</v>
      </c>
      <c r="M5" s="70">
        <v>810</v>
      </c>
      <c r="N5" s="70">
        <v>3799</v>
      </c>
      <c r="O5" s="70">
        <v>251</v>
      </c>
      <c r="P5" s="70">
        <v>178</v>
      </c>
      <c r="U5" s="81"/>
      <c r="V5" s="81"/>
      <c r="W5" s="81"/>
    </row>
    <row r="6" spans="1:24" s="81" customFormat="1" ht="12.5" x14ac:dyDescent="0.35">
      <c r="A6" s="82" t="s">
        <v>77</v>
      </c>
      <c r="B6" s="75">
        <v>1082.0999999999999</v>
      </c>
      <c r="C6" s="74">
        <v>2.0885808420333407</v>
      </c>
      <c r="D6" s="74"/>
      <c r="E6" s="75">
        <v>680</v>
      </c>
      <c r="F6" s="75">
        <v>254</v>
      </c>
      <c r="G6" s="75">
        <v>36</v>
      </c>
      <c r="H6" s="87">
        <v>11</v>
      </c>
      <c r="I6" s="87">
        <v>12</v>
      </c>
      <c r="J6" s="75" t="s">
        <v>3</v>
      </c>
      <c r="K6" s="87">
        <v>37</v>
      </c>
      <c r="L6" s="87">
        <v>5</v>
      </c>
      <c r="M6" s="87">
        <v>30</v>
      </c>
      <c r="N6" s="87">
        <v>124</v>
      </c>
      <c r="O6" s="87">
        <v>8</v>
      </c>
      <c r="P6" s="87">
        <v>3</v>
      </c>
    </row>
    <row r="7" spans="1:24" s="81" customFormat="1" ht="12.5" x14ac:dyDescent="0.35">
      <c r="A7" s="82" t="s">
        <v>75</v>
      </c>
      <c r="B7" s="75">
        <v>605.20000000000005</v>
      </c>
      <c r="C7" s="74">
        <v>1.1681074998600667</v>
      </c>
      <c r="D7" s="74"/>
      <c r="E7" s="75">
        <v>317</v>
      </c>
      <c r="F7" s="75">
        <v>156</v>
      </c>
      <c r="G7" s="75">
        <v>26.5</v>
      </c>
      <c r="H7" s="87">
        <v>7</v>
      </c>
      <c r="I7" s="87">
        <v>7</v>
      </c>
      <c r="J7" s="75" t="s">
        <v>3</v>
      </c>
      <c r="K7" s="87">
        <v>22</v>
      </c>
      <c r="L7" s="87">
        <v>2</v>
      </c>
      <c r="M7" s="87">
        <v>14</v>
      </c>
      <c r="N7" s="87">
        <v>43</v>
      </c>
      <c r="O7" s="87">
        <v>3</v>
      </c>
      <c r="P7" s="87">
        <v>2</v>
      </c>
    </row>
    <row r="8" spans="1:24" s="81" customFormat="1" ht="12.5" x14ac:dyDescent="0.35">
      <c r="A8" s="82" t="s">
        <v>73</v>
      </c>
      <c r="B8" s="75">
        <v>854</v>
      </c>
      <c r="C8" s="74">
        <v>1.6483208937219047</v>
      </c>
      <c r="D8" s="74"/>
      <c r="E8" s="75">
        <v>434</v>
      </c>
      <c r="F8" s="75">
        <v>110</v>
      </c>
      <c r="G8" s="75">
        <v>35</v>
      </c>
      <c r="H8" s="87">
        <v>11</v>
      </c>
      <c r="I8" s="87">
        <v>8</v>
      </c>
      <c r="J8" s="75" t="s">
        <v>3</v>
      </c>
      <c r="K8" s="87">
        <v>22</v>
      </c>
      <c r="L8" s="87">
        <v>2</v>
      </c>
      <c r="M8" s="87">
        <v>14</v>
      </c>
      <c r="N8" s="87">
        <v>67</v>
      </c>
      <c r="O8" s="87">
        <v>7</v>
      </c>
      <c r="P8" s="87">
        <v>4</v>
      </c>
    </row>
    <row r="9" spans="1:24" s="81" customFormat="1" ht="12.5" x14ac:dyDescent="0.35">
      <c r="A9" s="82" t="s">
        <v>71</v>
      </c>
      <c r="B9" s="75">
        <v>731.3</v>
      </c>
      <c r="C9" s="74">
        <v>1.4114953976332891</v>
      </c>
      <c r="D9" s="74"/>
      <c r="E9" s="75">
        <v>383</v>
      </c>
      <c r="F9" s="75">
        <v>217</v>
      </c>
      <c r="G9" s="75">
        <v>25</v>
      </c>
      <c r="H9" s="87">
        <v>10</v>
      </c>
      <c r="I9" s="87">
        <v>10</v>
      </c>
      <c r="J9" s="75" t="s">
        <v>3</v>
      </c>
      <c r="K9" s="87">
        <v>30</v>
      </c>
      <c r="L9" s="87">
        <v>2</v>
      </c>
      <c r="M9" s="87">
        <v>11</v>
      </c>
      <c r="N9" s="87">
        <v>119</v>
      </c>
      <c r="O9" s="87">
        <v>6</v>
      </c>
      <c r="P9" s="87">
        <v>2</v>
      </c>
    </row>
    <row r="10" spans="1:24" s="81" customFormat="1" ht="12.5" x14ac:dyDescent="0.35">
      <c r="A10" s="82" t="s">
        <v>69</v>
      </c>
      <c r="B10" s="75">
        <v>778.2</v>
      </c>
      <c r="C10" s="74">
        <v>1.5020179385180168</v>
      </c>
      <c r="D10" s="74"/>
      <c r="E10" s="75">
        <v>271</v>
      </c>
      <c r="F10" s="75">
        <v>389</v>
      </c>
      <c r="G10" s="75">
        <v>35</v>
      </c>
      <c r="H10" s="87">
        <v>7</v>
      </c>
      <c r="I10" s="87">
        <v>20</v>
      </c>
      <c r="J10" s="75" t="s">
        <v>3</v>
      </c>
      <c r="K10" s="87">
        <v>39</v>
      </c>
      <c r="L10" s="87">
        <v>2</v>
      </c>
      <c r="M10" s="87">
        <v>14</v>
      </c>
      <c r="N10" s="87">
        <v>98</v>
      </c>
      <c r="O10" s="87">
        <v>6</v>
      </c>
      <c r="P10" s="87">
        <v>2</v>
      </c>
    </row>
    <row r="11" spans="1:24" s="81" customFormat="1" ht="12.5" x14ac:dyDescent="0.35">
      <c r="A11" s="82" t="s">
        <v>67</v>
      </c>
      <c r="B11" s="75">
        <v>1005.7</v>
      </c>
      <c r="C11" s="74">
        <v>1.9411198159439342</v>
      </c>
      <c r="D11" s="74"/>
      <c r="E11" s="75">
        <v>524</v>
      </c>
      <c r="F11" s="75">
        <v>196</v>
      </c>
      <c r="G11" s="75">
        <v>26</v>
      </c>
      <c r="H11" s="87">
        <v>14</v>
      </c>
      <c r="I11" s="87">
        <v>10</v>
      </c>
      <c r="J11" s="75" t="s">
        <v>3</v>
      </c>
      <c r="K11" s="87">
        <v>37</v>
      </c>
      <c r="L11" s="87">
        <v>3</v>
      </c>
      <c r="M11" s="87">
        <v>27</v>
      </c>
      <c r="N11" s="87">
        <v>121</v>
      </c>
      <c r="O11" s="87">
        <v>7</v>
      </c>
      <c r="P11" s="87">
        <v>4</v>
      </c>
    </row>
    <row r="12" spans="1:24" s="81" customFormat="1" ht="12.5" x14ac:dyDescent="0.35">
      <c r="A12" s="82" t="s">
        <v>65</v>
      </c>
      <c r="B12" s="75">
        <v>560</v>
      </c>
      <c r="C12" s="74">
        <v>1.0808661598176426</v>
      </c>
      <c r="D12" s="74"/>
      <c r="E12" s="75">
        <v>505</v>
      </c>
      <c r="F12" s="75">
        <v>90</v>
      </c>
      <c r="G12" s="75">
        <v>34</v>
      </c>
      <c r="H12" s="87">
        <v>9</v>
      </c>
      <c r="I12" s="87">
        <v>6</v>
      </c>
      <c r="J12" s="75" t="s">
        <v>3</v>
      </c>
      <c r="K12" s="87">
        <v>22</v>
      </c>
      <c r="L12" s="87">
        <v>2</v>
      </c>
      <c r="M12" s="87">
        <v>10</v>
      </c>
      <c r="N12" s="87">
        <v>88</v>
      </c>
      <c r="O12" s="87">
        <v>4</v>
      </c>
      <c r="P12" s="87">
        <v>4</v>
      </c>
    </row>
    <row r="13" spans="1:24" s="81" customFormat="1" ht="12.5" x14ac:dyDescent="0.35">
      <c r="A13" s="82" t="s">
        <v>108</v>
      </c>
      <c r="B13" s="75">
        <v>531.1</v>
      </c>
      <c r="C13" s="74">
        <v>1.0250857454984821</v>
      </c>
      <c r="D13" s="74"/>
      <c r="E13" s="75">
        <v>206</v>
      </c>
      <c r="F13" s="75">
        <v>421</v>
      </c>
      <c r="G13" s="75">
        <v>20</v>
      </c>
      <c r="H13" s="87">
        <v>7</v>
      </c>
      <c r="I13" s="87">
        <v>24</v>
      </c>
      <c r="J13" s="75" t="s">
        <v>3</v>
      </c>
      <c r="K13" s="87">
        <v>66</v>
      </c>
      <c r="L13" s="87">
        <v>2</v>
      </c>
      <c r="M13" s="87">
        <v>21</v>
      </c>
      <c r="N13" s="87">
        <v>105</v>
      </c>
      <c r="O13" s="87">
        <v>6</v>
      </c>
      <c r="P13" s="87">
        <v>4</v>
      </c>
    </row>
    <row r="14" spans="1:24" s="81" customFormat="1" ht="12.5" x14ac:dyDescent="0.35">
      <c r="A14" s="82" t="s">
        <v>106</v>
      </c>
      <c r="B14" s="75">
        <v>495.2</v>
      </c>
      <c r="C14" s="74">
        <v>0.95579450418160106</v>
      </c>
      <c r="D14" s="74"/>
      <c r="E14" s="75">
        <v>243</v>
      </c>
      <c r="F14" s="75">
        <v>473</v>
      </c>
      <c r="G14" s="75">
        <v>22</v>
      </c>
      <c r="H14" s="75">
        <v>5</v>
      </c>
      <c r="I14" s="75">
        <v>33</v>
      </c>
      <c r="J14" s="75" t="s">
        <v>3</v>
      </c>
      <c r="K14" s="75">
        <v>50</v>
      </c>
      <c r="L14" s="75">
        <v>2</v>
      </c>
      <c r="M14" s="75">
        <v>13</v>
      </c>
      <c r="N14" s="87" t="s">
        <v>3</v>
      </c>
      <c r="O14" s="87">
        <v>8</v>
      </c>
      <c r="P14" s="87" t="s">
        <v>3</v>
      </c>
    </row>
    <row r="15" spans="1:24" s="81" customFormat="1" ht="12.5" x14ac:dyDescent="0.35">
      <c r="A15" s="82" t="s">
        <v>63</v>
      </c>
      <c r="B15" s="75">
        <v>1004.4</v>
      </c>
      <c r="C15" s="74">
        <v>1.938610662358643</v>
      </c>
      <c r="D15" s="74"/>
      <c r="E15" s="75">
        <v>447</v>
      </c>
      <c r="F15" s="75">
        <v>307</v>
      </c>
      <c r="G15" s="75">
        <v>25</v>
      </c>
      <c r="H15" s="87">
        <v>12</v>
      </c>
      <c r="I15" s="87">
        <v>19</v>
      </c>
      <c r="J15" s="75" t="s">
        <v>3</v>
      </c>
      <c r="K15" s="87">
        <v>44</v>
      </c>
      <c r="L15" s="87">
        <v>3</v>
      </c>
      <c r="M15" s="87">
        <v>12</v>
      </c>
      <c r="N15" s="87">
        <v>119</v>
      </c>
      <c r="O15" s="87">
        <v>6</v>
      </c>
      <c r="P15" s="87">
        <v>4</v>
      </c>
    </row>
    <row r="16" spans="1:24" s="81" customFormat="1" ht="12.5" x14ac:dyDescent="0.35">
      <c r="A16" s="82" t="s">
        <v>183</v>
      </c>
      <c r="B16" s="75">
        <v>1661.6</v>
      </c>
      <c r="C16" s="74">
        <v>3.2070843056303477</v>
      </c>
      <c r="D16" s="74"/>
      <c r="E16" s="75">
        <v>732</v>
      </c>
      <c r="F16" s="75">
        <v>1261</v>
      </c>
      <c r="G16" s="75">
        <v>65</v>
      </c>
      <c r="H16" s="87">
        <v>15</v>
      </c>
      <c r="I16" s="87">
        <v>67</v>
      </c>
      <c r="J16" s="75" t="s">
        <v>3</v>
      </c>
      <c r="K16" s="87">
        <v>122</v>
      </c>
      <c r="L16" s="87">
        <v>8</v>
      </c>
      <c r="M16" s="87">
        <v>49</v>
      </c>
      <c r="N16" s="87">
        <v>299</v>
      </c>
      <c r="O16" s="87">
        <v>18</v>
      </c>
      <c r="P16" s="87">
        <v>15</v>
      </c>
    </row>
    <row r="17" spans="1:16" s="81" customFormat="1" ht="12.5" x14ac:dyDescent="0.35">
      <c r="A17" s="265" t="s">
        <v>399</v>
      </c>
      <c r="B17" s="267">
        <f>B68+B69</f>
        <v>1365.1999999999998</v>
      </c>
      <c r="C17" s="267">
        <f t="shared" ref="C17:P17" si="0">C68+C69</f>
        <v>2.6349972881840098</v>
      </c>
      <c r="D17" s="267"/>
      <c r="E17" s="267">
        <f t="shared" si="0"/>
        <v>521</v>
      </c>
      <c r="F17" s="267">
        <f t="shared" si="0"/>
        <v>727</v>
      </c>
      <c r="G17" s="267">
        <f t="shared" si="0"/>
        <v>49</v>
      </c>
      <c r="H17" s="267">
        <f t="shared" si="0"/>
        <v>13</v>
      </c>
      <c r="I17" s="267">
        <f t="shared" si="0"/>
        <v>37</v>
      </c>
      <c r="J17" s="267" t="s">
        <v>3</v>
      </c>
      <c r="K17" s="267">
        <f t="shared" si="0"/>
        <v>75</v>
      </c>
      <c r="L17" s="267">
        <f t="shared" si="0"/>
        <v>4</v>
      </c>
      <c r="M17" s="267">
        <f t="shared" si="0"/>
        <v>53</v>
      </c>
      <c r="N17" s="267">
        <f t="shared" si="0"/>
        <v>133</v>
      </c>
      <c r="O17" s="267">
        <f t="shared" si="0"/>
        <v>10</v>
      </c>
      <c r="P17" s="267">
        <f t="shared" si="0"/>
        <v>8</v>
      </c>
    </row>
    <row r="18" spans="1:16" s="81" customFormat="1" ht="12.5" x14ac:dyDescent="0.35">
      <c r="A18" s="82" t="s">
        <v>57</v>
      </c>
      <c r="B18" s="75">
        <v>606.9</v>
      </c>
      <c r="C18" s="74">
        <v>1.17138870070237</v>
      </c>
      <c r="D18" s="74"/>
      <c r="E18" s="75">
        <v>392</v>
      </c>
      <c r="F18" s="75">
        <v>162</v>
      </c>
      <c r="G18" s="75">
        <v>25</v>
      </c>
      <c r="H18" s="87">
        <v>8</v>
      </c>
      <c r="I18" s="87">
        <v>7</v>
      </c>
      <c r="J18" s="75" t="s">
        <v>3</v>
      </c>
      <c r="K18" s="87">
        <v>27</v>
      </c>
      <c r="L18" s="87">
        <v>2</v>
      </c>
      <c r="M18" s="87">
        <v>6</v>
      </c>
      <c r="N18" s="87">
        <v>118</v>
      </c>
      <c r="O18" s="87">
        <v>5</v>
      </c>
      <c r="P18" s="87">
        <v>2</v>
      </c>
    </row>
    <row r="19" spans="1:16" s="81" customFormat="1" ht="12.5" x14ac:dyDescent="0.35">
      <c r="A19" s="82" t="s">
        <v>55</v>
      </c>
      <c r="B19" s="75">
        <v>768.3</v>
      </c>
      <c r="C19" s="74">
        <v>1.4829097689069548</v>
      </c>
      <c r="D19" s="74"/>
      <c r="E19" s="75">
        <v>433</v>
      </c>
      <c r="F19" s="75">
        <v>272</v>
      </c>
      <c r="G19" s="75">
        <v>29</v>
      </c>
      <c r="H19" s="87">
        <v>12</v>
      </c>
      <c r="I19" s="87">
        <v>12</v>
      </c>
      <c r="J19" s="75" t="s">
        <v>3</v>
      </c>
      <c r="K19" s="87">
        <v>40</v>
      </c>
      <c r="L19" s="87">
        <v>3</v>
      </c>
      <c r="M19" s="87">
        <v>32</v>
      </c>
      <c r="N19" s="87">
        <v>92</v>
      </c>
      <c r="O19" s="87">
        <v>4</v>
      </c>
      <c r="P19" s="87">
        <v>2</v>
      </c>
    </row>
    <row r="20" spans="1:16" s="81" customFormat="1" ht="12.5" x14ac:dyDescent="0.35">
      <c r="A20" s="82" t="s">
        <v>53</v>
      </c>
      <c r="B20" s="75">
        <v>1720.3</v>
      </c>
      <c r="C20" s="74">
        <v>3.3203822405969472</v>
      </c>
      <c r="D20" s="74"/>
      <c r="E20" s="75">
        <v>880</v>
      </c>
      <c r="F20" s="75">
        <v>490</v>
      </c>
      <c r="G20" s="75">
        <v>45</v>
      </c>
      <c r="H20" s="87">
        <v>17</v>
      </c>
      <c r="I20" s="87">
        <v>34</v>
      </c>
      <c r="J20" s="75" t="s">
        <v>3</v>
      </c>
      <c r="K20" s="87">
        <v>74</v>
      </c>
      <c r="L20" s="87">
        <v>5</v>
      </c>
      <c r="M20" s="87">
        <v>33</v>
      </c>
      <c r="N20" s="87">
        <v>206</v>
      </c>
      <c r="O20" s="87">
        <v>17</v>
      </c>
      <c r="P20" s="87">
        <v>15</v>
      </c>
    </row>
    <row r="21" spans="1:16" s="81" customFormat="1" ht="12.5" x14ac:dyDescent="0.35">
      <c r="A21" s="82" t="s">
        <v>104</v>
      </c>
      <c r="B21" s="75">
        <v>589.20000000000005</v>
      </c>
      <c r="C21" s="74">
        <v>1.1372256095795625</v>
      </c>
      <c r="D21" s="74"/>
      <c r="E21" s="75">
        <v>209</v>
      </c>
      <c r="F21" s="75">
        <v>290</v>
      </c>
      <c r="G21" s="75">
        <v>24</v>
      </c>
      <c r="H21" s="87">
        <v>4</v>
      </c>
      <c r="I21" s="87">
        <v>16</v>
      </c>
      <c r="J21" s="75" t="s">
        <v>3</v>
      </c>
      <c r="K21" s="87">
        <v>33</v>
      </c>
      <c r="L21" s="87">
        <v>2</v>
      </c>
      <c r="M21" s="87">
        <v>18</v>
      </c>
      <c r="N21" s="87">
        <v>57</v>
      </c>
      <c r="O21" s="87">
        <v>6</v>
      </c>
      <c r="P21" s="87">
        <v>2</v>
      </c>
    </row>
    <row r="22" spans="1:16" s="81" customFormat="1" ht="12.5" x14ac:dyDescent="0.35">
      <c r="A22" s="82" t="s">
        <v>51</v>
      </c>
      <c r="B22" s="75">
        <v>1729.6</v>
      </c>
      <c r="C22" s="74">
        <v>3.3383323393224904</v>
      </c>
      <c r="D22" s="74"/>
      <c r="E22" s="75">
        <v>806</v>
      </c>
      <c r="F22" s="75">
        <v>768</v>
      </c>
      <c r="G22" s="75">
        <v>44</v>
      </c>
      <c r="H22" s="87">
        <v>13</v>
      </c>
      <c r="I22" s="87">
        <v>38</v>
      </c>
      <c r="J22" s="75" t="s">
        <v>3</v>
      </c>
      <c r="K22" s="87">
        <v>76</v>
      </c>
      <c r="L22" s="87">
        <v>3</v>
      </c>
      <c r="M22" s="87">
        <v>49</v>
      </c>
      <c r="N22" s="87">
        <v>129</v>
      </c>
      <c r="O22" s="87">
        <v>14</v>
      </c>
      <c r="P22" s="87">
        <v>11</v>
      </c>
    </row>
    <row r="23" spans="1:16" s="81" customFormat="1" ht="12.5" x14ac:dyDescent="0.35">
      <c r="A23" s="82" t="s">
        <v>230</v>
      </c>
      <c r="B23" s="75">
        <v>735.7</v>
      </c>
      <c r="C23" s="74">
        <v>1.419987917460428</v>
      </c>
      <c r="D23" s="74"/>
      <c r="E23" s="75">
        <v>328</v>
      </c>
      <c r="F23" s="75">
        <v>369</v>
      </c>
      <c r="G23" s="75">
        <v>26</v>
      </c>
      <c r="H23" s="87">
        <v>8</v>
      </c>
      <c r="I23" s="87">
        <v>19</v>
      </c>
      <c r="J23" s="75" t="s">
        <v>3</v>
      </c>
      <c r="K23" s="87">
        <v>43</v>
      </c>
      <c r="L23" s="87">
        <v>4</v>
      </c>
      <c r="M23" s="87">
        <v>20</v>
      </c>
      <c r="N23" s="87">
        <v>99</v>
      </c>
      <c r="O23" s="87">
        <v>5</v>
      </c>
      <c r="P23" s="87">
        <v>2</v>
      </c>
    </row>
    <row r="24" spans="1:16" s="81" customFormat="1" ht="12.5" x14ac:dyDescent="0.35">
      <c r="A24" s="82" t="s">
        <v>102</v>
      </c>
      <c r="B24" s="75">
        <v>1095.4000000000001</v>
      </c>
      <c r="C24" s="74">
        <v>2.1142514133290105</v>
      </c>
      <c r="D24" s="74"/>
      <c r="E24" s="75">
        <v>562</v>
      </c>
      <c r="F24" s="75">
        <v>251</v>
      </c>
      <c r="G24" s="75">
        <v>29</v>
      </c>
      <c r="H24" s="87">
        <v>16</v>
      </c>
      <c r="I24" s="87">
        <v>14</v>
      </c>
      <c r="J24" s="75" t="s">
        <v>3</v>
      </c>
      <c r="K24" s="87">
        <v>41</v>
      </c>
      <c r="L24" s="87">
        <v>2</v>
      </c>
      <c r="M24" s="87">
        <v>8</v>
      </c>
      <c r="N24" s="87">
        <v>120</v>
      </c>
      <c r="O24" s="87">
        <v>6</v>
      </c>
      <c r="P24" s="87">
        <v>8</v>
      </c>
    </row>
    <row r="25" spans="1:16" s="81" customFormat="1" ht="12.5" x14ac:dyDescent="0.35">
      <c r="A25" s="82" t="s">
        <v>47</v>
      </c>
      <c r="B25" s="75">
        <v>917.5</v>
      </c>
      <c r="C25" s="74">
        <v>1.7708833957726555</v>
      </c>
      <c r="D25" s="74"/>
      <c r="E25" s="75">
        <v>643</v>
      </c>
      <c r="F25" s="75">
        <v>376</v>
      </c>
      <c r="G25" s="75">
        <v>34</v>
      </c>
      <c r="H25" s="87">
        <v>12</v>
      </c>
      <c r="I25" s="87">
        <v>18</v>
      </c>
      <c r="J25" s="75" t="s">
        <v>3</v>
      </c>
      <c r="K25" s="87">
        <v>48</v>
      </c>
      <c r="L25" s="87">
        <v>4</v>
      </c>
      <c r="M25" s="87">
        <v>10</v>
      </c>
      <c r="N25" s="87">
        <v>157</v>
      </c>
      <c r="O25" s="87">
        <v>8</v>
      </c>
      <c r="P25" s="87">
        <v>7</v>
      </c>
    </row>
    <row r="26" spans="1:16" s="81" customFormat="1" ht="12.5" x14ac:dyDescent="0.35">
      <c r="A26" s="148" t="s">
        <v>100</v>
      </c>
      <c r="B26" s="75">
        <v>140.19999999999999</v>
      </c>
      <c r="C26" s="74">
        <v>0.2706025635829169</v>
      </c>
      <c r="D26" s="74"/>
      <c r="E26" s="75">
        <v>77</v>
      </c>
      <c r="F26" s="75">
        <v>129</v>
      </c>
      <c r="G26" s="75">
        <v>13</v>
      </c>
      <c r="H26" s="87">
        <v>2</v>
      </c>
      <c r="I26" s="87">
        <v>8</v>
      </c>
      <c r="J26" s="75" t="s">
        <v>3</v>
      </c>
      <c r="K26" s="87">
        <v>15</v>
      </c>
      <c r="L26" s="87">
        <v>2</v>
      </c>
      <c r="M26" s="87">
        <v>10</v>
      </c>
      <c r="N26" s="87">
        <v>9</v>
      </c>
      <c r="O26" s="87">
        <v>2</v>
      </c>
      <c r="P26" s="87">
        <v>1</v>
      </c>
    </row>
    <row r="27" spans="1:16" s="81" customFormat="1" ht="12.5" x14ac:dyDescent="0.35">
      <c r="A27" s="82" t="s">
        <v>45</v>
      </c>
      <c r="B27" s="75">
        <v>1666</v>
      </c>
      <c r="C27" s="74">
        <v>3.2155768254574864</v>
      </c>
      <c r="D27" s="74"/>
      <c r="E27" s="75">
        <v>852</v>
      </c>
      <c r="F27" s="75">
        <v>771</v>
      </c>
      <c r="G27" s="75">
        <v>40</v>
      </c>
      <c r="H27" s="87">
        <v>23</v>
      </c>
      <c r="I27" s="87">
        <v>43</v>
      </c>
      <c r="J27" s="75" t="s">
        <v>3</v>
      </c>
      <c r="K27" s="87">
        <v>87</v>
      </c>
      <c r="L27" s="87">
        <v>5</v>
      </c>
      <c r="M27" s="87">
        <v>34</v>
      </c>
      <c r="N27" s="87">
        <v>251</v>
      </c>
      <c r="O27" s="87">
        <v>13</v>
      </c>
      <c r="P27" s="87">
        <v>5</v>
      </c>
    </row>
    <row r="28" spans="1:16" s="81" customFormat="1" ht="12.5" x14ac:dyDescent="0.35">
      <c r="A28" s="82" t="s">
        <v>43</v>
      </c>
      <c r="B28" s="75">
        <v>1445.7</v>
      </c>
      <c r="C28" s="74">
        <v>2.7903717986577963</v>
      </c>
      <c r="D28" s="74"/>
      <c r="E28" s="75">
        <v>861</v>
      </c>
      <c r="F28" s="75">
        <v>432</v>
      </c>
      <c r="G28" s="75">
        <v>43</v>
      </c>
      <c r="H28" s="87">
        <v>22</v>
      </c>
      <c r="I28" s="87">
        <v>17</v>
      </c>
      <c r="J28" s="75" t="s">
        <v>3</v>
      </c>
      <c r="K28" s="87">
        <v>60</v>
      </c>
      <c r="L28" s="87">
        <v>4</v>
      </c>
      <c r="M28" s="87">
        <v>37</v>
      </c>
      <c r="N28" s="87">
        <v>88</v>
      </c>
      <c r="O28" s="87">
        <v>7</v>
      </c>
      <c r="P28" s="87">
        <v>15</v>
      </c>
    </row>
    <row r="29" spans="1:16" s="81" customFormat="1" ht="12.5" x14ac:dyDescent="0.35">
      <c r="A29" s="82" t="s">
        <v>41</v>
      </c>
      <c r="B29" s="75">
        <v>987.9</v>
      </c>
      <c r="C29" s="74">
        <v>1.9067637130068733</v>
      </c>
      <c r="D29" s="74"/>
      <c r="E29" s="75">
        <v>481</v>
      </c>
      <c r="F29" s="75">
        <v>276</v>
      </c>
      <c r="G29" s="75">
        <v>39</v>
      </c>
      <c r="H29" s="87">
        <v>9</v>
      </c>
      <c r="I29" s="87">
        <v>11</v>
      </c>
      <c r="J29" s="75" t="s">
        <v>3</v>
      </c>
      <c r="K29" s="87">
        <v>30</v>
      </c>
      <c r="L29" s="87">
        <v>2</v>
      </c>
      <c r="M29" s="87">
        <v>21</v>
      </c>
      <c r="N29" s="87">
        <v>100</v>
      </c>
      <c r="O29" s="87">
        <v>4</v>
      </c>
      <c r="P29" s="87">
        <v>17</v>
      </c>
    </row>
    <row r="30" spans="1:16" s="81" customFormat="1" ht="12.5" x14ac:dyDescent="0.35">
      <c r="A30" s="82" t="s">
        <v>98</v>
      </c>
      <c r="B30" s="75">
        <v>697.9</v>
      </c>
      <c r="C30" s="74">
        <v>1.347029451672737</v>
      </c>
      <c r="D30" s="74"/>
      <c r="E30" s="75">
        <v>226</v>
      </c>
      <c r="F30" s="75">
        <v>503</v>
      </c>
      <c r="G30" s="75">
        <v>28</v>
      </c>
      <c r="H30" s="87">
        <v>6</v>
      </c>
      <c r="I30" s="87">
        <v>32</v>
      </c>
      <c r="J30" s="75" t="s">
        <v>3</v>
      </c>
      <c r="K30" s="87">
        <v>48</v>
      </c>
      <c r="L30" s="87">
        <v>3</v>
      </c>
      <c r="M30" s="87">
        <v>11</v>
      </c>
      <c r="N30" s="87">
        <v>125</v>
      </c>
      <c r="O30" s="87">
        <v>6</v>
      </c>
      <c r="P30" s="87">
        <v>2</v>
      </c>
    </row>
    <row r="31" spans="1:16" s="81" customFormat="1" ht="12.5" x14ac:dyDescent="0.35">
      <c r="A31" s="82" t="s">
        <v>96</v>
      </c>
      <c r="B31" s="75">
        <v>853.2</v>
      </c>
      <c r="C31" s="74">
        <v>1.6467767992078799</v>
      </c>
      <c r="D31" s="74"/>
      <c r="E31" s="75">
        <v>296</v>
      </c>
      <c r="F31" s="75">
        <v>536</v>
      </c>
      <c r="G31" s="75">
        <v>29</v>
      </c>
      <c r="H31" s="87">
        <v>6</v>
      </c>
      <c r="I31" s="87">
        <v>35</v>
      </c>
      <c r="J31" s="75" t="s">
        <v>3</v>
      </c>
      <c r="K31" s="87">
        <v>34</v>
      </c>
      <c r="L31" s="87">
        <v>3</v>
      </c>
      <c r="M31" s="87">
        <v>40</v>
      </c>
      <c r="N31" s="87">
        <v>109</v>
      </c>
      <c r="O31" s="87">
        <v>10</v>
      </c>
      <c r="P31" s="87">
        <v>3</v>
      </c>
    </row>
    <row r="32" spans="1:16" s="81" customFormat="1" ht="12.5" x14ac:dyDescent="0.35">
      <c r="A32" s="82" t="s">
        <v>39</v>
      </c>
      <c r="B32" s="75">
        <v>796.6</v>
      </c>
      <c r="C32" s="74">
        <v>1.5375321123405965</v>
      </c>
      <c r="D32" s="74"/>
      <c r="E32" s="75">
        <v>351</v>
      </c>
      <c r="F32" s="75">
        <v>397</v>
      </c>
      <c r="G32" s="75">
        <v>25</v>
      </c>
      <c r="H32" s="87">
        <v>11</v>
      </c>
      <c r="I32" s="87">
        <v>26</v>
      </c>
      <c r="J32" s="75" t="s">
        <v>3</v>
      </c>
      <c r="K32" s="87">
        <v>47</v>
      </c>
      <c r="L32" s="87">
        <v>3</v>
      </c>
      <c r="M32" s="87">
        <v>21</v>
      </c>
      <c r="N32" s="87">
        <v>106</v>
      </c>
      <c r="O32" s="87">
        <v>4</v>
      </c>
      <c r="P32" s="87">
        <v>6</v>
      </c>
    </row>
    <row r="33" spans="1:20" s="81" customFormat="1" ht="12.5" x14ac:dyDescent="0.35">
      <c r="A33" s="82" t="s">
        <v>94</v>
      </c>
      <c r="B33" s="75">
        <v>683.9</v>
      </c>
      <c r="C33" s="74">
        <v>1.3200077976772959</v>
      </c>
      <c r="D33" s="74"/>
      <c r="E33" s="75">
        <v>276</v>
      </c>
      <c r="F33" s="75">
        <v>279</v>
      </c>
      <c r="G33" s="75">
        <v>20</v>
      </c>
      <c r="H33" s="87">
        <v>8</v>
      </c>
      <c r="I33" s="87">
        <v>14</v>
      </c>
      <c r="J33" s="75" t="s">
        <v>3</v>
      </c>
      <c r="K33" s="87">
        <v>28</v>
      </c>
      <c r="L33" s="87">
        <v>2</v>
      </c>
      <c r="M33" s="87">
        <v>7</v>
      </c>
      <c r="N33" s="87">
        <v>88</v>
      </c>
      <c r="O33" s="87">
        <v>5</v>
      </c>
      <c r="P33" s="87">
        <v>1</v>
      </c>
    </row>
    <row r="34" spans="1:20" s="81" customFormat="1" ht="12.5" x14ac:dyDescent="0.35">
      <c r="A34" s="82" t="s">
        <v>92</v>
      </c>
      <c r="B34" s="75">
        <v>311.10000000000002</v>
      </c>
      <c r="C34" s="74">
        <v>0.60045975414155106</v>
      </c>
      <c r="D34" s="74"/>
      <c r="E34" s="75">
        <v>202</v>
      </c>
      <c r="F34" s="75">
        <v>206</v>
      </c>
      <c r="G34" s="75">
        <v>22</v>
      </c>
      <c r="H34" s="87">
        <v>6</v>
      </c>
      <c r="I34" s="87">
        <v>15</v>
      </c>
      <c r="J34" s="75" t="s">
        <v>3</v>
      </c>
      <c r="K34" s="87">
        <v>31</v>
      </c>
      <c r="L34" s="87">
        <v>0</v>
      </c>
      <c r="M34" s="87">
        <v>16</v>
      </c>
      <c r="N34" s="87">
        <v>56</v>
      </c>
      <c r="O34" s="87">
        <v>3</v>
      </c>
      <c r="P34" s="87">
        <v>2</v>
      </c>
    </row>
    <row r="35" spans="1:20" s="81" customFormat="1" ht="12.5" x14ac:dyDescent="0.35">
      <c r="A35" s="82" t="s">
        <v>37</v>
      </c>
      <c r="B35" s="75">
        <v>1077.4000000000001</v>
      </c>
      <c r="C35" s="74">
        <v>2.079509286763443</v>
      </c>
      <c r="D35" s="74"/>
      <c r="E35" s="75">
        <v>565</v>
      </c>
      <c r="F35" s="75">
        <v>368</v>
      </c>
      <c r="G35" s="75">
        <v>40</v>
      </c>
      <c r="H35" s="87">
        <v>11</v>
      </c>
      <c r="I35" s="87">
        <v>13</v>
      </c>
      <c r="J35" s="75" t="s">
        <v>3</v>
      </c>
      <c r="K35" s="87">
        <v>36</v>
      </c>
      <c r="L35" s="87">
        <v>2</v>
      </c>
      <c r="M35" s="87">
        <v>11</v>
      </c>
      <c r="N35" s="87">
        <v>0</v>
      </c>
      <c r="O35" s="87">
        <v>0</v>
      </c>
      <c r="P35" s="87">
        <v>0</v>
      </c>
    </row>
    <row r="36" spans="1:20" s="81" customFormat="1" ht="12.5" x14ac:dyDescent="0.35">
      <c r="A36" s="82" t="s">
        <v>90</v>
      </c>
      <c r="B36" s="75">
        <v>640.29999999999995</v>
      </c>
      <c r="C36" s="74">
        <v>1.2358546466629223</v>
      </c>
      <c r="D36" s="74"/>
      <c r="E36" s="75">
        <v>249</v>
      </c>
      <c r="F36" s="75">
        <v>376</v>
      </c>
      <c r="G36" s="75">
        <v>27</v>
      </c>
      <c r="H36" s="87">
        <v>6</v>
      </c>
      <c r="I36" s="87">
        <v>18</v>
      </c>
      <c r="J36" s="75" t="s">
        <v>3</v>
      </c>
      <c r="K36" s="87">
        <v>35</v>
      </c>
      <c r="L36" s="87">
        <v>1</v>
      </c>
      <c r="M36" s="87">
        <v>16</v>
      </c>
      <c r="N36" s="87">
        <v>82</v>
      </c>
      <c r="O36" s="87">
        <v>6</v>
      </c>
      <c r="P36" s="87">
        <v>4</v>
      </c>
    </row>
    <row r="37" spans="1:20" s="81" customFormat="1" ht="14" x14ac:dyDescent="0.35">
      <c r="A37" s="82" t="s">
        <v>35</v>
      </c>
      <c r="B37" s="75">
        <v>454.1</v>
      </c>
      <c r="C37" s="74">
        <v>0.87646664852355627</v>
      </c>
      <c r="D37" s="74"/>
      <c r="E37" s="75">
        <v>214</v>
      </c>
      <c r="F37" s="75">
        <v>340</v>
      </c>
      <c r="G37" s="75">
        <v>19</v>
      </c>
      <c r="H37" s="87">
        <v>4</v>
      </c>
      <c r="I37" s="87">
        <v>22</v>
      </c>
      <c r="J37" s="75" t="s">
        <v>3</v>
      </c>
      <c r="K37" s="87">
        <v>28</v>
      </c>
      <c r="L37" s="87">
        <v>2</v>
      </c>
      <c r="M37" s="87">
        <v>15</v>
      </c>
      <c r="N37" s="87">
        <v>33</v>
      </c>
      <c r="O37" s="87">
        <v>6</v>
      </c>
      <c r="P37" s="87">
        <v>3</v>
      </c>
      <c r="R37" s="67"/>
      <c r="S37" s="67"/>
      <c r="T37" s="67"/>
    </row>
    <row r="38" spans="1:20" s="81" customFormat="1" ht="14" x14ac:dyDescent="0.35">
      <c r="A38" s="82" t="s">
        <v>33</v>
      </c>
      <c r="B38" s="75">
        <v>1067.5999999999999</v>
      </c>
      <c r="C38" s="74">
        <v>2.0605941289666343</v>
      </c>
      <c r="D38" s="74"/>
      <c r="E38" s="75">
        <v>461</v>
      </c>
      <c r="F38" s="75">
        <v>444</v>
      </c>
      <c r="G38" s="75">
        <v>25</v>
      </c>
      <c r="H38" s="87">
        <v>11</v>
      </c>
      <c r="I38" s="87">
        <v>19</v>
      </c>
      <c r="J38" s="75" t="s">
        <v>3</v>
      </c>
      <c r="K38" s="87">
        <v>46</v>
      </c>
      <c r="L38" s="87">
        <v>3</v>
      </c>
      <c r="M38" s="87">
        <v>20</v>
      </c>
      <c r="N38" s="87">
        <v>118</v>
      </c>
      <c r="O38" s="87">
        <v>7</v>
      </c>
      <c r="P38" s="87">
        <v>5</v>
      </c>
      <c r="R38" s="65"/>
      <c r="S38" s="65"/>
      <c r="T38" s="65"/>
    </row>
    <row r="39" spans="1:20" s="81" customFormat="1" ht="12.5" x14ac:dyDescent="0.35">
      <c r="A39" s="82" t="s">
        <v>88</v>
      </c>
      <c r="B39" s="75">
        <v>714.1</v>
      </c>
      <c r="C39" s="74">
        <v>1.3782973655817474</v>
      </c>
      <c r="D39" s="74"/>
      <c r="E39" s="75">
        <v>254</v>
      </c>
      <c r="F39" s="75">
        <v>504</v>
      </c>
      <c r="G39" s="75">
        <v>24</v>
      </c>
      <c r="H39" s="87">
        <v>7</v>
      </c>
      <c r="I39" s="87">
        <v>28</v>
      </c>
      <c r="J39" s="75" t="s">
        <v>3</v>
      </c>
      <c r="K39" s="87">
        <v>44</v>
      </c>
      <c r="L39" s="87">
        <v>2</v>
      </c>
      <c r="M39" s="87">
        <v>16</v>
      </c>
      <c r="N39" s="87">
        <v>91</v>
      </c>
      <c r="O39" s="87">
        <v>4</v>
      </c>
      <c r="P39" s="87">
        <v>3</v>
      </c>
    </row>
    <row r="40" spans="1:20" s="81" customFormat="1" ht="12.5" x14ac:dyDescent="0.35">
      <c r="A40" s="82" t="s">
        <v>86</v>
      </c>
      <c r="B40" s="75">
        <v>1113.2</v>
      </c>
      <c r="C40" s="74">
        <v>2.1486075162660709</v>
      </c>
      <c r="D40" s="74"/>
      <c r="E40" s="75">
        <v>621.5</v>
      </c>
      <c r="F40" s="75">
        <v>100</v>
      </c>
      <c r="G40" s="75">
        <v>31</v>
      </c>
      <c r="H40" s="87">
        <v>17</v>
      </c>
      <c r="I40" s="87">
        <v>7</v>
      </c>
      <c r="J40" s="75" t="s">
        <v>3</v>
      </c>
      <c r="K40" s="87">
        <v>40</v>
      </c>
      <c r="L40" s="87">
        <v>2</v>
      </c>
      <c r="M40" s="87">
        <v>16</v>
      </c>
      <c r="N40" s="87">
        <v>99</v>
      </c>
      <c r="O40" s="87">
        <v>8</v>
      </c>
      <c r="P40" s="87">
        <v>3</v>
      </c>
    </row>
    <row r="41" spans="1:20" s="81" customFormat="1" ht="14" x14ac:dyDescent="0.35">
      <c r="A41" s="82" t="s">
        <v>84</v>
      </c>
      <c r="B41" s="75">
        <v>535.1</v>
      </c>
      <c r="C41" s="74">
        <v>1.0328062180686082</v>
      </c>
      <c r="D41" s="74"/>
      <c r="E41" s="75">
        <v>270</v>
      </c>
      <c r="F41" s="75">
        <v>167</v>
      </c>
      <c r="G41" s="75">
        <v>20</v>
      </c>
      <c r="H41" s="87">
        <v>7</v>
      </c>
      <c r="I41" s="87">
        <v>12</v>
      </c>
      <c r="J41" s="75" t="s">
        <v>3</v>
      </c>
      <c r="K41" s="87">
        <v>27</v>
      </c>
      <c r="L41" s="87">
        <v>3</v>
      </c>
      <c r="M41" s="87">
        <v>14</v>
      </c>
      <c r="N41" s="87">
        <v>32</v>
      </c>
      <c r="O41" s="87">
        <v>4</v>
      </c>
      <c r="P41" s="87">
        <v>3</v>
      </c>
      <c r="R41" s="65"/>
      <c r="S41" s="65"/>
      <c r="T41" s="65"/>
    </row>
    <row r="42" spans="1:20" s="81" customFormat="1" ht="14" x14ac:dyDescent="0.35">
      <c r="A42" s="82" t="s">
        <v>82</v>
      </c>
      <c r="B42" s="75">
        <v>792.9</v>
      </c>
      <c r="C42" s="74">
        <v>1.5303906752132299</v>
      </c>
      <c r="D42" s="74"/>
      <c r="E42" s="75">
        <v>387</v>
      </c>
      <c r="F42" s="75">
        <v>401</v>
      </c>
      <c r="G42" s="75">
        <v>37</v>
      </c>
      <c r="H42" s="87">
        <v>9</v>
      </c>
      <c r="I42" s="87">
        <v>19</v>
      </c>
      <c r="J42" s="75" t="s">
        <v>3</v>
      </c>
      <c r="K42" s="87">
        <v>46</v>
      </c>
      <c r="L42" s="87">
        <v>2</v>
      </c>
      <c r="M42" s="87">
        <v>57</v>
      </c>
      <c r="N42" s="87">
        <v>116</v>
      </c>
      <c r="O42" s="87">
        <v>6</v>
      </c>
      <c r="P42" s="87">
        <v>4</v>
      </c>
      <c r="Q42" s="82"/>
      <c r="R42" s="65"/>
      <c r="S42" s="65"/>
      <c r="T42" s="65"/>
    </row>
    <row r="43" spans="1:20" s="81" customFormat="1" ht="14.5" x14ac:dyDescent="0.35">
      <c r="A43" s="148" t="s">
        <v>335</v>
      </c>
      <c r="B43" s="75">
        <v>2.2000000000000002</v>
      </c>
      <c r="C43" s="74">
        <v>4.246259913569311E-3</v>
      </c>
      <c r="D43" s="74"/>
      <c r="E43" s="75">
        <v>12</v>
      </c>
      <c r="F43" s="75">
        <v>39</v>
      </c>
      <c r="G43" s="75">
        <v>0</v>
      </c>
      <c r="H43" s="87">
        <v>1</v>
      </c>
      <c r="I43" s="87">
        <v>5</v>
      </c>
      <c r="J43" s="75" t="s">
        <v>3</v>
      </c>
      <c r="K43" s="87">
        <v>3</v>
      </c>
      <c r="L43" s="87">
        <v>0</v>
      </c>
      <c r="M43" s="87">
        <v>4</v>
      </c>
      <c r="N43" s="87">
        <v>2</v>
      </c>
      <c r="O43" s="87">
        <v>2</v>
      </c>
      <c r="P43" s="87">
        <v>0</v>
      </c>
    </row>
    <row r="44" spans="1:20" s="67" customFormat="1" ht="25.5" customHeight="1" x14ac:dyDescent="0.35">
      <c r="A44" s="62" t="s">
        <v>188</v>
      </c>
      <c r="B44" s="70">
        <v>18994</v>
      </c>
      <c r="C44" s="70">
        <v>36.660663999243397</v>
      </c>
      <c r="D44" s="70"/>
      <c r="E44" s="70">
        <v>13708</v>
      </c>
      <c r="F44" s="70">
        <v>578</v>
      </c>
      <c r="G44" s="70">
        <v>455</v>
      </c>
      <c r="H44" s="70">
        <v>287</v>
      </c>
      <c r="I44" s="70">
        <v>20</v>
      </c>
      <c r="J44" s="75" t="s">
        <v>3</v>
      </c>
      <c r="K44" s="70">
        <v>465</v>
      </c>
      <c r="L44" s="70">
        <v>38</v>
      </c>
      <c r="M44" s="70">
        <v>212</v>
      </c>
      <c r="N44" s="70">
        <v>1396</v>
      </c>
      <c r="O44" s="70">
        <v>67</v>
      </c>
      <c r="P44" s="70">
        <v>91</v>
      </c>
    </row>
    <row r="45" spans="1:20" s="81" customFormat="1" ht="12.5" x14ac:dyDescent="0.35">
      <c r="A45" s="82" t="s">
        <v>28</v>
      </c>
      <c r="B45" s="75">
        <v>2601</v>
      </c>
      <c r="C45" s="74">
        <v>5.0202372887244433</v>
      </c>
      <c r="D45" s="74"/>
      <c r="E45" s="87">
        <v>1888</v>
      </c>
      <c r="F45" s="87">
        <v>35</v>
      </c>
      <c r="G45" s="87">
        <v>69</v>
      </c>
      <c r="H45" s="87">
        <v>40</v>
      </c>
      <c r="I45" s="87">
        <v>1</v>
      </c>
      <c r="J45" s="75" t="s">
        <v>3</v>
      </c>
      <c r="K45" s="87">
        <v>66</v>
      </c>
      <c r="L45" s="87">
        <v>7</v>
      </c>
      <c r="M45" s="87">
        <v>18</v>
      </c>
      <c r="N45" s="87">
        <v>160</v>
      </c>
      <c r="O45" s="87">
        <v>14</v>
      </c>
      <c r="P45" s="87">
        <v>10</v>
      </c>
    </row>
    <row r="46" spans="1:20" s="81" customFormat="1" ht="12.5" x14ac:dyDescent="0.35">
      <c r="A46" s="82" t="s">
        <v>26</v>
      </c>
      <c r="B46" s="75">
        <v>1350.6</v>
      </c>
      <c r="C46" s="74">
        <v>2.6068175633030499</v>
      </c>
      <c r="D46" s="74"/>
      <c r="E46" s="87">
        <v>923</v>
      </c>
      <c r="F46" s="87">
        <v>230</v>
      </c>
      <c r="G46" s="87">
        <v>49</v>
      </c>
      <c r="H46" s="87">
        <v>26</v>
      </c>
      <c r="I46" s="87">
        <v>0</v>
      </c>
      <c r="J46" s="75" t="s">
        <v>3</v>
      </c>
      <c r="K46" s="87">
        <v>43</v>
      </c>
      <c r="L46" s="87">
        <v>4</v>
      </c>
      <c r="M46" s="87">
        <v>34</v>
      </c>
      <c r="N46" s="87">
        <v>161</v>
      </c>
      <c r="O46" s="87">
        <v>13</v>
      </c>
      <c r="P46" s="87">
        <v>9</v>
      </c>
    </row>
    <row r="47" spans="1:20" s="81" customFormat="1" ht="12.5" x14ac:dyDescent="0.35">
      <c r="A47" s="82" t="s">
        <v>24</v>
      </c>
      <c r="B47" s="75">
        <v>1317.3</v>
      </c>
      <c r="C47" s="74">
        <v>2.5425446291567506</v>
      </c>
      <c r="D47" s="74"/>
      <c r="E47" s="75">
        <v>786</v>
      </c>
      <c r="F47" s="75">
        <v>108</v>
      </c>
      <c r="G47" s="75">
        <v>42</v>
      </c>
      <c r="H47" s="87">
        <v>18</v>
      </c>
      <c r="I47" s="87">
        <v>5</v>
      </c>
      <c r="J47" s="75" t="s">
        <v>3</v>
      </c>
      <c r="K47" s="87">
        <v>32</v>
      </c>
      <c r="L47" s="87">
        <v>3</v>
      </c>
      <c r="M47" s="87">
        <v>8</v>
      </c>
      <c r="N47" s="87">
        <v>145</v>
      </c>
      <c r="O47" s="87">
        <v>7</v>
      </c>
      <c r="P47" s="87">
        <v>4</v>
      </c>
    </row>
    <row r="48" spans="1:20" s="81" customFormat="1" ht="12.5" x14ac:dyDescent="0.35">
      <c r="A48" s="82" t="s">
        <v>189</v>
      </c>
      <c r="B48" s="75">
        <v>1106.4000000000001</v>
      </c>
      <c r="C48" s="74">
        <v>2.1354827128968568</v>
      </c>
      <c r="D48" s="74"/>
      <c r="E48" s="75">
        <v>867</v>
      </c>
      <c r="F48" s="75">
        <v>20</v>
      </c>
      <c r="G48" s="75">
        <v>53</v>
      </c>
      <c r="H48" s="87">
        <v>16</v>
      </c>
      <c r="I48" s="87">
        <v>1</v>
      </c>
      <c r="J48" s="75" t="s">
        <v>3</v>
      </c>
      <c r="K48" s="87">
        <v>31</v>
      </c>
      <c r="L48" s="87">
        <v>3</v>
      </c>
      <c r="M48" s="87">
        <v>15</v>
      </c>
      <c r="N48" s="87">
        <v>97</v>
      </c>
      <c r="O48" s="87">
        <v>6</v>
      </c>
      <c r="P48" s="87">
        <v>2</v>
      </c>
    </row>
    <row r="49" spans="1:24" s="81" customFormat="1" ht="12" customHeight="1" x14ac:dyDescent="0.35">
      <c r="A49" s="82" t="s">
        <v>20</v>
      </c>
      <c r="B49" s="75">
        <v>2638.7</v>
      </c>
      <c r="C49" s="74">
        <v>5.0930027426978812</v>
      </c>
      <c r="D49" s="74"/>
      <c r="E49" s="75">
        <v>1868</v>
      </c>
      <c r="F49" s="75">
        <v>0</v>
      </c>
      <c r="G49" s="75">
        <v>65</v>
      </c>
      <c r="H49" s="87">
        <v>39</v>
      </c>
      <c r="I49" s="87">
        <v>0</v>
      </c>
      <c r="J49" s="75" t="s">
        <v>3</v>
      </c>
      <c r="K49" s="87">
        <v>61</v>
      </c>
      <c r="L49" s="87">
        <v>4</v>
      </c>
      <c r="M49" s="87">
        <v>22</v>
      </c>
      <c r="N49" s="87">
        <v>109</v>
      </c>
      <c r="O49" s="87">
        <v>17</v>
      </c>
      <c r="P49" s="87">
        <v>10</v>
      </c>
    </row>
    <row r="50" spans="1:24" s="82" customFormat="1" ht="13.5" customHeight="1" x14ac:dyDescent="0.35">
      <c r="A50" s="82" t="s">
        <v>18</v>
      </c>
      <c r="B50" s="75">
        <v>2226.8000000000002</v>
      </c>
      <c r="C50" s="74">
        <v>4.2979870797891548</v>
      </c>
      <c r="D50" s="74"/>
      <c r="E50" s="75">
        <v>1476</v>
      </c>
      <c r="F50" s="75">
        <v>185</v>
      </c>
      <c r="G50" s="75">
        <v>59</v>
      </c>
      <c r="H50" s="87">
        <v>35</v>
      </c>
      <c r="I50" s="87">
        <v>13</v>
      </c>
      <c r="J50" s="75" t="s">
        <v>3</v>
      </c>
      <c r="K50" s="87">
        <v>63</v>
      </c>
      <c r="L50" s="87">
        <v>6</v>
      </c>
      <c r="M50" s="87">
        <v>21</v>
      </c>
      <c r="N50" s="87">
        <v>306</v>
      </c>
      <c r="O50" s="87">
        <v>10</v>
      </c>
      <c r="P50" s="87">
        <v>18</v>
      </c>
    </row>
    <row r="51" spans="1:24" s="81" customFormat="1" ht="12.5" x14ac:dyDescent="0.35">
      <c r="A51" s="201" t="s">
        <v>190</v>
      </c>
      <c r="B51" s="92">
        <v>7753.2</v>
      </c>
      <c r="C51" s="90">
        <v>14.964591982675261</v>
      </c>
      <c r="D51" s="90"/>
      <c r="E51" s="91">
        <v>5900</v>
      </c>
      <c r="F51" s="91">
        <v>0</v>
      </c>
      <c r="G51" s="91">
        <v>118</v>
      </c>
      <c r="H51" s="91">
        <v>113</v>
      </c>
      <c r="I51" s="91">
        <v>0</v>
      </c>
      <c r="J51" s="75" t="s">
        <v>3</v>
      </c>
      <c r="K51" s="91">
        <v>169</v>
      </c>
      <c r="L51" s="91">
        <v>11</v>
      </c>
      <c r="M51" s="91">
        <v>94</v>
      </c>
      <c r="N51" s="91">
        <v>418</v>
      </c>
      <c r="O51" s="91">
        <v>0</v>
      </c>
      <c r="P51" s="91">
        <v>38</v>
      </c>
    </row>
    <row r="52" spans="1:24" s="65" customFormat="1" ht="6" customHeight="1" x14ac:dyDescent="0.35">
      <c r="A52" s="93"/>
      <c r="B52" s="93"/>
      <c r="C52" s="93"/>
      <c r="D52" s="93"/>
      <c r="E52" s="94"/>
      <c r="F52" s="95"/>
      <c r="G52" s="95"/>
      <c r="H52" s="96"/>
      <c r="I52" s="93"/>
      <c r="J52" s="93"/>
      <c r="K52" s="93"/>
      <c r="L52" s="93"/>
      <c r="M52" s="93"/>
      <c r="N52" s="93"/>
      <c r="O52" s="93"/>
      <c r="P52" s="93"/>
      <c r="Q52" s="93"/>
      <c r="U52" s="81"/>
      <c r="V52" s="81"/>
      <c r="W52" s="81"/>
      <c r="X52" s="81"/>
    </row>
    <row r="53" spans="1:24" s="81" customFormat="1" ht="14" x14ac:dyDescent="0.35">
      <c r="A53" s="82" t="s">
        <v>249</v>
      </c>
      <c r="B53" s="82"/>
      <c r="C53" s="82"/>
      <c r="D53" s="82"/>
      <c r="E53" s="98"/>
      <c r="F53" s="98"/>
      <c r="G53" s="87"/>
      <c r="H53" s="73"/>
      <c r="I53" s="82"/>
      <c r="J53" s="82"/>
      <c r="K53" s="82"/>
      <c r="L53" s="82"/>
      <c r="M53" s="82"/>
      <c r="N53" s="82"/>
      <c r="O53" s="82"/>
      <c r="P53" s="82"/>
      <c r="Q53" s="82"/>
      <c r="R53" s="65"/>
      <c r="S53" s="65"/>
      <c r="T53" s="65"/>
      <c r="U53" s="65"/>
    </row>
    <row r="54" spans="1:24" s="81" customFormat="1" ht="14" x14ac:dyDescent="0.35">
      <c r="A54" s="82" t="s">
        <v>248</v>
      </c>
      <c r="B54" s="82"/>
      <c r="C54" s="82"/>
      <c r="D54" s="82"/>
      <c r="E54" s="98"/>
      <c r="F54" s="98"/>
      <c r="G54" s="87"/>
      <c r="H54" s="73"/>
      <c r="I54" s="82"/>
      <c r="J54" s="82"/>
      <c r="K54" s="82"/>
      <c r="L54" s="82"/>
      <c r="M54" s="82"/>
      <c r="N54" s="82"/>
      <c r="O54" s="82"/>
      <c r="P54" s="82"/>
      <c r="Q54" s="82"/>
      <c r="R54" s="65"/>
      <c r="S54" s="65"/>
      <c r="T54" s="65"/>
      <c r="U54" s="65"/>
    </row>
    <row r="55" spans="1:24" s="81" customFormat="1" ht="14" x14ac:dyDescent="0.35">
      <c r="A55" s="82" t="s">
        <v>334</v>
      </c>
      <c r="B55" s="82"/>
      <c r="C55" s="82"/>
      <c r="D55" s="82"/>
      <c r="E55" s="98"/>
      <c r="F55" s="98"/>
      <c r="G55" s="87"/>
      <c r="H55" s="73"/>
      <c r="I55" s="82"/>
      <c r="J55" s="82"/>
      <c r="K55" s="82"/>
      <c r="L55" s="82"/>
      <c r="M55" s="82"/>
      <c r="N55" s="82"/>
      <c r="O55" s="82"/>
      <c r="P55" s="82"/>
      <c r="Q55" s="82"/>
      <c r="R55" s="65"/>
      <c r="S55" s="65"/>
      <c r="T55" s="65"/>
      <c r="U55" s="65"/>
    </row>
    <row r="56" spans="1:24" s="81" customFormat="1" ht="24" customHeight="1" x14ac:dyDescent="0.35">
      <c r="A56" s="375" t="s">
        <v>333</v>
      </c>
      <c r="B56" s="375"/>
      <c r="C56" s="375"/>
      <c r="D56" s="375"/>
      <c r="E56" s="375"/>
      <c r="F56" s="375"/>
      <c r="G56" s="375"/>
      <c r="H56" s="375"/>
      <c r="I56" s="375"/>
      <c r="J56" s="375"/>
      <c r="K56" s="375"/>
      <c r="L56" s="375"/>
      <c r="M56" s="375"/>
      <c r="N56" s="375"/>
      <c r="O56" s="375"/>
      <c r="P56" s="375"/>
      <c r="Q56" s="82"/>
      <c r="R56" s="65"/>
      <c r="S56" s="65"/>
      <c r="T56" s="65"/>
      <c r="U56" s="65"/>
    </row>
    <row r="57" spans="1:24" s="81" customFormat="1" ht="14" x14ac:dyDescent="0.35">
      <c r="A57" s="82" t="s">
        <v>225</v>
      </c>
      <c r="B57" s="82"/>
      <c r="C57" s="82"/>
      <c r="D57" s="82"/>
      <c r="E57" s="98"/>
      <c r="F57" s="98"/>
      <c r="G57" s="87"/>
      <c r="H57" s="73"/>
      <c r="I57" s="82"/>
      <c r="J57" s="82"/>
      <c r="K57" s="82"/>
      <c r="L57" s="82"/>
      <c r="M57" s="82"/>
      <c r="N57" s="82"/>
      <c r="O57" s="82"/>
      <c r="P57" s="82"/>
      <c r="Q57" s="82"/>
      <c r="R57" s="65"/>
      <c r="S57" s="65"/>
      <c r="T57" s="65"/>
      <c r="U57" s="65"/>
    </row>
    <row r="58" spans="1:24" s="81" customFormat="1" ht="14" x14ac:dyDescent="0.35">
      <c r="A58" s="100" t="s">
        <v>332</v>
      </c>
      <c r="B58" s="82"/>
      <c r="C58" s="82"/>
      <c r="D58" s="82"/>
      <c r="E58" s="98"/>
      <c r="F58" s="98"/>
      <c r="G58" s="87"/>
      <c r="H58" s="73"/>
      <c r="I58" s="82"/>
      <c r="J58" s="82"/>
      <c r="K58" s="82"/>
      <c r="L58" s="82"/>
      <c r="M58" s="82"/>
      <c r="N58" s="82"/>
      <c r="O58" s="82"/>
      <c r="P58" s="82"/>
      <c r="Q58" s="82"/>
      <c r="R58" s="65"/>
      <c r="S58" s="65"/>
      <c r="T58" s="65"/>
      <c r="U58" s="65"/>
    </row>
    <row r="59" spans="1:24" s="81" customFormat="1" ht="5.25" customHeight="1" x14ac:dyDescent="0.35">
      <c r="A59" s="100"/>
      <c r="B59" s="82"/>
      <c r="C59" s="82"/>
      <c r="D59" s="82"/>
      <c r="E59" s="98"/>
      <c r="F59" s="98"/>
      <c r="G59" s="87"/>
      <c r="H59" s="73"/>
      <c r="I59" s="82"/>
      <c r="J59" s="82"/>
      <c r="K59" s="82"/>
      <c r="L59" s="82"/>
      <c r="M59" s="82"/>
      <c r="N59" s="82"/>
      <c r="O59" s="82"/>
      <c r="P59" s="82"/>
      <c r="Q59" s="82"/>
      <c r="R59" s="65"/>
      <c r="S59" s="65"/>
      <c r="T59" s="65"/>
      <c r="U59" s="65"/>
    </row>
    <row r="60" spans="1:24" s="81" customFormat="1" ht="15" customHeight="1" x14ac:dyDescent="0.35">
      <c r="A60" s="100" t="s">
        <v>331</v>
      </c>
      <c r="B60" s="82"/>
      <c r="C60" s="82"/>
      <c r="D60" s="82"/>
      <c r="E60" s="98"/>
      <c r="F60" s="98"/>
      <c r="G60" s="87"/>
      <c r="H60" s="73"/>
      <c r="I60" s="82"/>
      <c r="J60" s="82"/>
      <c r="K60" s="82"/>
      <c r="L60" s="82"/>
      <c r="M60" s="82"/>
      <c r="N60" s="82"/>
      <c r="O60" s="82"/>
      <c r="P60" s="82"/>
      <c r="Q60" s="82"/>
      <c r="R60" s="65"/>
      <c r="S60" s="65"/>
      <c r="T60" s="65"/>
      <c r="U60" s="65"/>
    </row>
    <row r="61" spans="1:24" s="81" customFormat="1" ht="14" x14ac:dyDescent="0.35">
      <c r="A61" s="82" t="s">
        <v>330</v>
      </c>
      <c r="B61" s="82"/>
      <c r="C61" s="82"/>
      <c r="D61" s="82"/>
      <c r="E61" s="98"/>
      <c r="F61" s="87"/>
      <c r="G61" s="87"/>
      <c r="H61" s="73"/>
      <c r="I61" s="82"/>
      <c r="J61" s="93"/>
      <c r="K61" s="82"/>
      <c r="L61" s="82"/>
      <c r="M61" s="82"/>
      <c r="N61" s="82"/>
      <c r="O61" s="82"/>
      <c r="P61" s="82"/>
      <c r="Q61" s="82"/>
      <c r="R61" s="65"/>
      <c r="S61" s="65"/>
      <c r="T61" s="65"/>
      <c r="U61" s="65"/>
      <c r="V61" s="65"/>
      <c r="W61" s="65"/>
      <c r="X61" s="65"/>
    </row>
    <row r="62" spans="1:24" s="65" customFormat="1" ht="14" x14ac:dyDescent="0.35">
      <c r="B62" s="93"/>
      <c r="C62" s="93"/>
      <c r="D62" s="93"/>
      <c r="E62" s="94"/>
      <c r="F62" s="95"/>
      <c r="G62" s="95"/>
      <c r="H62" s="93"/>
      <c r="I62" s="93"/>
      <c r="J62" s="93"/>
    </row>
    <row r="63" spans="1:24" s="65" customFormat="1" ht="14" x14ac:dyDescent="0.35">
      <c r="A63" s="93"/>
      <c r="B63" s="93"/>
      <c r="C63" s="93"/>
      <c r="D63" s="93"/>
      <c r="E63" s="94"/>
      <c r="F63" s="95"/>
      <c r="G63" s="95"/>
      <c r="H63" s="93"/>
      <c r="I63" s="93"/>
      <c r="J63" s="93"/>
    </row>
    <row r="64" spans="1:24" s="65" customFormat="1" ht="14" x14ac:dyDescent="0.35">
      <c r="A64" s="93"/>
      <c r="B64" s="93"/>
      <c r="C64" s="93"/>
      <c r="D64" s="93"/>
      <c r="E64" s="94"/>
      <c r="F64" s="95"/>
      <c r="G64" s="95"/>
      <c r="H64" s="93"/>
      <c r="I64" s="93"/>
      <c r="J64" s="93"/>
    </row>
    <row r="65" spans="1:16" s="65" customFormat="1" ht="14" x14ac:dyDescent="0.35">
      <c r="A65" s="93"/>
      <c r="B65" s="93"/>
      <c r="C65" s="93"/>
      <c r="D65" s="93"/>
      <c r="E65" s="94"/>
      <c r="F65" s="95"/>
      <c r="G65" s="95"/>
      <c r="H65" s="93"/>
      <c r="I65" s="93"/>
      <c r="J65" s="93"/>
    </row>
    <row r="66" spans="1:16" s="65" customFormat="1" ht="14" x14ac:dyDescent="0.35">
      <c r="A66" s="93"/>
      <c r="B66" s="93"/>
      <c r="C66" s="93"/>
      <c r="D66" s="93"/>
      <c r="E66" s="94"/>
      <c r="F66" s="95"/>
      <c r="G66" s="95"/>
      <c r="H66" s="93"/>
      <c r="I66" s="93"/>
      <c r="J66" s="93"/>
    </row>
    <row r="67" spans="1:16" s="65" customFormat="1" ht="14" x14ac:dyDescent="0.35">
      <c r="A67" s="93"/>
      <c r="B67" s="93"/>
      <c r="C67" s="93"/>
      <c r="D67" s="93"/>
      <c r="E67" s="94"/>
      <c r="F67" s="95"/>
      <c r="G67" s="95"/>
      <c r="H67" s="93"/>
      <c r="I67" s="93"/>
      <c r="J67" s="93"/>
    </row>
    <row r="68" spans="1:16" s="65" customFormat="1" ht="14" x14ac:dyDescent="0.35">
      <c r="A68" s="265" t="s">
        <v>59</v>
      </c>
      <c r="B68" s="267">
        <v>710.3</v>
      </c>
      <c r="C68" s="266">
        <v>1.3709629166401276</v>
      </c>
      <c r="D68" s="266"/>
      <c r="E68" s="267">
        <v>295</v>
      </c>
      <c r="F68" s="267">
        <v>372</v>
      </c>
      <c r="G68" s="267">
        <v>26</v>
      </c>
      <c r="H68" s="267">
        <v>7</v>
      </c>
      <c r="I68" s="267">
        <v>19</v>
      </c>
      <c r="J68" s="267" t="s">
        <v>3</v>
      </c>
      <c r="K68" s="267">
        <v>40</v>
      </c>
      <c r="L68" s="267">
        <v>2</v>
      </c>
      <c r="M68" s="267">
        <v>26</v>
      </c>
      <c r="N68" s="267">
        <v>82</v>
      </c>
      <c r="O68" s="267">
        <v>5</v>
      </c>
      <c r="P68" s="267">
        <v>6</v>
      </c>
    </row>
    <row r="69" spans="1:16" s="65" customFormat="1" ht="14" x14ac:dyDescent="0.35">
      <c r="A69" s="265" t="s">
        <v>30</v>
      </c>
      <c r="B69" s="267">
        <v>654.9</v>
      </c>
      <c r="C69" s="266">
        <v>1.2640343715438822</v>
      </c>
      <c r="D69" s="266"/>
      <c r="E69" s="267">
        <v>226</v>
      </c>
      <c r="F69" s="267">
        <v>355</v>
      </c>
      <c r="G69" s="267">
        <v>23</v>
      </c>
      <c r="H69" s="267">
        <v>6</v>
      </c>
      <c r="I69" s="267">
        <v>18</v>
      </c>
      <c r="J69" s="267" t="s">
        <v>3</v>
      </c>
      <c r="K69" s="267">
        <v>35</v>
      </c>
      <c r="L69" s="267">
        <v>2</v>
      </c>
      <c r="M69" s="267">
        <v>27</v>
      </c>
      <c r="N69" s="267">
        <v>51</v>
      </c>
      <c r="O69" s="267">
        <v>5</v>
      </c>
      <c r="P69" s="267">
        <v>2</v>
      </c>
    </row>
    <row r="70" spans="1:16" s="65" customFormat="1" ht="14" x14ac:dyDescent="0.35">
      <c r="A70" s="93"/>
      <c r="B70" s="93"/>
      <c r="C70" s="93"/>
      <c r="D70" s="93"/>
      <c r="E70" s="93"/>
      <c r="F70" s="95"/>
      <c r="G70" s="95"/>
      <c r="H70" s="93"/>
      <c r="I70" s="93"/>
      <c r="J70" s="93"/>
    </row>
    <row r="71" spans="1:16" s="65" customFormat="1" ht="14" x14ac:dyDescent="0.35">
      <c r="A71" s="93"/>
      <c r="B71" s="93"/>
      <c r="C71" s="93"/>
      <c r="D71" s="93"/>
      <c r="E71" s="93"/>
      <c r="F71" s="95"/>
      <c r="G71" s="95"/>
      <c r="H71" s="93"/>
      <c r="I71" s="93"/>
      <c r="J71" s="93"/>
    </row>
    <row r="72" spans="1:16" s="65" customFormat="1" ht="14" x14ac:dyDescent="0.35">
      <c r="A72" s="93"/>
      <c r="B72" s="93"/>
      <c r="C72" s="93"/>
      <c r="D72" s="93"/>
      <c r="E72" s="93"/>
      <c r="F72" s="95"/>
      <c r="G72" s="95"/>
      <c r="H72" s="93"/>
      <c r="I72" s="93"/>
      <c r="J72" s="93"/>
    </row>
    <row r="73" spans="1:16" s="65" customFormat="1" ht="14" x14ac:dyDescent="0.35">
      <c r="A73" s="93"/>
      <c r="B73" s="93"/>
      <c r="C73" s="93"/>
      <c r="D73" s="93"/>
      <c r="E73" s="93"/>
      <c r="F73" s="95"/>
      <c r="G73" s="95"/>
      <c r="H73" s="93"/>
      <c r="I73" s="93"/>
      <c r="J73" s="93"/>
    </row>
    <row r="74" spans="1:16" s="65" customFormat="1" ht="14" x14ac:dyDescent="0.35">
      <c r="A74" s="93"/>
      <c r="B74" s="93"/>
      <c r="C74" s="93"/>
      <c r="D74" s="93"/>
      <c r="E74" s="93"/>
      <c r="F74" s="95"/>
      <c r="G74" s="95"/>
      <c r="H74" s="93"/>
      <c r="I74" s="93"/>
      <c r="J74" s="93"/>
    </row>
    <row r="75" spans="1:16" s="65" customFormat="1" ht="14" x14ac:dyDescent="0.35">
      <c r="A75" s="93"/>
      <c r="B75" s="93"/>
      <c r="C75" s="93"/>
      <c r="D75" s="93"/>
      <c r="E75" s="93"/>
      <c r="F75" s="95"/>
      <c r="G75" s="95"/>
      <c r="H75" s="93"/>
      <c r="I75" s="93"/>
      <c r="J75" s="93"/>
    </row>
    <row r="76" spans="1:16" s="65" customFormat="1" ht="14" x14ac:dyDescent="0.35">
      <c r="A76" s="93"/>
      <c r="B76" s="93"/>
      <c r="C76" s="93"/>
      <c r="D76" s="93"/>
      <c r="E76" s="93"/>
      <c r="F76" s="95"/>
      <c r="G76" s="95"/>
      <c r="H76" s="93"/>
      <c r="I76" s="93"/>
      <c r="J76" s="93"/>
    </row>
    <row r="77" spans="1:16" s="65" customFormat="1" ht="14" x14ac:dyDescent="0.35">
      <c r="A77" s="93"/>
      <c r="B77" s="93"/>
      <c r="C77" s="93"/>
      <c r="D77" s="93"/>
      <c r="E77" s="93"/>
      <c r="F77" s="95"/>
      <c r="G77" s="95"/>
      <c r="H77" s="93"/>
      <c r="I77" s="93"/>
      <c r="J77" s="93"/>
    </row>
    <row r="78" spans="1:16" s="65" customFormat="1" ht="14" x14ac:dyDescent="0.35">
      <c r="A78" s="93"/>
      <c r="B78" s="93"/>
      <c r="C78" s="93"/>
      <c r="D78" s="93"/>
      <c r="E78" s="93"/>
      <c r="F78" s="95"/>
      <c r="G78" s="95"/>
      <c r="H78" s="93"/>
      <c r="I78" s="93"/>
      <c r="J78" s="93"/>
    </row>
    <row r="79" spans="1:16" s="65" customFormat="1" ht="14" x14ac:dyDescent="0.35">
      <c r="A79" s="93"/>
      <c r="B79" s="93"/>
      <c r="C79" s="93"/>
      <c r="D79" s="93"/>
      <c r="E79" s="93"/>
      <c r="F79" s="95"/>
      <c r="G79" s="95"/>
      <c r="H79" s="93"/>
      <c r="I79" s="93"/>
      <c r="J79" s="93"/>
    </row>
    <row r="80" spans="1:16" s="65" customFormat="1" ht="14" x14ac:dyDescent="0.35">
      <c r="A80" s="93"/>
      <c r="B80" s="93"/>
      <c r="C80" s="93"/>
      <c r="D80" s="93"/>
      <c r="E80" s="93"/>
      <c r="F80" s="95"/>
      <c r="G80" s="95"/>
      <c r="H80" s="93"/>
      <c r="I80" s="93"/>
      <c r="J80" s="93"/>
    </row>
    <row r="81" spans="1:10" s="65" customFormat="1" ht="14" x14ac:dyDescent="0.35">
      <c r="A81" s="93"/>
      <c r="B81" s="93"/>
      <c r="C81" s="93"/>
      <c r="D81" s="93"/>
      <c r="E81" s="93"/>
      <c r="F81" s="95"/>
      <c r="G81" s="95"/>
      <c r="H81" s="93"/>
      <c r="I81" s="93"/>
      <c r="J81" s="93"/>
    </row>
    <row r="82" spans="1:10" s="65" customFormat="1" ht="14" x14ac:dyDescent="0.35">
      <c r="A82" s="93"/>
      <c r="B82" s="93"/>
      <c r="C82" s="93"/>
      <c r="D82" s="93"/>
      <c r="E82" s="93"/>
      <c r="F82" s="95"/>
      <c r="G82" s="95"/>
      <c r="H82" s="93"/>
      <c r="I82" s="93"/>
      <c r="J82" s="93"/>
    </row>
    <row r="83" spans="1:10" s="65" customFormat="1" ht="14" x14ac:dyDescent="0.35">
      <c r="A83" s="93"/>
      <c r="B83" s="93"/>
      <c r="C83" s="93"/>
      <c r="D83" s="93"/>
      <c r="E83" s="93"/>
      <c r="F83" s="95"/>
      <c r="G83" s="95"/>
      <c r="H83" s="93"/>
      <c r="I83" s="93"/>
      <c r="J83" s="93"/>
    </row>
    <row r="84" spans="1:10" s="65" customFormat="1" ht="14" x14ac:dyDescent="0.35">
      <c r="A84" s="93"/>
      <c r="B84" s="93"/>
      <c r="C84" s="93"/>
      <c r="D84" s="93"/>
      <c r="E84" s="93"/>
      <c r="F84" s="95"/>
      <c r="G84" s="95"/>
      <c r="H84" s="93"/>
      <c r="I84" s="93"/>
      <c r="J84" s="93"/>
    </row>
    <row r="85" spans="1:10" s="65" customFormat="1" ht="14" x14ac:dyDescent="0.35">
      <c r="A85" s="93"/>
      <c r="B85" s="93"/>
      <c r="C85" s="93"/>
      <c r="D85" s="93"/>
      <c r="E85" s="93"/>
      <c r="F85" s="95"/>
      <c r="G85" s="95"/>
      <c r="H85" s="93"/>
      <c r="I85" s="93"/>
      <c r="J85" s="93"/>
    </row>
    <row r="86" spans="1:10" s="65" customFormat="1" ht="14" x14ac:dyDescent="0.35">
      <c r="A86" s="93"/>
      <c r="B86" s="93"/>
      <c r="C86" s="93"/>
      <c r="D86" s="93"/>
      <c r="E86" s="93"/>
      <c r="F86" s="95"/>
      <c r="G86" s="95"/>
      <c r="H86" s="93"/>
      <c r="I86" s="93"/>
      <c r="J86" s="93"/>
    </row>
    <row r="87" spans="1:10" s="65" customFormat="1" ht="14" x14ac:dyDescent="0.35">
      <c r="A87" s="93"/>
      <c r="B87" s="93"/>
      <c r="C87" s="93"/>
      <c r="D87" s="93"/>
      <c r="E87" s="93"/>
      <c r="F87" s="95"/>
      <c r="G87" s="95"/>
      <c r="H87" s="93"/>
      <c r="I87" s="93"/>
      <c r="J87" s="93"/>
    </row>
    <row r="88" spans="1:10" s="65" customFormat="1" ht="14" x14ac:dyDescent="0.35">
      <c r="A88" s="93"/>
      <c r="B88" s="93"/>
      <c r="C88" s="93"/>
      <c r="D88" s="93"/>
      <c r="E88" s="93"/>
      <c r="F88" s="95"/>
      <c r="G88" s="95"/>
      <c r="H88" s="93"/>
      <c r="I88" s="93"/>
      <c r="J88" s="93"/>
    </row>
    <row r="89" spans="1:10" s="65" customFormat="1" ht="14" x14ac:dyDescent="0.35">
      <c r="A89" s="93"/>
      <c r="B89" s="93"/>
      <c r="C89" s="93"/>
      <c r="D89" s="93"/>
      <c r="E89" s="93"/>
      <c r="F89" s="95"/>
      <c r="G89" s="95"/>
      <c r="H89" s="93"/>
      <c r="I89" s="93"/>
      <c r="J89" s="93"/>
    </row>
    <row r="90" spans="1:10" s="65" customFormat="1" ht="14" x14ac:dyDescent="0.35">
      <c r="A90" s="93"/>
      <c r="B90" s="93"/>
      <c r="C90" s="93"/>
      <c r="D90" s="93"/>
      <c r="E90" s="93"/>
      <c r="F90" s="95"/>
      <c r="G90" s="95"/>
      <c r="H90" s="93"/>
      <c r="I90" s="93"/>
      <c r="J90" s="93"/>
    </row>
    <row r="91" spans="1:10" s="65" customFormat="1" ht="14" x14ac:dyDescent="0.35">
      <c r="A91" s="93"/>
      <c r="B91" s="93"/>
      <c r="C91" s="93"/>
      <c r="D91" s="93"/>
      <c r="E91" s="93"/>
      <c r="F91" s="95"/>
      <c r="G91" s="95"/>
      <c r="H91" s="93"/>
      <c r="I91" s="93"/>
      <c r="J91" s="93"/>
    </row>
    <row r="92" spans="1:10" s="65" customFormat="1" ht="14" x14ac:dyDescent="0.35">
      <c r="A92" s="93"/>
      <c r="B92" s="93"/>
      <c r="C92" s="93"/>
      <c r="D92" s="93"/>
      <c r="E92" s="93"/>
      <c r="F92" s="95"/>
      <c r="G92" s="95"/>
      <c r="H92" s="93"/>
      <c r="I92" s="93"/>
      <c r="J92" s="93"/>
    </row>
    <row r="93" spans="1:10" s="65" customFormat="1" ht="14" x14ac:dyDescent="0.35">
      <c r="A93" s="93"/>
      <c r="B93" s="93"/>
      <c r="C93" s="93"/>
      <c r="D93" s="93"/>
      <c r="E93" s="93"/>
      <c r="F93" s="95"/>
      <c r="G93" s="95"/>
      <c r="H93" s="93"/>
      <c r="I93" s="93"/>
      <c r="J93" s="93"/>
    </row>
    <row r="94" spans="1:10" s="65" customFormat="1" ht="14" x14ac:dyDescent="0.35">
      <c r="A94" s="93"/>
      <c r="B94" s="93"/>
      <c r="C94" s="93"/>
      <c r="D94" s="93"/>
      <c r="E94" s="93"/>
      <c r="F94" s="95"/>
      <c r="G94" s="95"/>
      <c r="H94" s="93"/>
      <c r="I94" s="93"/>
      <c r="J94" s="93"/>
    </row>
    <row r="95" spans="1:10" s="65" customFormat="1" ht="14" x14ac:dyDescent="0.35">
      <c r="A95" s="93"/>
      <c r="B95" s="93"/>
      <c r="C95" s="93"/>
      <c r="D95" s="93"/>
      <c r="E95" s="93"/>
      <c r="F95" s="95"/>
      <c r="G95" s="95"/>
      <c r="H95" s="93"/>
      <c r="I95" s="93"/>
      <c r="J95" s="93"/>
    </row>
    <row r="96" spans="1:10" s="65" customFormat="1" ht="14" x14ac:dyDescent="0.35">
      <c r="A96" s="93"/>
      <c r="B96" s="93"/>
      <c r="C96" s="93"/>
      <c r="D96" s="93"/>
      <c r="E96" s="93"/>
      <c r="F96" s="95"/>
      <c r="G96" s="95"/>
      <c r="H96" s="93"/>
      <c r="I96" s="93"/>
      <c r="J96" s="93"/>
    </row>
    <row r="97" spans="1:10" s="65" customFormat="1" ht="14" x14ac:dyDescent="0.35">
      <c r="A97" s="93"/>
      <c r="B97" s="93"/>
      <c r="C97" s="93"/>
      <c r="D97" s="93"/>
      <c r="E97" s="93"/>
      <c r="F97" s="95"/>
      <c r="G97" s="95"/>
      <c r="H97" s="93"/>
      <c r="I97" s="93"/>
      <c r="J97" s="93"/>
    </row>
    <row r="98" spans="1:10" s="65" customFormat="1" ht="14" x14ac:dyDescent="0.35">
      <c r="A98" s="93"/>
      <c r="B98" s="93"/>
      <c r="C98" s="93"/>
      <c r="D98" s="93"/>
      <c r="E98" s="93"/>
      <c r="F98" s="95"/>
      <c r="G98" s="95"/>
      <c r="H98" s="93"/>
      <c r="I98" s="93"/>
      <c r="J98" s="93"/>
    </row>
    <row r="99" spans="1:10" s="65" customFormat="1" ht="14" x14ac:dyDescent="0.35">
      <c r="A99" s="93"/>
      <c r="B99" s="93"/>
      <c r="C99" s="93"/>
      <c r="D99" s="93"/>
      <c r="E99" s="93"/>
      <c r="F99" s="95"/>
      <c r="G99" s="95"/>
      <c r="H99" s="93"/>
      <c r="I99" s="93"/>
      <c r="J99" s="93"/>
    </row>
    <row r="100" spans="1:10" s="65" customFormat="1" ht="14" x14ac:dyDescent="0.35">
      <c r="A100" s="93"/>
      <c r="B100" s="93"/>
      <c r="C100" s="93"/>
      <c r="D100" s="93"/>
      <c r="E100" s="93"/>
      <c r="F100" s="95"/>
      <c r="G100" s="95"/>
      <c r="H100" s="93"/>
      <c r="I100" s="93"/>
      <c r="J100" s="93"/>
    </row>
    <row r="101" spans="1:10" s="65" customFormat="1" ht="14" x14ac:dyDescent="0.35">
      <c r="A101" s="93"/>
      <c r="B101" s="93"/>
      <c r="C101" s="93"/>
      <c r="D101" s="93"/>
      <c r="E101" s="93"/>
      <c r="F101" s="95"/>
      <c r="G101" s="95"/>
      <c r="H101" s="93"/>
      <c r="I101" s="93"/>
      <c r="J101" s="93"/>
    </row>
    <row r="102" spans="1:10" s="65" customFormat="1" ht="14" x14ac:dyDescent="0.35">
      <c r="A102" s="93"/>
      <c r="B102" s="93"/>
      <c r="C102" s="93"/>
      <c r="D102" s="93"/>
      <c r="E102" s="93"/>
      <c r="F102" s="95"/>
      <c r="G102" s="95"/>
      <c r="H102" s="93"/>
      <c r="I102" s="93"/>
      <c r="J102" s="93"/>
    </row>
    <row r="103" spans="1:10" s="65" customFormat="1" ht="14" x14ac:dyDescent="0.35">
      <c r="A103" s="93"/>
      <c r="B103" s="93"/>
      <c r="C103" s="93"/>
      <c r="D103" s="93"/>
      <c r="E103" s="93"/>
      <c r="F103" s="95"/>
      <c r="G103" s="95"/>
      <c r="H103" s="93"/>
      <c r="I103" s="93"/>
      <c r="J103" s="93"/>
    </row>
    <row r="104" spans="1:10" s="65" customFormat="1" ht="14" x14ac:dyDescent="0.35">
      <c r="A104" s="93"/>
      <c r="B104" s="93"/>
      <c r="C104" s="93"/>
      <c r="D104" s="93"/>
      <c r="E104" s="93"/>
      <c r="F104" s="95"/>
      <c r="G104" s="95"/>
      <c r="H104" s="93"/>
      <c r="I104" s="93"/>
      <c r="J104" s="93"/>
    </row>
    <row r="105" spans="1:10" s="65" customFormat="1" ht="14" x14ac:dyDescent="0.35">
      <c r="A105" s="93"/>
      <c r="B105" s="93"/>
      <c r="C105" s="93"/>
      <c r="D105" s="93"/>
      <c r="E105" s="93"/>
      <c r="F105" s="95"/>
      <c r="G105" s="95"/>
      <c r="H105" s="93"/>
      <c r="I105" s="93"/>
      <c r="J105" s="93"/>
    </row>
    <row r="106" spans="1:10" s="65" customFormat="1" ht="14" x14ac:dyDescent="0.35">
      <c r="A106" s="93"/>
      <c r="B106" s="93"/>
      <c r="C106" s="93"/>
      <c r="D106" s="93"/>
      <c r="E106" s="93"/>
      <c r="F106" s="95"/>
      <c r="G106" s="95"/>
      <c r="H106" s="93"/>
      <c r="I106" s="93"/>
      <c r="J106" s="93"/>
    </row>
    <row r="107" spans="1:10" s="65" customFormat="1" ht="14" x14ac:dyDescent="0.35">
      <c r="A107" s="93"/>
      <c r="B107" s="93"/>
      <c r="C107" s="93"/>
      <c r="D107" s="93"/>
      <c r="E107" s="93"/>
      <c r="F107" s="95"/>
      <c r="G107" s="95"/>
      <c r="H107" s="93"/>
      <c r="I107" s="93"/>
      <c r="J107" s="93"/>
    </row>
    <row r="108" spans="1:10" s="65" customFormat="1" ht="14" x14ac:dyDescent="0.35">
      <c r="A108" s="93"/>
      <c r="B108" s="93"/>
      <c r="C108" s="93"/>
      <c r="D108" s="93"/>
      <c r="E108" s="93"/>
      <c r="F108" s="95"/>
      <c r="G108" s="95"/>
      <c r="H108" s="93"/>
      <c r="I108" s="93"/>
      <c r="J108" s="93"/>
    </row>
    <row r="109" spans="1:10" s="65" customFormat="1" ht="14" x14ac:dyDescent="0.35">
      <c r="A109" s="93"/>
      <c r="B109" s="93"/>
      <c r="C109" s="93"/>
      <c r="D109" s="93"/>
      <c r="E109" s="93"/>
      <c r="F109" s="95"/>
      <c r="G109" s="95"/>
      <c r="H109" s="93"/>
      <c r="I109" s="93"/>
      <c r="J109" s="93"/>
    </row>
    <row r="110" spans="1:10" s="65" customFormat="1" ht="14" x14ac:dyDescent="0.35">
      <c r="A110" s="93"/>
      <c r="B110" s="93"/>
      <c r="C110" s="93"/>
      <c r="D110" s="93"/>
      <c r="E110" s="93"/>
      <c r="F110" s="95"/>
      <c r="G110" s="95"/>
      <c r="H110" s="93"/>
      <c r="I110" s="93"/>
      <c r="J110" s="93"/>
    </row>
    <row r="111" spans="1:10" s="65" customFormat="1" ht="14" x14ac:dyDescent="0.35">
      <c r="A111" s="93"/>
      <c r="B111" s="93"/>
      <c r="C111" s="93"/>
      <c r="D111" s="93"/>
      <c r="E111" s="93"/>
      <c r="F111" s="95"/>
      <c r="G111" s="95"/>
      <c r="H111" s="93"/>
      <c r="I111" s="93"/>
      <c r="J111" s="93"/>
    </row>
    <row r="112" spans="1:10" s="65" customFormat="1" ht="14" x14ac:dyDescent="0.35">
      <c r="A112" s="93"/>
      <c r="B112" s="93"/>
      <c r="C112" s="93"/>
      <c r="D112" s="93"/>
      <c r="E112" s="93"/>
      <c r="F112" s="95"/>
      <c r="G112" s="95"/>
      <c r="H112" s="93"/>
      <c r="I112" s="93"/>
      <c r="J112" s="93"/>
    </row>
    <row r="113" spans="1:10" s="65" customFormat="1" ht="14" x14ac:dyDescent="0.35">
      <c r="A113" s="93"/>
      <c r="B113" s="93"/>
      <c r="C113" s="93"/>
      <c r="D113" s="93"/>
      <c r="E113" s="93"/>
      <c r="F113" s="95"/>
      <c r="G113" s="95"/>
      <c r="H113" s="93"/>
      <c r="I113" s="93"/>
      <c r="J113" s="93"/>
    </row>
    <row r="114" spans="1:10" s="65" customFormat="1" ht="14" x14ac:dyDescent="0.35">
      <c r="A114" s="93"/>
      <c r="B114" s="93"/>
      <c r="C114" s="93"/>
      <c r="D114" s="93"/>
      <c r="E114" s="93"/>
      <c r="F114" s="95"/>
      <c r="G114" s="95"/>
      <c r="H114" s="93"/>
      <c r="I114" s="93"/>
      <c r="J114" s="93"/>
    </row>
    <row r="115" spans="1:10" s="65" customFormat="1" ht="14" x14ac:dyDescent="0.35">
      <c r="A115" s="93"/>
      <c r="B115" s="93"/>
      <c r="C115" s="93"/>
      <c r="D115" s="93"/>
      <c r="E115" s="93"/>
      <c r="F115" s="95"/>
      <c r="G115" s="95"/>
      <c r="H115" s="93"/>
      <c r="I115" s="93"/>
      <c r="J115" s="93"/>
    </row>
    <row r="116" spans="1:10" s="65" customFormat="1" ht="14" x14ac:dyDescent="0.35">
      <c r="A116" s="93"/>
      <c r="B116" s="93"/>
      <c r="C116" s="93"/>
      <c r="D116" s="93"/>
      <c r="E116" s="93"/>
      <c r="F116" s="95"/>
      <c r="G116" s="95"/>
      <c r="H116" s="93"/>
      <c r="I116" s="93"/>
      <c r="J116" s="93"/>
    </row>
    <row r="117" spans="1:10" s="65" customFormat="1" ht="14" x14ac:dyDescent="0.35">
      <c r="A117" s="93"/>
      <c r="B117" s="93"/>
      <c r="C117" s="93"/>
      <c r="D117" s="93"/>
      <c r="E117" s="93"/>
      <c r="F117" s="95"/>
      <c r="G117" s="95"/>
      <c r="H117" s="93"/>
      <c r="I117" s="93"/>
      <c r="J117" s="93"/>
    </row>
    <row r="118" spans="1:10" s="65" customFormat="1" ht="14" x14ac:dyDescent="0.35">
      <c r="A118" s="93"/>
      <c r="B118" s="93"/>
      <c r="C118" s="93"/>
      <c r="D118" s="93"/>
      <c r="E118" s="93"/>
      <c r="F118" s="95"/>
      <c r="G118" s="95"/>
      <c r="H118" s="93"/>
      <c r="I118" s="93"/>
      <c r="J118" s="93"/>
    </row>
    <row r="119" spans="1:10" s="65" customFormat="1" ht="14" x14ac:dyDescent="0.35">
      <c r="A119" s="93"/>
      <c r="B119" s="93"/>
      <c r="C119" s="93"/>
      <c r="D119" s="93"/>
      <c r="E119" s="93"/>
      <c r="F119" s="95"/>
      <c r="G119" s="95"/>
      <c r="H119" s="93"/>
      <c r="I119" s="93"/>
      <c r="J119" s="93"/>
    </row>
    <row r="120" spans="1:10" s="65" customFormat="1" ht="14" x14ac:dyDescent="0.35">
      <c r="A120" s="93"/>
      <c r="B120" s="93"/>
      <c r="C120" s="93"/>
      <c r="D120" s="93"/>
      <c r="E120" s="93"/>
      <c r="F120" s="95"/>
      <c r="G120" s="95"/>
      <c r="H120" s="93"/>
      <c r="I120" s="93"/>
      <c r="J120" s="93"/>
    </row>
    <row r="121" spans="1:10" s="65" customFormat="1" ht="14" x14ac:dyDescent="0.35">
      <c r="A121" s="93"/>
      <c r="B121" s="93"/>
      <c r="C121" s="93"/>
      <c r="D121" s="93"/>
      <c r="E121" s="93"/>
      <c r="F121" s="95"/>
      <c r="G121" s="95"/>
      <c r="H121" s="93"/>
      <c r="I121" s="93"/>
      <c r="J121" s="93"/>
    </row>
    <row r="122" spans="1:10" s="65" customFormat="1" ht="14" x14ac:dyDescent="0.35">
      <c r="A122" s="93"/>
      <c r="B122" s="93"/>
      <c r="C122" s="93"/>
      <c r="D122" s="93"/>
      <c r="E122" s="93"/>
      <c r="F122" s="95"/>
      <c r="G122" s="95"/>
      <c r="H122" s="93"/>
      <c r="I122" s="93"/>
      <c r="J122" s="93"/>
    </row>
    <row r="123" spans="1:10" s="65" customFormat="1" ht="14" x14ac:dyDescent="0.35">
      <c r="A123" s="93"/>
      <c r="B123" s="93"/>
      <c r="C123" s="93"/>
      <c r="D123" s="93"/>
      <c r="E123" s="93"/>
      <c r="F123" s="95"/>
      <c r="G123" s="95"/>
      <c r="H123" s="93"/>
      <c r="I123" s="93"/>
      <c r="J123" s="93"/>
    </row>
    <row r="124" spans="1:10" s="65" customFormat="1" ht="14" x14ac:dyDescent="0.35">
      <c r="A124" s="93"/>
      <c r="B124" s="93"/>
      <c r="C124" s="93"/>
      <c r="D124" s="93"/>
      <c r="E124" s="93"/>
      <c r="F124" s="95"/>
      <c r="G124" s="95"/>
      <c r="H124" s="93"/>
      <c r="I124" s="93"/>
      <c r="J124" s="93"/>
    </row>
    <row r="125" spans="1:10" s="65" customFormat="1" ht="14" x14ac:dyDescent="0.35">
      <c r="A125" s="93"/>
      <c r="B125" s="93"/>
      <c r="C125" s="93"/>
      <c r="D125" s="93"/>
      <c r="E125" s="93"/>
      <c r="F125" s="95"/>
      <c r="G125" s="95"/>
      <c r="H125" s="93"/>
      <c r="I125" s="93"/>
      <c r="J125" s="93"/>
    </row>
    <row r="126" spans="1:10" s="65" customFormat="1" ht="14" x14ac:dyDescent="0.35">
      <c r="A126" s="93"/>
      <c r="B126" s="93"/>
      <c r="C126" s="93"/>
      <c r="D126" s="93"/>
      <c r="E126" s="93"/>
      <c r="F126" s="95"/>
      <c r="G126" s="95"/>
      <c r="H126" s="93"/>
      <c r="I126" s="93"/>
      <c r="J126" s="93"/>
    </row>
    <row r="127" spans="1:10" s="65" customFormat="1" ht="14" x14ac:dyDescent="0.35">
      <c r="A127" s="93"/>
      <c r="B127" s="93"/>
      <c r="C127" s="93"/>
      <c r="D127" s="93"/>
      <c r="E127" s="93"/>
      <c r="F127" s="95"/>
      <c r="G127" s="95"/>
      <c r="H127" s="93"/>
      <c r="I127" s="93"/>
      <c r="J127" s="93"/>
    </row>
    <row r="128" spans="1:10" s="65" customFormat="1" ht="14" x14ac:dyDescent="0.35">
      <c r="A128" s="93"/>
      <c r="B128" s="93"/>
      <c r="C128" s="93"/>
      <c r="D128" s="93"/>
      <c r="E128" s="93"/>
      <c r="F128" s="95"/>
      <c r="G128" s="95"/>
      <c r="H128" s="93"/>
      <c r="I128" s="93"/>
      <c r="J128" s="93"/>
    </row>
    <row r="129" spans="1:10" s="65" customFormat="1" ht="14" x14ac:dyDescent="0.35">
      <c r="A129" s="93"/>
      <c r="B129" s="93"/>
      <c r="C129" s="93"/>
      <c r="D129" s="93"/>
      <c r="E129" s="93"/>
      <c r="F129" s="95"/>
      <c r="G129" s="95"/>
      <c r="H129" s="93"/>
      <c r="I129" s="93"/>
      <c r="J129" s="93"/>
    </row>
    <row r="130" spans="1:10" s="65" customFormat="1" ht="14" x14ac:dyDescent="0.35">
      <c r="A130" s="93"/>
      <c r="B130" s="93"/>
      <c r="C130" s="93"/>
      <c r="D130" s="93"/>
      <c r="E130" s="93"/>
      <c r="F130" s="95"/>
      <c r="G130" s="95"/>
      <c r="H130" s="93"/>
      <c r="I130" s="93"/>
      <c r="J130" s="93"/>
    </row>
    <row r="131" spans="1:10" s="65" customFormat="1" ht="14" x14ac:dyDescent="0.35">
      <c r="A131" s="93"/>
      <c r="B131" s="93"/>
      <c r="C131" s="93"/>
      <c r="D131" s="93"/>
      <c r="E131" s="93"/>
      <c r="F131" s="95"/>
      <c r="G131" s="95"/>
      <c r="H131" s="93"/>
      <c r="I131" s="93"/>
      <c r="J131" s="93"/>
    </row>
    <row r="132" spans="1:10" s="65" customFormat="1" ht="14" x14ac:dyDescent="0.35">
      <c r="A132" s="93"/>
      <c r="B132" s="93"/>
      <c r="C132" s="93"/>
      <c r="D132" s="93"/>
      <c r="E132" s="93"/>
      <c r="F132" s="95"/>
      <c r="G132" s="95"/>
      <c r="H132" s="93"/>
      <c r="I132" s="93"/>
      <c r="J132" s="93"/>
    </row>
    <row r="133" spans="1:10" s="65" customFormat="1" ht="14" x14ac:dyDescent="0.35">
      <c r="A133" s="93"/>
      <c r="B133" s="93"/>
      <c r="C133" s="93"/>
      <c r="D133" s="93"/>
      <c r="E133" s="93"/>
      <c r="F133" s="95"/>
      <c r="G133" s="95"/>
      <c r="H133" s="93"/>
      <c r="I133" s="93"/>
      <c r="J133" s="93"/>
    </row>
    <row r="134" spans="1:10" s="65" customFormat="1" ht="14" x14ac:dyDescent="0.35">
      <c r="A134" s="93"/>
      <c r="B134" s="93"/>
      <c r="C134" s="93"/>
      <c r="D134" s="93"/>
      <c r="E134" s="93"/>
      <c r="F134" s="95"/>
      <c r="G134" s="95"/>
      <c r="H134" s="93"/>
      <c r="I134" s="93"/>
      <c r="J134" s="93"/>
    </row>
    <row r="135" spans="1:10" s="65" customFormat="1" ht="14" x14ac:dyDescent="0.35">
      <c r="A135" s="93"/>
      <c r="B135" s="93"/>
      <c r="C135" s="93"/>
      <c r="D135" s="93"/>
      <c r="E135" s="93"/>
      <c r="F135" s="95"/>
      <c r="G135" s="95"/>
      <c r="H135" s="93"/>
      <c r="I135" s="93"/>
      <c r="J135" s="93"/>
    </row>
    <row r="136" spans="1:10" s="65" customFormat="1" ht="14" x14ac:dyDescent="0.35">
      <c r="A136" s="93"/>
      <c r="B136" s="93"/>
      <c r="C136" s="93"/>
      <c r="D136" s="93"/>
      <c r="E136" s="93"/>
      <c r="F136" s="95"/>
      <c r="G136" s="95"/>
      <c r="H136" s="93"/>
      <c r="I136" s="93"/>
      <c r="J136" s="93"/>
    </row>
    <row r="137" spans="1:10" s="65" customFormat="1" ht="14" x14ac:dyDescent="0.35">
      <c r="A137" s="93"/>
      <c r="B137" s="93"/>
      <c r="C137" s="93"/>
      <c r="D137" s="93"/>
      <c r="E137" s="93"/>
      <c r="F137" s="95"/>
      <c r="G137" s="95"/>
      <c r="H137" s="93"/>
      <c r="I137" s="93"/>
      <c r="J137" s="93"/>
    </row>
    <row r="138" spans="1:10" s="65" customFormat="1" ht="14" x14ac:dyDescent="0.35">
      <c r="A138" s="93"/>
      <c r="B138" s="93"/>
      <c r="C138" s="93"/>
      <c r="D138" s="93"/>
      <c r="E138" s="93"/>
      <c r="F138" s="95"/>
      <c r="G138" s="95"/>
      <c r="H138" s="93"/>
      <c r="I138" s="93"/>
      <c r="J138" s="93"/>
    </row>
    <row r="139" spans="1:10" s="65" customFormat="1" ht="14" x14ac:dyDescent="0.35">
      <c r="A139" s="93"/>
      <c r="B139" s="93"/>
      <c r="C139" s="93"/>
      <c r="D139" s="93"/>
      <c r="E139" s="93"/>
      <c r="F139" s="95"/>
      <c r="G139" s="95"/>
      <c r="H139" s="93"/>
      <c r="I139" s="93"/>
      <c r="J139" s="93"/>
    </row>
    <row r="140" spans="1:10" s="65" customFormat="1" ht="14" x14ac:dyDescent="0.35">
      <c r="A140" s="93"/>
      <c r="B140" s="93"/>
      <c r="C140" s="93"/>
      <c r="D140" s="93"/>
      <c r="E140" s="93"/>
      <c r="F140" s="95"/>
      <c r="G140" s="95"/>
      <c r="H140" s="93"/>
      <c r="I140" s="93"/>
      <c r="J140" s="93"/>
    </row>
    <row r="141" spans="1:10" s="65" customFormat="1" ht="14" x14ac:dyDescent="0.35">
      <c r="A141" s="93"/>
      <c r="B141" s="93"/>
      <c r="C141" s="93"/>
      <c r="D141" s="93"/>
      <c r="E141" s="93"/>
      <c r="F141" s="95"/>
      <c r="G141" s="95"/>
      <c r="H141" s="93"/>
      <c r="I141" s="93"/>
      <c r="J141" s="93"/>
    </row>
    <row r="142" spans="1:10" s="65" customFormat="1" ht="14" x14ac:dyDescent="0.35">
      <c r="A142" s="93"/>
      <c r="B142" s="93"/>
      <c r="C142" s="93"/>
      <c r="D142" s="93"/>
      <c r="E142" s="93"/>
      <c r="F142" s="95"/>
      <c r="G142" s="95"/>
      <c r="H142" s="93"/>
      <c r="I142" s="93"/>
      <c r="J142" s="93"/>
    </row>
    <row r="143" spans="1:10" s="65" customFormat="1" ht="14" x14ac:dyDescent="0.35">
      <c r="A143" s="93"/>
      <c r="B143" s="93"/>
      <c r="C143" s="93"/>
      <c r="D143" s="93"/>
      <c r="E143" s="93"/>
      <c r="F143" s="95"/>
      <c r="G143" s="95"/>
      <c r="H143" s="93"/>
      <c r="I143" s="93"/>
      <c r="J143" s="93"/>
    </row>
    <row r="144" spans="1:10" s="65" customFormat="1" ht="14" x14ac:dyDescent="0.35">
      <c r="A144" s="93"/>
      <c r="B144" s="93"/>
      <c r="C144" s="93"/>
      <c r="D144" s="93"/>
      <c r="E144" s="93"/>
      <c r="F144" s="95"/>
      <c r="G144" s="95"/>
      <c r="H144" s="93"/>
      <c r="I144" s="93"/>
      <c r="J144" s="93"/>
    </row>
    <row r="145" spans="1:10" s="65" customFormat="1" ht="14" x14ac:dyDescent="0.35">
      <c r="A145" s="93"/>
      <c r="B145" s="93"/>
      <c r="C145" s="93"/>
      <c r="D145" s="93"/>
      <c r="E145" s="93"/>
      <c r="F145" s="95"/>
      <c r="G145" s="95"/>
      <c r="H145" s="93"/>
      <c r="I145" s="93"/>
      <c r="J145" s="93"/>
    </row>
    <row r="146" spans="1:10" s="65" customFormat="1" ht="14" x14ac:dyDescent="0.35">
      <c r="A146" s="93"/>
      <c r="B146" s="93"/>
      <c r="C146" s="93"/>
      <c r="D146" s="93"/>
      <c r="E146" s="93"/>
      <c r="F146" s="95"/>
      <c r="G146" s="95"/>
      <c r="H146" s="93"/>
      <c r="I146" s="93"/>
      <c r="J146" s="93"/>
    </row>
    <row r="147" spans="1:10" s="65" customFormat="1" ht="14" x14ac:dyDescent="0.35">
      <c r="A147" s="93"/>
      <c r="B147" s="93"/>
      <c r="C147" s="93"/>
      <c r="D147" s="93"/>
      <c r="E147" s="93"/>
      <c r="F147" s="95"/>
      <c r="G147" s="95"/>
      <c r="H147" s="93"/>
      <c r="I147" s="93"/>
      <c r="J147" s="93"/>
    </row>
    <row r="148" spans="1:10" s="65" customFormat="1" ht="14" x14ac:dyDescent="0.35">
      <c r="A148" s="93"/>
      <c r="B148" s="93"/>
      <c r="C148" s="93"/>
      <c r="D148" s="93"/>
      <c r="E148" s="93"/>
      <c r="F148" s="95"/>
      <c r="G148" s="95"/>
      <c r="H148" s="93"/>
      <c r="I148" s="93"/>
      <c r="J148" s="93"/>
    </row>
    <row r="149" spans="1:10" s="65" customFormat="1" ht="14" x14ac:dyDescent="0.35">
      <c r="A149" s="93"/>
      <c r="B149" s="93"/>
      <c r="C149" s="93"/>
      <c r="D149" s="93"/>
      <c r="E149" s="93"/>
      <c r="F149" s="95"/>
      <c r="G149" s="95"/>
      <c r="H149" s="93"/>
      <c r="I149" s="93"/>
      <c r="J149" s="93"/>
    </row>
    <row r="150" spans="1:10" s="65" customFormat="1" ht="14" x14ac:dyDescent="0.35">
      <c r="A150" s="93"/>
      <c r="B150" s="93"/>
      <c r="C150" s="93"/>
      <c r="D150" s="93"/>
      <c r="E150" s="93"/>
      <c r="F150" s="95"/>
      <c r="G150" s="95"/>
      <c r="H150" s="93"/>
      <c r="I150" s="93"/>
      <c r="J150" s="93"/>
    </row>
    <row r="151" spans="1:10" s="65" customFormat="1" ht="14" x14ac:dyDescent="0.35">
      <c r="A151" s="93"/>
      <c r="B151" s="93"/>
      <c r="C151" s="93"/>
      <c r="D151" s="93"/>
      <c r="E151" s="93"/>
      <c r="F151" s="95"/>
      <c r="G151" s="95"/>
      <c r="H151" s="93"/>
      <c r="I151" s="93"/>
      <c r="J151" s="93"/>
    </row>
    <row r="152" spans="1:10" s="65" customFormat="1" ht="14" x14ac:dyDescent="0.35">
      <c r="A152" s="93"/>
      <c r="B152" s="93"/>
      <c r="C152" s="93"/>
      <c r="D152" s="93"/>
      <c r="E152" s="93"/>
      <c r="F152" s="95"/>
      <c r="G152" s="95"/>
      <c r="H152" s="93"/>
      <c r="I152" s="93"/>
      <c r="J152" s="93"/>
    </row>
    <row r="153" spans="1:10" s="65" customFormat="1" ht="14" x14ac:dyDescent="0.35">
      <c r="A153" s="93"/>
      <c r="B153" s="93"/>
      <c r="C153" s="93"/>
      <c r="D153" s="93"/>
      <c r="E153" s="93"/>
      <c r="F153" s="95"/>
      <c r="G153" s="95"/>
      <c r="H153" s="93"/>
      <c r="I153" s="93"/>
      <c r="J153" s="93"/>
    </row>
    <row r="154" spans="1:10" s="65" customFormat="1" ht="14" x14ac:dyDescent="0.35">
      <c r="A154" s="93"/>
      <c r="B154" s="93"/>
      <c r="C154" s="93"/>
      <c r="D154" s="93"/>
      <c r="E154" s="93"/>
      <c r="F154" s="95"/>
      <c r="G154" s="95"/>
      <c r="H154" s="93"/>
      <c r="I154" s="93"/>
      <c r="J154" s="93"/>
    </row>
    <row r="155" spans="1:10" s="65" customFormat="1" ht="14" x14ac:dyDescent="0.35">
      <c r="A155" s="93"/>
      <c r="B155" s="93"/>
      <c r="C155" s="93"/>
      <c r="D155" s="93"/>
      <c r="E155" s="93"/>
      <c r="F155" s="95"/>
      <c r="G155" s="95"/>
      <c r="H155" s="93"/>
      <c r="I155" s="93"/>
      <c r="J155" s="93"/>
    </row>
    <row r="156" spans="1:10" s="65" customFormat="1" ht="14" x14ac:dyDescent="0.35">
      <c r="A156" s="93"/>
      <c r="B156" s="93"/>
      <c r="C156" s="93"/>
      <c r="D156" s="93"/>
      <c r="E156" s="93"/>
      <c r="F156" s="95"/>
      <c r="G156" s="95"/>
      <c r="H156" s="93"/>
      <c r="I156" s="93"/>
      <c r="J156" s="93"/>
    </row>
    <row r="157" spans="1:10" s="65" customFormat="1" ht="14" x14ac:dyDescent="0.35">
      <c r="A157" s="93"/>
      <c r="B157" s="93"/>
      <c r="C157" s="93"/>
      <c r="D157" s="93"/>
      <c r="E157" s="93"/>
      <c r="F157" s="95"/>
      <c r="G157" s="95"/>
      <c r="H157" s="93"/>
      <c r="I157" s="93"/>
      <c r="J157" s="93"/>
    </row>
    <row r="158" spans="1:10" s="65" customFormat="1" ht="14" x14ac:dyDescent="0.35">
      <c r="A158" s="93"/>
      <c r="B158" s="93"/>
      <c r="C158" s="93"/>
      <c r="D158" s="93"/>
      <c r="E158" s="93"/>
      <c r="F158" s="95"/>
      <c r="G158" s="95"/>
      <c r="H158" s="93"/>
      <c r="I158" s="93"/>
      <c r="J158" s="93"/>
    </row>
    <row r="159" spans="1:10" s="65" customFormat="1" ht="14" x14ac:dyDescent="0.35">
      <c r="A159" s="93"/>
      <c r="B159" s="93"/>
      <c r="C159" s="93"/>
      <c r="D159" s="93"/>
      <c r="E159" s="93"/>
      <c r="F159" s="95"/>
      <c r="G159" s="95"/>
      <c r="H159" s="93"/>
      <c r="I159" s="93"/>
      <c r="J159" s="93"/>
    </row>
    <row r="160" spans="1:10" s="65" customFormat="1" ht="14" x14ac:dyDescent="0.35">
      <c r="A160" s="93"/>
      <c r="B160" s="93"/>
      <c r="C160" s="93"/>
      <c r="D160" s="93"/>
      <c r="E160" s="93"/>
      <c r="F160" s="95"/>
      <c r="G160" s="95"/>
      <c r="H160" s="93"/>
      <c r="I160" s="93"/>
      <c r="J160" s="93"/>
    </row>
    <row r="161" spans="1:10" s="65" customFormat="1" ht="14" x14ac:dyDescent="0.35">
      <c r="A161" s="93"/>
      <c r="B161" s="93"/>
      <c r="C161" s="93"/>
      <c r="D161" s="93"/>
      <c r="E161" s="93"/>
      <c r="F161" s="95"/>
      <c r="G161" s="95"/>
      <c r="H161" s="93"/>
      <c r="I161" s="93"/>
      <c r="J161" s="93"/>
    </row>
    <row r="162" spans="1:10" s="65" customFormat="1" ht="14" x14ac:dyDescent="0.35">
      <c r="A162" s="93"/>
      <c r="B162" s="93"/>
      <c r="C162" s="93"/>
      <c r="D162" s="93"/>
      <c r="E162" s="93"/>
      <c r="F162" s="95"/>
      <c r="G162" s="95"/>
      <c r="H162" s="93"/>
      <c r="I162" s="93"/>
      <c r="J162" s="93"/>
    </row>
    <row r="163" spans="1:10" s="65" customFormat="1" ht="14" x14ac:dyDescent="0.35">
      <c r="A163" s="93"/>
      <c r="B163" s="93"/>
      <c r="C163" s="93"/>
      <c r="D163" s="93"/>
      <c r="E163" s="93"/>
      <c r="F163" s="95"/>
      <c r="G163" s="95"/>
      <c r="H163" s="93"/>
      <c r="I163" s="93"/>
      <c r="J163" s="93"/>
    </row>
    <row r="164" spans="1:10" s="65" customFormat="1" ht="14" x14ac:dyDescent="0.35">
      <c r="A164" s="93"/>
      <c r="B164" s="93"/>
      <c r="C164" s="93"/>
      <c r="D164" s="93"/>
      <c r="E164" s="93"/>
      <c r="F164" s="95"/>
      <c r="G164" s="95"/>
      <c r="H164" s="93"/>
      <c r="I164" s="93"/>
      <c r="J164" s="93"/>
    </row>
    <row r="165" spans="1:10" s="65" customFormat="1" ht="14" x14ac:dyDescent="0.35">
      <c r="A165" s="93"/>
      <c r="B165" s="93"/>
      <c r="C165" s="93"/>
      <c r="D165" s="93"/>
      <c r="E165" s="93"/>
      <c r="F165" s="95"/>
      <c r="G165" s="95"/>
      <c r="H165" s="93"/>
      <c r="I165" s="93"/>
      <c r="J165" s="93"/>
    </row>
    <row r="166" spans="1:10" s="65" customFormat="1" ht="14" x14ac:dyDescent="0.35">
      <c r="A166" s="93"/>
      <c r="B166" s="93"/>
      <c r="C166" s="93"/>
      <c r="D166" s="93"/>
      <c r="E166" s="93"/>
      <c r="F166" s="95"/>
      <c r="G166" s="95"/>
      <c r="H166" s="93"/>
      <c r="I166" s="93"/>
      <c r="J166" s="93"/>
    </row>
    <row r="167" spans="1:10" s="65" customFormat="1" ht="14" x14ac:dyDescent="0.35">
      <c r="A167" s="93"/>
      <c r="B167" s="93"/>
      <c r="C167" s="93"/>
      <c r="D167" s="93"/>
      <c r="E167" s="93"/>
      <c r="F167" s="95"/>
      <c r="G167" s="95"/>
      <c r="H167" s="93"/>
      <c r="I167" s="93"/>
      <c r="J167" s="93"/>
    </row>
    <row r="168" spans="1:10" s="65" customFormat="1" ht="14" x14ac:dyDescent="0.35">
      <c r="A168" s="93"/>
      <c r="B168" s="93"/>
      <c r="C168" s="93"/>
      <c r="D168" s="93"/>
      <c r="E168" s="93"/>
      <c r="F168" s="95"/>
      <c r="G168" s="95"/>
      <c r="H168" s="93"/>
      <c r="I168" s="93"/>
      <c r="J168" s="93"/>
    </row>
    <row r="169" spans="1:10" s="65" customFormat="1" ht="14" x14ac:dyDescent="0.35">
      <c r="A169" s="93"/>
      <c r="B169" s="93"/>
      <c r="C169" s="93"/>
      <c r="D169" s="93"/>
      <c r="E169" s="93"/>
      <c r="F169" s="95"/>
      <c r="G169" s="95"/>
      <c r="H169" s="93"/>
      <c r="I169" s="93"/>
      <c r="J169" s="93"/>
    </row>
    <row r="170" spans="1:10" s="65" customFormat="1" ht="14" x14ac:dyDescent="0.35">
      <c r="A170" s="93"/>
      <c r="B170" s="93"/>
      <c r="C170" s="93"/>
      <c r="D170" s="93"/>
      <c r="E170" s="93"/>
      <c r="F170" s="95"/>
      <c r="G170" s="95"/>
      <c r="H170" s="93"/>
      <c r="I170" s="93"/>
      <c r="J170" s="93"/>
    </row>
    <row r="171" spans="1:10" s="65" customFormat="1" ht="14" x14ac:dyDescent="0.35">
      <c r="A171" s="93"/>
      <c r="B171" s="93"/>
      <c r="C171" s="93"/>
      <c r="D171" s="93"/>
      <c r="E171" s="93"/>
      <c r="F171" s="95"/>
      <c r="G171" s="95"/>
      <c r="H171" s="93"/>
      <c r="I171" s="93"/>
      <c r="J171" s="93"/>
    </row>
    <row r="172" spans="1:10" s="65" customFormat="1" ht="14" x14ac:dyDescent="0.35">
      <c r="A172" s="93"/>
      <c r="B172" s="93"/>
      <c r="C172" s="93"/>
      <c r="D172" s="93"/>
      <c r="E172" s="93"/>
      <c r="F172" s="95"/>
      <c r="G172" s="95"/>
      <c r="H172" s="93"/>
      <c r="I172" s="93"/>
      <c r="J172" s="93"/>
    </row>
    <row r="173" spans="1:10" s="65" customFormat="1" ht="14" x14ac:dyDescent="0.35">
      <c r="A173" s="93"/>
      <c r="B173" s="93"/>
      <c r="C173" s="93"/>
      <c r="D173" s="93"/>
      <c r="E173" s="93"/>
      <c r="F173" s="95"/>
      <c r="G173" s="95"/>
      <c r="H173" s="93"/>
      <c r="I173" s="93"/>
      <c r="J173" s="93"/>
    </row>
    <row r="174" spans="1:10" s="65" customFormat="1" ht="14" x14ac:dyDescent="0.35">
      <c r="A174" s="93"/>
      <c r="B174" s="93"/>
      <c r="C174" s="93"/>
      <c r="D174" s="93"/>
      <c r="E174" s="93"/>
      <c r="F174" s="95"/>
      <c r="G174" s="95"/>
      <c r="H174" s="93"/>
      <c r="I174" s="93"/>
      <c r="J174" s="93"/>
    </row>
    <row r="175" spans="1:10" s="65" customFormat="1" ht="14" x14ac:dyDescent="0.35">
      <c r="A175" s="93"/>
      <c r="B175" s="93"/>
      <c r="C175" s="93"/>
      <c r="D175" s="93"/>
      <c r="E175" s="93"/>
      <c r="F175" s="95"/>
      <c r="G175" s="95"/>
      <c r="H175" s="93"/>
      <c r="I175" s="93"/>
      <c r="J175" s="93"/>
    </row>
    <row r="176" spans="1:10" s="65" customFormat="1" ht="14" x14ac:dyDescent="0.35">
      <c r="A176" s="93"/>
      <c r="B176" s="93"/>
      <c r="C176" s="93"/>
      <c r="D176" s="93"/>
      <c r="E176" s="93"/>
      <c r="F176" s="95"/>
      <c r="G176" s="95"/>
      <c r="H176" s="93"/>
      <c r="I176" s="93"/>
      <c r="J176" s="93"/>
    </row>
    <row r="177" spans="1:10" s="65" customFormat="1" ht="14" x14ac:dyDescent="0.35">
      <c r="A177" s="93"/>
      <c r="B177" s="93"/>
      <c r="C177" s="93"/>
      <c r="D177" s="93"/>
      <c r="E177" s="93"/>
      <c r="F177" s="95"/>
      <c r="G177" s="95"/>
      <c r="H177" s="93"/>
      <c r="I177" s="93"/>
      <c r="J177" s="93"/>
    </row>
    <row r="178" spans="1:10" s="65" customFormat="1" ht="14" x14ac:dyDescent="0.35">
      <c r="A178" s="93"/>
      <c r="B178" s="93"/>
      <c r="C178" s="93"/>
      <c r="D178" s="93"/>
      <c r="E178" s="93"/>
      <c r="F178" s="95"/>
      <c r="G178" s="95"/>
      <c r="H178" s="93"/>
      <c r="I178" s="93"/>
      <c r="J178" s="93"/>
    </row>
    <row r="179" spans="1:10" s="65" customFormat="1" ht="14" x14ac:dyDescent="0.35">
      <c r="A179" s="93"/>
      <c r="B179" s="93"/>
      <c r="C179" s="93"/>
      <c r="D179" s="93"/>
      <c r="E179" s="93"/>
      <c r="F179" s="95"/>
      <c r="G179" s="95"/>
      <c r="H179" s="93"/>
      <c r="I179" s="93"/>
      <c r="J179" s="93"/>
    </row>
    <row r="180" spans="1:10" s="65" customFormat="1" ht="14" x14ac:dyDescent="0.35">
      <c r="A180" s="93"/>
      <c r="B180" s="93"/>
      <c r="C180" s="93"/>
      <c r="D180" s="93"/>
      <c r="E180" s="93"/>
      <c r="F180" s="95"/>
      <c r="G180" s="95"/>
      <c r="H180" s="93"/>
      <c r="I180" s="93"/>
      <c r="J180" s="93"/>
    </row>
    <row r="181" spans="1:10" s="65" customFormat="1" ht="14" x14ac:dyDescent="0.35">
      <c r="A181" s="93"/>
      <c r="B181" s="93"/>
      <c r="C181" s="93"/>
      <c r="D181" s="93"/>
      <c r="E181" s="93"/>
      <c r="F181" s="95"/>
      <c r="G181" s="95"/>
      <c r="H181" s="93"/>
      <c r="I181" s="93"/>
      <c r="J181" s="93"/>
    </row>
    <row r="182" spans="1:10" s="65" customFormat="1" ht="14" x14ac:dyDescent="0.35">
      <c r="A182" s="93"/>
      <c r="B182" s="93"/>
      <c r="C182" s="93"/>
      <c r="D182" s="93"/>
      <c r="E182" s="93"/>
      <c r="F182" s="95"/>
      <c r="G182" s="95"/>
      <c r="H182" s="93"/>
      <c r="I182" s="93"/>
      <c r="J182" s="93"/>
    </row>
    <row r="183" spans="1:10" s="65" customFormat="1" ht="14" x14ac:dyDescent="0.35">
      <c r="A183" s="93"/>
      <c r="B183" s="93"/>
      <c r="C183" s="93"/>
      <c r="D183" s="93"/>
      <c r="E183" s="93"/>
      <c r="F183" s="95"/>
      <c r="G183" s="95"/>
      <c r="H183" s="93"/>
      <c r="I183" s="93"/>
      <c r="J183" s="93"/>
    </row>
    <row r="184" spans="1:10" s="65" customFormat="1" ht="14" x14ac:dyDescent="0.35">
      <c r="A184" s="93"/>
      <c r="B184" s="93"/>
      <c r="C184" s="93"/>
      <c r="D184" s="93"/>
      <c r="E184" s="93"/>
      <c r="F184" s="95"/>
      <c r="G184" s="95"/>
      <c r="H184" s="93"/>
      <c r="I184" s="93"/>
      <c r="J184" s="93"/>
    </row>
    <row r="185" spans="1:10" s="65" customFormat="1" ht="14" x14ac:dyDescent="0.35">
      <c r="A185" s="93"/>
      <c r="B185" s="93"/>
      <c r="C185" s="93"/>
      <c r="D185" s="93"/>
      <c r="E185" s="93"/>
      <c r="F185" s="95"/>
      <c r="G185" s="95"/>
      <c r="H185" s="93"/>
      <c r="I185" s="93"/>
      <c r="J185" s="93"/>
    </row>
    <row r="186" spans="1:10" s="65" customFormat="1" ht="14" x14ac:dyDescent="0.35">
      <c r="A186" s="93"/>
      <c r="B186" s="93"/>
      <c r="C186" s="93"/>
      <c r="D186" s="93"/>
      <c r="E186" s="93"/>
      <c r="F186" s="95"/>
      <c r="G186" s="95"/>
      <c r="H186" s="93"/>
      <c r="I186" s="93"/>
      <c r="J186" s="93"/>
    </row>
    <row r="187" spans="1:10" s="65" customFormat="1" ht="14" x14ac:dyDescent="0.35">
      <c r="A187" s="93"/>
      <c r="B187" s="93"/>
      <c r="C187" s="93"/>
      <c r="D187" s="93"/>
      <c r="E187" s="93"/>
      <c r="F187" s="95"/>
      <c r="G187" s="95"/>
      <c r="H187" s="93"/>
      <c r="I187" s="93"/>
      <c r="J187" s="93"/>
    </row>
    <row r="188" spans="1:10" s="65" customFormat="1" ht="14" x14ac:dyDescent="0.35">
      <c r="A188" s="93"/>
      <c r="B188" s="93"/>
      <c r="C188" s="93"/>
      <c r="D188" s="93"/>
      <c r="E188" s="93"/>
      <c r="F188" s="95"/>
      <c r="G188" s="95"/>
      <c r="H188" s="93"/>
      <c r="I188" s="93"/>
      <c r="J188" s="93"/>
    </row>
    <row r="189" spans="1:10" s="65" customFormat="1" ht="14" x14ac:dyDescent="0.35">
      <c r="A189" s="93"/>
      <c r="B189" s="93"/>
      <c r="C189" s="93"/>
      <c r="D189" s="93"/>
      <c r="E189" s="93"/>
      <c r="F189" s="95"/>
      <c r="G189" s="95"/>
      <c r="H189" s="93"/>
      <c r="I189" s="93"/>
      <c r="J189" s="93"/>
    </row>
    <row r="190" spans="1:10" s="65" customFormat="1" ht="14" x14ac:dyDescent="0.35">
      <c r="A190" s="93"/>
      <c r="B190" s="93"/>
      <c r="C190" s="93"/>
      <c r="D190" s="93"/>
      <c r="E190" s="93"/>
      <c r="F190" s="95"/>
      <c r="G190" s="95"/>
      <c r="H190" s="93"/>
      <c r="I190" s="93"/>
      <c r="J190" s="93"/>
    </row>
    <row r="191" spans="1:10" s="65" customFormat="1" ht="14" x14ac:dyDescent="0.35">
      <c r="A191" s="93"/>
      <c r="B191" s="93"/>
      <c r="C191" s="93"/>
      <c r="D191" s="93"/>
      <c r="E191" s="93"/>
      <c r="F191" s="95"/>
      <c r="G191" s="95"/>
      <c r="H191" s="93"/>
      <c r="I191" s="93"/>
      <c r="J191" s="93"/>
    </row>
    <row r="192" spans="1:10" s="65" customFormat="1" ht="14" x14ac:dyDescent="0.35">
      <c r="A192" s="93"/>
      <c r="B192" s="93"/>
      <c r="C192" s="93"/>
      <c r="D192" s="93"/>
      <c r="E192" s="93"/>
      <c r="F192" s="95"/>
      <c r="G192" s="95"/>
      <c r="H192" s="93"/>
      <c r="I192" s="93"/>
      <c r="J192" s="93"/>
    </row>
    <row r="193" spans="1:10" s="65" customFormat="1" ht="14" x14ac:dyDescent="0.35">
      <c r="A193" s="93"/>
      <c r="B193" s="93"/>
      <c r="C193" s="93"/>
      <c r="D193" s="93"/>
      <c r="E193" s="93"/>
      <c r="F193" s="95"/>
      <c r="G193" s="95"/>
      <c r="H193" s="93"/>
      <c r="I193" s="93"/>
      <c r="J193" s="93"/>
    </row>
    <row r="194" spans="1:10" s="65" customFormat="1" ht="14" x14ac:dyDescent="0.35">
      <c r="A194" s="93"/>
      <c r="B194" s="93"/>
      <c r="C194" s="93"/>
      <c r="D194" s="93"/>
      <c r="E194" s="93"/>
      <c r="F194" s="95"/>
      <c r="G194" s="95"/>
      <c r="H194" s="93"/>
      <c r="I194" s="93"/>
      <c r="J194" s="93"/>
    </row>
    <row r="195" spans="1:10" s="65" customFormat="1" ht="14" x14ac:dyDescent="0.35">
      <c r="A195" s="93"/>
      <c r="B195" s="93"/>
      <c r="C195" s="93"/>
      <c r="D195" s="93"/>
      <c r="E195" s="93"/>
      <c r="F195" s="95"/>
      <c r="G195" s="95"/>
      <c r="H195" s="93"/>
      <c r="I195" s="93"/>
      <c r="J195" s="93"/>
    </row>
    <row r="196" spans="1:10" s="65" customFormat="1" ht="14" x14ac:dyDescent="0.35">
      <c r="A196" s="93"/>
      <c r="B196" s="93"/>
      <c r="C196" s="93"/>
      <c r="D196" s="93"/>
      <c r="E196" s="93"/>
      <c r="F196" s="95"/>
      <c r="G196" s="95"/>
      <c r="H196" s="93"/>
      <c r="I196" s="93"/>
      <c r="J196" s="93"/>
    </row>
    <row r="197" spans="1:10" s="65" customFormat="1" ht="14" x14ac:dyDescent="0.35">
      <c r="A197" s="93"/>
      <c r="B197" s="93"/>
      <c r="C197" s="93"/>
      <c r="D197" s="93"/>
      <c r="E197" s="93"/>
      <c r="F197" s="95"/>
      <c r="G197" s="95"/>
      <c r="H197" s="93"/>
      <c r="I197" s="93"/>
      <c r="J197" s="93"/>
    </row>
    <row r="198" spans="1:10" s="65" customFormat="1" ht="14" x14ac:dyDescent="0.35">
      <c r="A198" s="93"/>
      <c r="B198" s="93"/>
      <c r="C198" s="93"/>
      <c r="D198" s="93"/>
      <c r="E198" s="93"/>
      <c r="F198" s="95"/>
      <c r="G198" s="95"/>
      <c r="H198" s="93"/>
      <c r="I198" s="93"/>
      <c r="J198" s="93"/>
    </row>
    <row r="199" spans="1:10" s="65" customFormat="1" ht="14" x14ac:dyDescent="0.35">
      <c r="A199" s="93"/>
      <c r="B199" s="93"/>
      <c r="C199" s="93"/>
      <c r="D199" s="93"/>
      <c r="E199" s="93"/>
      <c r="F199" s="95"/>
      <c r="G199" s="95"/>
      <c r="H199" s="93"/>
      <c r="I199" s="93"/>
      <c r="J199" s="93"/>
    </row>
    <row r="200" spans="1:10" s="65" customFormat="1" ht="14" x14ac:dyDescent="0.35">
      <c r="A200" s="93"/>
      <c r="B200" s="93"/>
      <c r="C200" s="93"/>
      <c r="D200" s="93"/>
      <c r="E200" s="93"/>
      <c r="F200" s="95"/>
      <c r="G200" s="95"/>
      <c r="H200" s="93"/>
      <c r="I200" s="93"/>
      <c r="J200" s="93"/>
    </row>
    <row r="201" spans="1:10" s="65" customFormat="1" ht="14" x14ac:dyDescent="0.35">
      <c r="A201" s="93"/>
      <c r="B201" s="93"/>
      <c r="C201" s="93"/>
      <c r="D201" s="93"/>
      <c r="E201" s="93"/>
      <c r="F201" s="95"/>
      <c r="G201" s="95"/>
      <c r="H201" s="93"/>
      <c r="I201" s="93"/>
      <c r="J201" s="93"/>
    </row>
    <row r="202" spans="1:10" s="65" customFormat="1" ht="14" x14ac:dyDescent="0.35">
      <c r="A202" s="93"/>
      <c r="B202" s="93"/>
      <c r="C202" s="93"/>
      <c r="D202" s="93"/>
      <c r="E202" s="93"/>
      <c r="F202" s="95"/>
      <c r="G202" s="95"/>
      <c r="H202" s="93"/>
      <c r="I202" s="93"/>
      <c r="J202" s="93"/>
    </row>
    <row r="203" spans="1:10" s="65" customFormat="1" ht="14" x14ac:dyDescent="0.35">
      <c r="A203" s="93"/>
      <c r="B203" s="93"/>
      <c r="C203" s="93"/>
      <c r="D203" s="93"/>
      <c r="E203" s="93"/>
      <c r="F203" s="95"/>
      <c r="G203" s="95"/>
      <c r="H203" s="93"/>
      <c r="I203" s="93"/>
      <c r="J203" s="93"/>
    </row>
    <row r="204" spans="1:10" s="65" customFormat="1" ht="14" x14ac:dyDescent="0.35">
      <c r="A204" s="93"/>
      <c r="B204" s="93"/>
      <c r="C204" s="93"/>
      <c r="D204" s="93"/>
      <c r="E204" s="93"/>
      <c r="F204" s="95"/>
      <c r="G204" s="95"/>
      <c r="H204" s="93"/>
      <c r="I204" s="93"/>
      <c r="J204" s="93"/>
    </row>
    <row r="205" spans="1:10" s="65" customFormat="1" ht="14" x14ac:dyDescent="0.35">
      <c r="A205" s="93"/>
      <c r="B205" s="93"/>
      <c r="C205" s="93"/>
      <c r="D205" s="93"/>
      <c r="E205" s="93"/>
      <c r="F205" s="95"/>
      <c r="G205" s="95"/>
      <c r="H205" s="93"/>
      <c r="I205" s="93"/>
      <c r="J205" s="93"/>
    </row>
    <row r="206" spans="1:10" s="65" customFormat="1" ht="14" x14ac:dyDescent="0.35">
      <c r="A206" s="93"/>
      <c r="B206" s="93"/>
      <c r="C206" s="93"/>
      <c r="D206" s="93"/>
      <c r="E206" s="93"/>
      <c r="F206" s="95"/>
      <c r="G206" s="95"/>
      <c r="H206" s="93"/>
      <c r="I206" s="93"/>
      <c r="J206" s="93"/>
    </row>
    <row r="207" spans="1:10" s="65" customFormat="1" ht="14" x14ac:dyDescent="0.35">
      <c r="A207" s="93"/>
      <c r="B207" s="93"/>
      <c r="C207" s="93"/>
      <c r="D207" s="93"/>
      <c r="E207" s="93"/>
      <c r="F207" s="95"/>
      <c r="G207" s="95"/>
      <c r="H207" s="93"/>
      <c r="I207" s="93"/>
      <c r="J207" s="93"/>
    </row>
    <row r="208" spans="1:10" s="65" customFormat="1" ht="14" x14ac:dyDescent="0.35">
      <c r="A208" s="93"/>
      <c r="B208" s="93"/>
      <c r="C208" s="93"/>
      <c r="D208" s="93"/>
      <c r="E208" s="93"/>
      <c r="F208" s="95"/>
      <c r="G208" s="95"/>
      <c r="H208" s="93"/>
      <c r="I208" s="93"/>
      <c r="J208" s="93"/>
    </row>
    <row r="209" spans="1:10" s="65" customFormat="1" ht="14" x14ac:dyDescent="0.35">
      <c r="A209" s="93"/>
      <c r="B209" s="93"/>
      <c r="C209" s="93"/>
      <c r="D209" s="93"/>
      <c r="E209" s="93"/>
      <c r="F209" s="95"/>
      <c r="G209" s="95"/>
      <c r="H209" s="93"/>
      <c r="I209" s="93"/>
      <c r="J209" s="93"/>
    </row>
    <row r="210" spans="1:10" s="65" customFormat="1" ht="14" x14ac:dyDescent="0.35">
      <c r="A210" s="93"/>
      <c r="B210" s="93"/>
      <c r="C210" s="93"/>
      <c r="D210" s="93"/>
      <c r="E210" s="93"/>
      <c r="F210" s="95"/>
      <c r="G210" s="95"/>
      <c r="H210" s="93"/>
      <c r="I210" s="93"/>
      <c r="J210" s="93"/>
    </row>
    <row r="211" spans="1:10" s="65" customFormat="1" ht="14" x14ac:dyDescent="0.35">
      <c r="A211" s="93"/>
      <c r="B211" s="93"/>
      <c r="C211" s="93"/>
      <c r="D211" s="93"/>
      <c r="E211" s="93"/>
      <c r="F211" s="95"/>
      <c r="G211" s="95"/>
      <c r="H211" s="93"/>
      <c r="I211" s="93"/>
      <c r="J211" s="93"/>
    </row>
    <row r="212" spans="1:10" s="65" customFormat="1" ht="14" x14ac:dyDescent="0.35">
      <c r="A212" s="93"/>
      <c r="B212" s="93"/>
      <c r="C212" s="93"/>
      <c r="D212" s="93"/>
      <c r="E212" s="93"/>
      <c r="F212" s="95"/>
      <c r="G212" s="95"/>
      <c r="H212" s="93"/>
      <c r="I212" s="93"/>
      <c r="J212" s="93"/>
    </row>
    <row r="213" spans="1:10" s="65" customFormat="1" ht="14" x14ac:dyDescent="0.35">
      <c r="A213" s="93"/>
      <c r="B213" s="93"/>
      <c r="C213" s="93"/>
      <c r="D213" s="93"/>
      <c r="E213" s="93"/>
      <c r="F213" s="95"/>
      <c r="G213" s="95"/>
      <c r="H213" s="93"/>
      <c r="I213" s="93"/>
      <c r="J213" s="93"/>
    </row>
    <row r="214" spans="1:10" s="65" customFormat="1" ht="14" x14ac:dyDescent="0.35">
      <c r="A214" s="93"/>
      <c r="B214" s="93"/>
      <c r="C214" s="93"/>
      <c r="D214" s="93"/>
      <c r="E214" s="93"/>
      <c r="F214" s="95"/>
      <c r="G214" s="95"/>
      <c r="H214" s="93"/>
      <c r="I214" s="93"/>
      <c r="J214" s="93"/>
    </row>
    <row r="215" spans="1:10" s="65" customFormat="1" ht="14" x14ac:dyDescent="0.35">
      <c r="A215" s="93"/>
      <c r="B215" s="93"/>
      <c r="C215" s="93"/>
      <c r="D215" s="93"/>
      <c r="E215" s="93"/>
      <c r="F215" s="95"/>
      <c r="G215" s="95"/>
      <c r="H215" s="93"/>
      <c r="I215" s="93"/>
      <c r="J215" s="93"/>
    </row>
    <row r="216" spans="1:10" s="65" customFormat="1" ht="14" x14ac:dyDescent="0.35">
      <c r="A216" s="93"/>
      <c r="B216" s="93"/>
      <c r="C216" s="93"/>
      <c r="D216" s="93"/>
      <c r="E216" s="93"/>
      <c r="F216" s="95"/>
      <c r="G216" s="95"/>
      <c r="H216" s="93"/>
      <c r="I216" s="93"/>
      <c r="J216" s="93"/>
    </row>
    <row r="217" spans="1:10" s="65" customFormat="1" ht="14" x14ac:dyDescent="0.35">
      <c r="A217" s="93"/>
      <c r="B217" s="93"/>
      <c r="C217" s="93"/>
      <c r="D217" s="93"/>
      <c r="E217" s="93"/>
      <c r="F217" s="95"/>
      <c r="G217" s="95"/>
      <c r="H217" s="93"/>
      <c r="I217" s="93"/>
      <c r="J217" s="93"/>
    </row>
    <row r="218" spans="1:10" s="65" customFormat="1" ht="14" x14ac:dyDescent="0.35">
      <c r="A218" s="93"/>
      <c r="B218" s="93"/>
      <c r="C218" s="93"/>
      <c r="D218" s="93"/>
      <c r="E218" s="93"/>
      <c r="F218" s="95"/>
      <c r="G218" s="95"/>
      <c r="H218" s="93"/>
      <c r="I218" s="93"/>
      <c r="J218" s="93"/>
    </row>
    <row r="219" spans="1:10" s="65" customFormat="1" ht="14" x14ac:dyDescent="0.35">
      <c r="A219" s="93"/>
      <c r="B219" s="93"/>
      <c r="C219" s="93"/>
      <c r="D219" s="93"/>
      <c r="E219" s="93"/>
      <c r="F219" s="95"/>
      <c r="G219" s="95"/>
      <c r="H219" s="93"/>
      <c r="I219" s="93"/>
      <c r="J219" s="93"/>
    </row>
    <row r="220" spans="1:10" s="65" customFormat="1" ht="14" x14ac:dyDescent="0.35">
      <c r="A220" s="93"/>
      <c r="B220" s="93"/>
      <c r="C220" s="93"/>
      <c r="D220" s="93"/>
      <c r="E220" s="93"/>
      <c r="F220" s="95"/>
      <c r="G220" s="95"/>
      <c r="H220" s="93"/>
      <c r="I220" s="93"/>
      <c r="J220" s="93"/>
    </row>
    <row r="221" spans="1:10" s="65" customFormat="1" ht="14" x14ac:dyDescent="0.35">
      <c r="A221" s="93"/>
      <c r="B221" s="93"/>
      <c r="C221" s="93"/>
      <c r="D221" s="93"/>
      <c r="E221" s="93"/>
      <c r="F221" s="95"/>
      <c r="G221" s="95"/>
      <c r="H221" s="93"/>
      <c r="I221" s="93"/>
      <c r="J221" s="93"/>
    </row>
    <row r="222" spans="1:10" s="65" customFormat="1" ht="14" x14ac:dyDescent="0.35">
      <c r="A222" s="93"/>
      <c r="B222" s="93"/>
      <c r="C222" s="93"/>
      <c r="D222" s="93"/>
      <c r="E222" s="93"/>
      <c r="F222" s="95"/>
      <c r="G222" s="95"/>
      <c r="H222" s="93"/>
      <c r="I222" s="93"/>
      <c r="J222" s="93"/>
    </row>
    <row r="223" spans="1:10" s="65" customFormat="1" ht="14" x14ac:dyDescent="0.35">
      <c r="A223" s="93"/>
      <c r="B223" s="93"/>
      <c r="C223" s="93"/>
      <c r="D223" s="93"/>
      <c r="E223" s="93"/>
      <c r="F223" s="95"/>
      <c r="G223" s="95"/>
      <c r="H223" s="93"/>
      <c r="I223" s="93"/>
      <c r="J223" s="93"/>
    </row>
    <row r="224" spans="1:10" s="65" customFormat="1" ht="14" x14ac:dyDescent="0.35">
      <c r="A224" s="93"/>
      <c r="B224" s="93"/>
      <c r="C224" s="93"/>
      <c r="D224" s="93"/>
      <c r="E224" s="93"/>
      <c r="F224" s="95"/>
      <c r="G224" s="95"/>
      <c r="H224" s="93"/>
      <c r="I224" s="93"/>
      <c r="J224" s="93"/>
    </row>
    <row r="225" spans="1:10" s="65" customFormat="1" ht="14" x14ac:dyDescent="0.35">
      <c r="A225" s="93"/>
      <c r="B225" s="93"/>
      <c r="C225" s="93"/>
      <c r="D225" s="93"/>
      <c r="E225" s="93"/>
      <c r="F225" s="95"/>
      <c r="G225" s="95"/>
      <c r="H225" s="93"/>
      <c r="I225" s="93"/>
      <c r="J225" s="93"/>
    </row>
    <row r="226" spans="1:10" s="65" customFormat="1" ht="14" x14ac:dyDescent="0.35">
      <c r="A226" s="93"/>
      <c r="B226" s="93"/>
      <c r="C226" s="93"/>
      <c r="D226" s="93"/>
      <c r="E226" s="93"/>
      <c r="F226" s="95"/>
      <c r="G226" s="95"/>
      <c r="H226" s="93"/>
      <c r="I226" s="93"/>
      <c r="J226" s="93"/>
    </row>
    <row r="227" spans="1:10" s="65" customFormat="1" ht="14" x14ac:dyDescent="0.35">
      <c r="A227" s="93"/>
      <c r="B227" s="93"/>
      <c r="C227" s="93"/>
      <c r="D227" s="93"/>
      <c r="E227" s="93"/>
      <c r="F227" s="95"/>
      <c r="G227" s="95"/>
      <c r="H227" s="93"/>
      <c r="I227" s="93"/>
      <c r="J227" s="93"/>
    </row>
    <row r="228" spans="1:10" s="65" customFormat="1" ht="14" x14ac:dyDescent="0.35">
      <c r="A228" s="93"/>
      <c r="B228" s="93"/>
      <c r="C228" s="93"/>
      <c r="D228" s="93"/>
      <c r="E228" s="93"/>
      <c r="F228" s="95"/>
      <c r="G228" s="95"/>
      <c r="H228" s="93"/>
      <c r="I228" s="93"/>
      <c r="J228" s="93"/>
    </row>
    <row r="229" spans="1:10" s="65" customFormat="1" ht="14" x14ac:dyDescent="0.35">
      <c r="A229" s="93"/>
      <c r="B229" s="93"/>
      <c r="C229" s="93"/>
      <c r="D229" s="93"/>
      <c r="E229" s="93"/>
      <c r="F229" s="95"/>
      <c r="G229" s="95"/>
      <c r="H229" s="93"/>
      <c r="I229" s="93"/>
      <c r="J229" s="93"/>
    </row>
    <row r="230" spans="1:10" s="65" customFormat="1" ht="14" x14ac:dyDescent="0.35">
      <c r="A230" s="93"/>
      <c r="B230" s="93"/>
      <c r="C230" s="93"/>
      <c r="D230" s="93"/>
      <c r="E230" s="93"/>
      <c r="F230" s="95"/>
      <c r="G230" s="95"/>
      <c r="H230" s="93"/>
      <c r="I230" s="93"/>
      <c r="J230" s="93"/>
    </row>
    <row r="231" spans="1:10" s="65" customFormat="1" ht="14" x14ac:dyDescent="0.35">
      <c r="A231" s="93"/>
      <c r="B231" s="93"/>
      <c r="C231" s="93"/>
      <c r="D231" s="93"/>
      <c r="E231" s="93"/>
      <c r="F231" s="95"/>
      <c r="G231" s="95"/>
      <c r="H231" s="93"/>
      <c r="I231" s="93"/>
      <c r="J231" s="93"/>
    </row>
    <row r="232" spans="1:10" s="65" customFormat="1" ht="14" x14ac:dyDescent="0.35">
      <c r="A232" s="93"/>
      <c r="B232" s="93"/>
      <c r="C232" s="93"/>
      <c r="D232" s="93"/>
      <c r="E232" s="93"/>
      <c r="F232" s="95"/>
      <c r="G232" s="95"/>
      <c r="H232" s="93"/>
      <c r="I232" s="93"/>
      <c r="J232" s="93"/>
    </row>
    <row r="233" spans="1:10" s="65" customFormat="1" ht="14" x14ac:dyDescent="0.35">
      <c r="A233" s="93"/>
      <c r="B233" s="93"/>
      <c r="C233" s="93"/>
      <c r="D233" s="93"/>
      <c r="E233" s="93"/>
      <c r="F233" s="95"/>
      <c r="G233" s="95"/>
      <c r="H233" s="93"/>
      <c r="I233" s="93"/>
      <c r="J233" s="93"/>
    </row>
    <row r="234" spans="1:10" s="65" customFormat="1" ht="14" x14ac:dyDescent="0.35">
      <c r="A234" s="93"/>
      <c r="B234" s="93"/>
      <c r="C234" s="93"/>
      <c r="D234" s="93"/>
      <c r="E234" s="93"/>
      <c r="F234" s="95"/>
      <c r="G234" s="95"/>
      <c r="H234" s="93"/>
      <c r="I234" s="93"/>
      <c r="J234" s="93"/>
    </row>
    <row r="235" spans="1:10" s="65" customFormat="1" ht="14" x14ac:dyDescent="0.35">
      <c r="A235" s="93"/>
      <c r="B235" s="93"/>
      <c r="C235" s="93"/>
      <c r="D235" s="93"/>
      <c r="E235" s="93"/>
      <c r="F235" s="95"/>
      <c r="G235" s="95"/>
      <c r="H235" s="93"/>
      <c r="I235" s="93"/>
      <c r="J235" s="93"/>
    </row>
    <row r="236" spans="1:10" s="65" customFormat="1" ht="14" x14ac:dyDescent="0.35">
      <c r="A236" s="93"/>
      <c r="B236" s="93"/>
      <c r="C236" s="93"/>
      <c r="D236" s="93"/>
      <c r="E236" s="93"/>
      <c r="F236" s="95"/>
      <c r="G236" s="95"/>
      <c r="H236" s="93"/>
      <c r="I236" s="93"/>
      <c r="J236" s="93"/>
    </row>
    <row r="237" spans="1:10" s="65" customFormat="1" ht="14" x14ac:dyDescent="0.35">
      <c r="A237" s="93"/>
      <c r="B237" s="93"/>
      <c r="C237" s="93"/>
      <c r="D237" s="93"/>
      <c r="E237" s="93"/>
      <c r="F237" s="95"/>
      <c r="G237" s="95"/>
      <c r="H237" s="93"/>
      <c r="I237" s="93"/>
      <c r="J237" s="93"/>
    </row>
    <row r="238" spans="1:10" s="65" customFormat="1" ht="14" x14ac:dyDescent="0.35">
      <c r="A238" s="93"/>
      <c r="B238" s="93"/>
      <c r="C238" s="93"/>
      <c r="D238" s="93"/>
      <c r="E238" s="93"/>
      <c r="F238" s="95"/>
      <c r="G238" s="95"/>
      <c r="H238" s="93"/>
      <c r="I238" s="93"/>
      <c r="J238" s="93"/>
    </row>
    <row r="239" spans="1:10" s="65" customFormat="1" ht="14" x14ac:dyDescent="0.35">
      <c r="A239" s="93"/>
      <c r="B239" s="93"/>
      <c r="C239" s="93"/>
      <c r="D239" s="93"/>
      <c r="E239" s="93"/>
      <c r="F239" s="95"/>
      <c r="G239" s="95"/>
      <c r="H239" s="93"/>
      <c r="I239" s="93"/>
      <c r="J239" s="93"/>
    </row>
    <row r="240" spans="1:10" s="65" customFormat="1" ht="14" x14ac:dyDescent="0.35">
      <c r="A240" s="93"/>
      <c r="B240" s="93"/>
      <c r="C240" s="93"/>
      <c r="D240" s="93"/>
      <c r="E240" s="93"/>
      <c r="F240" s="95"/>
      <c r="G240" s="95"/>
      <c r="H240" s="93"/>
      <c r="I240" s="93"/>
      <c r="J240" s="93"/>
    </row>
    <row r="241" spans="1:10" s="65" customFormat="1" ht="14" x14ac:dyDescent="0.35">
      <c r="A241" s="93"/>
      <c r="B241" s="93"/>
      <c r="C241" s="93"/>
      <c r="D241" s="93"/>
      <c r="E241" s="93"/>
      <c r="F241" s="95"/>
      <c r="G241" s="95"/>
      <c r="H241" s="93"/>
      <c r="I241" s="93"/>
      <c r="J241" s="93"/>
    </row>
    <row r="242" spans="1:10" s="65" customFormat="1" ht="14" x14ac:dyDescent="0.35">
      <c r="A242" s="93"/>
      <c r="B242" s="93"/>
      <c r="C242" s="93"/>
      <c r="D242" s="93"/>
      <c r="E242" s="93"/>
      <c r="F242" s="95"/>
      <c r="G242" s="95"/>
      <c r="H242" s="93"/>
      <c r="I242" s="93"/>
      <c r="J242" s="93"/>
    </row>
    <row r="243" spans="1:10" s="65" customFormat="1" ht="14" x14ac:dyDescent="0.35">
      <c r="A243" s="93"/>
      <c r="B243" s="93"/>
      <c r="C243" s="93"/>
      <c r="D243" s="93"/>
      <c r="E243" s="93"/>
      <c r="F243" s="95"/>
      <c r="G243" s="95"/>
      <c r="H243" s="93"/>
      <c r="I243" s="93"/>
      <c r="J243" s="93"/>
    </row>
    <row r="244" spans="1:10" s="65" customFormat="1" ht="14" x14ac:dyDescent="0.35">
      <c r="A244" s="93"/>
      <c r="B244" s="93"/>
      <c r="C244" s="93"/>
      <c r="D244" s="93"/>
      <c r="E244" s="93"/>
      <c r="F244" s="95"/>
      <c r="G244" s="95"/>
      <c r="H244" s="93"/>
      <c r="I244" s="93"/>
      <c r="J244" s="93"/>
    </row>
    <row r="245" spans="1:10" s="65" customFormat="1" ht="14" x14ac:dyDescent="0.35">
      <c r="A245" s="93"/>
      <c r="B245" s="93"/>
      <c r="C245" s="93"/>
      <c r="D245" s="93"/>
      <c r="E245" s="93"/>
      <c r="F245" s="95"/>
      <c r="G245" s="95"/>
      <c r="H245" s="93"/>
      <c r="I245" s="93"/>
      <c r="J245" s="93"/>
    </row>
    <row r="246" spans="1:10" s="65" customFormat="1" ht="14" x14ac:dyDescent="0.35">
      <c r="A246" s="93"/>
      <c r="B246" s="93"/>
      <c r="C246" s="93"/>
      <c r="D246" s="93"/>
      <c r="E246" s="93"/>
      <c r="F246" s="95"/>
      <c r="G246" s="95"/>
      <c r="H246" s="93"/>
      <c r="I246" s="93"/>
      <c r="J246" s="93"/>
    </row>
    <row r="247" spans="1:10" s="65" customFormat="1" ht="14" x14ac:dyDescent="0.35">
      <c r="A247" s="93"/>
      <c r="B247" s="93"/>
      <c r="C247" s="93"/>
      <c r="D247" s="93"/>
      <c r="E247" s="93"/>
      <c r="F247" s="95"/>
      <c r="G247" s="95"/>
      <c r="H247" s="93"/>
      <c r="I247" s="93"/>
      <c r="J247" s="93"/>
    </row>
    <row r="248" spans="1:10" s="65" customFormat="1" ht="14" x14ac:dyDescent="0.35">
      <c r="A248" s="93"/>
      <c r="B248" s="93"/>
      <c r="C248" s="93"/>
      <c r="D248" s="93"/>
      <c r="E248" s="93"/>
      <c r="F248" s="95"/>
      <c r="G248" s="95"/>
      <c r="H248" s="93"/>
      <c r="I248" s="93"/>
      <c r="J248" s="93"/>
    </row>
    <row r="249" spans="1:10" s="65" customFormat="1" ht="14" x14ac:dyDescent="0.35">
      <c r="A249" s="93"/>
      <c r="B249" s="93"/>
      <c r="C249" s="93"/>
      <c r="D249" s="93"/>
      <c r="E249" s="93"/>
      <c r="F249" s="95"/>
      <c r="G249" s="95"/>
      <c r="H249" s="93"/>
      <c r="I249" s="93"/>
      <c r="J249" s="93"/>
    </row>
    <row r="250" spans="1:10" s="65" customFormat="1" ht="14" x14ac:dyDescent="0.35">
      <c r="A250" s="93"/>
      <c r="B250" s="93"/>
      <c r="C250" s="93"/>
      <c r="D250" s="93"/>
      <c r="E250" s="93"/>
      <c r="F250" s="95"/>
      <c r="G250" s="95"/>
      <c r="H250" s="93"/>
      <c r="I250" s="93"/>
      <c r="J250" s="93"/>
    </row>
    <row r="251" spans="1:10" s="65" customFormat="1" ht="14" x14ac:dyDescent="0.35">
      <c r="A251" s="93"/>
      <c r="B251" s="93"/>
      <c r="C251" s="93"/>
      <c r="D251" s="93"/>
      <c r="E251" s="93"/>
      <c r="F251" s="95"/>
      <c r="G251" s="95"/>
      <c r="H251" s="93"/>
      <c r="I251" s="93"/>
      <c r="J251" s="93"/>
    </row>
    <row r="252" spans="1:10" s="65" customFormat="1" ht="14" x14ac:dyDescent="0.35">
      <c r="A252" s="93"/>
      <c r="B252" s="93"/>
      <c r="C252" s="93"/>
      <c r="D252" s="93"/>
      <c r="E252" s="93"/>
      <c r="F252" s="95"/>
      <c r="G252" s="95"/>
      <c r="H252" s="93"/>
      <c r="I252" s="93"/>
      <c r="J252" s="93"/>
    </row>
    <row r="253" spans="1:10" s="65" customFormat="1" ht="14" x14ac:dyDescent="0.35">
      <c r="A253" s="93"/>
      <c r="B253" s="93"/>
      <c r="C253" s="93"/>
      <c r="D253" s="93"/>
      <c r="E253" s="93"/>
      <c r="F253" s="95"/>
      <c r="G253" s="95"/>
      <c r="H253" s="93"/>
      <c r="I253" s="93"/>
      <c r="J253" s="93"/>
    </row>
    <row r="254" spans="1:10" s="65" customFormat="1" ht="14" x14ac:dyDescent="0.35">
      <c r="A254" s="93"/>
      <c r="B254" s="93"/>
      <c r="C254" s="93"/>
      <c r="D254" s="93"/>
      <c r="E254" s="93"/>
      <c r="F254" s="95"/>
      <c r="G254" s="95"/>
      <c r="H254" s="93"/>
      <c r="I254" s="93"/>
      <c r="J254" s="93"/>
    </row>
    <row r="255" spans="1:10" s="65" customFormat="1" ht="14" x14ac:dyDescent="0.35">
      <c r="A255" s="93"/>
      <c r="B255" s="93"/>
      <c r="C255" s="93"/>
      <c r="D255" s="93"/>
      <c r="E255" s="93"/>
      <c r="F255" s="95"/>
      <c r="G255" s="95"/>
      <c r="H255" s="93"/>
      <c r="I255" s="93"/>
      <c r="J255" s="93"/>
    </row>
    <row r="256" spans="1:10" s="65" customFormat="1" ht="14" x14ac:dyDescent="0.35">
      <c r="A256" s="93"/>
      <c r="B256" s="93"/>
      <c r="C256" s="93"/>
      <c r="D256" s="93"/>
      <c r="E256" s="93"/>
      <c r="F256" s="95"/>
      <c r="G256" s="95"/>
      <c r="H256" s="93"/>
      <c r="I256" s="93"/>
      <c r="J256" s="93"/>
    </row>
    <row r="257" spans="1:10" s="65" customFormat="1" ht="14" x14ac:dyDescent="0.35">
      <c r="A257" s="93"/>
      <c r="B257" s="93"/>
      <c r="C257" s="93"/>
      <c r="D257" s="93"/>
      <c r="E257" s="93"/>
      <c r="F257" s="95"/>
      <c r="G257" s="95"/>
      <c r="H257" s="93"/>
      <c r="I257" s="93"/>
      <c r="J257" s="93"/>
    </row>
    <row r="258" spans="1:10" s="65" customFormat="1" ht="14" x14ac:dyDescent="0.35">
      <c r="A258" s="93"/>
      <c r="B258" s="93"/>
      <c r="C258" s="93"/>
      <c r="D258" s="93"/>
      <c r="E258" s="93"/>
      <c r="F258" s="95"/>
      <c r="G258" s="95"/>
      <c r="H258" s="93"/>
      <c r="I258" s="93"/>
      <c r="J258" s="93"/>
    </row>
    <row r="259" spans="1:10" s="65" customFormat="1" ht="14" x14ac:dyDescent="0.35">
      <c r="A259" s="93"/>
      <c r="B259" s="93"/>
      <c r="C259" s="93"/>
      <c r="D259" s="93"/>
      <c r="E259" s="93"/>
      <c r="F259" s="95"/>
      <c r="G259" s="95"/>
      <c r="H259" s="93"/>
      <c r="I259" s="93"/>
      <c r="J259" s="93"/>
    </row>
    <row r="260" spans="1:10" s="65" customFormat="1" ht="14" x14ac:dyDescent="0.35">
      <c r="A260" s="93"/>
      <c r="B260" s="93"/>
      <c r="C260" s="93"/>
      <c r="D260" s="93"/>
      <c r="E260" s="93"/>
      <c r="F260" s="95"/>
      <c r="G260" s="95"/>
      <c r="H260" s="93"/>
      <c r="I260" s="93"/>
      <c r="J260" s="93"/>
    </row>
    <row r="261" spans="1:10" s="65" customFormat="1" ht="14" x14ac:dyDescent="0.35">
      <c r="A261" s="93"/>
      <c r="B261" s="93"/>
      <c r="C261" s="93"/>
      <c r="D261" s="93"/>
      <c r="E261" s="93"/>
      <c r="F261" s="95"/>
      <c r="G261" s="95"/>
      <c r="H261" s="93"/>
      <c r="I261" s="93"/>
      <c r="J261" s="93"/>
    </row>
    <row r="262" spans="1:10" s="65" customFormat="1" ht="14" x14ac:dyDescent="0.35">
      <c r="A262" s="93"/>
      <c r="B262" s="93"/>
      <c r="C262" s="93"/>
      <c r="D262" s="93"/>
      <c r="E262" s="93"/>
      <c r="F262" s="95"/>
      <c r="G262" s="95"/>
      <c r="H262" s="93"/>
      <c r="I262" s="93"/>
      <c r="J262" s="93"/>
    </row>
    <row r="263" spans="1:10" s="65" customFormat="1" ht="14" x14ac:dyDescent="0.35">
      <c r="A263" s="93"/>
      <c r="B263" s="93"/>
      <c r="C263" s="93"/>
      <c r="D263" s="93"/>
      <c r="E263" s="93"/>
      <c r="F263" s="95"/>
      <c r="G263" s="95"/>
      <c r="H263" s="93"/>
      <c r="I263" s="93"/>
      <c r="J263" s="93"/>
    </row>
    <row r="264" spans="1:10" s="65" customFormat="1" ht="14" x14ac:dyDescent="0.35">
      <c r="A264" s="93"/>
      <c r="B264" s="93"/>
      <c r="C264" s="93"/>
      <c r="D264" s="93"/>
      <c r="E264" s="93"/>
      <c r="F264" s="95"/>
      <c r="G264" s="95"/>
      <c r="H264" s="93"/>
      <c r="I264" s="93"/>
      <c r="J264" s="93"/>
    </row>
    <row r="265" spans="1:10" s="65" customFormat="1" ht="14" x14ac:dyDescent="0.35">
      <c r="A265" s="93"/>
      <c r="B265" s="93"/>
      <c r="C265" s="93"/>
      <c r="D265" s="93"/>
      <c r="E265" s="93"/>
      <c r="F265" s="95"/>
      <c r="G265" s="95"/>
      <c r="H265" s="93"/>
      <c r="I265" s="93"/>
      <c r="J265" s="93"/>
    </row>
    <row r="266" spans="1:10" s="65" customFormat="1" ht="14" x14ac:dyDescent="0.35">
      <c r="A266" s="93"/>
      <c r="B266" s="93"/>
      <c r="C266" s="93"/>
      <c r="D266" s="93"/>
      <c r="E266" s="93"/>
      <c r="F266" s="95"/>
      <c r="G266" s="95"/>
      <c r="H266" s="93"/>
      <c r="I266" s="93"/>
      <c r="J266" s="93"/>
    </row>
    <row r="267" spans="1:10" s="65" customFormat="1" ht="14" x14ac:dyDescent="0.35">
      <c r="A267" s="93"/>
      <c r="B267" s="93"/>
      <c r="C267" s="93"/>
      <c r="D267" s="93"/>
      <c r="E267" s="93"/>
      <c r="F267" s="95"/>
      <c r="G267" s="95"/>
      <c r="H267" s="93"/>
      <c r="I267" s="93"/>
      <c r="J267" s="93"/>
    </row>
    <row r="268" spans="1:10" s="65" customFormat="1" ht="14" x14ac:dyDescent="0.35">
      <c r="A268" s="93"/>
      <c r="B268" s="93"/>
      <c r="C268" s="93"/>
      <c r="D268" s="93"/>
      <c r="E268" s="93"/>
      <c r="F268" s="95"/>
      <c r="G268" s="95"/>
      <c r="H268" s="93"/>
      <c r="I268" s="93"/>
      <c r="J268" s="93"/>
    </row>
    <row r="269" spans="1:10" s="65" customFormat="1" ht="14" x14ac:dyDescent="0.35">
      <c r="A269" s="93"/>
      <c r="B269" s="93"/>
      <c r="C269" s="93"/>
      <c r="D269" s="93"/>
      <c r="E269" s="93"/>
      <c r="F269" s="95"/>
      <c r="G269" s="95"/>
      <c r="H269" s="93"/>
      <c r="I269" s="93"/>
      <c r="J269" s="93"/>
    </row>
    <row r="270" spans="1:10" s="65" customFormat="1" ht="14" x14ac:dyDescent="0.35">
      <c r="A270" s="93"/>
      <c r="B270" s="93"/>
      <c r="C270" s="93"/>
      <c r="D270" s="93"/>
      <c r="E270" s="93"/>
      <c r="F270" s="95"/>
      <c r="G270" s="95"/>
      <c r="H270" s="93"/>
      <c r="I270" s="93"/>
      <c r="J270" s="93"/>
    </row>
    <row r="271" spans="1:10" s="65" customFormat="1" ht="14" x14ac:dyDescent="0.35">
      <c r="A271" s="93"/>
      <c r="B271" s="93"/>
      <c r="C271" s="93"/>
      <c r="D271" s="93"/>
      <c r="E271" s="93"/>
      <c r="F271" s="95"/>
      <c r="G271" s="95"/>
      <c r="H271" s="93"/>
      <c r="I271" s="93"/>
      <c r="J271" s="93"/>
    </row>
    <row r="272" spans="1:10" s="65" customFormat="1" ht="14" x14ac:dyDescent="0.35">
      <c r="A272" s="93"/>
      <c r="B272" s="93"/>
      <c r="C272" s="93"/>
      <c r="D272" s="93"/>
      <c r="E272" s="93"/>
      <c r="F272" s="95"/>
      <c r="G272" s="95"/>
      <c r="H272" s="93"/>
      <c r="I272" s="93"/>
      <c r="J272" s="93"/>
    </row>
    <row r="273" spans="1:10" s="65" customFormat="1" ht="14" x14ac:dyDescent="0.35">
      <c r="A273" s="93"/>
      <c r="B273" s="93"/>
      <c r="C273" s="93"/>
      <c r="D273" s="93"/>
      <c r="E273" s="93"/>
      <c r="F273" s="95"/>
      <c r="G273" s="95"/>
      <c r="H273" s="93"/>
      <c r="I273" s="93"/>
      <c r="J273" s="93"/>
    </row>
    <row r="274" spans="1:10" s="65" customFormat="1" ht="14" x14ac:dyDescent="0.35">
      <c r="A274" s="93"/>
      <c r="B274" s="93"/>
      <c r="C274" s="93"/>
      <c r="D274" s="93"/>
      <c r="E274" s="93"/>
      <c r="F274" s="95"/>
      <c r="G274" s="95"/>
      <c r="H274" s="93"/>
      <c r="I274" s="93"/>
      <c r="J274" s="93"/>
    </row>
    <row r="275" spans="1:10" s="65" customFormat="1" ht="14" x14ac:dyDescent="0.35">
      <c r="A275" s="93"/>
      <c r="B275" s="93"/>
      <c r="C275" s="93"/>
      <c r="D275" s="93"/>
      <c r="E275" s="93"/>
      <c r="F275" s="95"/>
      <c r="G275" s="95"/>
      <c r="H275" s="93"/>
      <c r="I275" s="93"/>
      <c r="J275" s="93"/>
    </row>
    <row r="276" spans="1:10" s="65" customFormat="1" ht="14" x14ac:dyDescent="0.35">
      <c r="A276" s="93"/>
      <c r="B276" s="93"/>
      <c r="C276" s="93"/>
      <c r="D276" s="93"/>
      <c r="E276" s="93"/>
      <c r="F276" s="95"/>
      <c r="G276" s="95"/>
      <c r="H276" s="93"/>
      <c r="I276" s="93"/>
      <c r="J276" s="93"/>
    </row>
    <row r="277" spans="1:10" s="65" customFormat="1" ht="14" x14ac:dyDescent="0.35">
      <c r="A277" s="93"/>
      <c r="B277" s="93"/>
      <c r="C277" s="93"/>
      <c r="D277" s="93"/>
      <c r="E277" s="93"/>
      <c r="F277" s="95"/>
      <c r="G277" s="95"/>
      <c r="H277" s="93"/>
      <c r="I277" s="93"/>
      <c r="J277" s="93"/>
    </row>
    <row r="278" spans="1:10" s="65" customFormat="1" ht="14" x14ac:dyDescent="0.35">
      <c r="A278" s="93"/>
      <c r="B278" s="93"/>
      <c r="C278" s="93"/>
      <c r="D278" s="93"/>
      <c r="E278" s="93"/>
      <c r="F278" s="95"/>
      <c r="G278" s="95"/>
      <c r="H278" s="93"/>
      <c r="I278" s="93"/>
      <c r="J278" s="93"/>
    </row>
    <row r="279" spans="1:10" s="65" customFormat="1" ht="14" x14ac:dyDescent="0.35">
      <c r="A279" s="93"/>
      <c r="B279" s="93"/>
      <c r="C279" s="93"/>
      <c r="D279" s="93"/>
      <c r="E279" s="93"/>
      <c r="F279" s="95"/>
      <c r="G279" s="95"/>
      <c r="H279" s="93"/>
      <c r="I279" s="93"/>
      <c r="J279" s="93"/>
    </row>
    <row r="280" spans="1:10" s="65" customFormat="1" ht="14" x14ac:dyDescent="0.35">
      <c r="A280" s="93"/>
      <c r="B280" s="93"/>
      <c r="C280" s="93"/>
      <c r="D280" s="93"/>
      <c r="E280" s="93"/>
      <c r="F280" s="95"/>
      <c r="G280" s="95"/>
      <c r="H280" s="93"/>
      <c r="I280" s="93"/>
      <c r="J280" s="93"/>
    </row>
    <row r="281" spans="1:10" s="65" customFormat="1" ht="14" x14ac:dyDescent="0.35">
      <c r="A281" s="93"/>
      <c r="B281" s="93"/>
      <c r="C281" s="93"/>
      <c r="D281" s="93"/>
      <c r="E281" s="93"/>
      <c r="F281" s="95"/>
      <c r="G281" s="95"/>
      <c r="H281" s="93"/>
      <c r="I281" s="93"/>
      <c r="J281" s="93"/>
    </row>
    <row r="282" spans="1:10" s="65" customFormat="1" ht="14" x14ac:dyDescent="0.35">
      <c r="A282" s="93"/>
      <c r="B282" s="93"/>
      <c r="C282" s="93"/>
      <c r="D282" s="93"/>
      <c r="E282" s="93"/>
      <c r="F282" s="95"/>
      <c r="G282" s="95"/>
      <c r="H282" s="93"/>
      <c r="I282" s="93"/>
      <c r="J282" s="93"/>
    </row>
    <row r="283" spans="1:10" s="65" customFormat="1" ht="14" x14ac:dyDescent="0.35">
      <c r="A283" s="93"/>
      <c r="B283" s="93"/>
      <c r="C283" s="93"/>
      <c r="D283" s="93"/>
      <c r="E283" s="93"/>
      <c r="F283" s="95"/>
      <c r="G283" s="95"/>
      <c r="H283" s="93"/>
      <c r="I283" s="93"/>
      <c r="J283" s="93"/>
    </row>
    <row r="284" spans="1:10" s="65" customFormat="1" ht="14" x14ac:dyDescent="0.35">
      <c r="A284" s="93"/>
      <c r="B284" s="93"/>
      <c r="C284" s="93"/>
      <c r="D284" s="93"/>
      <c r="E284" s="93"/>
      <c r="F284" s="95"/>
      <c r="G284" s="95"/>
      <c r="H284" s="93"/>
      <c r="I284" s="93"/>
      <c r="J284" s="93"/>
    </row>
    <row r="285" spans="1:10" s="65" customFormat="1" ht="14" x14ac:dyDescent="0.35">
      <c r="A285" s="93"/>
      <c r="B285" s="93"/>
      <c r="C285" s="93"/>
      <c r="D285" s="93"/>
      <c r="E285" s="93"/>
      <c r="F285" s="95"/>
      <c r="G285" s="95"/>
      <c r="H285" s="93"/>
      <c r="I285" s="93"/>
      <c r="J285" s="93"/>
    </row>
    <row r="286" spans="1:10" s="65" customFormat="1" ht="14" x14ac:dyDescent="0.35">
      <c r="A286" s="93"/>
      <c r="B286" s="93"/>
      <c r="C286" s="93"/>
      <c r="D286" s="93"/>
      <c r="E286" s="93"/>
      <c r="F286" s="95"/>
      <c r="G286" s="95"/>
      <c r="H286" s="93"/>
      <c r="I286" s="93"/>
      <c r="J286" s="93"/>
    </row>
    <row r="287" spans="1:10" s="65" customFormat="1" ht="14" x14ac:dyDescent="0.35">
      <c r="A287" s="93"/>
      <c r="B287" s="93"/>
      <c r="C287" s="93"/>
      <c r="D287" s="93"/>
      <c r="E287" s="93"/>
      <c r="F287" s="95"/>
      <c r="G287" s="95"/>
      <c r="H287" s="93"/>
      <c r="I287" s="93"/>
      <c r="J287" s="93"/>
    </row>
    <row r="288" spans="1:10" s="65" customFormat="1" ht="14" x14ac:dyDescent="0.35">
      <c r="A288" s="93"/>
      <c r="B288" s="93"/>
      <c r="C288" s="93"/>
      <c r="D288" s="93"/>
      <c r="E288" s="93"/>
      <c r="F288" s="95"/>
      <c r="G288" s="95"/>
      <c r="H288" s="93"/>
      <c r="I288" s="93"/>
      <c r="J288" s="93"/>
    </row>
    <row r="289" spans="1:10" s="65" customFormat="1" ht="14" x14ac:dyDescent="0.35">
      <c r="A289" s="93"/>
      <c r="B289" s="93"/>
      <c r="C289" s="93"/>
      <c r="D289" s="93"/>
      <c r="E289" s="93"/>
      <c r="F289" s="95"/>
      <c r="G289" s="95"/>
      <c r="H289" s="93"/>
      <c r="I289" s="93"/>
      <c r="J289" s="93"/>
    </row>
    <row r="290" spans="1:10" s="65" customFormat="1" ht="14" x14ac:dyDescent="0.35">
      <c r="A290" s="93"/>
      <c r="B290" s="93"/>
      <c r="C290" s="93"/>
      <c r="D290" s="93"/>
      <c r="E290" s="93"/>
      <c r="F290" s="95"/>
      <c r="G290" s="95"/>
      <c r="H290" s="93"/>
      <c r="I290" s="93"/>
      <c r="J290" s="93"/>
    </row>
    <row r="291" spans="1:10" s="65" customFormat="1" ht="14" x14ac:dyDescent="0.35">
      <c r="A291" s="93"/>
      <c r="B291" s="93"/>
      <c r="C291" s="93"/>
      <c r="D291" s="93"/>
      <c r="E291" s="93"/>
      <c r="F291" s="95"/>
      <c r="G291" s="95"/>
      <c r="H291" s="93"/>
      <c r="I291" s="93"/>
      <c r="J291" s="93"/>
    </row>
    <row r="292" spans="1:10" s="65" customFormat="1" ht="14" x14ac:dyDescent="0.35">
      <c r="A292" s="93"/>
      <c r="B292" s="93"/>
      <c r="C292" s="93"/>
      <c r="D292" s="93"/>
      <c r="E292" s="93"/>
      <c r="F292" s="95"/>
      <c r="G292" s="95"/>
      <c r="H292" s="93"/>
      <c r="I292" s="93"/>
      <c r="J292" s="93"/>
    </row>
    <row r="293" spans="1:10" s="65" customFormat="1" ht="14" x14ac:dyDescent="0.35">
      <c r="A293" s="93"/>
      <c r="B293" s="93"/>
      <c r="C293" s="93"/>
      <c r="D293" s="93"/>
      <c r="E293" s="93"/>
      <c r="F293" s="95"/>
      <c r="G293" s="95"/>
      <c r="H293" s="93"/>
      <c r="I293" s="93"/>
      <c r="J293" s="93"/>
    </row>
    <row r="294" spans="1:10" s="65" customFormat="1" ht="14" x14ac:dyDescent="0.35">
      <c r="A294" s="93"/>
      <c r="B294" s="93"/>
      <c r="C294" s="93"/>
      <c r="D294" s="93"/>
      <c r="E294" s="93"/>
      <c r="F294" s="95"/>
      <c r="G294" s="95"/>
      <c r="H294" s="93"/>
      <c r="I294" s="93"/>
      <c r="J294" s="93"/>
    </row>
    <row r="295" spans="1:10" s="65" customFormat="1" ht="14" x14ac:dyDescent="0.35">
      <c r="A295" s="93"/>
      <c r="B295" s="93"/>
      <c r="C295" s="93"/>
      <c r="D295" s="93"/>
      <c r="E295" s="93"/>
      <c r="F295" s="95"/>
      <c r="G295" s="95"/>
      <c r="H295" s="93"/>
      <c r="I295" s="93"/>
      <c r="J295" s="93"/>
    </row>
    <row r="296" spans="1:10" s="65" customFormat="1" ht="14" x14ac:dyDescent="0.35">
      <c r="A296" s="93"/>
      <c r="B296" s="93"/>
      <c r="C296" s="93"/>
      <c r="D296" s="93"/>
      <c r="E296" s="93"/>
      <c r="F296" s="95"/>
      <c r="G296" s="95"/>
      <c r="H296" s="93"/>
      <c r="I296" s="93"/>
      <c r="J296" s="93"/>
    </row>
    <row r="297" spans="1:10" s="65" customFormat="1" ht="14" x14ac:dyDescent="0.35">
      <c r="A297" s="93"/>
      <c r="B297" s="93"/>
      <c r="C297" s="93"/>
      <c r="D297" s="93"/>
      <c r="E297" s="93"/>
      <c r="F297" s="95"/>
      <c r="G297" s="95"/>
      <c r="H297" s="93"/>
      <c r="I297" s="93"/>
      <c r="J297" s="93"/>
    </row>
    <row r="298" spans="1:10" s="65" customFormat="1" ht="14" x14ac:dyDescent="0.35">
      <c r="A298" s="93"/>
      <c r="B298" s="93"/>
      <c r="C298" s="93"/>
      <c r="D298" s="93"/>
      <c r="E298" s="93"/>
      <c r="F298" s="95"/>
      <c r="G298" s="95"/>
      <c r="H298" s="93"/>
      <c r="I298" s="93"/>
      <c r="J298" s="93"/>
    </row>
    <row r="299" spans="1:10" s="65" customFormat="1" ht="14" x14ac:dyDescent="0.35">
      <c r="A299" s="93"/>
      <c r="B299" s="93"/>
      <c r="C299" s="93"/>
      <c r="D299" s="93"/>
      <c r="E299" s="93"/>
      <c r="F299" s="95"/>
      <c r="G299" s="95"/>
      <c r="H299" s="93"/>
      <c r="I299" s="93"/>
      <c r="J299" s="93"/>
    </row>
    <row r="300" spans="1:10" s="65" customFormat="1" ht="14" x14ac:dyDescent="0.35">
      <c r="A300" s="93"/>
      <c r="B300" s="93"/>
      <c r="C300" s="93"/>
      <c r="D300" s="93"/>
      <c r="E300" s="93"/>
      <c r="F300" s="95"/>
      <c r="G300" s="95"/>
      <c r="H300" s="93"/>
      <c r="I300" s="93"/>
      <c r="J300" s="93"/>
    </row>
    <row r="301" spans="1:10" s="65" customFormat="1" ht="14" x14ac:dyDescent="0.35">
      <c r="A301" s="93"/>
      <c r="B301" s="93"/>
      <c r="C301" s="93"/>
      <c r="D301" s="93"/>
      <c r="E301" s="93"/>
      <c r="F301" s="95"/>
      <c r="G301" s="95"/>
      <c r="H301" s="93"/>
      <c r="I301" s="93"/>
      <c r="J301" s="93"/>
    </row>
    <row r="302" spans="1:10" s="65" customFormat="1" ht="14" x14ac:dyDescent="0.35">
      <c r="A302" s="93"/>
      <c r="B302" s="93"/>
      <c r="C302" s="93"/>
      <c r="D302" s="93"/>
      <c r="E302" s="93"/>
      <c r="F302" s="95"/>
      <c r="G302" s="95"/>
      <c r="H302" s="93"/>
      <c r="I302" s="93"/>
      <c r="J302" s="93"/>
    </row>
    <row r="303" spans="1:10" s="65" customFormat="1" ht="14" x14ac:dyDescent="0.35">
      <c r="A303" s="93"/>
      <c r="B303" s="93"/>
      <c r="C303" s="93"/>
      <c r="D303" s="93"/>
      <c r="E303" s="93"/>
      <c r="F303" s="95"/>
      <c r="G303" s="95"/>
      <c r="H303" s="93"/>
      <c r="I303" s="93"/>
      <c r="J303" s="93"/>
    </row>
    <row r="304" spans="1:10" s="65" customFormat="1" ht="14" x14ac:dyDescent="0.35">
      <c r="A304" s="93"/>
      <c r="B304" s="93"/>
      <c r="C304" s="93"/>
      <c r="D304" s="93"/>
      <c r="E304" s="93"/>
      <c r="F304" s="95"/>
      <c r="G304" s="95"/>
      <c r="H304" s="93"/>
      <c r="I304" s="93"/>
      <c r="J304" s="93"/>
    </row>
    <row r="305" spans="1:10" s="65" customFormat="1" ht="14" x14ac:dyDescent="0.35">
      <c r="A305" s="93"/>
      <c r="B305" s="93"/>
      <c r="C305" s="93"/>
      <c r="D305" s="93"/>
      <c r="E305" s="93"/>
      <c r="F305" s="95"/>
      <c r="G305" s="95"/>
      <c r="H305" s="93"/>
      <c r="I305" s="93"/>
      <c r="J305" s="93"/>
    </row>
    <row r="306" spans="1:10" s="65" customFormat="1" ht="14" x14ac:dyDescent="0.35">
      <c r="A306" s="93"/>
      <c r="B306" s="93"/>
      <c r="C306" s="93"/>
      <c r="D306" s="93"/>
      <c r="E306" s="93"/>
      <c r="F306" s="95"/>
      <c r="G306" s="95"/>
      <c r="H306" s="93"/>
      <c r="I306" s="93"/>
      <c r="J306" s="93"/>
    </row>
    <row r="307" spans="1:10" s="65" customFormat="1" ht="14" x14ac:dyDescent="0.35">
      <c r="A307" s="93"/>
      <c r="B307" s="93"/>
      <c r="C307" s="93"/>
      <c r="D307" s="93"/>
      <c r="E307" s="93"/>
      <c r="F307" s="95"/>
      <c r="G307" s="95"/>
      <c r="H307" s="93"/>
      <c r="I307" s="93"/>
      <c r="J307" s="93"/>
    </row>
    <row r="308" spans="1:10" s="65" customFormat="1" ht="14" x14ac:dyDescent="0.35">
      <c r="A308" s="93"/>
      <c r="B308" s="93"/>
      <c r="C308" s="93"/>
      <c r="D308" s="93"/>
      <c r="E308" s="93"/>
      <c r="F308" s="95"/>
      <c r="G308" s="95"/>
      <c r="H308" s="93"/>
      <c r="I308" s="93"/>
      <c r="J308" s="93"/>
    </row>
    <row r="309" spans="1:10" s="65" customFormat="1" ht="14" x14ac:dyDescent="0.35">
      <c r="A309" s="93"/>
      <c r="B309" s="93"/>
      <c r="C309" s="93"/>
      <c r="D309" s="93"/>
      <c r="E309" s="93"/>
      <c r="F309" s="95"/>
      <c r="G309" s="95"/>
      <c r="H309" s="93"/>
      <c r="I309" s="93"/>
      <c r="J309" s="93"/>
    </row>
    <row r="310" spans="1:10" s="65" customFormat="1" ht="14" x14ac:dyDescent="0.35">
      <c r="A310" s="93"/>
      <c r="B310" s="93"/>
      <c r="C310" s="93"/>
      <c r="D310" s="93"/>
      <c r="E310" s="93"/>
      <c r="F310" s="95"/>
      <c r="G310" s="95"/>
      <c r="H310" s="93"/>
      <c r="I310" s="93"/>
      <c r="J310" s="93"/>
    </row>
    <row r="311" spans="1:10" s="65" customFormat="1" ht="14" x14ac:dyDescent="0.35">
      <c r="A311" s="93"/>
      <c r="B311" s="93"/>
      <c r="C311" s="93"/>
      <c r="D311" s="93"/>
      <c r="E311" s="93"/>
      <c r="F311" s="95"/>
      <c r="G311" s="95"/>
      <c r="H311" s="93"/>
      <c r="I311" s="93"/>
      <c r="J311" s="93"/>
    </row>
    <row r="312" spans="1:10" s="65" customFormat="1" ht="14" x14ac:dyDescent="0.35">
      <c r="A312" s="93"/>
      <c r="B312" s="93"/>
      <c r="C312" s="93"/>
      <c r="D312" s="93"/>
      <c r="E312" s="93"/>
      <c r="F312" s="95"/>
      <c r="G312" s="95"/>
      <c r="H312" s="93"/>
      <c r="I312" s="93"/>
      <c r="J312" s="93"/>
    </row>
    <row r="313" spans="1:10" s="65" customFormat="1" ht="14" x14ac:dyDescent="0.35">
      <c r="A313" s="93"/>
      <c r="B313" s="93"/>
      <c r="C313" s="93"/>
      <c r="D313" s="93"/>
      <c r="E313" s="93"/>
      <c r="F313" s="95"/>
      <c r="G313" s="95"/>
      <c r="H313" s="93"/>
      <c r="I313" s="93"/>
      <c r="J313" s="93"/>
    </row>
    <row r="314" spans="1:10" s="65" customFormat="1" ht="14" x14ac:dyDescent="0.35">
      <c r="A314" s="93"/>
      <c r="B314" s="93"/>
      <c r="C314" s="93"/>
      <c r="D314" s="93"/>
      <c r="E314" s="93"/>
      <c r="F314" s="95"/>
      <c r="G314" s="95"/>
      <c r="H314" s="93"/>
      <c r="I314" s="93"/>
      <c r="J314" s="93"/>
    </row>
    <row r="315" spans="1:10" s="65" customFormat="1" ht="14" x14ac:dyDescent="0.35">
      <c r="A315" s="93"/>
      <c r="B315" s="93"/>
      <c r="C315" s="93"/>
      <c r="D315" s="93"/>
      <c r="E315" s="93"/>
      <c r="F315" s="95"/>
      <c r="G315" s="95"/>
      <c r="H315" s="93"/>
      <c r="I315" s="93"/>
      <c r="J315" s="93"/>
    </row>
    <row r="316" spans="1:10" s="65" customFormat="1" ht="14" x14ac:dyDescent="0.35">
      <c r="A316" s="93"/>
      <c r="B316" s="93"/>
      <c r="C316" s="93"/>
      <c r="D316" s="93"/>
      <c r="E316" s="93"/>
      <c r="F316" s="95"/>
      <c r="G316" s="95"/>
      <c r="H316" s="93"/>
      <c r="I316" s="93"/>
      <c r="J316" s="93"/>
    </row>
    <row r="317" spans="1:10" s="65" customFormat="1" ht="14" x14ac:dyDescent="0.35">
      <c r="A317" s="93"/>
      <c r="B317" s="93"/>
      <c r="C317" s="93"/>
      <c r="D317" s="93"/>
      <c r="E317" s="93"/>
      <c r="F317" s="95"/>
      <c r="G317" s="95"/>
      <c r="H317" s="93"/>
      <c r="I317" s="93"/>
      <c r="J317" s="93"/>
    </row>
    <row r="318" spans="1:10" s="65" customFormat="1" ht="14" x14ac:dyDescent="0.35">
      <c r="A318" s="93"/>
      <c r="B318" s="93"/>
      <c r="C318" s="93"/>
      <c r="D318" s="93"/>
      <c r="E318" s="93"/>
      <c r="F318" s="95"/>
      <c r="G318" s="95"/>
      <c r="H318" s="93"/>
      <c r="I318" s="93"/>
      <c r="J318" s="93"/>
    </row>
    <row r="319" spans="1:10" s="65" customFormat="1" ht="14" x14ac:dyDescent="0.35">
      <c r="A319" s="93"/>
      <c r="B319" s="93"/>
      <c r="C319" s="93"/>
      <c r="D319" s="93"/>
      <c r="E319" s="93"/>
      <c r="F319" s="95"/>
      <c r="G319" s="95"/>
      <c r="H319" s="93"/>
      <c r="I319" s="93"/>
      <c r="J319" s="93"/>
    </row>
    <row r="320" spans="1:10" s="65" customFormat="1" ht="14" x14ac:dyDescent="0.35">
      <c r="A320" s="93"/>
      <c r="B320" s="93"/>
      <c r="C320" s="93"/>
      <c r="D320" s="93"/>
      <c r="E320" s="93"/>
      <c r="F320" s="95"/>
      <c r="G320" s="95"/>
      <c r="H320" s="93"/>
      <c r="I320" s="93"/>
      <c r="J320" s="93"/>
    </row>
    <row r="321" spans="1:10" s="65" customFormat="1" ht="14" x14ac:dyDescent="0.35">
      <c r="A321" s="93"/>
      <c r="B321" s="93"/>
      <c r="C321" s="93"/>
      <c r="D321" s="93"/>
      <c r="E321" s="93"/>
      <c r="F321" s="95"/>
      <c r="G321" s="95"/>
      <c r="H321" s="93"/>
      <c r="I321" s="93"/>
      <c r="J321" s="93"/>
    </row>
    <row r="322" spans="1:10" s="65" customFormat="1" ht="14" x14ac:dyDescent="0.35">
      <c r="A322" s="93"/>
      <c r="B322" s="93"/>
      <c r="C322" s="93"/>
      <c r="D322" s="93"/>
      <c r="E322" s="93"/>
      <c r="F322" s="95"/>
      <c r="G322" s="95"/>
      <c r="H322" s="93"/>
      <c r="I322" s="93"/>
      <c r="J322" s="93"/>
    </row>
    <row r="323" spans="1:10" s="65" customFormat="1" ht="14" x14ac:dyDescent="0.35">
      <c r="A323" s="93"/>
      <c r="B323" s="93"/>
      <c r="C323" s="93"/>
      <c r="D323" s="93"/>
      <c r="E323" s="93"/>
      <c r="F323" s="95"/>
      <c r="G323" s="95"/>
      <c r="H323" s="93"/>
      <c r="I323" s="93"/>
      <c r="J323" s="93"/>
    </row>
    <row r="324" spans="1:10" s="65" customFormat="1" ht="14" x14ac:dyDescent="0.35">
      <c r="A324" s="93"/>
      <c r="B324" s="93"/>
      <c r="C324" s="93"/>
      <c r="D324" s="93"/>
      <c r="E324" s="93"/>
      <c r="F324" s="95"/>
      <c r="G324" s="95"/>
      <c r="H324" s="93"/>
      <c r="I324" s="93"/>
      <c r="J324" s="93"/>
    </row>
    <row r="325" spans="1:10" s="65" customFormat="1" ht="14" x14ac:dyDescent="0.35">
      <c r="A325" s="93"/>
      <c r="B325" s="93"/>
      <c r="C325" s="93"/>
      <c r="D325" s="93"/>
      <c r="E325" s="93"/>
      <c r="F325" s="95"/>
      <c r="G325" s="95"/>
      <c r="H325" s="93"/>
      <c r="I325" s="93"/>
      <c r="J325" s="93"/>
    </row>
    <row r="326" spans="1:10" s="65" customFormat="1" ht="14" x14ac:dyDescent="0.35">
      <c r="A326" s="93"/>
      <c r="B326" s="93"/>
      <c r="C326" s="93"/>
      <c r="D326" s="93"/>
      <c r="E326" s="93"/>
      <c r="F326" s="95"/>
      <c r="G326" s="95"/>
      <c r="H326" s="93"/>
      <c r="I326" s="93"/>
      <c r="J326" s="93"/>
    </row>
    <row r="327" spans="1:10" s="65" customFormat="1" ht="14" x14ac:dyDescent="0.35">
      <c r="A327" s="93"/>
      <c r="B327" s="93"/>
      <c r="C327" s="93"/>
      <c r="D327" s="93"/>
      <c r="E327" s="93"/>
      <c r="F327" s="95"/>
      <c r="G327" s="95"/>
      <c r="H327" s="93"/>
      <c r="I327" s="93"/>
      <c r="J327" s="93"/>
    </row>
    <row r="328" spans="1:10" s="65" customFormat="1" ht="14" x14ac:dyDescent="0.35">
      <c r="A328" s="93"/>
      <c r="B328" s="93"/>
      <c r="C328" s="93"/>
      <c r="D328" s="93"/>
      <c r="E328" s="93"/>
      <c r="F328" s="95"/>
      <c r="G328" s="95"/>
      <c r="H328" s="93"/>
      <c r="I328" s="93"/>
      <c r="J328" s="93"/>
    </row>
    <row r="329" spans="1:10" s="65" customFormat="1" ht="14" x14ac:dyDescent="0.35">
      <c r="A329" s="93"/>
      <c r="B329" s="93"/>
      <c r="C329" s="93"/>
      <c r="D329" s="93"/>
      <c r="E329" s="93"/>
      <c r="F329" s="95"/>
      <c r="G329" s="95"/>
      <c r="H329" s="93"/>
      <c r="I329" s="93"/>
      <c r="J329" s="93"/>
    </row>
    <row r="330" spans="1:10" s="65" customFormat="1" ht="14" x14ac:dyDescent="0.35">
      <c r="A330" s="93"/>
      <c r="B330" s="93"/>
      <c r="C330" s="93"/>
      <c r="D330" s="93"/>
      <c r="E330" s="93"/>
      <c r="F330" s="95"/>
      <c r="G330" s="95"/>
      <c r="H330" s="93"/>
      <c r="I330" s="93"/>
      <c r="J330" s="93"/>
    </row>
    <row r="331" spans="1:10" s="65" customFormat="1" ht="14" x14ac:dyDescent="0.35">
      <c r="A331" s="93"/>
      <c r="B331" s="93"/>
      <c r="C331" s="93"/>
      <c r="D331" s="93"/>
      <c r="E331" s="93"/>
      <c r="F331" s="95"/>
      <c r="G331" s="95"/>
      <c r="H331" s="93"/>
      <c r="I331" s="93"/>
      <c r="J331" s="93"/>
    </row>
    <row r="332" spans="1:10" s="65" customFormat="1" ht="14" x14ac:dyDescent="0.35">
      <c r="A332" s="93"/>
      <c r="B332" s="93"/>
      <c r="C332" s="93"/>
      <c r="D332" s="93"/>
      <c r="E332" s="93"/>
      <c r="F332" s="95"/>
      <c r="G332" s="95"/>
      <c r="H332" s="93"/>
      <c r="I332" s="93"/>
      <c r="J332" s="93"/>
    </row>
    <row r="333" spans="1:10" s="65" customFormat="1" ht="14" x14ac:dyDescent="0.35">
      <c r="A333" s="93"/>
      <c r="B333" s="93"/>
      <c r="C333" s="93"/>
      <c r="D333" s="93"/>
      <c r="E333" s="93"/>
      <c r="F333" s="95"/>
      <c r="G333" s="95"/>
      <c r="H333" s="93"/>
      <c r="I333" s="93"/>
      <c r="J333" s="93"/>
    </row>
    <row r="334" spans="1:10" s="65" customFormat="1" ht="14" x14ac:dyDescent="0.35">
      <c r="A334" s="93"/>
      <c r="B334" s="93"/>
      <c r="C334" s="93"/>
      <c r="D334" s="93"/>
      <c r="E334" s="93"/>
      <c r="F334" s="95"/>
      <c r="G334" s="95"/>
      <c r="H334" s="93"/>
      <c r="I334" s="93"/>
      <c r="J334" s="93"/>
    </row>
    <row r="335" spans="1:10" s="65" customFormat="1" ht="14" x14ac:dyDescent="0.35">
      <c r="A335" s="93"/>
      <c r="B335" s="93"/>
      <c r="C335" s="93"/>
      <c r="D335" s="93"/>
      <c r="E335" s="93"/>
      <c r="F335" s="95"/>
      <c r="G335" s="95"/>
      <c r="H335" s="93"/>
      <c r="I335" s="93"/>
      <c r="J335" s="93"/>
    </row>
    <row r="336" spans="1:10" s="65" customFormat="1" ht="14" x14ac:dyDescent="0.35">
      <c r="A336" s="93"/>
      <c r="B336" s="93"/>
      <c r="C336" s="93"/>
      <c r="D336" s="93"/>
      <c r="E336" s="93"/>
      <c r="F336" s="95"/>
      <c r="G336" s="95"/>
      <c r="H336" s="93"/>
      <c r="I336" s="93"/>
      <c r="J336" s="93"/>
    </row>
    <row r="337" spans="1:10" s="65" customFormat="1" ht="14" x14ac:dyDescent="0.35">
      <c r="A337" s="93"/>
      <c r="B337" s="93"/>
      <c r="C337" s="93"/>
      <c r="D337" s="93"/>
      <c r="E337" s="93"/>
      <c r="F337" s="95"/>
      <c r="G337" s="95"/>
      <c r="H337" s="93"/>
      <c r="I337" s="93"/>
      <c r="J337" s="93"/>
    </row>
    <row r="338" spans="1:10" s="65" customFormat="1" ht="14" x14ac:dyDescent="0.35">
      <c r="A338" s="93"/>
      <c r="B338" s="93"/>
      <c r="C338" s="93"/>
      <c r="D338" s="93"/>
      <c r="E338" s="93"/>
      <c r="F338" s="95"/>
      <c r="G338" s="95"/>
      <c r="H338" s="93"/>
      <c r="I338" s="93"/>
      <c r="J338" s="93"/>
    </row>
    <row r="339" spans="1:10" s="65" customFormat="1" ht="14" x14ac:dyDescent="0.35">
      <c r="A339" s="93"/>
      <c r="B339" s="93"/>
      <c r="C339" s="93"/>
      <c r="D339" s="93"/>
      <c r="E339" s="93"/>
      <c r="F339" s="95"/>
      <c r="G339" s="95"/>
      <c r="H339" s="93"/>
      <c r="I339" s="93"/>
      <c r="J339" s="93"/>
    </row>
    <row r="340" spans="1:10" s="65" customFormat="1" ht="14" x14ac:dyDescent="0.35">
      <c r="A340" s="93"/>
      <c r="B340" s="93"/>
      <c r="C340" s="93"/>
      <c r="D340" s="93"/>
      <c r="E340" s="93"/>
      <c r="F340" s="95"/>
      <c r="G340" s="95"/>
      <c r="H340" s="93"/>
      <c r="I340" s="93"/>
      <c r="J340" s="93"/>
    </row>
    <row r="341" spans="1:10" s="65" customFormat="1" ht="14" x14ac:dyDescent="0.35">
      <c r="A341" s="93"/>
      <c r="B341" s="93"/>
      <c r="C341" s="93"/>
      <c r="D341" s="93"/>
      <c r="E341" s="93"/>
      <c r="F341" s="95"/>
      <c r="G341" s="95"/>
      <c r="H341" s="93"/>
      <c r="I341" s="93"/>
      <c r="J341" s="93"/>
    </row>
    <row r="342" spans="1:10" s="65" customFormat="1" ht="14" x14ac:dyDescent="0.35">
      <c r="A342" s="93"/>
      <c r="B342" s="93"/>
      <c r="C342" s="93"/>
      <c r="D342" s="93"/>
      <c r="E342" s="93"/>
      <c r="F342" s="95"/>
      <c r="G342" s="95"/>
      <c r="H342" s="93"/>
      <c r="I342" s="93"/>
      <c r="J342" s="93"/>
    </row>
    <row r="343" spans="1:10" s="65" customFormat="1" ht="14" x14ac:dyDescent="0.35">
      <c r="A343" s="93"/>
      <c r="B343" s="93"/>
      <c r="C343" s="93"/>
      <c r="D343" s="93"/>
      <c r="E343" s="93"/>
      <c r="F343" s="95"/>
      <c r="G343" s="95"/>
      <c r="H343" s="93"/>
      <c r="I343" s="93"/>
      <c r="J343" s="93"/>
    </row>
    <row r="344" spans="1:10" s="65" customFormat="1" ht="14" x14ac:dyDescent="0.35">
      <c r="A344" s="93"/>
      <c r="B344" s="93"/>
      <c r="C344" s="93"/>
      <c r="D344" s="93"/>
      <c r="E344" s="93"/>
      <c r="F344" s="95"/>
      <c r="G344" s="95"/>
      <c r="H344" s="93"/>
      <c r="I344" s="93"/>
      <c r="J344" s="93"/>
    </row>
    <row r="345" spans="1:10" s="65" customFormat="1" ht="14" x14ac:dyDescent="0.35">
      <c r="A345" s="93"/>
      <c r="B345" s="93"/>
      <c r="C345" s="93"/>
      <c r="D345" s="93"/>
      <c r="E345" s="93"/>
      <c r="F345" s="95"/>
      <c r="G345" s="95"/>
      <c r="H345" s="93"/>
      <c r="I345" s="93"/>
      <c r="J345" s="93"/>
    </row>
    <row r="346" spans="1:10" s="65" customFormat="1" ht="14" x14ac:dyDescent="0.35">
      <c r="A346" s="93"/>
      <c r="B346" s="93"/>
      <c r="C346" s="93"/>
      <c r="D346" s="93"/>
      <c r="E346" s="93"/>
      <c r="F346" s="95"/>
      <c r="G346" s="95"/>
      <c r="H346" s="93"/>
      <c r="I346" s="93"/>
      <c r="J346" s="93"/>
    </row>
    <row r="347" spans="1:10" s="65" customFormat="1" ht="14" x14ac:dyDescent="0.35">
      <c r="A347" s="93"/>
      <c r="B347" s="93"/>
      <c r="C347" s="93"/>
      <c r="D347" s="93"/>
      <c r="E347" s="93"/>
      <c r="F347" s="95"/>
      <c r="G347" s="95"/>
      <c r="H347" s="93"/>
      <c r="I347" s="93"/>
      <c r="J347" s="93"/>
    </row>
    <row r="348" spans="1:10" s="65" customFormat="1" ht="14" x14ac:dyDescent="0.35">
      <c r="A348" s="93"/>
      <c r="B348" s="93"/>
      <c r="C348" s="93"/>
      <c r="D348" s="93"/>
      <c r="E348" s="93"/>
      <c r="F348" s="95"/>
      <c r="G348" s="95"/>
      <c r="H348" s="93"/>
      <c r="I348" s="93"/>
      <c r="J348" s="93"/>
    </row>
    <row r="349" spans="1:10" s="65" customFormat="1" ht="14" x14ac:dyDescent="0.35">
      <c r="A349" s="93"/>
      <c r="B349" s="93"/>
      <c r="C349" s="93"/>
      <c r="D349" s="93"/>
      <c r="E349" s="93"/>
      <c r="F349" s="95"/>
      <c r="G349" s="95"/>
      <c r="H349" s="93"/>
      <c r="I349" s="93"/>
      <c r="J349" s="93"/>
    </row>
    <row r="350" spans="1:10" s="65" customFormat="1" ht="14" x14ac:dyDescent="0.35">
      <c r="A350" s="93"/>
      <c r="B350" s="93"/>
      <c r="C350" s="93"/>
      <c r="D350" s="93"/>
      <c r="E350" s="93"/>
      <c r="F350" s="95"/>
      <c r="G350" s="95"/>
      <c r="H350" s="93"/>
      <c r="I350" s="93"/>
      <c r="J350" s="93"/>
    </row>
    <row r="351" spans="1:10" s="65" customFormat="1" ht="14" x14ac:dyDescent="0.35">
      <c r="A351" s="93"/>
      <c r="B351" s="93"/>
      <c r="C351" s="93"/>
      <c r="D351" s="93"/>
      <c r="E351" s="93"/>
      <c r="F351" s="95"/>
      <c r="G351" s="95"/>
      <c r="H351" s="93"/>
      <c r="I351" s="93"/>
      <c r="J351" s="93"/>
    </row>
    <row r="352" spans="1:10" s="65" customFormat="1" ht="14" x14ac:dyDescent="0.35">
      <c r="A352" s="93"/>
      <c r="B352" s="93"/>
      <c r="C352" s="93"/>
      <c r="D352" s="93"/>
      <c r="E352" s="93"/>
      <c r="F352" s="95"/>
      <c r="G352" s="95"/>
      <c r="H352" s="93"/>
      <c r="I352" s="93"/>
      <c r="J352" s="93"/>
    </row>
    <row r="353" spans="1:10" s="65" customFormat="1" ht="14" x14ac:dyDescent="0.35">
      <c r="A353" s="93"/>
      <c r="B353" s="93"/>
      <c r="C353" s="93"/>
      <c r="D353" s="93"/>
      <c r="E353" s="93"/>
      <c r="F353" s="95"/>
      <c r="G353" s="95"/>
      <c r="H353" s="93"/>
      <c r="I353" s="93"/>
      <c r="J353" s="93"/>
    </row>
    <row r="354" spans="1:10" s="65" customFormat="1" ht="14" x14ac:dyDescent="0.35">
      <c r="A354" s="93"/>
      <c r="B354" s="93"/>
      <c r="C354" s="93"/>
      <c r="D354" s="93"/>
      <c r="E354" s="93"/>
      <c r="F354" s="95"/>
      <c r="G354" s="95"/>
      <c r="H354" s="93"/>
      <c r="I354" s="93"/>
      <c r="J354" s="93"/>
    </row>
    <row r="355" spans="1:10" s="65" customFormat="1" ht="14" x14ac:dyDescent="0.35">
      <c r="A355" s="93"/>
      <c r="B355" s="93"/>
      <c r="C355" s="93"/>
      <c r="D355" s="93"/>
      <c r="E355" s="93"/>
      <c r="F355" s="95"/>
      <c r="G355" s="95"/>
      <c r="H355" s="93"/>
      <c r="I355" s="93"/>
      <c r="J355" s="93"/>
    </row>
    <row r="356" spans="1:10" s="65" customFormat="1" ht="14" x14ac:dyDescent="0.35">
      <c r="A356" s="93"/>
      <c r="B356" s="93"/>
      <c r="C356" s="93"/>
      <c r="D356" s="93"/>
      <c r="E356" s="93"/>
      <c r="F356" s="95"/>
      <c r="G356" s="95"/>
      <c r="H356" s="93"/>
      <c r="I356" s="93"/>
      <c r="J356" s="93"/>
    </row>
    <row r="357" spans="1:10" s="65" customFormat="1" ht="14" x14ac:dyDescent="0.35">
      <c r="A357" s="93"/>
      <c r="B357" s="93"/>
      <c r="C357" s="93"/>
      <c r="D357" s="93"/>
      <c r="E357" s="93"/>
      <c r="F357" s="95"/>
      <c r="G357" s="95"/>
      <c r="H357" s="93"/>
      <c r="I357" s="93"/>
      <c r="J357" s="93"/>
    </row>
    <row r="358" spans="1:10" s="65" customFormat="1" ht="14" x14ac:dyDescent="0.35">
      <c r="A358" s="93"/>
      <c r="B358" s="93"/>
      <c r="C358" s="93"/>
      <c r="D358" s="93"/>
      <c r="E358" s="93"/>
      <c r="F358" s="95"/>
      <c r="G358" s="95"/>
      <c r="H358" s="93"/>
      <c r="I358" s="93"/>
      <c r="J358" s="93"/>
    </row>
    <row r="359" spans="1:10" s="65" customFormat="1" ht="14" x14ac:dyDescent="0.35">
      <c r="A359" s="93"/>
      <c r="B359" s="93"/>
      <c r="C359" s="93"/>
      <c r="D359" s="93"/>
      <c r="E359" s="93"/>
      <c r="F359" s="95"/>
      <c r="G359" s="95"/>
      <c r="H359" s="93"/>
      <c r="I359" s="93"/>
      <c r="J359" s="93"/>
    </row>
    <row r="360" spans="1:10" s="65" customFormat="1" ht="14" x14ac:dyDescent="0.35">
      <c r="A360" s="93"/>
      <c r="B360" s="93"/>
      <c r="C360" s="93"/>
      <c r="D360" s="93"/>
      <c r="E360" s="93"/>
      <c r="F360" s="95"/>
      <c r="G360" s="95"/>
      <c r="H360" s="93"/>
      <c r="I360" s="93"/>
      <c r="J360" s="93"/>
    </row>
    <row r="361" spans="1:10" s="65" customFormat="1" ht="14" x14ac:dyDescent="0.35">
      <c r="A361" s="93"/>
      <c r="B361" s="93"/>
      <c r="C361" s="93"/>
      <c r="D361" s="93"/>
      <c r="E361" s="93"/>
      <c r="F361" s="95"/>
      <c r="G361" s="95"/>
      <c r="H361" s="93"/>
      <c r="I361" s="93"/>
      <c r="J361" s="93"/>
    </row>
    <row r="362" spans="1:10" s="65" customFormat="1" ht="14" x14ac:dyDescent="0.35">
      <c r="A362" s="93"/>
      <c r="B362" s="93"/>
      <c r="C362" s="93"/>
      <c r="D362" s="93"/>
      <c r="E362" s="93"/>
      <c r="F362" s="95"/>
      <c r="G362" s="95"/>
      <c r="H362" s="93"/>
      <c r="I362" s="93"/>
      <c r="J362" s="93"/>
    </row>
    <row r="363" spans="1:10" s="65" customFormat="1" ht="14" x14ac:dyDescent="0.35">
      <c r="A363" s="93"/>
      <c r="B363" s="93"/>
      <c r="C363" s="93"/>
      <c r="D363" s="93"/>
      <c r="E363" s="93"/>
      <c r="F363" s="95"/>
      <c r="G363" s="95"/>
      <c r="H363" s="93"/>
      <c r="I363" s="93"/>
      <c r="J363" s="93"/>
    </row>
    <row r="364" spans="1:10" s="65" customFormat="1" ht="14" x14ac:dyDescent="0.35">
      <c r="A364" s="93"/>
      <c r="B364" s="93"/>
      <c r="C364" s="93"/>
      <c r="D364" s="93"/>
      <c r="E364" s="93"/>
      <c r="F364" s="95"/>
      <c r="G364" s="95"/>
      <c r="H364" s="93"/>
      <c r="I364" s="93"/>
      <c r="J364" s="93"/>
    </row>
    <row r="365" spans="1:10" s="65" customFormat="1" ht="14" x14ac:dyDescent="0.35">
      <c r="A365" s="93"/>
      <c r="B365" s="93"/>
      <c r="C365" s="93"/>
      <c r="D365" s="93"/>
      <c r="E365" s="93"/>
      <c r="F365" s="95"/>
      <c r="G365" s="95"/>
      <c r="H365" s="93"/>
      <c r="I365" s="93"/>
      <c r="J365" s="93"/>
    </row>
    <row r="366" spans="1:10" s="65" customFormat="1" ht="14" x14ac:dyDescent="0.35">
      <c r="A366" s="93"/>
      <c r="B366" s="93"/>
      <c r="C366" s="93"/>
      <c r="D366" s="93"/>
      <c r="E366" s="93"/>
      <c r="F366" s="95"/>
      <c r="G366" s="95"/>
      <c r="H366" s="93"/>
      <c r="I366" s="93"/>
      <c r="J366" s="93"/>
    </row>
    <row r="367" spans="1:10" s="65" customFormat="1" ht="14" x14ac:dyDescent="0.35">
      <c r="A367" s="93"/>
      <c r="B367" s="93"/>
      <c r="C367" s="93"/>
      <c r="D367" s="93"/>
      <c r="E367" s="93"/>
      <c r="F367" s="95"/>
      <c r="G367" s="95"/>
      <c r="H367" s="93"/>
      <c r="I367" s="93"/>
      <c r="J367" s="93"/>
    </row>
    <row r="368" spans="1:10" s="65" customFormat="1" ht="14" x14ac:dyDescent="0.35">
      <c r="A368" s="93"/>
      <c r="B368" s="93"/>
      <c r="C368" s="93"/>
      <c r="D368" s="93"/>
      <c r="E368" s="93"/>
      <c r="F368" s="95"/>
      <c r="G368" s="95"/>
      <c r="H368" s="93"/>
      <c r="I368" s="93"/>
      <c r="J368" s="93"/>
    </row>
    <row r="369" spans="1:10" s="65" customFormat="1" ht="14" x14ac:dyDescent="0.35">
      <c r="A369" s="93"/>
      <c r="B369" s="93"/>
      <c r="C369" s="93"/>
      <c r="D369" s="93"/>
      <c r="E369" s="93"/>
      <c r="F369" s="95"/>
      <c r="G369" s="95"/>
      <c r="H369" s="93"/>
      <c r="I369" s="93"/>
      <c r="J369" s="93"/>
    </row>
    <row r="370" spans="1:10" s="65" customFormat="1" ht="14" x14ac:dyDescent="0.35">
      <c r="A370" s="93"/>
      <c r="B370" s="93"/>
      <c r="C370" s="93"/>
      <c r="D370" s="93"/>
      <c r="E370" s="93"/>
      <c r="F370" s="95"/>
      <c r="G370" s="95"/>
      <c r="H370" s="93"/>
      <c r="I370" s="93"/>
      <c r="J370" s="93"/>
    </row>
    <row r="371" spans="1:10" s="65" customFormat="1" ht="14" x14ac:dyDescent="0.35">
      <c r="A371" s="93"/>
      <c r="B371" s="93"/>
      <c r="C371" s="93"/>
      <c r="D371" s="93"/>
      <c r="E371" s="93"/>
      <c r="F371" s="95"/>
      <c r="G371" s="95"/>
      <c r="H371" s="93"/>
      <c r="I371" s="93"/>
      <c r="J371" s="93"/>
    </row>
    <row r="372" spans="1:10" s="65" customFormat="1" ht="14" x14ac:dyDescent="0.35">
      <c r="A372" s="93"/>
      <c r="B372" s="93"/>
      <c r="C372" s="93"/>
      <c r="D372" s="93"/>
      <c r="E372" s="93"/>
      <c r="F372" s="95"/>
      <c r="G372" s="95"/>
      <c r="H372" s="93"/>
      <c r="I372" s="93"/>
      <c r="J372" s="93"/>
    </row>
    <row r="373" spans="1:10" s="65" customFormat="1" ht="14" x14ac:dyDescent="0.35">
      <c r="A373" s="93"/>
      <c r="B373" s="93"/>
      <c r="C373" s="93"/>
      <c r="D373" s="93"/>
      <c r="E373" s="93"/>
      <c r="F373" s="95"/>
      <c r="G373" s="95"/>
      <c r="H373" s="93"/>
      <c r="I373" s="93"/>
      <c r="J373" s="93"/>
    </row>
    <row r="374" spans="1:10" s="65" customFormat="1" ht="14" x14ac:dyDescent="0.35">
      <c r="A374" s="93"/>
      <c r="B374" s="93"/>
      <c r="C374" s="93"/>
      <c r="D374" s="93"/>
      <c r="E374" s="93"/>
      <c r="F374" s="95"/>
      <c r="G374" s="95"/>
      <c r="H374" s="93"/>
      <c r="I374" s="93"/>
      <c r="J374" s="93"/>
    </row>
    <row r="375" spans="1:10" s="65" customFormat="1" ht="14" x14ac:dyDescent="0.35">
      <c r="A375" s="93"/>
      <c r="B375" s="93"/>
      <c r="C375" s="93"/>
      <c r="D375" s="93"/>
      <c r="E375" s="93"/>
      <c r="F375" s="95"/>
      <c r="G375" s="95"/>
      <c r="H375" s="93"/>
      <c r="I375" s="93"/>
      <c r="J375" s="93"/>
    </row>
    <row r="376" spans="1:10" s="65" customFormat="1" ht="14" x14ac:dyDescent="0.35">
      <c r="A376" s="93"/>
      <c r="B376" s="93"/>
      <c r="C376" s="93"/>
      <c r="D376" s="93"/>
      <c r="E376" s="93"/>
      <c r="F376" s="95"/>
      <c r="G376" s="95"/>
      <c r="H376" s="93"/>
      <c r="I376" s="93"/>
      <c r="J376" s="93"/>
    </row>
    <row r="377" spans="1:10" s="65" customFormat="1" ht="14" x14ac:dyDescent="0.35">
      <c r="A377" s="93"/>
      <c r="B377" s="93"/>
      <c r="C377" s="93"/>
      <c r="D377" s="93"/>
      <c r="E377" s="93"/>
      <c r="F377" s="95"/>
      <c r="G377" s="95"/>
      <c r="H377" s="93"/>
      <c r="I377" s="93"/>
      <c r="J377" s="93"/>
    </row>
    <row r="378" spans="1:10" s="65" customFormat="1" ht="14" x14ac:dyDescent="0.35">
      <c r="A378" s="93"/>
      <c r="B378" s="93"/>
      <c r="C378" s="93"/>
      <c r="D378" s="93"/>
      <c r="E378" s="93"/>
      <c r="F378" s="95"/>
      <c r="G378" s="95"/>
      <c r="H378" s="93"/>
      <c r="I378" s="93"/>
      <c r="J378" s="93"/>
    </row>
    <row r="379" spans="1:10" s="65" customFormat="1" ht="14" x14ac:dyDescent="0.35">
      <c r="A379" s="93"/>
      <c r="B379" s="93"/>
      <c r="C379" s="93"/>
      <c r="D379" s="93"/>
      <c r="E379" s="93"/>
      <c r="F379" s="95"/>
      <c r="G379" s="95"/>
      <c r="H379" s="93"/>
      <c r="I379" s="93"/>
      <c r="J379" s="93"/>
    </row>
    <row r="380" spans="1:10" s="65" customFormat="1" ht="14" x14ac:dyDescent="0.35">
      <c r="A380" s="93"/>
      <c r="B380" s="93"/>
      <c r="C380" s="93"/>
      <c r="D380" s="93"/>
      <c r="E380" s="93"/>
      <c r="F380" s="95"/>
      <c r="G380" s="95"/>
      <c r="H380" s="93"/>
      <c r="I380" s="93"/>
      <c r="J380" s="93"/>
    </row>
    <row r="381" spans="1:10" s="65" customFormat="1" ht="14" x14ac:dyDescent="0.35">
      <c r="A381" s="93"/>
      <c r="B381" s="93"/>
      <c r="C381" s="93"/>
      <c r="D381" s="93"/>
      <c r="E381" s="93"/>
      <c r="F381" s="95"/>
      <c r="G381" s="95"/>
      <c r="H381" s="93"/>
      <c r="I381" s="93"/>
      <c r="J381" s="93"/>
    </row>
    <row r="382" spans="1:10" s="65" customFormat="1" ht="14" x14ac:dyDescent="0.35">
      <c r="A382" s="93"/>
      <c r="B382" s="93"/>
      <c r="C382" s="93"/>
      <c r="D382" s="93"/>
      <c r="E382" s="93"/>
      <c r="F382" s="95"/>
      <c r="G382" s="95"/>
      <c r="H382" s="93"/>
      <c r="I382" s="93"/>
      <c r="J382" s="93"/>
    </row>
    <row r="383" spans="1:10" s="65" customFormat="1" ht="14" x14ac:dyDescent="0.35">
      <c r="A383" s="93"/>
      <c r="B383" s="93"/>
      <c r="C383" s="93"/>
      <c r="D383" s="93"/>
      <c r="E383" s="93"/>
      <c r="F383" s="95"/>
      <c r="G383" s="95"/>
      <c r="H383" s="93"/>
      <c r="I383" s="93"/>
      <c r="J383" s="93"/>
    </row>
    <row r="384" spans="1:10" s="65" customFormat="1" ht="14" x14ac:dyDescent="0.35">
      <c r="A384" s="93"/>
      <c r="B384" s="93"/>
      <c r="C384" s="93"/>
      <c r="D384" s="93"/>
      <c r="E384" s="93"/>
      <c r="F384" s="95"/>
      <c r="G384" s="95"/>
      <c r="H384" s="93"/>
      <c r="I384" s="93"/>
      <c r="J384" s="93"/>
    </row>
    <row r="385" spans="1:10" s="65" customFormat="1" ht="14" x14ac:dyDescent="0.35">
      <c r="A385" s="93"/>
      <c r="B385" s="93"/>
      <c r="C385" s="93"/>
      <c r="D385" s="93"/>
      <c r="E385" s="93"/>
      <c r="F385" s="95"/>
      <c r="G385" s="95"/>
      <c r="H385" s="93"/>
      <c r="I385" s="93"/>
      <c r="J385" s="93"/>
    </row>
    <row r="386" spans="1:10" s="65" customFormat="1" ht="14" x14ac:dyDescent="0.35">
      <c r="A386" s="93"/>
      <c r="B386" s="93"/>
      <c r="C386" s="93"/>
      <c r="D386" s="93"/>
      <c r="E386" s="93"/>
      <c r="F386" s="95"/>
      <c r="G386" s="95"/>
      <c r="H386" s="93"/>
      <c r="I386" s="93"/>
      <c r="J386" s="93"/>
    </row>
    <row r="387" spans="1:10" s="65" customFormat="1" ht="14" x14ac:dyDescent="0.35">
      <c r="A387" s="93"/>
      <c r="B387" s="93"/>
      <c r="C387" s="93"/>
      <c r="D387" s="93"/>
      <c r="E387" s="93"/>
      <c r="F387" s="95"/>
      <c r="G387" s="95"/>
      <c r="H387" s="93"/>
      <c r="I387" s="93"/>
      <c r="J387" s="93"/>
    </row>
    <row r="388" spans="1:10" s="65" customFormat="1" ht="14" x14ac:dyDescent="0.35">
      <c r="A388" s="93"/>
      <c r="B388" s="93"/>
      <c r="C388" s="93"/>
      <c r="D388" s="93"/>
      <c r="E388" s="93"/>
      <c r="F388" s="95"/>
      <c r="G388" s="95"/>
      <c r="H388" s="93"/>
      <c r="I388" s="93"/>
      <c r="J388" s="93"/>
    </row>
    <row r="389" spans="1:10" s="65" customFormat="1" ht="14" x14ac:dyDescent="0.35">
      <c r="A389" s="93"/>
      <c r="B389" s="93"/>
      <c r="C389" s="93"/>
      <c r="D389" s="93"/>
      <c r="E389" s="93"/>
      <c r="F389" s="95"/>
      <c r="G389" s="95"/>
      <c r="H389" s="93"/>
      <c r="I389" s="93"/>
      <c r="J389" s="93"/>
    </row>
    <row r="390" spans="1:10" s="65" customFormat="1" ht="14" x14ac:dyDescent="0.35">
      <c r="A390" s="93"/>
      <c r="B390" s="93"/>
      <c r="C390" s="93"/>
      <c r="D390" s="93"/>
      <c r="E390" s="93"/>
      <c r="F390" s="95"/>
      <c r="G390" s="95"/>
      <c r="H390" s="93"/>
      <c r="I390" s="93"/>
      <c r="J390" s="93"/>
    </row>
    <row r="391" spans="1:10" s="65" customFormat="1" ht="14" x14ac:dyDescent="0.35">
      <c r="A391" s="93"/>
      <c r="B391" s="93"/>
      <c r="C391" s="93"/>
      <c r="D391" s="93"/>
      <c r="E391" s="93"/>
      <c r="F391" s="95"/>
      <c r="G391" s="95"/>
      <c r="H391" s="93"/>
      <c r="I391" s="93"/>
      <c r="J391" s="93"/>
    </row>
    <row r="392" spans="1:10" s="65" customFormat="1" ht="14" x14ac:dyDescent="0.35">
      <c r="A392" s="93"/>
      <c r="B392" s="93"/>
      <c r="C392" s="93"/>
      <c r="D392" s="93"/>
      <c r="E392" s="93"/>
      <c r="F392" s="95"/>
      <c r="G392" s="95"/>
      <c r="H392" s="93"/>
      <c r="I392" s="93"/>
      <c r="J392" s="93"/>
    </row>
    <row r="393" spans="1:10" s="65" customFormat="1" ht="14" x14ac:dyDescent="0.35">
      <c r="A393" s="93"/>
      <c r="B393" s="93"/>
      <c r="C393" s="93"/>
      <c r="D393" s="93"/>
      <c r="E393" s="93"/>
      <c r="F393" s="95"/>
      <c r="G393" s="95"/>
      <c r="H393" s="93"/>
      <c r="I393" s="93"/>
      <c r="J393" s="93"/>
    </row>
    <row r="394" spans="1:10" s="65" customFormat="1" ht="14" x14ac:dyDescent="0.35">
      <c r="A394" s="93"/>
      <c r="B394" s="93"/>
      <c r="C394" s="93"/>
      <c r="D394" s="93"/>
      <c r="E394" s="93"/>
      <c r="F394" s="95"/>
      <c r="G394" s="95"/>
      <c r="H394" s="93"/>
      <c r="I394" s="93"/>
      <c r="J394" s="93"/>
    </row>
    <row r="395" spans="1:10" s="65" customFormat="1" ht="14" x14ac:dyDescent="0.35">
      <c r="A395" s="93"/>
      <c r="B395" s="93"/>
      <c r="C395" s="93"/>
      <c r="D395" s="93"/>
      <c r="E395" s="93"/>
      <c r="F395" s="95"/>
      <c r="G395" s="95"/>
      <c r="H395" s="93"/>
      <c r="I395" s="93"/>
      <c r="J395" s="93"/>
    </row>
    <row r="396" spans="1:10" s="65" customFormat="1" ht="14" x14ac:dyDescent="0.35">
      <c r="A396" s="93"/>
      <c r="B396" s="93"/>
      <c r="C396" s="93"/>
      <c r="D396" s="93"/>
      <c r="E396" s="93"/>
      <c r="F396" s="95"/>
      <c r="G396" s="95"/>
      <c r="H396" s="93"/>
      <c r="I396" s="93"/>
      <c r="J396" s="93"/>
    </row>
    <row r="397" spans="1:10" s="65" customFormat="1" ht="14" x14ac:dyDescent="0.35">
      <c r="A397" s="93"/>
      <c r="B397" s="93"/>
      <c r="C397" s="93"/>
      <c r="D397" s="93"/>
      <c r="E397" s="93"/>
      <c r="F397" s="95"/>
      <c r="G397" s="95"/>
      <c r="H397" s="93"/>
      <c r="I397" s="93"/>
      <c r="J397" s="93"/>
    </row>
    <row r="398" spans="1:10" s="65" customFormat="1" ht="14" x14ac:dyDescent="0.35">
      <c r="A398" s="93"/>
      <c r="B398" s="93"/>
      <c r="C398" s="93"/>
      <c r="D398" s="93"/>
      <c r="E398" s="93"/>
      <c r="F398" s="95"/>
      <c r="G398" s="95"/>
      <c r="H398" s="93"/>
      <c r="I398" s="93"/>
      <c r="J398" s="93"/>
    </row>
    <row r="399" spans="1:10" s="65" customFormat="1" ht="14" x14ac:dyDescent="0.35">
      <c r="A399" s="93"/>
      <c r="B399" s="93"/>
      <c r="C399" s="93"/>
      <c r="D399" s="93"/>
      <c r="E399" s="93"/>
      <c r="F399" s="95"/>
      <c r="G399" s="95"/>
      <c r="H399" s="93"/>
      <c r="I399" s="93"/>
      <c r="J399" s="93"/>
    </row>
    <row r="400" spans="1:10" s="65" customFormat="1" ht="14" x14ac:dyDescent="0.35">
      <c r="A400" s="93"/>
      <c r="B400" s="93"/>
      <c r="C400" s="93"/>
      <c r="D400" s="93"/>
      <c r="E400" s="93"/>
      <c r="F400" s="95"/>
      <c r="G400" s="95"/>
      <c r="H400" s="93"/>
      <c r="I400" s="93"/>
      <c r="J400" s="93"/>
    </row>
    <row r="401" spans="1:10" s="65" customFormat="1" ht="14" x14ac:dyDescent="0.35">
      <c r="A401" s="93"/>
      <c r="B401" s="93"/>
      <c r="C401" s="93"/>
      <c r="D401" s="93"/>
      <c r="E401" s="93"/>
      <c r="F401" s="95"/>
      <c r="G401" s="95"/>
      <c r="H401" s="93"/>
      <c r="I401" s="93"/>
      <c r="J401" s="93"/>
    </row>
    <row r="402" spans="1:10" s="65" customFormat="1" ht="14" x14ac:dyDescent="0.35">
      <c r="A402" s="93"/>
      <c r="B402" s="93"/>
      <c r="C402" s="93"/>
      <c r="D402" s="93"/>
      <c r="E402" s="93"/>
      <c r="F402" s="95"/>
      <c r="G402" s="95"/>
      <c r="H402" s="93"/>
      <c r="I402" s="93"/>
      <c r="J402" s="93"/>
    </row>
    <row r="403" spans="1:10" s="65" customFormat="1" ht="14" x14ac:dyDescent="0.35">
      <c r="A403" s="93"/>
      <c r="B403" s="93"/>
      <c r="C403" s="93"/>
      <c r="D403" s="93"/>
      <c r="E403" s="93"/>
      <c r="F403" s="95"/>
      <c r="G403" s="95"/>
      <c r="H403" s="93"/>
      <c r="I403" s="93"/>
      <c r="J403" s="93"/>
    </row>
    <row r="404" spans="1:10" s="65" customFormat="1" ht="14" x14ac:dyDescent="0.35">
      <c r="A404" s="93"/>
      <c r="B404" s="93"/>
      <c r="C404" s="93"/>
      <c r="D404" s="93"/>
      <c r="E404" s="93"/>
      <c r="F404" s="95"/>
      <c r="G404" s="95"/>
      <c r="H404" s="93"/>
      <c r="I404" s="93"/>
      <c r="J404" s="93"/>
    </row>
    <row r="405" spans="1:10" s="65" customFormat="1" ht="14" x14ac:dyDescent="0.35">
      <c r="A405" s="93"/>
      <c r="B405" s="93"/>
      <c r="C405" s="93"/>
      <c r="D405" s="93"/>
      <c r="E405" s="93"/>
      <c r="F405" s="95"/>
      <c r="G405" s="95"/>
      <c r="H405" s="93"/>
      <c r="I405" s="93"/>
      <c r="J405" s="93"/>
    </row>
    <row r="406" spans="1:10" s="65" customFormat="1" ht="14" x14ac:dyDescent="0.35">
      <c r="A406" s="93"/>
      <c r="B406" s="93"/>
      <c r="C406" s="93"/>
      <c r="D406" s="93"/>
      <c r="E406" s="93"/>
      <c r="F406" s="95"/>
      <c r="G406" s="95"/>
      <c r="H406" s="93"/>
      <c r="I406" s="93"/>
      <c r="J406" s="93"/>
    </row>
    <row r="407" spans="1:10" s="65" customFormat="1" ht="14" x14ac:dyDescent="0.35">
      <c r="A407" s="93"/>
      <c r="B407" s="93"/>
      <c r="C407" s="93"/>
      <c r="D407" s="93"/>
      <c r="E407" s="93"/>
      <c r="F407" s="95"/>
      <c r="G407" s="95"/>
      <c r="H407" s="93"/>
      <c r="I407" s="93"/>
      <c r="J407" s="93"/>
    </row>
    <row r="408" spans="1:10" s="65" customFormat="1" ht="14" x14ac:dyDescent="0.35">
      <c r="A408" s="93"/>
      <c r="B408" s="93"/>
      <c r="C408" s="93"/>
      <c r="D408" s="93"/>
      <c r="E408" s="93"/>
      <c r="F408" s="95"/>
      <c r="G408" s="95"/>
      <c r="H408" s="93"/>
      <c r="I408" s="93"/>
      <c r="J408" s="93"/>
    </row>
    <row r="409" spans="1:10" s="65" customFormat="1" ht="14" x14ac:dyDescent="0.35">
      <c r="A409" s="93"/>
      <c r="B409" s="93"/>
      <c r="C409" s="93"/>
      <c r="D409" s="93"/>
      <c r="E409" s="93"/>
      <c r="F409" s="95"/>
      <c r="G409" s="95"/>
      <c r="H409" s="93"/>
      <c r="I409" s="93"/>
      <c r="J409" s="93"/>
    </row>
    <row r="410" spans="1:10" s="65" customFormat="1" ht="14" x14ac:dyDescent="0.35">
      <c r="A410" s="93"/>
      <c r="B410" s="93"/>
      <c r="C410" s="93"/>
      <c r="D410" s="93"/>
      <c r="E410" s="93"/>
      <c r="F410" s="95"/>
      <c r="G410" s="95"/>
      <c r="H410" s="93"/>
      <c r="I410" s="93"/>
      <c r="J410" s="93"/>
    </row>
    <row r="411" spans="1:10" s="65" customFormat="1" ht="14" x14ac:dyDescent="0.35">
      <c r="A411" s="93"/>
      <c r="B411" s="93"/>
      <c r="C411" s="93"/>
      <c r="D411" s="93"/>
      <c r="E411" s="93"/>
      <c r="F411" s="95"/>
      <c r="G411" s="95"/>
      <c r="H411" s="93"/>
      <c r="I411" s="93"/>
      <c r="J411" s="93"/>
    </row>
    <row r="412" spans="1:10" s="65" customFormat="1" ht="14" x14ac:dyDescent="0.35">
      <c r="A412" s="93"/>
      <c r="B412" s="93"/>
      <c r="C412" s="93"/>
      <c r="D412" s="93"/>
      <c r="E412" s="93"/>
      <c r="F412" s="95"/>
      <c r="G412" s="95"/>
      <c r="H412" s="93"/>
      <c r="I412" s="93"/>
      <c r="J412" s="93"/>
    </row>
    <row r="413" spans="1:10" s="65" customFormat="1" ht="14" x14ac:dyDescent="0.35">
      <c r="A413" s="93"/>
      <c r="B413" s="93"/>
      <c r="C413" s="93"/>
      <c r="D413" s="93"/>
      <c r="E413" s="93"/>
      <c r="F413" s="95"/>
      <c r="G413" s="95"/>
      <c r="H413" s="93"/>
      <c r="I413" s="93"/>
      <c r="J413" s="93"/>
    </row>
    <row r="414" spans="1:10" s="65" customFormat="1" ht="14" x14ac:dyDescent="0.35">
      <c r="A414" s="93"/>
      <c r="B414" s="93"/>
      <c r="C414" s="93"/>
      <c r="D414" s="93"/>
      <c r="E414" s="93"/>
      <c r="F414" s="95"/>
      <c r="G414" s="95"/>
      <c r="H414" s="93"/>
      <c r="I414" s="93"/>
      <c r="J414" s="93"/>
    </row>
    <row r="415" spans="1:10" s="65" customFormat="1" ht="14" x14ac:dyDescent="0.35">
      <c r="A415" s="93"/>
      <c r="B415" s="93"/>
      <c r="C415" s="93"/>
      <c r="D415" s="93"/>
      <c r="E415" s="93"/>
      <c r="F415" s="95"/>
      <c r="G415" s="95"/>
      <c r="H415" s="93"/>
      <c r="I415" s="93"/>
      <c r="J415" s="93"/>
    </row>
    <row r="416" spans="1:10" s="65" customFormat="1" ht="14" x14ac:dyDescent="0.35">
      <c r="A416" s="93"/>
      <c r="B416" s="93"/>
      <c r="C416" s="93"/>
      <c r="D416" s="93"/>
      <c r="E416" s="93"/>
      <c r="F416" s="95"/>
      <c r="G416" s="95"/>
      <c r="H416" s="93"/>
      <c r="I416" s="93"/>
      <c r="J416" s="93"/>
    </row>
    <row r="417" spans="1:10" s="65" customFormat="1" ht="14" x14ac:dyDescent="0.35">
      <c r="A417" s="93"/>
      <c r="B417" s="93"/>
      <c r="C417" s="93"/>
      <c r="D417" s="93"/>
      <c r="E417" s="93"/>
      <c r="F417" s="95"/>
      <c r="G417" s="95"/>
      <c r="H417" s="93"/>
      <c r="I417" s="93"/>
      <c r="J417" s="93"/>
    </row>
    <row r="418" spans="1:10" s="65" customFormat="1" ht="14" x14ac:dyDescent="0.35">
      <c r="A418" s="93"/>
      <c r="B418" s="93"/>
      <c r="C418" s="93"/>
      <c r="D418" s="93"/>
      <c r="E418" s="93"/>
      <c r="F418" s="95"/>
      <c r="G418" s="95"/>
      <c r="H418" s="93"/>
      <c r="I418" s="93"/>
      <c r="J418" s="93"/>
    </row>
    <row r="419" spans="1:10" s="65" customFormat="1" ht="14" x14ac:dyDescent="0.35">
      <c r="A419" s="93"/>
      <c r="B419" s="93"/>
      <c r="C419" s="93"/>
      <c r="D419" s="93"/>
      <c r="E419" s="93"/>
      <c r="F419" s="95"/>
      <c r="G419" s="95"/>
      <c r="H419" s="93"/>
      <c r="I419" s="93"/>
      <c r="J419" s="93"/>
    </row>
    <row r="420" spans="1:10" s="65" customFormat="1" ht="14" x14ac:dyDescent="0.35">
      <c r="A420" s="93"/>
      <c r="B420" s="93"/>
      <c r="C420" s="93"/>
      <c r="D420" s="93"/>
      <c r="E420" s="93"/>
      <c r="F420" s="95"/>
      <c r="G420" s="95"/>
      <c r="H420" s="93"/>
      <c r="I420" s="93"/>
      <c r="J420" s="93"/>
    </row>
    <row r="421" spans="1:10" s="65" customFormat="1" ht="14" x14ac:dyDescent="0.35">
      <c r="A421" s="93"/>
      <c r="B421" s="93"/>
      <c r="C421" s="93"/>
      <c r="D421" s="93"/>
      <c r="E421" s="93"/>
      <c r="F421" s="95"/>
      <c r="G421" s="95"/>
      <c r="H421" s="93"/>
      <c r="I421" s="93"/>
      <c r="J421" s="93"/>
    </row>
    <row r="422" spans="1:10" s="65" customFormat="1" ht="14" x14ac:dyDescent="0.35">
      <c r="A422" s="93"/>
      <c r="B422" s="93"/>
      <c r="C422" s="93"/>
      <c r="D422" s="93"/>
      <c r="E422" s="93"/>
      <c r="F422" s="95"/>
      <c r="G422" s="95"/>
      <c r="H422" s="93"/>
      <c r="I422" s="93"/>
      <c r="J422" s="93"/>
    </row>
    <row r="423" spans="1:10" s="65" customFormat="1" ht="14" x14ac:dyDescent="0.35">
      <c r="A423" s="93"/>
      <c r="B423" s="93"/>
      <c r="C423" s="93"/>
      <c r="D423" s="93"/>
      <c r="E423" s="93"/>
      <c r="F423" s="95"/>
      <c r="G423" s="95"/>
      <c r="H423" s="93"/>
      <c r="I423" s="93"/>
      <c r="J423" s="93"/>
    </row>
    <row r="424" spans="1:10" s="65" customFormat="1" ht="14" x14ac:dyDescent="0.35">
      <c r="A424" s="93"/>
      <c r="B424" s="93"/>
      <c r="C424" s="93"/>
      <c r="D424" s="93"/>
      <c r="E424" s="93"/>
      <c r="F424" s="95"/>
      <c r="G424" s="95"/>
      <c r="H424" s="93"/>
      <c r="I424" s="93"/>
      <c r="J424" s="93"/>
    </row>
    <row r="425" spans="1:10" s="65" customFormat="1" ht="14" x14ac:dyDescent="0.35">
      <c r="A425" s="93"/>
      <c r="B425" s="93"/>
      <c r="C425" s="93"/>
      <c r="D425" s="93"/>
      <c r="E425" s="93"/>
      <c r="F425" s="95"/>
      <c r="G425" s="95"/>
      <c r="H425" s="93"/>
      <c r="I425" s="93"/>
      <c r="J425" s="93"/>
    </row>
    <row r="426" spans="1:10" s="65" customFormat="1" ht="14" x14ac:dyDescent="0.35">
      <c r="A426" s="93"/>
      <c r="B426" s="93"/>
      <c r="C426" s="93"/>
      <c r="D426" s="93"/>
      <c r="E426" s="93"/>
      <c r="F426" s="95"/>
      <c r="G426" s="95"/>
      <c r="H426" s="93"/>
      <c r="I426" s="93"/>
      <c r="J426" s="93"/>
    </row>
    <row r="427" spans="1:10" s="65" customFormat="1" ht="14" x14ac:dyDescent="0.35">
      <c r="A427" s="93"/>
      <c r="B427" s="93"/>
      <c r="C427" s="93"/>
      <c r="D427" s="93"/>
      <c r="E427" s="93"/>
      <c r="F427" s="95"/>
      <c r="G427" s="95"/>
      <c r="H427" s="93"/>
      <c r="I427" s="93"/>
      <c r="J427" s="93"/>
    </row>
    <row r="428" spans="1:10" s="65" customFormat="1" ht="14" x14ac:dyDescent="0.35">
      <c r="A428" s="93"/>
      <c r="B428" s="93"/>
      <c r="C428" s="93"/>
      <c r="D428" s="93"/>
      <c r="E428" s="93"/>
      <c r="F428" s="95"/>
      <c r="G428" s="95"/>
      <c r="H428" s="93"/>
      <c r="I428" s="93"/>
      <c r="J428" s="93"/>
    </row>
    <row r="429" spans="1:10" s="65" customFormat="1" ht="14" x14ac:dyDescent="0.35">
      <c r="A429" s="93"/>
      <c r="B429" s="93"/>
      <c r="C429" s="93"/>
      <c r="D429" s="93"/>
      <c r="E429" s="93"/>
      <c r="F429" s="95"/>
      <c r="G429" s="95"/>
      <c r="H429" s="93"/>
      <c r="I429" s="93"/>
      <c r="J429" s="93"/>
    </row>
    <row r="430" spans="1:10" s="65" customFormat="1" ht="14" x14ac:dyDescent="0.35">
      <c r="A430" s="93"/>
      <c r="B430" s="93"/>
      <c r="C430" s="93"/>
      <c r="D430" s="93"/>
      <c r="E430" s="93"/>
      <c r="F430" s="95"/>
      <c r="G430" s="95"/>
      <c r="H430" s="93"/>
      <c r="I430" s="93"/>
      <c r="J430" s="93"/>
    </row>
    <row r="431" spans="1:10" s="65" customFormat="1" ht="14" x14ac:dyDescent="0.35">
      <c r="A431" s="93"/>
      <c r="B431" s="93"/>
      <c r="C431" s="93"/>
      <c r="D431" s="93"/>
      <c r="E431" s="93"/>
      <c r="F431" s="95"/>
      <c r="G431" s="95"/>
      <c r="H431" s="93"/>
      <c r="I431" s="93"/>
      <c r="J431" s="93"/>
    </row>
    <row r="432" spans="1:10" s="65" customFormat="1" ht="14" x14ac:dyDescent="0.35">
      <c r="A432" s="93"/>
      <c r="B432" s="93"/>
      <c r="C432" s="93"/>
      <c r="D432" s="93"/>
      <c r="E432" s="93"/>
      <c r="F432" s="95"/>
      <c r="G432" s="95"/>
      <c r="H432" s="93"/>
      <c r="I432" s="93"/>
      <c r="J432" s="93"/>
    </row>
    <row r="433" spans="1:10" s="65" customFormat="1" ht="14" x14ac:dyDescent="0.35">
      <c r="A433" s="93"/>
      <c r="B433" s="93"/>
      <c r="C433" s="93"/>
      <c r="D433" s="93"/>
      <c r="E433" s="93"/>
      <c r="F433" s="95"/>
      <c r="G433" s="95"/>
      <c r="H433" s="93"/>
      <c r="I433" s="93"/>
      <c r="J433" s="93"/>
    </row>
    <row r="434" spans="1:10" s="65" customFormat="1" ht="14" x14ac:dyDescent="0.35">
      <c r="A434" s="93"/>
      <c r="B434" s="93"/>
      <c r="C434" s="93"/>
      <c r="D434" s="93"/>
      <c r="E434" s="93"/>
      <c r="F434" s="95"/>
      <c r="G434" s="95"/>
      <c r="H434" s="93"/>
      <c r="I434" s="93"/>
      <c r="J434" s="93"/>
    </row>
    <row r="435" spans="1:10" s="65" customFormat="1" ht="14" x14ac:dyDescent="0.35">
      <c r="A435" s="93"/>
      <c r="B435" s="93"/>
      <c r="C435" s="93"/>
      <c r="D435" s="93"/>
      <c r="E435" s="93"/>
      <c r="F435" s="95"/>
      <c r="G435" s="95"/>
      <c r="H435" s="93"/>
      <c r="I435" s="93"/>
      <c r="J435" s="93"/>
    </row>
    <row r="436" spans="1:10" s="65" customFormat="1" ht="14" x14ac:dyDescent="0.35">
      <c r="A436" s="93"/>
      <c r="B436" s="93"/>
      <c r="C436" s="93"/>
      <c r="D436" s="93"/>
      <c r="E436" s="93"/>
      <c r="F436" s="95"/>
      <c r="G436" s="95"/>
      <c r="H436" s="93"/>
      <c r="I436" s="93"/>
      <c r="J436" s="93"/>
    </row>
    <row r="437" spans="1:10" s="65" customFormat="1" ht="14" x14ac:dyDescent="0.35">
      <c r="A437" s="93"/>
      <c r="B437" s="93"/>
      <c r="C437" s="93"/>
      <c r="D437" s="93"/>
      <c r="E437" s="93"/>
      <c r="F437" s="95"/>
      <c r="G437" s="95"/>
      <c r="H437" s="93"/>
      <c r="I437" s="93"/>
      <c r="J437" s="93"/>
    </row>
    <row r="438" spans="1:10" s="65" customFormat="1" ht="14" x14ac:dyDescent="0.35">
      <c r="A438" s="93"/>
      <c r="B438" s="93"/>
      <c r="C438" s="93"/>
      <c r="D438" s="93"/>
      <c r="E438" s="93"/>
      <c r="F438" s="95"/>
      <c r="G438" s="95"/>
      <c r="H438" s="93"/>
      <c r="I438" s="93"/>
      <c r="J438" s="93"/>
    </row>
    <row r="439" spans="1:10" s="65" customFormat="1" ht="14" x14ac:dyDescent="0.35">
      <c r="A439" s="93"/>
      <c r="B439" s="93"/>
      <c r="C439" s="93"/>
      <c r="D439" s="93"/>
      <c r="E439" s="93"/>
      <c r="F439" s="95"/>
      <c r="G439" s="95"/>
      <c r="H439" s="93"/>
      <c r="I439" s="93"/>
      <c r="J439" s="93"/>
    </row>
    <row r="440" spans="1:10" s="65" customFormat="1" ht="14" x14ac:dyDescent="0.35">
      <c r="A440" s="93"/>
      <c r="B440" s="93"/>
      <c r="C440" s="93"/>
      <c r="D440" s="93"/>
      <c r="E440" s="93"/>
      <c r="F440" s="95"/>
      <c r="G440" s="95"/>
      <c r="H440" s="93"/>
      <c r="I440" s="93"/>
      <c r="J440" s="93"/>
    </row>
    <row r="441" spans="1:10" s="65" customFormat="1" ht="14" x14ac:dyDescent="0.35">
      <c r="A441" s="93"/>
      <c r="B441" s="93"/>
      <c r="C441" s="93"/>
      <c r="D441" s="93"/>
      <c r="E441" s="93"/>
      <c r="F441" s="95"/>
      <c r="G441" s="95"/>
      <c r="H441" s="93"/>
      <c r="I441" s="93"/>
      <c r="J441" s="93"/>
    </row>
    <row r="442" spans="1:10" s="65" customFormat="1" ht="14" x14ac:dyDescent="0.35">
      <c r="A442" s="93"/>
      <c r="B442" s="93"/>
      <c r="C442" s="93"/>
      <c r="D442" s="93"/>
      <c r="E442" s="93"/>
      <c r="F442" s="95"/>
      <c r="G442" s="95"/>
      <c r="H442" s="93"/>
      <c r="I442" s="93"/>
      <c r="J442" s="93"/>
    </row>
    <row r="443" spans="1:10" s="65" customFormat="1" ht="14" x14ac:dyDescent="0.35">
      <c r="A443" s="93"/>
      <c r="B443" s="93"/>
      <c r="C443" s="93"/>
      <c r="D443" s="93"/>
      <c r="E443" s="93"/>
      <c r="F443" s="95"/>
      <c r="G443" s="95"/>
      <c r="H443" s="93"/>
      <c r="I443" s="93"/>
      <c r="J443" s="93"/>
    </row>
    <row r="444" spans="1:10" s="65" customFormat="1" ht="14" x14ac:dyDescent="0.35">
      <c r="A444" s="93"/>
      <c r="B444" s="93"/>
      <c r="C444" s="93"/>
      <c r="D444" s="93"/>
      <c r="E444" s="93"/>
      <c r="F444" s="95"/>
      <c r="G444" s="95"/>
      <c r="H444" s="93"/>
      <c r="I444" s="93"/>
      <c r="J444" s="93"/>
    </row>
    <row r="445" spans="1:10" s="65" customFormat="1" ht="14" x14ac:dyDescent="0.35">
      <c r="A445" s="93"/>
      <c r="B445" s="93"/>
      <c r="C445" s="93"/>
      <c r="D445" s="93"/>
      <c r="E445" s="93"/>
      <c r="F445" s="95"/>
      <c r="G445" s="95"/>
      <c r="H445" s="93"/>
      <c r="I445" s="93"/>
      <c r="J445" s="93"/>
    </row>
    <row r="446" spans="1:10" s="65" customFormat="1" ht="14" x14ac:dyDescent="0.35">
      <c r="A446" s="93"/>
      <c r="B446" s="93"/>
      <c r="C446" s="93"/>
      <c r="D446" s="93"/>
      <c r="E446" s="93"/>
      <c r="F446" s="95"/>
      <c r="G446" s="95"/>
      <c r="H446" s="93"/>
      <c r="I446" s="93"/>
      <c r="J446" s="93"/>
    </row>
    <row r="447" spans="1:10" s="65" customFormat="1" ht="14" x14ac:dyDescent="0.35">
      <c r="A447" s="93"/>
      <c r="B447" s="93"/>
      <c r="C447" s="93"/>
      <c r="D447" s="93"/>
      <c r="E447" s="93"/>
      <c r="F447" s="95"/>
      <c r="G447" s="95"/>
      <c r="H447" s="93"/>
      <c r="I447" s="93"/>
      <c r="J447" s="93"/>
    </row>
    <row r="448" spans="1:10" s="65" customFormat="1" ht="14" x14ac:dyDescent="0.35">
      <c r="A448" s="93"/>
      <c r="B448" s="93"/>
      <c r="C448" s="93"/>
      <c r="D448" s="93"/>
      <c r="E448" s="93"/>
      <c r="F448" s="95"/>
      <c r="G448" s="95"/>
      <c r="H448" s="93"/>
      <c r="I448" s="93"/>
      <c r="J448" s="93"/>
    </row>
    <row r="449" spans="1:10" s="65" customFormat="1" ht="14" x14ac:dyDescent="0.35">
      <c r="A449" s="93"/>
      <c r="B449" s="93"/>
      <c r="C449" s="93"/>
      <c r="D449" s="93"/>
      <c r="E449" s="93"/>
      <c r="F449" s="95"/>
      <c r="G449" s="95"/>
      <c r="H449" s="93"/>
      <c r="I449" s="93"/>
      <c r="J449" s="93"/>
    </row>
    <row r="450" spans="1:10" s="65" customFormat="1" ht="14" x14ac:dyDescent="0.35">
      <c r="A450" s="93"/>
      <c r="B450" s="93"/>
      <c r="C450" s="93"/>
      <c r="D450" s="93"/>
      <c r="E450" s="93"/>
      <c r="F450" s="95"/>
      <c r="G450" s="95"/>
      <c r="H450" s="93"/>
      <c r="I450" s="93"/>
      <c r="J450" s="93"/>
    </row>
    <row r="451" spans="1:10" s="65" customFormat="1" ht="14" x14ac:dyDescent="0.35">
      <c r="A451" s="93"/>
      <c r="B451" s="93"/>
      <c r="C451" s="93"/>
      <c r="D451" s="93"/>
      <c r="E451" s="93"/>
      <c r="F451" s="95"/>
      <c r="G451" s="95"/>
      <c r="H451" s="93"/>
      <c r="I451" s="93"/>
      <c r="J451" s="93"/>
    </row>
    <row r="452" spans="1:10" s="65" customFormat="1" ht="14" x14ac:dyDescent="0.35">
      <c r="A452" s="93"/>
      <c r="B452" s="93"/>
      <c r="C452" s="93"/>
      <c r="D452" s="93"/>
      <c r="E452" s="93"/>
      <c r="F452" s="95"/>
      <c r="G452" s="95"/>
      <c r="H452" s="93"/>
      <c r="I452" s="93"/>
      <c r="J452" s="93"/>
    </row>
    <row r="453" spans="1:10" s="65" customFormat="1" ht="14" x14ac:dyDescent="0.35">
      <c r="A453" s="93"/>
      <c r="B453" s="93"/>
      <c r="C453" s="93"/>
      <c r="D453" s="93"/>
      <c r="E453" s="93"/>
      <c r="F453" s="95"/>
      <c r="G453" s="95"/>
      <c r="H453" s="93"/>
      <c r="I453" s="93"/>
      <c r="J453" s="93"/>
    </row>
    <row r="454" spans="1:10" s="65" customFormat="1" ht="14" x14ac:dyDescent="0.35">
      <c r="A454" s="93"/>
      <c r="B454" s="93"/>
      <c r="C454" s="93"/>
      <c r="D454" s="93"/>
      <c r="E454" s="93"/>
      <c r="F454" s="95"/>
      <c r="G454" s="95"/>
      <c r="H454" s="93"/>
      <c r="I454" s="93"/>
      <c r="J454" s="93"/>
    </row>
    <row r="455" spans="1:10" s="65" customFormat="1" ht="14" x14ac:dyDescent="0.35">
      <c r="A455" s="93"/>
      <c r="B455" s="93"/>
      <c r="C455" s="93"/>
      <c r="D455" s="93"/>
      <c r="E455" s="93"/>
      <c r="F455" s="95"/>
      <c r="G455" s="95"/>
      <c r="H455" s="93"/>
      <c r="I455" s="93"/>
      <c r="J455" s="93"/>
    </row>
    <row r="456" spans="1:10" s="65" customFormat="1" ht="14" x14ac:dyDescent="0.35">
      <c r="A456" s="93"/>
      <c r="B456" s="93"/>
      <c r="C456" s="93"/>
      <c r="D456" s="93"/>
      <c r="E456" s="93"/>
      <c r="F456" s="95"/>
      <c r="G456" s="95"/>
      <c r="H456" s="93"/>
      <c r="I456" s="93"/>
      <c r="J456" s="93"/>
    </row>
    <row r="457" spans="1:10" s="65" customFormat="1" ht="14" x14ac:dyDescent="0.35">
      <c r="A457" s="93"/>
      <c r="B457" s="93"/>
      <c r="C457" s="93"/>
      <c r="D457" s="93"/>
      <c r="E457" s="93"/>
      <c r="F457" s="95"/>
      <c r="G457" s="95"/>
      <c r="H457" s="93"/>
      <c r="I457" s="93"/>
      <c r="J457" s="93"/>
    </row>
    <row r="458" spans="1:10" s="65" customFormat="1" ht="14" x14ac:dyDescent="0.35">
      <c r="A458" s="93"/>
      <c r="B458" s="93"/>
      <c r="C458" s="93"/>
      <c r="D458" s="93"/>
      <c r="E458" s="93"/>
      <c r="F458" s="95"/>
      <c r="G458" s="95"/>
      <c r="H458" s="93"/>
      <c r="I458" s="93"/>
      <c r="J458" s="93"/>
    </row>
    <row r="459" spans="1:10" s="65" customFormat="1" ht="14" x14ac:dyDescent="0.35">
      <c r="A459" s="93"/>
      <c r="B459" s="93"/>
      <c r="C459" s="93"/>
      <c r="D459" s="93"/>
      <c r="E459" s="93"/>
      <c r="F459" s="95"/>
      <c r="G459" s="95"/>
      <c r="H459" s="93"/>
      <c r="I459" s="93"/>
      <c r="J459" s="93"/>
    </row>
    <row r="460" spans="1:10" s="65" customFormat="1" ht="14" x14ac:dyDescent="0.35">
      <c r="A460" s="93"/>
      <c r="B460" s="93"/>
      <c r="C460" s="93"/>
      <c r="D460" s="93"/>
      <c r="E460" s="93"/>
      <c r="F460" s="95"/>
      <c r="G460" s="95"/>
      <c r="H460" s="93"/>
      <c r="I460" s="93"/>
      <c r="J460" s="93"/>
    </row>
    <row r="461" spans="1:10" s="65" customFormat="1" ht="14" x14ac:dyDescent="0.35">
      <c r="A461" s="93"/>
      <c r="B461" s="93"/>
      <c r="C461" s="93"/>
      <c r="D461" s="93"/>
      <c r="E461" s="93"/>
      <c r="F461" s="95"/>
      <c r="G461" s="95"/>
      <c r="H461" s="93"/>
      <c r="I461" s="93"/>
      <c r="J461" s="93"/>
    </row>
    <row r="462" spans="1:10" s="65" customFormat="1" ht="14" x14ac:dyDescent="0.35">
      <c r="A462" s="93"/>
      <c r="B462" s="93"/>
      <c r="C462" s="93"/>
      <c r="D462" s="93"/>
      <c r="E462" s="93"/>
      <c r="F462" s="95"/>
      <c r="G462" s="95"/>
      <c r="H462" s="93"/>
      <c r="I462" s="93"/>
      <c r="J462" s="93"/>
    </row>
    <row r="463" spans="1:10" s="65" customFormat="1" ht="14" x14ac:dyDescent="0.35">
      <c r="A463" s="93"/>
      <c r="B463" s="93"/>
      <c r="C463" s="93"/>
      <c r="D463" s="93"/>
      <c r="E463" s="93"/>
      <c r="F463" s="95"/>
      <c r="G463" s="95"/>
      <c r="H463" s="93"/>
      <c r="I463" s="93"/>
      <c r="J463" s="93"/>
    </row>
    <row r="464" spans="1:10" s="65" customFormat="1" ht="14" x14ac:dyDescent="0.35">
      <c r="A464" s="93"/>
      <c r="B464" s="93"/>
      <c r="C464" s="93"/>
      <c r="D464" s="93"/>
      <c r="E464" s="93"/>
      <c r="F464" s="95"/>
      <c r="G464" s="95"/>
      <c r="H464" s="93"/>
      <c r="I464" s="93"/>
      <c r="J464" s="93"/>
    </row>
    <row r="465" spans="1:10" s="65" customFormat="1" ht="14" x14ac:dyDescent="0.35">
      <c r="A465" s="93"/>
      <c r="B465" s="93"/>
      <c r="C465" s="93"/>
      <c r="D465" s="93"/>
      <c r="E465" s="93"/>
      <c r="F465" s="95"/>
      <c r="G465" s="95"/>
      <c r="H465" s="93"/>
      <c r="I465" s="93"/>
      <c r="J465" s="93"/>
    </row>
    <row r="466" spans="1:10" s="65" customFormat="1" ht="14" x14ac:dyDescent="0.35">
      <c r="A466" s="93"/>
      <c r="B466" s="93"/>
      <c r="C466" s="93"/>
      <c r="D466" s="93"/>
      <c r="E466" s="93"/>
      <c r="F466" s="95"/>
      <c r="G466" s="95"/>
      <c r="H466" s="93"/>
      <c r="I466" s="93"/>
      <c r="J466" s="93"/>
    </row>
    <row r="467" spans="1:10" s="65" customFormat="1" ht="14" x14ac:dyDescent="0.35">
      <c r="A467" s="93"/>
      <c r="B467" s="93"/>
      <c r="C467" s="93"/>
      <c r="D467" s="93"/>
      <c r="E467" s="93"/>
      <c r="F467" s="95"/>
      <c r="G467" s="95"/>
      <c r="H467" s="93"/>
      <c r="I467" s="93"/>
      <c r="J467" s="93"/>
    </row>
    <row r="468" spans="1:10" s="65" customFormat="1" ht="14" x14ac:dyDescent="0.35">
      <c r="A468" s="93"/>
      <c r="B468" s="93"/>
      <c r="C468" s="93"/>
      <c r="D468" s="93"/>
      <c r="E468" s="93"/>
      <c r="F468" s="95"/>
      <c r="G468" s="95"/>
      <c r="H468" s="93"/>
      <c r="I468" s="93"/>
      <c r="J468" s="93"/>
    </row>
    <row r="469" spans="1:10" s="65" customFormat="1" ht="14" x14ac:dyDescent="0.35">
      <c r="A469" s="93"/>
      <c r="B469" s="93"/>
      <c r="C469" s="93"/>
      <c r="D469" s="93"/>
      <c r="E469" s="93"/>
      <c r="F469" s="95"/>
      <c r="G469" s="95"/>
      <c r="H469" s="93"/>
      <c r="I469" s="93"/>
      <c r="J469" s="93"/>
    </row>
    <row r="470" spans="1:10" s="65" customFormat="1" ht="14" x14ac:dyDescent="0.35">
      <c r="A470" s="93"/>
      <c r="B470" s="93"/>
      <c r="C470" s="93"/>
      <c r="D470" s="93"/>
      <c r="E470" s="93"/>
      <c r="F470" s="95"/>
      <c r="G470" s="95"/>
      <c r="H470" s="93"/>
      <c r="I470" s="93"/>
      <c r="J470" s="93"/>
    </row>
    <row r="471" spans="1:10" s="65" customFormat="1" ht="14" x14ac:dyDescent="0.35">
      <c r="A471" s="93"/>
      <c r="B471" s="93"/>
      <c r="C471" s="93"/>
      <c r="D471" s="93"/>
      <c r="E471" s="93"/>
      <c r="F471" s="95"/>
      <c r="G471" s="95"/>
      <c r="H471" s="93"/>
      <c r="I471" s="93"/>
      <c r="J471" s="93"/>
    </row>
    <row r="472" spans="1:10" s="65" customFormat="1" ht="14" x14ac:dyDescent="0.35">
      <c r="A472" s="93"/>
      <c r="B472" s="93"/>
      <c r="C472" s="93"/>
      <c r="D472" s="93"/>
      <c r="E472" s="93"/>
      <c r="F472" s="95"/>
      <c r="G472" s="95"/>
      <c r="H472" s="93"/>
      <c r="I472" s="93"/>
      <c r="J472" s="93"/>
    </row>
    <row r="473" spans="1:10" s="65" customFormat="1" ht="14" x14ac:dyDescent="0.35">
      <c r="A473" s="93"/>
      <c r="B473" s="93"/>
      <c r="C473" s="93"/>
      <c r="D473" s="93"/>
      <c r="E473" s="93"/>
      <c r="F473" s="95"/>
      <c r="G473" s="95"/>
      <c r="H473" s="93"/>
      <c r="I473" s="93"/>
      <c r="J473" s="93"/>
    </row>
    <row r="474" spans="1:10" s="65" customFormat="1" ht="14" x14ac:dyDescent="0.35">
      <c r="A474" s="93"/>
      <c r="B474" s="93"/>
      <c r="C474" s="93"/>
      <c r="D474" s="93"/>
      <c r="E474" s="93"/>
      <c r="F474" s="95"/>
      <c r="G474" s="95"/>
      <c r="H474" s="93"/>
      <c r="I474" s="93"/>
      <c r="J474" s="93"/>
    </row>
    <row r="475" spans="1:10" s="65" customFormat="1" ht="14" x14ac:dyDescent="0.35">
      <c r="A475" s="93"/>
      <c r="B475" s="93"/>
      <c r="C475" s="93"/>
      <c r="D475" s="93"/>
      <c r="E475" s="93"/>
      <c r="F475" s="95"/>
      <c r="G475" s="95"/>
      <c r="H475" s="93"/>
      <c r="I475" s="93"/>
      <c r="J475" s="93"/>
    </row>
    <row r="476" spans="1:10" s="65" customFormat="1" ht="14" x14ac:dyDescent="0.35">
      <c r="A476" s="93"/>
      <c r="B476" s="93"/>
      <c r="C476" s="93"/>
      <c r="D476" s="93"/>
      <c r="E476" s="93"/>
      <c r="F476" s="95"/>
      <c r="G476" s="95"/>
      <c r="H476" s="93"/>
      <c r="I476" s="93"/>
      <c r="J476" s="93"/>
    </row>
    <row r="477" spans="1:10" s="65" customFormat="1" ht="14" x14ac:dyDescent="0.35">
      <c r="A477" s="93"/>
      <c r="B477" s="93"/>
      <c r="C477" s="93"/>
      <c r="D477" s="93"/>
      <c r="E477" s="93"/>
      <c r="F477" s="95"/>
      <c r="G477" s="95"/>
      <c r="H477" s="93"/>
      <c r="I477" s="93"/>
      <c r="J477" s="93"/>
    </row>
    <row r="478" spans="1:10" s="65" customFormat="1" ht="14" x14ac:dyDescent="0.35">
      <c r="A478" s="93"/>
      <c r="B478" s="93"/>
      <c r="C478" s="93"/>
      <c r="D478" s="93"/>
      <c r="E478" s="93"/>
      <c r="F478" s="95"/>
      <c r="G478" s="95"/>
      <c r="H478" s="93"/>
      <c r="I478" s="93"/>
      <c r="J478" s="93"/>
    </row>
    <row r="479" spans="1:10" s="65" customFormat="1" ht="14" x14ac:dyDescent="0.35">
      <c r="A479" s="93"/>
      <c r="B479" s="93"/>
      <c r="C479" s="93"/>
      <c r="D479" s="93"/>
      <c r="E479" s="93"/>
      <c r="F479" s="95"/>
      <c r="G479" s="95"/>
      <c r="H479" s="93"/>
      <c r="I479" s="93"/>
      <c r="J479" s="93"/>
    </row>
    <row r="480" spans="1:10" s="65" customFormat="1" ht="14" x14ac:dyDescent="0.35">
      <c r="A480" s="93"/>
      <c r="B480" s="93"/>
      <c r="C480" s="93"/>
      <c r="D480" s="93"/>
      <c r="E480" s="93"/>
      <c r="F480" s="95"/>
      <c r="G480" s="95"/>
      <c r="H480" s="93"/>
      <c r="I480" s="93"/>
      <c r="J480" s="93"/>
    </row>
    <row r="481" spans="1:10" s="65" customFormat="1" ht="14" x14ac:dyDescent="0.35">
      <c r="A481" s="93"/>
      <c r="B481" s="93"/>
      <c r="C481" s="93"/>
      <c r="D481" s="93"/>
      <c r="E481" s="93"/>
      <c r="F481" s="95"/>
      <c r="G481" s="95"/>
      <c r="H481" s="93"/>
      <c r="I481" s="93"/>
      <c r="J481" s="93"/>
    </row>
    <row r="482" spans="1:10" s="65" customFormat="1" ht="14" x14ac:dyDescent="0.35">
      <c r="A482" s="93"/>
      <c r="B482" s="93"/>
      <c r="C482" s="93"/>
      <c r="D482" s="93"/>
      <c r="E482" s="93"/>
      <c r="F482" s="95"/>
      <c r="G482" s="95"/>
      <c r="H482" s="93"/>
      <c r="I482" s="93"/>
      <c r="J482" s="93"/>
    </row>
    <row r="483" spans="1:10" s="65" customFormat="1" ht="14" x14ac:dyDescent="0.35">
      <c r="A483" s="93"/>
      <c r="B483" s="93"/>
      <c r="C483" s="93"/>
      <c r="D483" s="93"/>
      <c r="E483" s="93"/>
      <c r="F483" s="95"/>
      <c r="G483" s="95"/>
      <c r="H483" s="93"/>
      <c r="I483" s="93"/>
      <c r="J483" s="93"/>
    </row>
    <row r="484" spans="1:10" s="65" customFormat="1" ht="14" x14ac:dyDescent="0.35">
      <c r="A484" s="93"/>
      <c r="B484" s="93"/>
      <c r="C484" s="93"/>
      <c r="D484" s="93"/>
      <c r="E484" s="93"/>
      <c r="F484" s="95"/>
      <c r="G484" s="95"/>
      <c r="H484" s="93"/>
      <c r="I484" s="93"/>
      <c r="J484" s="93"/>
    </row>
    <row r="485" spans="1:10" s="65" customFormat="1" ht="14" x14ac:dyDescent="0.35">
      <c r="A485" s="93"/>
      <c r="B485" s="93"/>
      <c r="C485" s="93"/>
      <c r="D485" s="93"/>
      <c r="E485" s="93"/>
      <c r="F485" s="95"/>
      <c r="G485" s="95"/>
      <c r="H485" s="93"/>
      <c r="I485" s="93"/>
      <c r="J485" s="93"/>
    </row>
    <row r="486" spans="1:10" s="65" customFormat="1" ht="14" x14ac:dyDescent="0.35">
      <c r="A486" s="93"/>
      <c r="B486" s="93"/>
      <c r="C486" s="93"/>
      <c r="D486" s="93"/>
      <c r="E486" s="93"/>
      <c r="F486" s="95"/>
      <c r="G486" s="95"/>
      <c r="H486" s="93"/>
      <c r="I486" s="93"/>
      <c r="J486" s="93"/>
    </row>
    <row r="487" spans="1:10" s="65" customFormat="1" ht="14" x14ac:dyDescent="0.35">
      <c r="A487" s="93"/>
      <c r="B487" s="93"/>
      <c r="C487" s="93"/>
      <c r="D487" s="93"/>
      <c r="E487" s="93"/>
      <c r="F487" s="95"/>
      <c r="G487" s="95"/>
      <c r="H487" s="93"/>
      <c r="I487" s="93"/>
      <c r="J487" s="93"/>
    </row>
    <row r="488" spans="1:10" s="65" customFormat="1" ht="14" x14ac:dyDescent="0.35">
      <c r="A488" s="93"/>
      <c r="B488" s="93"/>
      <c r="C488" s="93"/>
      <c r="D488" s="93"/>
      <c r="E488" s="93"/>
      <c r="F488" s="95"/>
      <c r="G488" s="95"/>
      <c r="H488" s="93"/>
      <c r="I488" s="93"/>
      <c r="J488" s="93"/>
    </row>
    <row r="489" spans="1:10" s="65" customFormat="1" ht="14" x14ac:dyDescent="0.35">
      <c r="A489" s="93"/>
      <c r="B489" s="93"/>
      <c r="C489" s="93"/>
      <c r="D489" s="93"/>
      <c r="E489" s="93"/>
      <c r="F489" s="95"/>
      <c r="G489" s="95"/>
      <c r="H489" s="93"/>
      <c r="I489" s="93"/>
      <c r="J489" s="93"/>
    </row>
    <row r="490" spans="1:10" s="65" customFormat="1" ht="14" x14ac:dyDescent="0.35">
      <c r="A490" s="93"/>
      <c r="B490" s="93"/>
      <c r="C490" s="93"/>
      <c r="D490" s="93"/>
      <c r="E490" s="93"/>
      <c r="F490" s="95"/>
      <c r="G490" s="95"/>
      <c r="H490" s="93"/>
      <c r="I490" s="93"/>
      <c r="J490" s="93"/>
    </row>
    <row r="491" spans="1:10" s="65" customFormat="1" ht="14" x14ac:dyDescent="0.35">
      <c r="A491" s="93"/>
      <c r="B491" s="93"/>
      <c r="C491" s="93"/>
      <c r="D491" s="93"/>
      <c r="E491" s="93"/>
      <c r="F491" s="95"/>
      <c r="G491" s="95"/>
      <c r="H491" s="93"/>
      <c r="I491" s="93"/>
      <c r="J491" s="93"/>
    </row>
    <row r="492" spans="1:10" s="65" customFormat="1" ht="14" x14ac:dyDescent="0.35">
      <c r="A492" s="93"/>
      <c r="B492" s="93"/>
      <c r="C492" s="93"/>
      <c r="D492" s="93"/>
      <c r="E492" s="93"/>
      <c r="F492" s="95"/>
      <c r="G492" s="95"/>
      <c r="H492" s="93"/>
      <c r="I492" s="93"/>
      <c r="J492" s="93"/>
    </row>
    <row r="493" spans="1:10" s="65" customFormat="1" ht="14" x14ac:dyDescent="0.35">
      <c r="A493" s="93"/>
      <c r="B493" s="93"/>
      <c r="C493" s="93"/>
      <c r="D493" s="93"/>
      <c r="E493" s="93"/>
      <c r="F493" s="95"/>
      <c r="G493" s="95"/>
      <c r="H493" s="93"/>
      <c r="I493" s="93"/>
      <c r="J493" s="93"/>
    </row>
    <row r="494" spans="1:10" s="65" customFormat="1" ht="14" x14ac:dyDescent="0.35">
      <c r="A494" s="93"/>
      <c r="B494" s="93"/>
      <c r="C494" s="93"/>
      <c r="D494" s="93"/>
      <c r="E494" s="93"/>
      <c r="F494" s="95"/>
      <c r="G494" s="95"/>
      <c r="H494" s="93"/>
      <c r="I494" s="93"/>
      <c r="J494" s="93"/>
    </row>
    <row r="495" spans="1:10" s="65" customFormat="1" ht="14" x14ac:dyDescent="0.35">
      <c r="A495" s="93"/>
      <c r="B495" s="93"/>
      <c r="C495" s="93"/>
      <c r="D495" s="93"/>
      <c r="E495" s="93"/>
      <c r="F495" s="95"/>
      <c r="G495" s="95"/>
      <c r="H495" s="93"/>
      <c r="I495" s="93"/>
      <c r="J495" s="93"/>
    </row>
    <row r="496" spans="1:10" s="65" customFormat="1" ht="14" x14ac:dyDescent="0.35">
      <c r="A496" s="93"/>
      <c r="B496" s="93"/>
      <c r="C496" s="93"/>
      <c r="D496" s="93"/>
      <c r="E496" s="93"/>
      <c r="F496" s="95"/>
      <c r="G496" s="95"/>
      <c r="H496" s="93"/>
      <c r="I496" s="93"/>
      <c r="J496" s="93"/>
    </row>
    <row r="497" spans="1:10" s="65" customFormat="1" ht="14" x14ac:dyDescent="0.35">
      <c r="A497" s="93"/>
      <c r="B497" s="93"/>
      <c r="C497" s="93"/>
      <c r="D497" s="93"/>
      <c r="E497" s="93"/>
      <c r="F497" s="95"/>
      <c r="G497" s="95"/>
      <c r="H497" s="93"/>
      <c r="I497" s="93"/>
      <c r="J497" s="93"/>
    </row>
    <row r="498" spans="1:10" s="65" customFormat="1" ht="14" x14ac:dyDescent="0.35">
      <c r="A498" s="93"/>
      <c r="B498" s="93"/>
      <c r="C498" s="93"/>
      <c r="D498" s="93"/>
      <c r="E498" s="93"/>
      <c r="F498" s="95"/>
      <c r="G498" s="95"/>
      <c r="H498" s="93"/>
      <c r="I498" s="93"/>
      <c r="J498" s="93"/>
    </row>
    <row r="499" spans="1:10" s="65" customFormat="1" ht="14" x14ac:dyDescent="0.35">
      <c r="A499" s="93"/>
      <c r="B499" s="93"/>
      <c r="C499" s="93"/>
      <c r="D499" s="93"/>
      <c r="E499" s="93"/>
      <c r="F499" s="95"/>
      <c r="G499" s="95"/>
      <c r="H499" s="93"/>
      <c r="I499" s="93"/>
      <c r="J499" s="93"/>
    </row>
    <row r="500" spans="1:10" s="65" customFormat="1" ht="14" x14ac:dyDescent="0.35">
      <c r="A500" s="93"/>
      <c r="B500" s="93"/>
      <c r="C500" s="93"/>
      <c r="D500" s="93"/>
      <c r="E500" s="93"/>
      <c r="F500" s="95"/>
      <c r="G500" s="95"/>
      <c r="H500" s="93"/>
      <c r="I500" s="93"/>
      <c r="J500" s="93"/>
    </row>
    <row r="501" spans="1:10" s="65" customFormat="1" ht="14" x14ac:dyDescent="0.35">
      <c r="A501" s="93"/>
      <c r="B501" s="93"/>
      <c r="C501" s="93"/>
      <c r="D501" s="93"/>
      <c r="E501" s="93"/>
      <c r="F501" s="95"/>
      <c r="G501" s="95"/>
      <c r="H501" s="93"/>
      <c r="I501" s="93"/>
      <c r="J501" s="93"/>
    </row>
    <row r="502" spans="1:10" s="65" customFormat="1" ht="14" x14ac:dyDescent="0.35">
      <c r="A502" s="93"/>
      <c r="B502" s="93"/>
      <c r="C502" s="93"/>
      <c r="D502" s="93"/>
      <c r="E502" s="93"/>
      <c r="F502" s="95"/>
      <c r="G502" s="95"/>
      <c r="H502" s="93"/>
      <c r="I502" s="93"/>
      <c r="J502" s="93"/>
    </row>
    <row r="503" spans="1:10" s="65" customFormat="1" ht="14" x14ac:dyDescent="0.35">
      <c r="A503" s="93"/>
      <c r="B503" s="93"/>
      <c r="C503" s="93"/>
      <c r="D503" s="93"/>
      <c r="E503" s="93"/>
      <c r="F503" s="95"/>
      <c r="G503" s="95"/>
      <c r="H503" s="93"/>
      <c r="I503" s="93"/>
      <c r="J503" s="93"/>
    </row>
    <row r="504" spans="1:10" s="65" customFormat="1" ht="14" x14ac:dyDescent="0.35">
      <c r="A504" s="93"/>
      <c r="B504" s="93"/>
      <c r="C504" s="93"/>
      <c r="D504" s="93"/>
      <c r="E504" s="93"/>
      <c r="F504" s="95"/>
      <c r="G504" s="95"/>
      <c r="H504" s="93"/>
      <c r="I504" s="93"/>
      <c r="J504" s="93"/>
    </row>
    <row r="505" spans="1:10" s="65" customFormat="1" ht="14" x14ac:dyDescent="0.35">
      <c r="A505" s="93"/>
      <c r="B505" s="93"/>
      <c r="C505" s="93"/>
      <c r="D505" s="93"/>
      <c r="E505" s="93"/>
      <c r="F505" s="95"/>
      <c r="G505" s="95"/>
      <c r="H505" s="93"/>
      <c r="I505" s="93"/>
      <c r="J505" s="93"/>
    </row>
    <row r="506" spans="1:10" s="65" customFormat="1" ht="14" x14ac:dyDescent="0.35">
      <c r="A506" s="93"/>
      <c r="B506" s="93"/>
      <c r="C506" s="93"/>
      <c r="D506" s="93"/>
      <c r="E506" s="93"/>
      <c r="F506" s="95"/>
      <c r="G506" s="95"/>
      <c r="H506" s="93"/>
      <c r="I506" s="93"/>
      <c r="J506" s="93"/>
    </row>
    <row r="507" spans="1:10" s="65" customFormat="1" ht="14" x14ac:dyDescent="0.35">
      <c r="A507" s="93"/>
      <c r="B507" s="93"/>
      <c r="C507" s="93"/>
      <c r="D507" s="93"/>
      <c r="E507" s="93"/>
      <c r="F507" s="95"/>
      <c r="G507" s="95"/>
      <c r="H507" s="93"/>
      <c r="I507" s="93"/>
      <c r="J507" s="93"/>
    </row>
    <row r="508" spans="1:10" s="65" customFormat="1" ht="14" x14ac:dyDescent="0.35">
      <c r="A508" s="93"/>
      <c r="B508" s="93"/>
      <c r="C508" s="93"/>
      <c r="D508" s="93"/>
      <c r="E508" s="93"/>
      <c r="F508" s="95"/>
      <c r="G508" s="95"/>
      <c r="H508" s="93"/>
      <c r="I508" s="93"/>
      <c r="J508" s="93"/>
    </row>
    <row r="509" spans="1:10" s="65" customFormat="1" ht="14" x14ac:dyDescent="0.35">
      <c r="A509" s="93"/>
      <c r="B509" s="93"/>
      <c r="C509" s="93"/>
      <c r="D509" s="93"/>
      <c r="E509" s="93"/>
      <c r="F509" s="95"/>
      <c r="G509" s="95"/>
      <c r="H509" s="93"/>
      <c r="I509" s="93"/>
      <c r="J509" s="93"/>
    </row>
    <row r="510" spans="1:10" s="65" customFormat="1" ht="14" x14ac:dyDescent="0.35">
      <c r="A510" s="93"/>
      <c r="B510" s="93"/>
      <c r="C510" s="93"/>
      <c r="D510" s="93"/>
      <c r="E510" s="93"/>
      <c r="F510" s="95"/>
      <c r="G510" s="95"/>
      <c r="H510" s="93"/>
      <c r="I510" s="93"/>
      <c r="J510" s="93"/>
    </row>
    <row r="511" spans="1:10" s="65" customFormat="1" ht="14" x14ac:dyDescent="0.35">
      <c r="A511" s="93"/>
      <c r="B511" s="93"/>
      <c r="C511" s="93"/>
      <c r="D511" s="93"/>
      <c r="E511" s="93"/>
      <c r="F511" s="95"/>
      <c r="G511" s="95"/>
      <c r="H511" s="93"/>
      <c r="I511" s="93"/>
      <c r="J511" s="93"/>
    </row>
    <row r="512" spans="1:10" s="65" customFormat="1" ht="14" x14ac:dyDescent="0.35">
      <c r="A512" s="93"/>
      <c r="B512" s="93"/>
      <c r="C512" s="93"/>
      <c r="D512" s="93"/>
      <c r="E512" s="93"/>
      <c r="F512" s="95"/>
      <c r="G512" s="95"/>
      <c r="H512" s="93"/>
      <c r="I512" s="93"/>
      <c r="J512" s="93"/>
    </row>
    <row r="513" spans="1:10" s="65" customFormat="1" ht="14" x14ac:dyDescent="0.35">
      <c r="A513" s="93"/>
      <c r="B513" s="93"/>
      <c r="C513" s="93"/>
      <c r="D513" s="93"/>
      <c r="E513" s="93"/>
      <c r="F513" s="95"/>
      <c r="G513" s="95"/>
      <c r="H513" s="93"/>
      <c r="I513" s="93"/>
      <c r="J513" s="93"/>
    </row>
    <row r="514" spans="1:10" s="65" customFormat="1" ht="14" x14ac:dyDescent="0.35">
      <c r="A514" s="93"/>
      <c r="B514" s="93"/>
      <c r="C514" s="93"/>
      <c r="D514" s="93"/>
      <c r="E514" s="93"/>
      <c r="F514" s="95"/>
      <c r="G514" s="95"/>
      <c r="H514" s="93"/>
      <c r="I514" s="93"/>
      <c r="J514" s="93"/>
    </row>
    <row r="515" spans="1:10" s="65" customFormat="1" ht="14" x14ac:dyDescent="0.35">
      <c r="A515" s="93"/>
      <c r="B515" s="93"/>
      <c r="C515" s="93"/>
      <c r="D515" s="93"/>
      <c r="E515" s="93"/>
      <c r="F515" s="95"/>
      <c r="G515" s="95"/>
      <c r="H515" s="93"/>
      <c r="I515" s="93"/>
      <c r="J515" s="93"/>
    </row>
    <row r="516" spans="1:10" s="65" customFormat="1" ht="14" x14ac:dyDescent="0.35">
      <c r="A516" s="93"/>
      <c r="B516" s="93"/>
      <c r="C516" s="93"/>
      <c r="D516" s="93"/>
      <c r="E516" s="93"/>
      <c r="F516" s="95"/>
      <c r="G516" s="95"/>
      <c r="H516" s="93"/>
      <c r="I516" s="93"/>
      <c r="J516" s="93"/>
    </row>
    <row r="517" spans="1:10" s="65" customFormat="1" ht="14" x14ac:dyDescent="0.35">
      <c r="A517" s="93"/>
      <c r="B517" s="93"/>
      <c r="C517" s="93"/>
      <c r="D517" s="93"/>
      <c r="E517" s="93"/>
      <c r="F517" s="95"/>
      <c r="G517" s="95"/>
      <c r="H517" s="93"/>
      <c r="I517" s="93"/>
      <c r="J517" s="93"/>
    </row>
    <row r="518" spans="1:10" s="65" customFormat="1" ht="14" x14ac:dyDescent="0.35">
      <c r="A518" s="93"/>
      <c r="B518" s="93"/>
      <c r="C518" s="93"/>
      <c r="D518" s="93"/>
      <c r="E518" s="93"/>
      <c r="F518" s="95"/>
      <c r="G518" s="95"/>
      <c r="H518" s="93"/>
      <c r="I518" s="93"/>
      <c r="J518" s="93"/>
    </row>
    <row r="519" spans="1:10" s="65" customFormat="1" ht="14" x14ac:dyDescent="0.35">
      <c r="A519" s="93"/>
      <c r="B519" s="93"/>
      <c r="C519" s="93"/>
      <c r="D519" s="93"/>
      <c r="E519" s="93"/>
      <c r="F519" s="95"/>
      <c r="G519" s="95"/>
      <c r="H519" s="93"/>
      <c r="I519" s="93"/>
      <c r="J519" s="93"/>
    </row>
    <row r="520" spans="1:10" s="65" customFormat="1" ht="14" x14ac:dyDescent="0.35">
      <c r="A520" s="93"/>
      <c r="B520" s="93"/>
      <c r="C520" s="93"/>
      <c r="D520" s="93"/>
      <c r="E520" s="93"/>
      <c r="F520" s="95"/>
      <c r="G520" s="95"/>
      <c r="H520" s="93"/>
      <c r="I520" s="93"/>
      <c r="J520" s="93"/>
    </row>
    <row r="521" spans="1:10" s="65" customFormat="1" ht="14" x14ac:dyDescent="0.35">
      <c r="A521" s="93"/>
      <c r="B521" s="93"/>
      <c r="C521" s="93"/>
      <c r="D521" s="93"/>
      <c r="E521" s="93"/>
      <c r="F521" s="95"/>
      <c r="G521" s="95"/>
      <c r="H521" s="93"/>
      <c r="I521" s="93"/>
      <c r="J521" s="93"/>
    </row>
    <row r="522" spans="1:10" s="65" customFormat="1" ht="14" x14ac:dyDescent="0.35">
      <c r="A522" s="93"/>
      <c r="B522" s="93"/>
      <c r="C522" s="93"/>
      <c r="D522" s="93"/>
      <c r="E522" s="93"/>
      <c r="F522" s="95"/>
      <c r="G522" s="95"/>
      <c r="H522" s="93"/>
      <c r="I522" s="93"/>
      <c r="J522" s="93"/>
    </row>
    <row r="523" spans="1:10" s="65" customFormat="1" ht="14" x14ac:dyDescent="0.35">
      <c r="A523" s="93"/>
      <c r="B523" s="93"/>
      <c r="C523" s="93"/>
      <c r="D523" s="93"/>
      <c r="E523" s="93"/>
      <c r="F523" s="95"/>
      <c r="G523" s="95"/>
      <c r="H523" s="93"/>
      <c r="I523" s="93"/>
      <c r="J523" s="93"/>
    </row>
    <row r="524" spans="1:10" s="65" customFormat="1" ht="14" x14ac:dyDescent="0.35">
      <c r="A524" s="93"/>
      <c r="B524" s="93"/>
      <c r="C524" s="93"/>
      <c r="D524" s="93"/>
      <c r="E524" s="93"/>
      <c r="F524" s="95"/>
      <c r="G524" s="95"/>
      <c r="H524" s="93"/>
      <c r="I524" s="93"/>
      <c r="J524" s="93"/>
    </row>
    <row r="525" spans="1:10" s="65" customFormat="1" ht="14" x14ac:dyDescent="0.35">
      <c r="A525" s="93"/>
      <c r="B525" s="93"/>
      <c r="C525" s="93"/>
      <c r="D525" s="93"/>
      <c r="E525" s="93"/>
      <c r="F525" s="95"/>
      <c r="G525" s="95"/>
      <c r="H525" s="93"/>
      <c r="I525" s="93"/>
      <c r="J525" s="93"/>
    </row>
    <row r="526" spans="1:10" s="65" customFormat="1" ht="14" x14ac:dyDescent="0.35">
      <c r="A526" s="93"/>
      <c r="B526" s="93"/>
      <c r="C526" s="93"/>
      <c r="D526" s="93"/>
      <c r="E526" s="93"/>
      <c r="F526" s="95"/>
      <c r="G526" s="95"/>
      <c r="H526" s="93"/>
      <c r="I526" s="93"/>
      <c r="J526" s="93"/>
    </row>
    <row r="527" spans="1:10" s="65" customFormat="1" ht="14" x14ac:dyDescent="0.35">
      <c r="A527" s="93"/>
      <c r="B527" s="93"/>
      <c r="C527" s="93"/>
      <c r="D527" s="93"/>
      <c r="E527" s="93"/>
      <c r="F527" s="95"/>
      <c r="G527" s="95"/>
      <c r="H527" s="93"/>
      <c r="I527" s="93"/>
      <c r="J527" s="93"/>
    </row>
    <row r="528" spans="1:10" s="65" customFormat="1" ht="14" x14ac:dyDescent="0.35">
      <c r="A528" s="93"/>
      <c r="B528" s="93"/>
      <c r="C528" s="93"/>
      <c r="D528" s="93"/>
      <c r="E528" s="93"/>
      <c r="F528" s="95"/>
      <c r="G528" s="95"/>
      <c r="H528" s="93"/>
      <c r="I528" s="93"/>
      <c r="J528" s="93"/>
    </row>
    <row r="529" spans="1:10" s="65" customFormat="1" ht="14" x14ac:dyDescent="0.35">
      <c r="A529" s="93"/>
      <c r="B529" s="93"/>
      <c r="C529" s="93"/>
      <c r="D529" s="93"/>
      <c r="E529" s="93"/>
      <c r="F529" s="95"/>
      <c r="G529" s="95"/>
      <c r="H529" s="93"/>
      <c r="I529" s="93"/>
      <c r="J529" s="93"/>
    </row>
    <row r="530" spans="1:10" s="65" customFormat="1" ht="14" x14ac:dyDescent="0.35">
      <c r="A530" s="93"/>
      <c r="B530" s="93"/>
      <c r="C530" s="93"/>
      <c r="D530" s="93"/>
      <c r="E530" s="93"/>
      <c r="F530" s="95"/>
      <c r="G530" s="95"/>
      <c r="H530" s="93"/>
      <c r="I530" s="93"/>
      <c r="J530" s="93"/>
    </row>
    <row r="531" spans="1:10" s="65" customFormat="1" ht="14" x14ac:dyDescent="0.35">
      <c r="A531" s="93"/>
      <c r="B531" s="93"/>
      <c r="C531" s="93"/>
      <c r="D531" s="93"/>
      <c r="E531" s="93"/>
      <c r="F531" s="95"/>
      <c r="G531" s="95"/>
      <c r="H531" s="93"/>
      <c r="I531" s="93"/>
      <c r="J531" s="93"/>
    </row>
    <row r="532" spans="1:10" s="65" customFormat="1" ht="14" x14ac:dyDescent="0.35">
      <c r="A532" s="93"/>
      <c r="B532" s="93"/>
      <c r="C532" s="93"/>
      <c r="D532" s="93"/>
      <c r="E532" s="93"/>
      <c r="F532" s="95"/>
      <c r="G532" s="95"/>
      <c r="H532" s="93"/>
      <c r="I532" s="93"/>
      <c r="J532" s="93"/>
    </row>
    <row r="533" spans="1:10" s="65" customFormat="1" ht="14" x14ac:dyDescent="0.35">
      <c r="A533" s="93"/>
      <c r="B533" s="93"/>
      <c r="C533" s="93"/>
      <c r="D533" s="93"/>
      <c r="E533" s="93"/>
      <c r="F533" s="95"/>
      <c r="G533" s="95"/>
      <c r="H533" s="93"/>
      <c r="I533" s="93"/>
      <c r="J533" s="93"/>
    </row>
    <row r="534" spans="1:10" s="65" customFormat="1" ht="14" x14ac:dyDescent="0.35">
      <c r="A534" s="93"/>
      <c r="B534" s="93"/>
      <c r="C534" s="93"/>
      <c r="D534" s="93"/>
      <c r="E534" s="93"/>
      <c r="F534" s="95"/>
      <c r="G534" s="95"/>
      <c r="H534" s="93"/>
      <c r="I534" s="93"/>
      <c r="J534" s="93"/>
    </row>
    <row r="535" spans="1:10" s="65" customFormat="1" ht="14" x14ac:dyDescent="0.35">
      <c r="A535" s="93"/>
      <c r="B535" s="93"/>
      <c r="C535" s="93"/>
      <c r="D535" s="93"/>
      <c r="E535" s="93"/>
      <c r="F535" s="95"/>
      <c r="G535" s="95"/>
      <c r="H535" s="93"/>
      <c r="I535" s="93"/>
      <c r="J535" s="93"/>
    </row>
    <row r="536" spans="1:10" s="65" customFormat="1" ht="14" x14ac:dyDescent="0.35">
      <c r="A536" s="93"/>
      <c r="B536" s="93"/>
      <c r="C536" s="93"/>
      <c r="D536" s="93"/>
      <c r="E536" s="93"/>
      <c r="F536" s="95"/>
      <c r="G536" s="95"/>
      <c r="H536" s="93"/>
      <c r="I536" s="93"/>
      <c r="J536" s="93"/>
    </row>
    <row r="537" spans="1:10" s="65" customFormat="1" ht="14" x14ac:dyDescent="0.35">
      <c r="A537" s="93"/>
      <c r="B537" s="93"/>
      <c r="C537" s="93"/>
      <c r="D537" s="93"/>
      <c r="E537" s="93"/>
      <c r="F537" s="95"/>
      <c r="G537" s="95"/>
      <c r="H537" s="93"/>
      <c r="I537" s="93"/>
      <c r="J537" s="93"/>
    </row>
    <row r="538" spans="1:10" s="65" customFormat="1" ht="14" x14ac:dyDescent="0.35">
      <c r="A538" s="93"/>
      <c r="B538" s="93"/>
      <c r="C538" s="93"/>
      <c r="D538" s="93"/>
      <c r="E538" s="93"/>
      <c r="F538" s="95"/>
      <c r="G538" s="95"/>
      <c r="H538" s="93"/>
      <c r="I538" s="93"/>
      <c r="J538" s="93"/>
    </row>
    <row r="539" spans="1:10" s="65" customFormat="1" ht="14" x14ac:dyDescent="0.35">
      <c r="A539" s="93"/>
      <c r="B539" s="93"/>
      <c r="C539" s="93"/>
      <c r="D539" s="93"/>
      <c r="E539" s="93"/>
      <c r="F539" s="95"/>
      <c r="G539" s="95"/>
      <c r="H539" s="93"/>
      <c r="I539" s="93"/>
      <c r="J539" s="93"/>
    </row>
    <row r="540" spans="1:10" s="65" customFormat="1" ht="14" x14ac:dyDescent="0.35">
      <c r="A540" s="93"/>
      <c r="B540" s="93"/>
      <c r="C540" s="93"/>
      <c r="D540" s="93"/>
      <c r="E540" s="93"/>
      <c r="F540" s="95"/>
      <c r="G540" s="95"/>
      <c r="H540" s="93"/>
      <c r="I540" s="93"/>
      <c r="J540" s="93"/>
    </row>
    <row r="541" spans="1:10" s="65" customFormat="1" ht="14" x14ac:dyDescent="0.35">
      <c r="A541" s="93"/>
      <c r="B541" s="93"/>
      <c r="C541" s="93"/>
      <c r="D541" s="93"/>
      <c r="E541" s="93"/>
      <c r="F541" s="95"/>
      <c r="G541" s="95"/>
      <c r="H541" s="93"/>
      <c r="I541" s="93"/>
      <c r="J541" s="93"/>
    </row>
    <row r="542" spans="1:10" s="65" customFormat="1" ht="14" x14ac:dyDescent="0.35">
      <c r="A542" s="93"/>
      <c r="B542" s="93"/>
      <c r="C542" s="93"/>
      <c r="D542" s="93"/>
      <c r="E542" s="93"/>
      <c r="F542" s="95"/>
      <c r="G542" s="95"/>
      <c r="H542" s="93"/>
      <c r="I542" s="93"/>
      <c r="J542" s="93"/>
    </row>
    <row r="543" spans="1:10" s="65" customFormat="1" ht="14" x14ac:dyDescent="0.35">
      <c r="A543" s="93"/>
      <c r="B543" s="93"/>
      <c r="C543" s="93"/>
      <c r="D543" s="93"/>
      <c r="E543" s="93"/>
      <c r="F543" s="95"/>
      <c r="G543" s="95"/>
      <c r="H543" s="93"/>
      <c r="I543" s="93"/>
      <c r="J543" s="93"/>
    </row>
    <row r="544" spans="1:10" s="65" customFormat="1" ht="14" x14ac:dyDescent="0.35">
      <c r="A544" s="93"/>
      <c r="B544" s="93"/>
      <c r="C544" s="93"/>
      <c r="D544" s="93"/>
      <c r="E544" s="93"/>
      <c r="F544" s="95"/>
      <c r="G544" s="95"/>
      <c r="H544" s="93"/>
      <c r="I544" s="93"/>
      <c r="J544" s="93"/>
    </row>
    <row r="545" spans="1:10" s="65" customFormat="1" ht="14" x14ac:dyDescent="0.35">
      <c r="A545" s="93"/>
      <c r="B545" s="93"/>
      <c r="C545" s="93"/>
      <c r="D545" s="93"/>
      <c r="E545" s="93"/>
      <c r="F545" s="95"/>
      <c r="G545" s="95"/>
      <c r="H545" s="93"/>
      <c r="I545" s="93"/>
      <c r="J545" s="93"/>
    </row>
    <row r="546" spans="1:10" s="65" customFormat="1" ht="14" x14ac:dyDescent="0.35">
      <c r="A546" s="93"/>
      <c r="B546" s="93"/>
      <c r="C546" s="93"/>
      <c r="D546" s="93"/>
      <c r="E546" s="93"/>
      <c r="F546" s="95"/>
      <c r="G546" s="95"/>
      <c r="H546" s="93"/>
      <c r="I546" s="93"/>
      <c r="J546" s="93"/>
    </row>
    <row r="547" spans="1:10" s="65" customFormat="1" ht="14" x14ac:dyDescent="0.35">
      <c r="A547" s="93"/>
      <c r="B547" s="93"/>
      <c r="C547" s="93"/>
      <c r="D547" s="93"/>
      <c r="E547" s="93"/>
      <c r="F547" s="95"/>
      <c r="G547" s="95"/>
      <c r="H547" s="93"/>
      <c r="I547" s="93"/>
      <c r="J547" s="93"/>
    </row>
    <row r="548" spans="1:10" s="65" customFormat="1" ht="14" x14ac:dyDescent="0.35">
      <c r="A548" s="93"/>
      <c r="B548" s="93"/>
      <c r="C548" s="93"/>
      <c r="D548" s="93"/>
      <c r="E548" s="93"/>
      <c r="F548" s="95"/>
      <c r="G548" s="95"/>
      <c r="H548" s="93"/>
      <c r="I548" s="93"/>
      <c r="J548" s="93"/>
    </row>
    <row r="549" spans="1:10" s="65" customFormat="1" ht="14" x14ac:dyDescent="0.35">
      <c r="A549" s="93"/>
      <c r="B549" s="93"/>
      <c r="C549" s="93"/>
      <c r="D549" s="93"/>
      <c r="E549" s="93"/>
      <c r="F549" s="95"/>
      <c r="G549" s="95"/>
      <c r="H549" s="93"/>
      <c r="I549" s="93"/>
      <c r="J549" s="93"/>
    </row>
    <row r="550" spans="1:10" s="65" customFormat="1" ht="14" x14ac:dyDescent="0.35">
      <c r="A550" s="93"/>
      <c r="B550" s="93"/>
      <c r="C550" s="93"/>
      <c r="D550" s="93"/>
      <c r="E550" s="93"/>
      <c r="F550" s="95"/>
      <c r="G550" s="95"/>
      <c r="H550" s="93"/>
      <c r="I550" s="93"/>
      <c r="J550" s="93"/>
    </row>
    <row r="551" spans="1:10" s="65" customFormat="1" ht="14" x14ac:dyDescent="0.35">
      <c r="A551" s="93"/>
      <c r="B551" s="93"/>
      <c r="C551" s="93"/>
      <c r="D551" s="93"/>
      <c r="E551" s="93"/>
      <c r="F551" s="95"/>
      <c r="G551" s="95"/>
      <c r="H551" s="93"/>
      <c r="I551" s="93"/>
      <c r="J551" s="93"/>
    </row>
    <row r="552" spans="1:10" s="65" customFormat="1" ht="14" x14ac:dyDescent="0.35">
      <c r="A552" s="93"/>
      <c r="B552" s="93"/>
      <c r="C552" s="93"/>
      <c r="D552" s="93"/>
      <c r="E552" s="93"/>
      <c r="F552" s="95"/>
      <c r="G552" s="95"/>
      <c r="H552" s="93"/>
      <c r="I552" s="93"/>
      <c r="J552" s="93"/>
    </row>
    <row r="553" spans="1:10" s="65" customFormat="1" ht="14" x14ac:dyDescent="0.35">
      <c r="A553" s="93"/>
      <c r="B553" s="93"/>
      <c r="C553" s="93"/>
      <c r="D553" s="93"/>
      <c r="E553" s="93"/>
      <c r="F553" s="95"/>
      <c r="G553" s="95"/>
      <c r="H553" s="93"/>
      <c r="I553" s="93"/>
      <c r="J553" s="93"/>
    </row>
    <row r="554" spans="1:10" s="65" customFormat="1" ht="14" x14ac:dyDescent="0.35">
      <c r="A554" s="93"/>
      <c r="B554" s="93"/>
      <c r="C554" s="93"/>
      <c r="D554" s="93"/>
      <c r="E554" s="93"/>
      <c r="F554" s="95"/>
      <c r="G554" s="95"/>
      <c r="H554" s="93"/>
      <c r="I554" s="93"/>
      <c r="J554" s="93"/>
    </row>
    <row r="555" spans="1:10" s="65" customFormat="1" ht="14" x14ac:dyDescent="0.35">
      <c r="A555" s="93"/>
      <c r="B555" s="93"/>
      <c r="C555" s="93"/>
      <c r="D555" s="93"/>
      <c r="E555" s="93"/>
      <c r="F555" s="95"/>
      <c r="G555" s="95"/>
      <c r="H555" s="93"/>
      <c r="I555" s="93"/>
      <c r="J555" s="93"/>
    </row>
    <row r="556" spans="1:10" s="65" customFormat="1" ht="14" x14ac:dyDescent="0.35">
      <c r="A556" s="93"/>
      <c r="B556" s="93"/>
      <c r="C556" s="93"/>
      <c r="D556" s="93"/>
      <c r="E556" s="93"/>
      <c r="F556" s="95"/>
      <c r="G556" s="95"/>
      <c r="H556" s="93"/>
      <c r="I556" s="93"/>
      <c r="J556" s="93"/>
    </row>
    <row r="557" spans="1:10" s="65" customFormat="1" ht="14" x14ac:dyDescent="0.35">
      <c r="A557" s="93"/>
      <c r="B557" s="93"/>
      <c r="C557" s="93"/>
      <c r="D557" s="93"/>
      <c r="E557" s="93"/>
      <c r="F557" s="95"/>
      <c r="G557" s="95"/>
      <c r="H557" s="93"/>
      <c r="I557" s="93"/>
      <c r="J557" s="93"/>
    </row>
    <row r="558" spans="1:10" s="65" customFormat="1" ht="14" x14ac:dyDescent="0.35">
      <c r="A558" s="93"/>
      <c r="B558" s="93"/>
      <c r="C558" s="93"/>
      <c r="D558" s="93"/>
      <c r="E558" s="93"/>
      <c r="F558" s="95"/>
      <c r="G558" s="95"/>
      <c r="H558" s="93"/>
      <c r="I558" s="93"/>
      <c r="J558" s="93"/>
    </row>
    <row r="559" spans="1:10" s="65" customFormat="1" ht="14" x14ac:dyDescent="0.35">
      <c r="A559" s="93"/>
      <c r="B559" s="93"/>
      <c r="C559" s="93"/>
      <c r="D559" s="93"/>
      <c r="E559" s="93"/>
      <c r="F559" s="95"/>
      <c r="G559" s="95"/>
      <c r="H559" s="93"/>
      <c r="I559" s="93"/>
      <c r="J559" s="93"/>
    </row>
    <row r="560" spans="1:10" s="65" customFormat="1" ht="14" x14ac:dyDescent="0.35">
      <c r="A560" s="93"/>
      <c r="B560" s="93"/>
      <c r="C560" s="93"/>
      <c r="D560" s="93"/>
      <c r="E560" s="93"/>
      <c r="F560" s="95"/>
      <c r="G560" s="95"/>
      <c r="H560" s="93"/>
      <c r="I560" s="93"/>
      <c r="J560" s="93"/>
    </row>
    <row r="561" spans="1:10" s="65" customFormat="1" ht="14" x14ac:dyDescent="0.35">
      <c r="A561" s="93"/>
      <c r="B561" s="93"/>
      <c r="C561" s="93"/>
      <c r="D561" s="93"/>
      <c r="E561" s="93"/>
      <c r="F561" s="95"/>
      <c r="G561" s="95"/>
      <c r="H561" s="93"/>
      <c r="I561" s="93"/>
      <c r="J561" s="93"/>
    </row>
    <row r="562" spans="1:10" s="65" customFormat="1" ht="14" x14ac:dyDescent="0.35">
      <c r="A562" s="93"/>
      <c r="B562" s="93"/>
      <c r="C562" s="93"/>
      <c r="D562" s="93"/>
      <c r="E562" s="93"/>
      <c r="F562" s="95"/>
      <c r="G562" s="95"/>
      <c r="H562" s="93"/>
      <c r="I562" s="93"/>
      <c r="J562" s="93"/>
    </row>
    <row r="563" spans="1:10" s="65" customFormat="1" ht="14" x14ac:dyDescent="0.35">
      <c r="A563" s="93"/>
      <c r="B563" s="93"/>
      <c r="C563" s="93"/>
      <c r="D563" s="93"/>
      <c r="E563" s="93"/>
      <c r="F563" s="95"/>
      <c r="G563" s="95"/>
      <c r="H563" s="93"/>
      <c r="I563" s="93"/>
      <c r="J563" s="93"/>
    </row>
    <row r="564" spans="1:10" s="65" customFormat="1" ht="14" x14ac:dyDescent="0.35">
      <c r="A564" s="93"/>
      <c r="B564" s="93"/>
      <c r="C564" s="93"/>
      <c r="D564" s="93"/>
      <c r="E564" s="93"/>
      <c r="F564" s="95"/>
      <c r="G564" s="95"/>
      <c r="H564" s="93"/>
      <c r="I564" s="93"/>
      <c r="J564" s="93"/>
    </row>
    <row r="565" spans="1:10" s="65" customFormat="1" ht="14" x14ac:dyDescent="0.35">
      <c r="A565" s="93"/>
      <c r="B565" s="93"/>
      <c r="C565" s="93"/>
      <c r="D565" s="93"/>
      <c r="E565" s="93"/>
      <c r="F565" s="95"/>
      <c r="G565" s="95"/>
      <c r="H565" s="93"/>
      <c r="I565" s="93"/>
      <c r="J565" s="93"/>
    </row>
    <row r="566" spans="1:10" s="65" customFormat="1" ht="14" x14ac:dyDescent="0.35">
      <c r="A566" s="93"/>
      <c r="B566" s="93"/>
      <c r="C566" s="93"/>
      <c r="D566" s="93"/>
      <c r="E566" s="93"/>
      <c r="F566" s="95"/>
      <c r="G566" s="95"/>
      <c r="H566" s="93"/>
      <c r="I566" s="93"/>
      <c r="J566" s="93"/>
    </row>
    <row r="567" spans="1:10" s="65" customFormat="1" ht="14" x14ac:dyDescent="0.35">
      <c r="A567" s="93"/>
      <c r="B567" s="93"/>
      <c r="C567" s="93"/>
      <c r="D567" s="93"/>
      <c r="E567" s="93"/>
      <c r="F567" s="95"/>
      <c r="G567" s="95"/>
      <c r="H567" s="93"/>
      <c r="I567" s="93"/>
      <c r="J567" s="93"/>
    </row>
    <row r="568" spans="1:10" s="65" customFormat="1" ht="14" x14ac:dyDescent="0.35">
      <c r="A568" s="93"/>
      <c r="B568" s="93"/>
      <c r="C568" s="93"/>
      <c r="D568" s="93"/>
      <c r="E568" s="93"/>
      <c r="F568" s="95"/>
      <c r="G568" s="95"/>
      <c r="H568" s="93"/>
      <c r="I568" s="93"/>
      <c r="J568" s="93"/>
    </row>
    <row r="569" spans="1:10" s="65" customFormat="1" ht="14" x14ac:dyDescent="0.35">
      <c r="A569" s="93"/>
      <c r="B569" s="93"/>
      <c r="C569" s="93"/>
      <c r="D569" s="93"/>
      <c r="E569" s="93"/>
      <c r="F569" s="95"/>
      <c r="G569" s="95"/>
      <c r="H569" s="93"/>
      <c r="I569" s="93"/>
      <c r="J569" s="93"/>
    </row>
    <row r="570" spans="1:10" s="65" customFormat="1" ht="14" x14ac:dyDescent="0.35">
      <c r="A570" s="93"/>
      <c r="B570" s="93"/>
      <c r="C570" s="93"/>
      <c r="D570" s="93"/>
      <c r="E570" s="93"/>
      <c r="F570" s="95"/>
      <c r="G570" s="95"/>
      <c r="H570" s="93"/>
      <c r="I570" s="93"/>
      <c r="J570" s="93"/>
    </row>
    <row r="571" spans="1:10" s="65" customFormat="1" ht="14" x14ac:dyDescent="0.35">
      <c r="A571" s="93"/>
      <c r="B571" s="93"/>
      <c r="C571" s="93"/>
      <c r="D571" s="93"/>
      <c r="E571" s="93"/>
      <c r="F571" s="95"/>
      <c r="G571" s="95"/>
      <c r="H571" s="93"/>
      <c r="I571" s="93"/>
      <c r="J571" s="93"/>
    </row>
    <row r="572" spans="1:10" s="65" customFormat="1" ht="14" x14ac:dyDescent="0.35">
      <c r="A572" s="93"/>
      <c r="B572" s="93"/>
      <c r="C572" s="93"/>
      <c r="D572" s="93"/>
      <c r="E572" s="93"/>
      <c r="F572" s="95"/>
      <c r="G572" s="95"/>
      <c r="H572" s="93"/>
      <c r="I572" s="93"/>
      <c r="J572" s="93"/>
    </row>
    <row r="573" spans="1:10" s="65" customFormat="1" ht="14" x14ac:dyDescent="0.35">
      <c r="A573" s="93"/>
      <c r="B573" s="93"/>
      <c r="C573" s="93"/>
      <c r="D573" s="93"/>
      <c r="E573" s="93"/>
      <c r="F573" s="95"/>
      <c r="G573" s="95"/>
      <c r="H573" s="93"/>
      <c r="I573" s="93"/>
      <c r="J573" s="93"/>
    </row>
    <row r="574" spans="1:10" s="65" customFormat="1" ht="14" x14ac:dyDescent="0.35">
      <c r="A574" s="93"/>
      <c r="B574" s="93"/>
      <c r="C574" s="93"/>
      <c r="D574" s="93"/>
      <c r="E574" s="93"/>
      <c r="F574" s="95"/>
      <c r="G574" s="95"/>
      <c r="H574" s="93"/>
      <c r="I574" s="93"/>
      <c r="J574" s="93"/>
    </row>
    <row r="575" spans="1:10" s="65" customFormat="1" ht="14" x14ac:dyDescent="0.35">
      <c r="A575" s="93"/>
      <c r="B575" s="93"/>
      <c r="C575" s="93"/>
      <c r="D575" s="93"/>
      <c r="E575" s="93"/>
      <c r="F575" s="95"/>
      <c r="G575" s="95"/>
      <c r="H575" s="93"/>
      <c r="I575" s="93"/>
      <c r="J575" s="93"/>
    </row>
    <row r="576" spans="1:10" s="65" customFormat="1" ht="14" x14ac:dyDescent="0.35">
      <c r="A576" s="93"/>
      <c r="B576" s="93"/>
      <c r="C576" s="93"/>
      <c r="D576" s="93"/>
      <c r="E576" s="93"/>
      <c r="F576" s="95"/>
      <c r="G576" s="95"/>
      <c r="H576" s="93"/>
      <c r="I576" s="93"/>
      <c r="J576" s="93"/>
    </row>
    <row r="577" spans="1:10" s="65" customFormat="1" ht="14" x14ac:dyDescent="0.35">
      <c r="A577" s="93"/>
      <c r="B577" s="93"/>
      <c r="C577" s="93"/>
      <c r="D577" s="93"/>
      <c r="E577" s="93"/>
      <c r="F577" s="95"/>
      <c r="G577" s="95"/>
      <c r="H577" s="93"/>
      <c r="I577" s="93"/>
      <c r="J577" s="93"/>
    </row>
    <row r="578" spans="1:10" s="65" customFormat="1" ht="14" x14ac:dyDescent="0.35">
      <c r="A578" s="93"/>
      <c r="B578" s="93"/>
      <c r="C578" s="93"/>
      <c r="D578" s="93"/>
      <c r="E578" s="93"/>
      <c r="F578" s="95"/>
      <c r="G578" s="95"/>
      <c r="H578" s="93"/>
      <c r="I578" s="93"/>
      <c r="J578" s="93"/>
    </row>
    <row r="579" spans="1:10" s="65" customFormat="1" ht="14" x14ac:dyDescent="0.35">
      <c r="A579" s="93"/>
      <c r="B579" s="93"/>
      <c r="C579" s="93"/>
      <c r="D579" s="93"/>
      <c r="E579" s="93"/>
      <c r="F579" s="95"/>
      <c r="G579" s="95"/>
      <c r="H579" s="93"/>
      <c r="I579" s="93"/>
      <c r="J579" s="93"/>
    </row>
    <row r="580" spans="1:10" s="65" customFormat="1" ht="14" x14ac:dyDescent="0.35">
      <c r="A580" s="93"/>
      <c r="B580" s="93"/>
      <c r="C580" s="93"/>
      <c r="D580" s="93"/>
      <c r="E580" s="93"/>
      <c r="F580" s="95"/>
      <c r="G580" s="95"/>
      <c r="H580" s="93"/>
      <c r="I580" s="93"/>
      <c r="J580" s="93"/>
    </row>
    <row r="581" spans="1:10" s="65" customFormat="1" ht="14" x14ac:dyDescent="0.35">
      <c r="A581" s="93"/>
      <c r="B581" s="93"/>
      <c r="C581" s="93"/>
      <c r="D581" s="93"/>
      <c r="E581" s="93"/>
      <c r="F581" s="95"/>
      <c r="G581" s="95"/>
      <c r="H581" s="93"/>
      <c r="I581" s="93"/>
      <c r="J581" s="93"/>
    </row>
    <row r="582" spans="1:10" s="65" customFormat="1" ht="14" x14ac:dyDescent="0.35">
      <c r="A582" s="93"/>
      <c r="B582" s="93"/>
      <c r="C582" s="93"/>
      <c r="D582" s="93"/>
      <c r="E582" s="93"/>
      <c r="F582" s="95"/>
      <c r="G582" s="95"/>
      <c r="H582" s="93"/>
      <c r="I582" s="93"/>
      <c r="J582" s="93"/>
    </row>
    <row r="583" spans="1:10" s="65" customFormat="1" ht="14" x14ac:dyDescent="0.35">
      <c r="A583" s="93"/>
      <c r="B583" s="93"/>
      <c r="C583" s="93"/>
      <c r="D583" s="93"/>
      <c r="E583" s="93"/>
      <c r="F583" s="95"/>
      <c r="G583" s="95"/>
      <c r="H583" s="93"/>
      <c r="I583" s="93"/>
      <c r="J583" s="93"/>
    </row>
    <row r="584" spans="1:10" s="65" customFormat="1" ht="14" x14ac:dyDescent="0.35">
      <c r="A584" s="93"/>
      <c r="B584" s="93"/>
      <c r="C584" s="93"/>
      <c r="D584" s="93"/>
      <c r="E584" s="93"/>
      <c r="F584" s="95"/>
      <c r="G584" s="95"/>
      <c r="H584" s="93"/>
      <c r="I584" s="93"/>
      <c r="J584" s="93"/>
    </row>
    <row r="585" spans="1:10" s="65" customFormat="1" ht="14" x14ac:dyDescent="0.35">
      <c r="A585" s="93"/>
      <c r="B585" s="93"/>
      <c r="C585" s="93"/>
      <c r="D585" s="93"/>
      <c r="E585" s="93"/>
      <c r="F585" s="95"/>
      <c r="G585" s="95"/>
      <c r="H585" s="93"/>
      <c r="I585" s="93"/>
      <c r="J585" s="93"/>
    </row>
    <row r="586" spans="1:10" s="65" customFormat="1" ht="14" x14ac:dyDescent="0.35">
      <c r="A586" s="93"/>
      <c r="B586" s="93"/>
      <c r="C586" s="93"/>
      <c r="D586" s="93"/>
      <c r="E586" s="93"/>
      <c r="F586" s="95"/>
      <c r="G586" s="95"/>
      <c r="H586" s="93"/>
      <c r="I586" s="93"/>
      <c r="J586" s="93"/>
    </row>
    <row r="587" spans="1:10" s="65" customFormat="1" ht="14" x14ac:dyDescent="0.35">
      <c r="A587" s="93"/>
      <c r="B587" s="93"/>
      <c r="C587" s="93"/>
      <c r="D587" s="93"/>
      <c r="E587" s="93"/>
      <c r="F587" s="95"/>
      <c r="G587" s="95"/>
      <c r="H587" s="93"/>
      <c r="I587" s="93"/>
      <c r="J587" s="93"/>
    </row>
    <row r="588" spans="1:10" s="65" customFormat="1" ht="14" x14ac:dyDescent="0.35">
      <c r="A588" s="93"/>
      <c r="B588" s="93"/>
      <c r="C588" s="93"/>
      <c r="D588" s="93"/>
      <c r="E588" s="93"/>
      <c r="F588" s="95"/>
      <c r="G588" s="95"/>
      <c r="H588" s="93"/>
      <c r="I588" s="93"/>
      <c r="J588" s="93"/>
    </row>
    <row r="589" spans="1:10" s="65" customFormat="1" ht="14" x14ac:dyDescent="0.35">
      <c r="A589" s="93"/>
      <c r="B589" s="93"/>
      <c r="C589" s="93"/>
      <c r="D589" s="93"/>
      <c r="E589" s="93"/>
      <c r="F589" s="95"/>
      <c r="G589" s="95"/>
      <c r="H589" s="93"/>
      <c r="I589" s="93"/>
      <c r="J589" s="93"/>
    </row>
    <row r="590" spans="1:10" s="65" customFormat="1" ht="14" x14ac:dyDescent="0.35">
      <c r="A590" s="93"/>
      <c r="B590" s="93"/>
      <c r="C590" s="93"/>
      <c r="D590" s="93"/>
      <c r="E590" s="93"/>
      <c r="F590" s="95"/>
      <c r="G590" s="95"/>
      <c r="H590" s="93"/>
      <c r="I590" s="93"/>
      <c r="J590" s="93"/>
    </row>
    <row r="591" spans="1:10" s="65" customFormat="1" ht="14" x14ac:dyDescent="0.35">
      <c r="A591" s="93"/>
      <c r="B591" s="93"/>
      <c r="C591" s="93"/>
      <c r="D591" s="93"/>
      <c r="E591" s="93"/>
      <c r="F591" s="95"/>
      <c r="G591" s="95"/>
      <c r="H591" s="93"/>
      <c r="I591" s="93"/>
      <c r="J591" s="93"/>
    </row>
    <row r="592" spans="1:10" s="65" customFormat="1" ht="14" x14ac:dyDescent="0.35">
      <c r="A592" s="93"/>
      <c r="B592" s="93"/>
      <c r="C592" s="93"/>
      <c r="D592" s="93"/>
      <c r="E592" s="93"/>
      <c r="F592" s="95"/>
      <c r="G592" s="95"/>
      <c r="H592" s="93"/>
      <c r="I592" s="93"/>
      <c r="J592" s="93"/>
    </row>
    <row r="593" spans="1:10" s="65" customFormat="1" ht="14" x14ac:dyDescent="0.35">
      <c r="A593" s="93"/>
      <c r="B593" s="93"/>
      <c r="C593" s="93"/>
      <c r="D593" s="93"/>
      <c r="E593" s="93"/>
      <c r="F593" s="95"/>
      <c r="G593" s="95"/>
      <c r="H593" s="93"/>
      <c r="I593" s="93"/>
      <c r="J593" s="93"/>
    </row>
    <row r="594" spans="1:10" s="65" customFormat="1" ht="14" x14ac:dyDescent="0.35">
      <c r="A594" s="93"/>
      <c r="B594" s="93"/>
      <c r="C594" s="93"/>
      <c r="D594" s="93"/>
      <c r="E594" s="93"/>
      <c r="F594" s="95"/>
      <c r="G594" s="95"/>
      <c r="H594" s="93"/>
      <c r="I594" s="93"/>
      <c r="J594" s="93"/>
    </row>
    <row r="595" spans="1:10" s="65" customFormat="1" ht="14" x14ac:dyDescent="0.35">
      <c r="A595" s="93"/>
      <c r="B595" s="93"/>
      <c r="C595" s="93"/>
      <c r="D595" s="93"/>
      <c r="E595" s="93"/>
      <c r="F595" s="95"/>
      <c r="G595" s="95"/>
      <c r="H595" s="93"/>
      <c r="I595" s="93"/>
      <c r="J595" s="93"/>
    </row>
    <row r="596" spans="1:10" s="65" customFormat="1" ht="14" x14ac:dyDescent="0.35">
      <c r="A596" s="93"/>
      <c r="B596" s="93"/>
      <c r="C596" s="93"/>
      <c r="D596" s="93"/>
      <c r="E596" s="93"/>
      <c r="F596" s="95"/>
      <c r="G596" s="95"/>
      <c r="H596" s="93"/>
      <c r="I596" s="93"/>
      <c r="J596" s="93"/>
    </row>
    <row r="597" spans="1:10" s="65" customFormat="1" ht="14" x14ac:dyDescent="0.35">
      <c r="A597" s="93"/>
      <c r="B597" s="93"/>
      <c r="C597" s="93"/>
      <c r="D597" s="93"/>
      <c r="E597" s="93"/>
      <c r="F597" s="95"/>
      <c r="G597" s="95"/>
      <c r="H597" s="93"/>
      <c r="I597" s="93"/>
      <c r="J597" s="93"/>
    </row>
    <row r="598" spans="1:10" s="65" customFormat="1" ht="14" x14ac:dyDescent="0.35">
      <c r="A598" s="93"/>
      <c r="B598" s="93"/>
      <c r="C598" s="93"/>
      <c r="D598" s="93"/>
      <c r="E598" s="93"/>
      <c r="F598" s="95"/>
      <c r="G598" s="95"/>
      <c r="H598" s="93"/>
      <c r="I598" s="93"/>
      <c r="J598" s="93"/>
    </row>
    <row r="599" spans="1:10" s="65" customFormat="1" ht="14" x14ac:dyDescent="0.35">
      <c r="A599" s="93"/>
      <c r="B599" s="93"/>
      <c r="C599" s="93"/>
      <c r="D599" s="93"/>
      <c r="E599" s="93"/>
      <c r="F599" s="95"/>
      <c r="G599" s="95"/>
      <c r="H599" s="93"/>
      <c r="I599" s="93"/>
      <c r="J599" s="93"/>
    </row>
    <row r="600" spans="1:10" s="65" customFormat="1" ht="14" x14ac:dyDescent="0.35">
      <c r="A600" s="93"/>
      <c r="B600" s="93"/>
      <c r="C600" s="93"/>
      <c r="D600" s="93"/>
      <c r="E600" s="93"/>
      <c r="F600" s="95"/>
      <c r="G600" s="95"/>
      <c r="H600" s="93"/>
      <c r="I600" s="93"/>
      <c r="J600" s="93"/>
    </row>
    <row r="601" spans="1:10" s="65" customFormat="1" ht="14" x14ac:dyDescent="0.35">
      <c r="A601" s="93"/>
      <c r="B601" s="93"/>
      <c r="C601" s="93"/>
      <c r="D601" s="93"/>
      <c r="E601" s="93"/>
      <c r="F601" s="95"/>
      <c r="G601" s="95"/>
      <c r="H601" s="93"/>
      <c r="I601" s="93"/>
      <c r="J601" s="93"/>
    </row>
    <row r="602" spans="1:10" s="65" customFormat="1" ht="14" x14ac:dyDescent="0.35">
      <c r="A602" s="93"/>
      <c r="B602" s="93"/>
      <c r="C602" s="93"/>
      <c r="D602" s="93"/>
      <c r="E602" s="93"/>
      <c r="F602" s="95"/>
      <c r="G602" s="95"/>
      <c r="H602" s="93"/>
      <c r="I602" s="93"/>
      <c r="J602" s="93"/>
    </row>
    <row r="603" spans="1:10" s="65" customFormat="1" ht="14" x14ac:dyDescent="0.35">
      <c r="A603" s="93"/>
      <c r="B603" s="93"/>
      <c r="C603" s="93"/>
      <c r="D603" s="93"/>
      <c r="E603" s="93"/>
      <c r="F603" s="95"/>
      <c r="G603" s="95"/>
      <c r="H603" s="93"/>
      <c r="I603" s="93"/>
      <c r="J603" s="93"/>
    </row>
    <row r="604" spans="1:10" s="65" customFormat="1" ht="14" x14ac:dyDescent="0.35">
      <c r="A604" s="93"/>
      <c r="B604" s="93"/>
      <c r="C604" s="93"/>
      <c r="D604" s="93"/>
      <c r="E604" s="93"/>
      <c r="F604" s="95"/>
      <c r="G604" s="95"/>
      <c r="H604" s="93"/>
      <c r="I604" s="93"/>
      <c r="J604" s="93"/>
    </row>
    <row r="605" spans="1:10" s="65" customFormat="1" ht="14" x14ac:dyDescent="0.35">
      <c r="A605" s="93"/>
      <c r="B605" s="93"/>
      <c r="C605" s="93"/>
      <c r="D605" s="93"/>
      <c r="E605" s="93"/>
      <c r="F605" s="95"/>
      <c r="G605" s="95"/>
      <c r="H605" s="93"/>
      <c r="I605" s="93"/>
      <c r="J605" s="93"/>
    </row>
    <row r="606" spans="1:10" s="65" customFormat="1" ht="14" x14ac:dyDescent="0.35">
      <c r="A606" s="93"/>
      <c r="B606" s="93"/>
      <c r="C606" s="93"/>
      <c r="D606" s="93"/>
      <c r="E606" s="93"/>
      <c r="F606" s="95"/>
      <c r="G606" s="95"/>
      <c r="H606" s="93"/>
      <c r="I606" s="93"/>
      <c r="J606" s="93"/>
    </row>
    <row r="607" spans="1:10" s="65" customFormat="1" ht="14" x14ac:dyDescent="0.35">
      <c r="A607" s="93"/>
      <c r="B607" s="93"/>
      <c r="C607" s="93"/>
      <c r="D607" s="93"/>
      <c r="E607" s="93"/>
      <c r="F607" s="95"/>
      <c r="G607" s="95"/>
      <c r="H607" s="93"/>
      <c r="I607" s="93"/>
      <c r="J607" s="93"/>
    </row>
    <row r="608" spans="1:10" s="65" customFormat="1" ht="14" x14ac:dyDescent="0.35">
      <c r="A608" s="93"/>
      <c r="B608" s="93"/>
      <c r="C608" s="93"/>
      <c r="D608" s="93"/>
      <c r="E608" s="93"/>
      <c r="F608" s="95"/>
      <c r="G608" s="95"/>
      <c r="H608" s="93"/>
      <c r="I608" s="93"/>
      <c r="J608" s="93"/>
    </row>
    <row r="609" spans="1:10" s="65" customFormat="1" ht="14" x14ac:dyDescent="0.35">
      <c r="A609" s="93"/>
      <c r="B609" s="93"/>
      <c r="C609" s="93"/>
      <c r="D609" s="93"/>
      <c r="E609" s="93"/>
      <c r="F609" s="95"/>
      <c r="G609" s="95"/>
      <c r="H609" s="93"/>
      <c r="I609" s="93"/>
      <c r="J609" s="93"/>
    </row>
    <row r="610" spans="1:10" s="65" customFormat="1" ht="14" x14ac:dyDescent="0.35">
      <c r="A610" s="93"/>
      <c r="B610" s="93"/>
      <c r="C610" s="93"/>
      <c r="D610" s="93"/>
      <c r="E610" s="93"/>
      <c r="F610" s="95"/>
      <c r="G610" s="95"/>
      <c r="H610" s="93"/>
      <c r="I610" s="93"/>
      <c r="J610" s="93"/>
    </row>
    <row r="611" spans="1:10" s="65" customFormat="1" ht="14" x14ac:dyDescent="0.35">
      <c r="A611" s="93"/>
      <c r="B611" s="93"/>
      <c r="C611" s="93"/>
      <c r="D611" s="93"/>
      <c r="E611" s="93"/>
      <c r="F611" s="95"/>
      <c r="G611" s="95"/>
      <c r="H611" s="93"/>
      <c r="I611" s="93"/>
      <c r="J611" s="93"/>
    </row>
    <row r="612" spans="1:10" s="65" customFormat="1" ht="14" x14ac:dyDescent="0.35">
      <c r="A612" s="93"/>
      <c r="B612" s="93"/>
      <c r="C612" s="93"/>
      <c r="D612" s="93"/>
      <c r="E612" s="93"/>
      <c r="F612" s="95"/>
      <c r="G612" s="95"/>
      <c r="H612" s="93"/>
      <c r="I612" s="93"/>
      <c r="J612" s="93"/>
    </row>
    <row r="613" spans="1:10" s="65" customFormat="1" ht="14" x14ac:dyDescent="0.35">
      <c r="A613" s="93"/>
      <c r="B613" s="93"/>
      <c r="C613" s="93"/>
      <c r="D613" s="93"/>
      <c r="E613" s="93"/>
      <c r="F613" s="95"/>
      <c r="G613" s="95"/>
      <c r="H613" s="93"/>
      <c r="I613" s="93"/>
      <c r="J613" s="93"/>
    </row>
    <row r="614" spans="1:10" s="65" customFormat="1" ht="14" x14ac:dyDescent="0.35">
      <c r="A614" s="93"/>
      <c r="B614" s="93"/>
      <c r="C614" s="93"/>
      <c r="D614" s="93"/>
      <c r="E614" s="93"/>
      <c r="F614" s="95"/>
      <c r="G614" s="95"/>
      <c r="H614" s="93"/>
      <c r="I614" s="93"/>
      <c r="J614" s="93"/>
    </row>
    <row r="615" spans="1:10" s="65" customFormat="1" ht="14" x14ac:dyDescent="0.35">
      <c r="A615" s="93"/>
      <c r="B615" s="93"/>
      <c r="C615" s="93"/>
      <c r="D615" s="93"/>
      <c r="E615" s="93"/>
      <c r="F615" s="95"/>
      <c r="G615" s="95"/>
      <c r="H615" s="93"/>
      <c r="I615" s="93"/>
      <c r="J615" s="93"/>
    </row>
    <row r="616" spans="1:10" s="65" customFormat="1" ht="14" x14ac:dyDescent="0.35">
      <c r="A616" s="93"/>
      <c r="B616" s="93"/>
      <c r="C616" s="93"/>
      <c r="D616" s="93"/>
      <c r="E616" s="93"/>
      <c r="F616" s="95"/>
      <c r="G616" s="95"/>
      <c r="H616" s="93"/>
      <c r="I616" s="93"/>
      <c r="J616" s="93"/>
    </row>
    <row r="617" spans="1:10" s="65" customFormat="1" ht="14" x14ac:dyDescent="0.35">
      <c r="A617" s="93"/>
      <c r="B617" s="93"/>
      <c r="C617" s="93"/>
      <c r="D617" s="93"/>
      <c r="E617" s="93"/>
      <c r="F617" s="95"/>
      <c r="G617" s="95"/>
      <c r="H617" s="93"/>
      <c r="I617" s="93"/>
      <c r="J617" s="93"/>
    </row>
    <row r="618" spans="1:10" s="65" customFormat="1" ht="14" x14ac:dyDescent="0.35">
      <c r="A618" s="93"/>
      <c r="B618" s="93"/>
      <c r="C618" s="93"/>
      <c r="D618" s="93"/>
      <c r="E618" s="93"/>
      <c r="F618" s="95"/>
      <c r="G618" s="95"/>
      <c r="H618" s="93"/>
      <c r="I618" s="93"/>
      <c r="J618" s="93"/>
    </row>
    <row r="619" spans="1:10" s="65" customFormat="1" ht="14" x14ac:dyDescent="0.35">
      <c r="A619" s="93"/>
      <c r="B619" s="93"/>
      <c r="C619" s="93"/>
      <c r="D619" s="93"/>
      <c r="E619" s="93"/>
      <c r="F619" s="95"/>
      <c r="G619" s="95"/>
      <c r="H619" s="93"/>
      <c r="I619" s="93"/>
      <c r="J619" s="93"/>
    </row>
    <row r="620" spans="1:10" s="65" customFormat="1" ht="14" x14ac:dyDescent="0.35">
      <c r="A620" s="93"/>
      <c r="B620" s="93"/>
      <c r="C620" s="93"/>
      <c r="D620" s="93"/>
      <c r="E620" s="93"/>
      <c r="F620" s="95"/>
      <c r="G620" s="95"/>
      <c r="H620" s="93"/>
      <c r="I620" s="93"/>
      <c r="J620" s="93"/>
    </row>
    <row r="621" spans="1:10" s="65" customFormat="1" ht="14" x14ac:dyDescent="0.35">
      <c r="A621" s="93"/>
      <c r="B621" s="93"/>
      <c r="C621" s="93"/>
      <c r="D621" s="93"/>
      <c r="E621" s="93"/>
      <c r="F621" s="95"/>
      <c r="G621" s="95"/>
      <c r="H621" s="93"/>
      <c r="I621" s="93"/>
      <c r="J621" s="93"/>
    </row>
    <row r="622" spans="1:10" s="65" customFormat="1" ht="14" x14ac:dyDescent="0.35">
      <c r="A622" s="93"/>
      <c r="B622" s="93"/>
      <c r="C622" s="93"/>
      <c r="D622" s="93"/>
      <c r="E622" s="93"/>
      <c r="F622" s="95"/>
      <c r="G622" s="95"/>
      <c r="H622" s="93"/>
      <c r="I622" s="93"/>
      <c r="J622" s="93"/>
    </row>
    <row r="623" spans="1:10" s="65" customFormat="1" ht="14" x14ac:dyDescent="0.35">
      <c r="A623" s="93"/>
      <c r="B623" s="93"/>
      <c r="C623" s="93"/>
      <c r="D623" s="93"/>
      <c r="E623" s="93"/>
      <c r="F623" s="95"/>
      <c r="G623" s="95"/>
      <c r="H623" s="93"/>
      <c r="I623" s="93"/>
      <c r="J623" s="93"/>
    </row>
    <row r="624" spans="1:10" s="65" customFormat="1" ht="14" x14ac:dyDescent="0.35">
      <c r="A624" s="93"/>
      <c r="B624" s="93"/>
      <c r="C624" s="93"/>
      <c r="D624" s="93"/>
      <c r="E624" s="93"/>
      <c r="F624" s="95"/>
      <c r="G624" s="95"/>
      <c r="H624" s="93"/>
      <c r="I624" s="93"/>
      <c r="J624" s="93"/>
    </row>
    <row r="625" spans="1:10" s="65" customFormat="1" ht="14" x14ac:dyDescent="0.35">
      <c r="A625" s="93"/>
      <c r="B625" s="93"/>
      <c r="C625" s="93"/>
      <c r="D625" s="93"/>
      <c r="E625" s="93"/>
      <c r="F625" s="95"/>
      <c r="G625" s="95"/>
      <c r="H625" s="93"/>
      <c r="I625" s="93"/>
      <c r="J625" s="93"/>
    </row>
    <row r="626" spans="1:10" s="65" customFormat="1" ht="14" x14ac:dyDescent="0.35">
      <c r="A626" s="93"/>
      <c r="B626" s="93"/>
      <c r="C626" s="93"/>
      <c r="D626" s="93"/>
      <c r="E626" s="93"/>
      <c r="F626" s="95"/>
      <c r="G626" s="95"/>
      <c r="H626" s="93"/>
      <c r="I626" s="93"/>
      <c r="J626" s="93"/>
    </row>
    <row r="627" spans="1:10" s="65" customFormat="1" ht="14" x14ac:dyDescent="0.35">
      <c r="A627" s="93"/>
      <c r="B627" s="93"/>
      <c r="C627" s="93"/>
      <c r="D627" s="93"/>
      <c r="E627" s="93"/>
      <c r="F627" s="95"/>
      <c r="G627" s="95"/>
      <c r="H627" s="93"/>
      <c r="I627" s="93"/>
      <c r="J627" s="93"/>
    </row>
    <row r="628" spans="1:10" s="65" customFormat="1" ht="14" x14ac:dyDescent="0.35">
      <c r="A628" s="93"/>
      <c r="B628" s="93"/>
      <c r="C628" s="93"/>
      <c r="D628" s="93"/>
      <c r="E628" s="93"/>
      <c r="F628" s="95"/>
      <c r="G628" s="95"/>
      <c r="H628" s="93"/>
      <c r="I628" s="93"/>
      <c r="J628" s="93"/>
    </row>
    <row r="629" spans="1:10" s="65" customFormat="1" ht="14" x14ac:dyDescent="0.35">
      <c r="A629" s="93"/>
      <c r="B629" s="93"/>
      <c r="C629" s="93"/>
      <c r="D629" s="93"/>
      <c r="E629" s="93"/>
      <c r="F629" s="95"/>
      <c r="G629" s="95"/>
      <c r="H629" s="93"/>
      <c r="I629" s="93"/>
      <c r="J629" s="93"/>
    </row>
    <row r="630" spans="1:10" s="65" customFormat="1" ht="14" x14ac:dyDescent="0.35">
      <c r="A630" s="93"/>
      <c r="B630" s="93"/>
      <c r="C630" s="93"/>
      <c r="D630" s="93"/>
      <c r="E630" s="93"/>
      <c r="F630" s="95"/>
      <c r="G630" s="95"/>
      <c r="H630" s="93"/>
      <c r="I630" s="93"/>
      <c r="J630" s="93"/>
    </row>
    <row r="631" spans="1:10" s="65" customFormat="1" ht="14" x14ac:dyDescent="0.35">
      <c r="A631" s="93"/>
      <c r="B631" s="93"/>
      <c r="C631" s="93"/>
      <c r="D631" s="93"/>
      <c r="E631" s="93"/>
      <c r="F631" s="95"/>
      <c r="G631" s="95"/>
      <c r="H631" s="93"/>
      <c r="I631" s="93"/>
      <c r="J631" s="93"/>
    </row>
    <row r="632" spans="1:10" s="65" customFormat="1" ht="14" x14ac:dyDescent="0.35">
      <c r="A632" s="93"/>
      <c r="B632" s="93"/>
      <c r="C632" s="93"/>
      <c r="D632" s="93"/>
      <c r="E632" s="93"/>
      <c r="F632" s="95"/>
      <c r="G632" s="95"/>
      <c r="H632" s="93"/>
      <c r="I632" s="93"/>
      <c r="J632" s="93"/>
    </row>
    <row r="633" spans="1:10" s="65" customFormat="1" ht="14" x14ac:dyDescent="0.35">
      <c r="A633" s="93"/>
      <c r="B633" s="93"/>
      <c r="C633" s="93"/>
      <c r="D633" s="93"/>
      <c r="E633" s="93"/>
      <c r="F633" s="95"/>
      <c r="G633" s="95"/>
      <c r="H633" s="93"/>
      <c r="I633" s="93"/>
      <c r="J633" s="93"/>
    </row>
    <row r="634" spans="1:10" s="65" customFormat="1" ht="14" x14ac:dyDescent="0.35">
      <c r="A634" s="93"/>
      <c r="B634" s="93"/>
      <c r="C634" s="93"/>
      <c r="D634" s="93"/>
      <c r="E634" s="93"/>
      <c r="F634" s="95"/>
      <c r="G634" s="95"/>
      <c r="H634" s="93"/>
      <c r="I634" s="93"/>
      <c r="J634" s="93"/>
    </row>
    <row r="635" spans="1:10" s="65" customFormat="1" ht="14" x14ac:dyDescent="0.35">
      <c r="A635" s="93"/>
      <c r="B635" s="93"/>
      <c r="C635" s="93"/>
      <c r="D635" s="93"/>
      <c r="E635" s="93"/>
      <c r="F635" s="95"/>
      <c r="G635" s="95"/>
      <c r="H635" s="93"/>
      <c r="I635" s="93"/>
      <c r="J635" s="93"/>
    </row>
    <row r="636" spans="1:10" s="65" customFormat="1" ht="14" x14ac:dyDescent="0.35">
      <c r="A636" s="93"/>
      <c r="B636" s="93"/>
      <c r="C636" s="93"/>
      <c r="D636" s="93"/>
      <c r="E636" s="93"/>
      <c r="F636" s="95"/>
      <c r="G636" s="95"/>
      <c r="H636" s="93"/>
      <c r="I636" s="93"/>
      <c r="J636" s="93"/>
    </row>
    <row r="637" spans="1:10" s="65" customFormat="1" ht="14" x14ac:dyDescent="0.35">
      <c r="A637" s="93"/>
      <c r="B637" s="93"/>
      <c r="C637" s="93"/>
      <c r="D637" s="93"/>
      <c r="E637" s="93"/>
      <c r="F637" s="95"/>
      <c r="G637" s="95"/>
      <c r="H637" s="93"/>
      <c r="I637" s="93"/>
      <c r="J637" s="93"/>
    </row>
    <row r="638" spans="1:10" s="65" customFormat="1" ht="14" x14ac:dyDescent="0.35">
      <c r="A638" s="93"/>
      <c r="B638" s="93"/>
      <c r="C638" s="93"/>
      <c r="D638" s="93"/>
      <c r="E638" s="93"/>
      <c r="F638" s="95"/>
      <c r="G638" s="95"/>
      <c r="H638" s="93"/>
      <c r="I638" s="93"/>
      <c r="J638" s="93"/>
    </row>
    <row r="639" spans="1:10" s="65" customFormat="1" ht="14" x14ac:dyDescent="0.35">
      <c r="A639" s="93"/>
      <c r="B639" s="93"/>
      <c r="C639" s="93"/>
      <c r="D639" s="93"/>
      <c r="E639" s="93"/>
      <c r="F639" s="95"/>
      <c r="G639" s="95"/>
      <c r="H639" s="93"/>
      <c r="I639" s="93"/>
      <c r="J639" s="93"/>
    </row>
    <row r="640" spans="1:10" s="65" customFormat="1" ht="14" x14ac:dyDescent="0.35">
      <c r="A640" s="93"/>
      <c r="B640" s="93"/>
      <c r="C640" s="93"/>
      <c r="D640" s="93"/>
      <c r="E640" s="93"/>
      <c r="F640" s="95"/>
      <c r="G640" s="95"/>
      <c r="H640" s="93"/>
      <c r="I640" s="93"/>
      <c r="J640" s="93"/>
    </row>
    <row r="641" spans="1:10" s="65" customFormat="1" ht="14" x14ac:dyDescent="0.35">
      <c r="A641" s="93"/>
      <c r="B641" s="93"/>
      <c r="C641" s="93"/>
      <c r="D641" s="93"/>
      <c r="E641" s="93"/>
      <c r="F641" s="95"/>
      <c r="G641" s="95"/>
      <c r="H641" s="93"/>
      <c r="I641" s="93"/>
      <c r="J641" s="93"/>
    </row>
    <row r="642" spans="1:10" s="65" customFormat="1" ht="14" x14ac:dyDescent="0.35">
      <c r="A642" s="93"/>
      <c r="B642" s="93"/>
      <c r="C642" s="93"/>
      <c r="D642" s="93"/>
      <c r="E642" s="93"/>
      <c r="F642" s="95"/>
      <c r="G642" s="95"/>
      <c r="H642" s="93"/>
      <c r="I642" s="93"/>
      <c r="J642" s="93"/>
    </row>
    <row r="643" spans="1:10" s="65" customFormat="1" ht="14" x14ac:dyDescent="0.35">
      <c r="A643" s="93"/>
      <c r="B643" s="93"/>
      <c r="C643" s="93"/>
      <c r="D643" s="93"/>
      <c r="E643" s="93"/>
      <c r="F643" s="95"/>
      <c r="G643" s="95"/>
      <c r="H643" s="93"/>
      <c r="I643" s="93"/>
      <c r="J643" s="93"/>
    </row>
    <row r="644" spans="1:10" s="65" customFormat="1" ht="14" x14ac:dyDescent="0.35">
      <c r="A644" s="93"/>
      <c r="B644" s="93"/>
      <c r="C644" s="93"/>
      <c r="D644" s="93"/>
      <c r="E644" s="93"/>
      <c r="F644" s="95"/>
      <c r="G644" s="95"/>
      <c r="H644" s="93"/>
      <c r="I644" s="93"/>
      <c r="J644" s="93"/>
    </row>
    <row r="645" spans="1:10" s="65" customFormat="1" ht="14" x14ac:dyDescent="0.35">
      <c r="A645" s="93"/>
      <c r="B645" s="93"/>
      <c r="C645" s="93"/>
      <c r="D645" s="93"/>
      <c r="E645" s="93"/>
      <c r="F645" s="95"/>
      <c r="G645" s="95"/>
      <c r="H645" s="93"/>
      <c r="I645" s="93"/>
      <c r="J645" s="93"/>
    </row>
    <row r="646" spans="1:10" s="65" customFormat="1" ht="14" x14ac:dyDescent="0.35">
      <c r="A646" s="93"/>
      <c r="B646" s="93"/>
      <c r="C646" s="93"/>
      <c r="D646" s="93"/>
      <c r="E646" s="93"/>
      <c r="F646" s="95"/>
      <c r="G646" s="95"/>
      <c r="H646" s="93"/>
      <c r="I646" s="93"/>
      <c r="J646" s="93"/>
    </row>
    <row r="647" spans="1:10" s="65" customFormat="1" ht="14" x14ac:dyDescent="0.35">
      <c r="A647" s="93"/>
      <c r="B647" s="93"/>
      <c r="C647" s="93"/>
      <c r="D647" s="93"/>
      <c r="E647" s="93"/>
      <c r="F647" s="95"/>
      <c r="G647" s="95"/>
      <c r="H647" s="93"/>
      <c r="I647" s="93"/>
      <c r="J647" s="93"/>
    </row>
    <row r="648" spans="1:10" s="65" customFormat="1" ht="14" x14ac:dyDescent="0.35">
      <c r="A648" s="93"/>
      <c r="B648" s="93"/>
      <c r="C648" s="93"/>
      <c r="D648" s="93"/>
      <c r="E648" s="93"/>
      <c r="F648" s="95"/>
      <c r="G648" s="95"/>
      <c r="H648" s="93"/>
      <c r="I648" s="93"/>
      <c r="J648" s="93"/>
    </row>
    <row r="649" spans="1:10" s="65" customFormat="1" ht="14" x14ac:dyDescent="0.35">
      <c r="A649" s="93"/>
      <c r="B649" s="93"/>
      <c r="C649" s="93"/>
      <c r="D649" s="93"/>
      <c r="E649" s="93"/>
      <c r="F649" s="95"/>
      <c r="G649" s="95"/>
      <c r="H649" s="93"/>
      <c r="I649" s="93"/>
      <c r="J649" s="93"/>
    </row>
    <row r="650" spans="1:10" s="65" customFormat="1" ht="14" x14ac:dyDescent="0.35">
      <c r="A650" s="93"/>
      <c r="B650" s="93"/>
      <c r="C650" s="93"/>
      <c r="D650" s="93"/>
      <c r="E650" s="93"/>
      <c r="F650" s="95"/>
      <c r="G650" s="95"/>
      <c r="H650" s="93"/>
      <c r="I650" s="93"/>
      <c r="J650" s="93"/>
    </row>
    <row r="651" spans="1:10" s="65" customFormat="1" ht="14" x14ac:dyDescent="0.35">
      <c r="A651" s="93"/>
      <c r="B651" s="93"/>
      <c r="C651" s="93"/>
      <c r="D651" s="93"/>
      <c r="E651" s="93"/>
      <c r="F651" s="95"/>
      <c r="G651" s="95"/>
      <c r="H651" s="93"/>
      <c r="I651" s="93"/>
      <c r="J651" s="93"/>
    </row>
    <row r="652" spans="1:10" s="65" customFormat="1" ht="14" x14ac:dyDescent="0.35">
      <c r="A652" s="93"/>
      <c r="B652" s="93"/>
      <c r="C652" s="93"/>
      <c r="D652" s="93"/>
      <c r="E652" s="93"/>
      <c r="F652" s="95"/>
      <c r="G652" s="95"/>
      <c r="H652" s="93"/>
      <c r="I652" s="93"/>
      <c r="J652" s="93"/>
    </row>
    <row r="653" spans="1:10" s="65" customFormat="1" ht="14" x14ac:dyDescent="0.35">
      <c r="A653" s="93"/>
      <c r="B653" s="93"/>
      <c r="C653" s="93"/>
      <c r="D653" s="93"/>
      <c r="E653" s="93"/>
      <c r="F653" s="95"/>
      <c r="G653" s="95"/>
      <c r="H653" s="93"/>
      <c r="I653" s="93"/>
      <c r="J653" s="93"/>
    </row>
    <row r="654" spans="1:10" s="65" customFormat="1" ht="14" x14ac:dyDescent="0.35">
      <c r="A654" s="93"/>
      <c r="B654" s="93"/>
      <c r="C654" s="93"/>
      <c r="D654" s="93"/>
      <c r="E654" s="93"/>
      <c r="F654" s="95"/>
      <c r="G654" s="95"/>
      <c r="H654" s="93"/>
      <c r="I654" s="93"/>
      <c r="J654" s="93"/>
    </row>
    <row r="655" spans="1:10" s="65" customFormat="1" ht="14" x14ac:dyDescent="0.35">
      <c r="A655" s="93"/>
      <c r="B655" s="93"/>
      <c r="C655" s="93"/>
      <c r="D655" s="93"/>
      <c r="E655" s="93"/>
      <c r="F655" s="95"/>
      <c r="G655" s="95"/>
      <c r="H655" s="93"/>
      <c r="I655" s="93"/>
      <c r="J655" s="93"/>
    </row>
    <row r="656" spans="1:10" s="65" customFormat="1" ht="14" x14ac:dyDescent="0.35">
      <c r="A656" s="93"/>
      <c r="B656" s="93"/>
      <c r="C656" s="93"/>
      <c r="D656" s="93"/>
      <c r="E656" s="93"/>
      <c r="F656" s="95"/>
      <c r="G656" s="95"/>
      <c r="H656" s="93"/>
      <c r="I656" s="93"/>
      <c r="J656" s="93"/>
    </row>
    <row r="657" spans="1:10" s="65" customFormat="1" ht="14" x14ac:dyDescent="0.35">
      <c r="A657" s="93"/>
      <c r="B657" s="93"/>
      <c r="C657" s="93"/>
      <c r="D657" s="93"/>
      <c r="E657" s="93"/>
      <c r="F657" s="95"/>
      <c r="G657" s="95"/>
      <c r="H657" s="93"/>
      <c r="I657" s="93"/>
      <c r="J657" s="93"/>
    </row>
    <row r="658" spans="1:10" s="65" customFormat="1" ht="14" x14ac:dyDescent="0.35">
      <c r="A658" s="93"/>
      <c r="B658" s="93"/>
      <c r="C658" s="93"/>
      <c r="D658" s="93"/>
      <c r="E658" s="93"/>
      <c r="F658" s="95"/>
      <c r="G658" s="95"/>
      <c r="H658" s="93"/>
      <c r="I658" s="93"/>
      <c r="J658" s="93"/>
    </row>
    <row r="659" spans="1:10" s="65" customFormat="1" ht="14" x14ac:dyDescent="0.35">
      <c r="A659" s="93"/>
      <c r="B659" s="93"/>
      <c r="C659" s="93"/>
      <c r="D659" s="93"/>
      <c r="E659" s="93"/>
      <c r="F659" s="95"/>
      <c r="G659" s="95"/>
      <c r="H659" s="93"/>
      <c r="I659" s="93"/>
      <c r="J659" s="93"/>
    </row>
    <row r="660" spans="1:10" s="65" customFormat="1" ht="14" x14ac:dyDescent="0.35">
      <c r="A660" s="93"/>
      <c r="B660" s="93"/>
      <c r="C660" s="93"/>
      <c r="D660" s="93"/>
      <c r="E660" s="93"/>
      <c r="F660" s="95"/>
      <c r="G660" s="95"/>
      <c r="H660" s="93"/>
      <c r="I660" s="93"/>
      <c r="J660" s="93"/>
    </row>
    <row r="661" spans="1:10" s="65" customFormat="1" ht="14" x14ac:dyDescent="0.35">
      <c r="A661" s="93"/>
      <c r="B661" s="93"/>
      <c r="C661" s="93"/>
      <c r="D661" s="93"/>
      <c r="E661" s="93"/>
      <c r="F661" s="95"/>
      <c r="G661" s="95"/>
      <c r="H661" s="93"/>
      <c r="I661" s="93"/>
      <c r="J661" s="93"/>
    </row>
    <row r="662" spans="1:10" s="65" customFormat="1" ht="14" x14ac:dyDescent="0.35">
      <c r="A662" s="93"/>
      <c r="B662" s="93"/>
      <c r="C662" s="93"/>
      <c r="D662" s="93"/>
      <c r="E662" s="93"/>
      <c r="F662" s="95"/>
      <c r="G662" s="95"/>
      <c r="H662" s="93"/>
      <c r="I662" s="93"/>
      <c r="J662" s="93"/>
    </row>
    <row r="663" spans="1:10" s="65" customFormat="1" ht="14" x14ac:dyDescent="0.35">
      <c r="A663" s="93"/>
      <c r="B663" s="93"/>
      <c r="C663" s="93"/>
      <c r="D663" s="93"/>
      <c r="E663" s="93"/>
      <c r="F663" s="95"/>
      <c r="G663" s="95"/>
      <c r="H663" s="93"/>
      <c r="I663" s="93"/>
      <c r="J663" s="93"/>
    </row>
    <row r="664" spans="1:10" s="65" customFormat="1" ht="14" x14ac:dyDescent="0.35">
      <c r="A664" s="93"/>
      <c r="B664" s="93"/>
      <c r="C664" s="93"/>
      <c r="D664" s="93"/>
      <c r="E664" s="93"/>
      <c r="F664" s="95"/>
      <c r="G664" s="95"/>
      <c r="H664" s="93"/>
      <c r="I664" s="93"/>
      <c r="J664" s="93"/>
    </row>
    <row r="665" spans="1:10" s="65" customFormat="1" ht="14" x14ac:dyDescent="0.35">
      <c r="A665" s="93"/>
      <c r="B665" s="93"/>
      <c r="C665" s="93"/>
      <c r="D665" s="93"/>
      <c r="E665" s="93"/>
      <c r="F665" s="95"/>
      <c r="G665" s="95"/>
      <c r="H665" s="93"/>
      <c r="I665" s="93"/>
      <c r="J665" s="93"/>
    </row>
    <row r="666" spans="1:10" s="65" customFormat="1" ht="14" x14ac:dyDescent="0.35">
      <c r="A666" s="93"/>
      <c r="B666" s="93"/>
      <c r="C666" s="93"/>
      <c r="D666" s="93"/>
      <c r="E666" s="93"/>
      <c r="F666" s="95"/>
      <c r="G666" s="95"/>
      <c r="H666" s="93"/>
      <c r="I666" s="93"/>
      <c r="J666" s="93"/>
    </row>
    <row r="667" spans="1:10" s="65" customFormat="1" ht="14" x14ac:dyDescent="0.35">
      <c r="A667" s="93"/>
      <c r="B667" s="93"/>
      <c r="C667" s="93"/>
      <c r="D667" s="93"/>
      <c r="E667" s="93"/>
      <c r="F667" s="95"/>
      <c r="G667" s="95"/>
      <c r="H667" s="93"/>
      <c r="I667" s="93"/>
      <c r="J667" s="93"/>
    </row>
    <row r="668" spans="1:10" s="65" customFormat="1" ht="14" x14ac:dyDescent="0.35">
      <c r="A668" s="93"/>
      <c r="B668" s="93"/>
      <c r="C668" s="93"/>
      <c r="D668" s="93"/>
      <c r="E668" s="93"/>
      <c r="F668" s="95"/>
      <c r="G668" s="95"/>
      <c r="H668" s="93"/>
      <c r="I668" s="93"/>
      <c r="J668" s="93"/>
    </row>
    <row r="669" spans="1:10" s="65" customFormat="1" ht="14" x14ac:dyDescent="0.35">
      <c r="A669" s="93"/>
      <c r="B669" s="93"/>
      <c r="C669" s="93"/>
      <c r="D669" s="93"/>
      <c r="E669" s="93"/>
      <c r="F669" s="95"/>
      <c r="G669" s="95"/>
      <c r="H669" s="93"/>
      <c r="I669" s="93"/>
      <c r="J669" s="93"/>
    </row>
    <row r="670" spans="1:10" s="65" customFormat="1" ht="14" x14ac:dyDescent="0.35">
      <c r="A670" s="93"/>
      <c r="B670" s="93"/>
      <c r="C670" s="93"/>
      <c r="D670" s="93"/>
      <c r="E670" s="93"/>
      <c r="F670" s="95"/>
      <c r="G670" s="95"/>
      <c r="H670" s="93"/>
      <c r="I670" s="93"/>
      <c r="J670" s="93"/>
    </row>
    <row r="671" spans="1:10" s="65" customFormat="1" ht="14" x14ac:dyDescent="0.35">
      <c r="A671" s="93"/>
      <c r="B671" s="93"/>
      <c r="C671" s="93"/>
      <c r="D671" s="93"/>
      <c r="E671" s="93"/>
      <c r="F671" s="95"/>
      <c r="G671" s="95"/>
      <c r="H671" s="93"/>
      <c r="I671" s="93"/>
      <c r="J671" s="93"/>
    </row>
    <row r="672" spans="1:10" s="65" customFormat="1" ht="14" x14ac:dyDescent="0.35">
      <c r="A672" s="93"/>
      <c r="B672" s="93"/>
      <c r="C672" s="93"/>
      <c r="D672" s="93"/>
      <c r="E672" s="93"/>
      <c r="F672" s="95"/>
      <c r="G672" s="95"/>
      <c r="H672" s="93"/>
      <c r="I672" s="93"/>
      <c r="J672" s="93"/>
    </row>
    <row r="673" spans="1:10" s="65" customFormat="1" ht="14" x14ac:dyDescent="0.35">
      <c r="A673" s="93"/>
      <c r="B673" s="93"/>
      <c r="C673" s="93"/>
      <c r="D673" s="93"/>
      <c r="E673" s="93"/>
      <c r="F673" s="95"/>
      <c r="G673" s="95"/>
      <c r="H673" s="93"/>
      <c r="I673" s="93"/>
      <c r="J673" s="93"/>
    </row>
    <row r="674" spans="1:10" s="65" customFormat="1" ht="14" x14ac:dyDescent="0.35">
      <c r="A674" s="93"/>
      <c r="B674" s="93"/>
      <c r="C674" s="93"/>
      <c r="D674" s="93"/>
      <c r="E674" s="93"/>
      <c r="F674" s="95"/>
      <c r="G674" s="95"/>
      <c r="H674" s="93"/>
      <c r="I674" s="93"/>
      <c r="J674" s="93"/>
    </row>
    <row r="675" spans="1:10" s="65" customFormat="1" ht="14" x14ac:dyDescent="0.35">
      <c r="A675" s="93"/>
      <c r="B675" s="93"/>
      <c r="C675" s="93"/>
      <c r="D675" s="93"/>
      <c r="E675" s="93"/>
      <c r="F675" s="95"/>
      <c r="G675" s="95"/>
      <c r="H675" s="93"/>
      <c r="I675" s="93"/>
      <c r="J675" s="93"/>
    </row>
    <row r="676" spans="1:10" s="65" customFormat="1" ht="14" x14ac:dyDescent="0.35">
      <c r="A676" s="93"/>
      <c r="B676" s="93"/>
      <c r="C676" s="93"/>
      <c r="D676" s="93"/>
      <c r="E676" s="93"/>
      <c r="F676" s="95"/>
      <c r="G676" s="95"/>
      <c r="H676" s="93"/>
      <c r="I676" s="93"/>
      <c r="J676" s="93"/>
    </row>
    <row r="677" spans="1:10" s="65" customFormat="1" ht="14" x14ac:dyDescent="0.35">
      <c r="A677" s="93"/>
      <c r="B677" s="93"/>
      <c r="C677" s="93"/>
      <c r="D677" s="93"/>
      <c r="E677" s="93"/>
      <c r="F677" s="95"/>
      <c r="G677" s="95"/>
      <c r="H677" s="93"/>
      <c r="I677" s="93"/>
      <c r="J677" s="93"/>
    </row>
    <row r="678" spans="1:10" s="65" customFormat="1" ht="14" x14ac:dyDescent="0.35">
      <c r="A678" s="93"/>
      <c r="B678" s="93"/>
      <c r="C678" s="93"/>
      <c r="D678" s="93"/>
      <c r="E678" s="93"/>
      <c r="F678" s="95"/>
      <c r="G678" s="95"/>
      <c r="H678" s="93"/>
      <c r="I678" s="93"/>
      <c r="J678" s="93"/>
    </row>
    <row r="679" spans="1:10" s="65" customFormat="1" ht="14" x14ac:dyDescent="0.35">
      <c r="A679" s="93"/>
      <c r="B679" s="93"/>
      <c r="C679" s="93"/>
      <c r="D679" s="93"/>
      <c r="E679" s="93"/>
      <c r="F679" s="95"/>
      <c r="G679" s="95"/>
      <c r="H679" s="93"/>
      <c r="I679" s="93"/>
      <c r="J679" s="93"/>
    </row>
    <row r="680" spans="1:10" s="65" customFormat="1" ht="14" x14ac:dyDescent="0.35">
      <c r="A680" s="93"/>
      <c r="B680" s="93"/>
      <c r="C680" s="93"/>
      <c r="D680" s="93"/>
      <c r="E680" s="93"/>
      <c r="F680" s="95"/>
      <c r="G680" s="95"/>
      <c r="H680" s="93"/>
      <c r="I680" s="93"/>
      <c r="J680" s="93"/>
    </row>
    <row r="681" spans="1:10" s="65" customFormat="1" ht="14" x14ac:dyDescent="0.35">
      <c r="A681" s="93"/>
      <c r="B681" s="93"/>
      <c r="C681" s="93"/>
      <c r="D681" s="93"/>
      <c r="E681" s="93"/>
      <c r="F681" s="95"/>
      <c r="G681" s="95"/>
      <c r="H681" s="93"/>
      <c r="I681" s="93"/>
      <c r="J681" s="93"/>
    </row>
    <row r="682" spans="1:10" s="65" customFormat="1" ht="14" x14ac:dyDescent="0.35">
      <c r="A682" s="93"/>
      <c r="B682" s="93"/>
      <c r="C682" s="93"/>
      <c r="D682" s="93"/>
      <c r="E682" s="93"/>
      <c r="F682" s="95"/>
      <c r="G682" s="95"/>
      <c r="H682" s="93"/>
      <c r="I682" s="93"/>
      <c r="J682" s="93"/>
    </row>
    <row r="683" spans="1:10" s="65" customFormat="1" ht="14" x14ac:dyDescent="0.35">
      <c r="A683" s="93"/>
      <c r="B683" s="93"/>
      <c r="C683" s="93"/>
      <c r="D683" s="93"/>
      <c r="E683" s="93"/>
      <c r="F683" s="95"/>
      <c r="G683" s="95"/>
      <c r="H683" s="93"/>
      <c r="I683" s="93"/>
      <c r="J683" s="93"/>
    </row>
    <row r="684" spans="1:10" s="65" customFormat="1" ht="14" x14ac:dyDescent="0.35">
      <c r="A684" s="93"/>
      <c r="B684" s="93"/>
      <c r="C684" s="93"/>
      <c r="D684" s="93"/>
      <c r="E684" s="93"/>
      <c r="F684" s="95"/>
      <c r="G684" s="95"/>
      <c r="H684" s="93"/>
      <c r="I684" s="93"/>
      <c r="J684" s="93"/>
    </row>
    <row r="685" spans="1:10" s="65" customFormat="1" ht="14" x14ac:dyDescent="0.35">
      <c r="A685" s="93"/>
      <c r="B685" s="93"/>
      <c r="C685" s="93"/>
      <c r="D685" s="93"/>
      <c r="E685" s="93"/>
      <c r="F685" s="95"/>
      <c r="G685" s="95"/>
      <c r="H685" s="93"/>
      <c r="I685" s="93"/>
      <c r="J685" s="93"/>
    </row>
    <row r="686" spans="1:10" s="65" customFormat="1" ht="14" x14ac:dyDescent="0.35">
      <c r="A686" s="93"/>
      <c r="B686" s="93"/>
      <c r="C686" s="93"/>
      <c r="D686" s="93"/>
      <c r="E686" s="93"/>
      <c r="F686" s="95"/>
      <c r="G686" s="95"/>
      <c r="H686" s="93"/>
      <c r="I686" s="93"/>
      <c r="J686" s="93"/>
    </row>
    <row r="687" spans="1:10" s="65" customFormat="1" ht="14" x14ac:dyDescent="0.35">
      <c r="A687" s="93"/>
      <c r="B687" s="93"/>
      <c r="C687" s="93"/>
      <c r="D687" s="93"/>
      <c r="E687" s="93"/>
      <c r="F687" s="95"/>
      <c r="G687" s="95"/>
      <c r="H687" s="93"/>
      <c r="I687" s="93"/>
      <c r="J687" s="93"/>
    </row>
    <row r="688" spans="1:10" s="65" customFormat="1" ht="14" x14ac:dyDescent="0.35">
      <c r="A688" s="93"/>
      <c r="B688" s="93"/>
      <c r="C688" s="93"/>
      <c r="D688" s="93"/>
      <c r="E688" s="93"/>
      <c r="F688" s="95"/>
      <c r="G688" s="95"/>
      <c r="H688" s="93"/>
      <c r="I688" s="93"/>
      <c r="J688" s="93"/>
    </row>
    <row r="689" spans="1:10" s="65" customFormat="1" ht="14" x14ac:dyDescent="0.35">
      <c r="A689" s="93"/>
      <c r="B689" s="93"/>
      <c r="C689" s="93"/>
      <c r="D689" s="93"/>
      <c r="E689" s="93"/>
      <c r="F689" s="95"/>
      <c r="G689" s="95"/>
      <c r="H689" s="93"/>
      <c r="I689" s="93"/>
      <c r="J689" s="93"/>
    </row>
    <row r="690" spans="1:10" s="65" customFormat="1" ht="14" x14ac:dyDescent="0.35">
      <c r="A690" s="93"/>
      <c r="B690" s="93"/>
      <c r="C690" s="93"/>
      <c r="D690" s="93"/>
      <c r="E690" s="93"/>
      <c r="F690" s="95"/>
      <c r="G690" s="95"/>
      <c r="H690" s="93"/>
      <c r="I690" s="93"/>
      <c r="J690" s="93"/>
    </row>
    <row r="691" spans="1:10" s="65" customFormat="1" ht="14" x14ac:dyDescent="0.35">
      <c r="A691" s="93"/>
      <c r="B691" s="93"/>
      <c r="C691" s="93"/>
      <c r="D691" s="93"/>
      <c r="E691" s="93"/>
      <c r="F691" s="95"/>
      <c r="G691" s="95"/>
      <c r="H691" s="93"/>
      <c r="I691" s="93"/>
      <c r="J691" s="93"/>
    </row>
    <row r="692" spans="1:10" s="65" customFormat="1" ht="14" x14ac:dyDescent="0.35">
      <c r="A692" s="93"/>
      <c r="B692" s="93"/>
      <c r="C692" s="93"/>
      <c r="D692" s="93"/>
      <c r="E692" s="93"/>
      <c r="F692" s="95"/>
      <c r="G692" s="95"/>
      <c r="H692" s="93"/>
      <c r="I692" s="93"/>
      <c r="J692" s="93"/>
    </row>
    <row r="693" spans="1:10" s="65" customFormat="1" ht="14" x14ac:dyDescent="0.35">
      <c r="A693" s="93"/>
      <c r="B693" s="93"/>
      <c r="C693" s="93"/>
      <c r="D693" s="93"/>
      <c r="E693" s="93"/>
      <c r="F693" s="95"/>
      <c r="G693" s="95"/>
      <c r="H693" s="93"/>
      <c r="I693" s="93"/>
      <c r="J693" s="93"/>
    </row>
    <row r="694" spans="1:10" s="65" customFormat="1" ht="14" x14ac:dyDescent="0.35">
      <c r="A694" s="93"/>
      <c r="B694" s="93"/>
      <c r="C694" s="93"/>
      <c r="D694" s="93"/>
      <c r="E694" s="93"/>
      <c r="F694" s="95"/>
      <c r="G694" s="95"/>
      <c r="H694" s="93"/>
      <c r="I694" s="93"/>
      <c r="J694" s="93"/>
    </row>
    <row r="695" spans="1:10" s="65" customFormat="1" ht="14" x14ac:dyDescent="0.35">
      <c r="A695" s="93"/>
      <c r="B695" s="93"/>
      <c r="C695" s="93"/>
      <c r="D695" s="93"/>
      <c r="E695" s="93"/>
      <c r="F695" s="95"/>
      <c r="G695" s="95"/>
      <c r="H695" s="93"/>
      <c r="I695" s="93"/>
      <c r="J695" s="93"/>
    </row>
    <row r="696" spans="1:10" s="65" customFormat="1" ht="14" x14ac:dyDescent="0.35">
      <c r="A696" s="93"/>
      <c r="B696" s="93"/>
      <c r="C696" s="93"/>
      <c r="D696" s="93"/>
      <c r="E696" s="93"/>
      <c r="F696" s="95"/>
      <c r="G696" s="95"/>
      <c r="H696" s="93"/>
      <c r="I696" s="93"/>
      <c r="J696" s="93"/>
    </row>
    <row r="697" spans="1:10" s="65" customFormat="1" ht="14" x14ac:dyDescent="0.35">
      <c r="A697" s="93"/>
      <c r="B697" s="93"/>
      <c r="C697" s="93"/>
      <c r="D697" s="93"/>
      <c r="E697" s="93"/>
      <c r="F697" s="95"/>
      <c r="G697" s="95"/>
      <c r="H697" s="93"/>
      <c r="I697" s="93"/>
      <c r="J697" s="93"/>
    </row>
    <row r="698" spans="1:10" s="65" customFormat="1" ht="14" x14ac:dyDescent="0.35">
      <c r="A698" s="93"/>
      <c r="B698" s="93"/>
      <c r="C698" s="93"/>
      <c r="D698" s="93"/>
      <c r="E698" s="93"/>
      <c r="F698" s="95"/>
      <c r="G698" s="95"/>
      <c r="H698" s="93"/>
      <c r="I698" s="93"/>
      <c r="J698" s="93"/>
    </row>
    <row r="699" spans="1:10" s="65" customFormat="1" ht="14" x14ac:dyDescent="0.35">
      <c r="A699" s="93"/>
      <c r="B699" s="93"/>
      <c r="C699" s="93"/>
      <c r="D699" s="93"/>
      <c r="E699" s="93"/>
      <c r="F699" s="95"/>
      <c r="G699" s="95"/>
      <c r="H699" s="93"/>
      <c r="I699" s="93"/>
      <c r="J699" s="93"/>
    </row>
    <row r="700" spans="1:10" s="65" customFormat="1" ht="14" x14ac:dyDescent="0.35">
      <c r="A700" s="93"/>
      <c r="B700" s="93"/>
      <c r="C700" s="93"/>
      <c r="D700" s="93"/>
      <c r="E700" s="93"/>
      <c r="F700" s="95"/>
      <c r="G700" s="95"/>
      <c r="H700" s="93"/>
      <c r="I700" s="93"/>
      <c r="J700" s="93"/>
    </row>
    <row r="701" spans="1:10" s="65" customFormat="1" ht="14" x14ac:dyDescent="0.35">
      <c r="A701" s="93"/>
      <c r="B701" s="93"/>
      <c r="C701" s="93"/>
      <c r="D701" s="93"/>
      <c r="E701" s="93"/>
      <c r="F701" s="95"/>
      <c r="G701" s="95"/>
      <c r="H701" s="93"/>
      <c r="I701" s="93"/>
      <c r="J701" s="93"/>
    </row>
    <row r="702" spans="1:10" s="65" customFormat="1" ht="14" x14ac:dyDescent="0.35">
      <c r="A702" s="93"/>
      <c r="B702" s="93"/>
      <c r="C702" s="93"/>
      <c r="D702" s="93"/>
      <c r="E702" s="93"/>
      <c r="F702" s="95"/>
      <c r="G702" s="95"/>
      <c r="H702" s="93"/>
      <c r="I702" s="93"/>
      <c r="J702" s="93"/>
    </row>
    <row r="703" spans="1:10" s="65" customFormat="1" ht="14" x14ac:dyDescent="0.35">
      <c r="A703" s="93"/>
      <c r="B703" s="93"/>
      <c r="C703" s="93"/>
      <c r="D703" s="93"/>
      <c r="E703" s="93"/>
      <c r="F703" s="95"/>
      <c r="G703" s="95"/>
      <c r="H703" s="93"/>
      <c r="I703" s="93"/>
      <c r="J703" s="93"/>
    </row>
    <row r="704" spans="1:10" s="65" customFormat="1" ht="14" x14ac:dyDescent="0.35">
      <c r="A704" s="93"/>
      <c r="B704" s="93"/>
      <c r="C704" s="93"/>
      <c r="D704" s="93"/>
      <c r="E704" s="93"/>
      <c r="F704" s="95"/>
      <c r="G704" s="95"/>
      <c r="H704" s="93"/>
      <c r="I704" s="93"/>
      <c r="J704" s="93"/>
    </row>
    <row r="705" spans="1:10" s="65" customFormat="1" ht="14" x14ac:dyDescent="0.35">
      <c r="A705" s="93"/>
      <c r="B705" s="93"/>
      <c r="C705" s="93"/>
      <c r="D705" s="93"/>
      <c r="E705" s="93"/>
      <c r="F705" s="95"/>
      <c r="G705" s="95"/>
      <c r="H705" s="93"/>
      <c r="I705" s="93"/>
      <c r="J705" s="93"/>
    </row>
    <row r="706" spans="1:10" s="65" customFormat="1" ht="14" x14ac:dyDescent="0.35">
      <c r="A706" s="93"/>
      <c r="B706" s="93"/>
      <c r="C706" s="93"/>
      <c r="D706" s="93"/>
      <c r="E706" s="93"/>
      <c r="F706" s="95"/>
      <c r="G706" s="95"/>
      <c r="H706" s="93"/>
      <c r="I706" s="93"/>
      <c r="J706" s="93"/>
    </row>
    <row r="707" spans="1:10" s="65" customFormat="1" ht="14" x14ac:dyDescent="0.35">
      <c r="A707" s="93"/>
      <c r="B707" s="93"/>
      <c r="C707" s="93"/>
      <c r="D707" s="93"/>
      <c r="E707" s="93"/>
      <c r="F707" s="95"/>
      <c r="G707" s="95"/>
      <c r="H707" s="93"/>
      <c r="I707" s="93"/>
      <c r="J707" s="93"/>
    </row>
    <row r="708" spans="1:10" s="65" customFormat="1" ht="14" x14ac:dyDescent="0.35">
      <c r="A708" s="93"/>
      <c r="B708" s="93"/>
      <c r="C708" s="93"/>
      <c r="D708" s="93"/>
      <c r="E708" s="93"/>
      <c r="F708" s="95"/>
      <c r="G708" s="95"/>
      <c r="H708" s="93"/>
      <c r="I708" s="93"/>
      <c r="J708" s="93"/>
    </row>
    <row r="709" spans="1:10" s="65" customFormat="1" ht="14" x14ac:dyDescent="0.35">
      <c r="A709" s="93"/>
      <c r="B709" s="93"/>
      <c r="C709" s="93"/>
      <c r="D709" s="93"/>
      <c r="E709" s="93"/>
      <c r="F709" s="95"/>
      <c r="G709" s="95"/>
      <c r="H709" s="93"/>
      <c r="I709" s="93"/>
      <c r="J709" s="93"/>
    </row>
    <row r="710" spans="1:10" s="65" customFormat="1" ht="14" x14ac:dyDescent="0.35">
      <c r="A710" s="93"/>
      <c r="B710" s="93"/>
      <c r="C710" s="93"/>
      <c r="D710" s="93"/>
      <c r="E710" s="93"/>
      <c r="F710" s="95"/>
      <c r="G710" s="95"/>
      <c r="H710" s="93"/>
      <c r="I710" s="93"/>
      <c r="J710" s="93"/>
    </row>
    <row r="711" spans="1:10" s="65" customFormat="1" ht="14" x14ac:dyDescent="0.35">
      <c r="A711" s="93"/>
      <c r="B711" s="93"/>
      <c r="C711" s="93"/>
      <c r="D711" s="93"/>
      <c r="E711" s="93"/>
      <c r="F711" s="95"/>
      <c r="G711" s="95"/>
      <c r="H711" s="93"/>
      <c r="I711" s="93"/>
      <c r="J711" s="93"/>
    </row>
    <row r="712" spans="1:10" s="65" customFormat="1" ht="14" x14ac:dyDescent="0.35">
      <c r="A712" s="93"/>
      <c r="B712" s="93"/>
      <c r="C712" s="93"/>
      <c r="D712" s="93"/>
      <c r="E712" s="93"/>
      <c r="F712" s="95"/>
      <c r="G712" s="95"/>
      <c r="H712" s="93"/>
      <c r="I712" s="93"/>
      <c r="J712" s="93"/>
    </row>
    <row r="713" spans="1:10" s="65" customFormat="1" ht="14" x14ac:dyDescent="0.35">
      <c r="A713" s="93"/>
      <c r="B713" s="93"/>
      <c r="C713" s="93"/>
      <c r="D713" s="93"/>
      <c r="E713" s="93"/>
      <c r="F713" s="95"/>
      <c r="G713" s="95"/>
      <c r="H713" s="93"/>
      <c r="I713" s="93"/>
      <c r="J713" s="93"/>
    </row>
    <row r="714" spans="1:10" s="65" customFormat="1" ht="14" x14ac:dyDescent="0.35">
      <c r="A714" s="93"/>
      <c r="B714" s="93"/>
      <c r="C714" s="93"/>
      <c r="D714" s="93"/>
      <c r="E714" s="93"/>
      <c r="F714" s="95"/>
      <c r="G714" s="95"/>
      <c r="H714" s="93"/>
      <c r="I714" s="93"/>
      <c r="J714" s="93"/>
    </row>
    <row r="715" spans="1:10" s="65" customFormat="1" ht="14" x14ac:dyDescent="0.35">
      <c r="A715" s="93"/>
      <c r="B715" s="93"/>
      <c r="C715" s="93"/>
      <c r="D715" s="93"/>
      <c r="E715" s="93"/>
      <c r="F715" s="95"/>
      <c r="G715" s="95"/>
      <c r="H715" s="93"/>
      <c r="I715" s="93"/>
      <c r="J715" s="93"/>
    </row>
    <row r="716" spans="1:10" s="65" customFormat="1" ht="14" x14ac:dyDescent="0.35">
      <c r="A716" s="93"/>
      <c r="B716" s="93"/>
      <c r="C716" s="93"/>
      <c r="D716" s="93"/>
      <c r="E716" s="93"/>
      <c r="F716" s="95"/>
      <c r="G716" s="95"/>
      <c r="H716" s="93"/>
      <c r="I716" s="93"/>
      <c r="J716" s="93"/>
    </row>
    <row r="717" spans="1:10" s="65" customFormat="1" ht="14" x14ac:dyDescent="0.35">
      <c r="A717" s="93"/>
      <c r="B717" s="93"/>
      <c r="C717" s="93"/>
      <c r="D717" s="93"/>
      <c r="E717" s="93"/>
      <c r="F717" s="95"/>
      <c r="G717" s="95"/>
      <c r="H717" s="93"/>
      <c r="I717" s="93"/>
      <c r="J717" s="93"/>
    </row>
    <row r="718" spans="1:10" s="65" customFormat="1" ht="14" x14ac:dyDescent="0.35">
      <c r="A718" s="93"/>
      <c r="B718" s="93"/>
      <c r="C718" s="93"/>
      <c r="D718" s="93"/>
      <c r="E718" s="93"/>
      <c r="F718" s="95"/>
      <c r="G718" s="95"/>
      <c r="H718" s="93"/>
      <c r="I718" s="93"/>
      <c r="J718" s="93"/>
    </row>
    <row r="719" spans="1:10" s="65" customFormat="1" ht="14" x14ac:dyDescent="0.35">
      <c r="A719" s="93"/>
      <c r="B719" s="93"/>
      <c r="C719" s="93"/>
      <c r="D719" s="93"/>
      <c r="E719" s="93"/>
      <c r="F719" s="95"/>
      <c r="G719" s="95"/>
      <c r="H719" s="93"/>
      <c r="I719" s="93"/>
      <c r="J719" s="93"/>
    </row>
    <row r="720" spans="1:10" s="65" customFormat="1" ht="14" x14ac:dyDescent="0.35">
      <c r="A720" s="93"/>
      <c r="B720" s="93"/>
      <c r="C720" s="93"/>
      <c r="D720" s="93"/>
      <c r="E720" s="93"/>
      <c r="F720" s="95"/>
      <c r="G720" s="95"/>
      <c r="H720" s="93"/>
      <c r="I720" s="93"/>
      <c r="J720" s="93"/>
    </row>
    <row r="721" spans="1:10" s="65" customFormat="1" ht="14" x14ac:dyDescent="0.35">
      <c r="A721" s="93"/>
      <c r="B721" s="93"/>
      <c r="C721" s="93"/>
      <c r="D721" s="93"/>
      <c r="E721" s="93"/>
      <c r="F721" s="95"/>
      <c r="G721" s="95"/>
      <c r="H721" s="93"/>
      <c r="I721" s="93"/>
      <c r="J721" s="93"/>
    </row>
    <row r="722" spans="1:10" s="65" customFormat="1" ht="14" x14ac:dyDescent="0.35">
      <c r="A722" s="93"/>
      <c r="B722" s="93"/>
      <c r="C722" s="93"/>
      <c r="D722" s="93"/>
      <c r="E722" s="93"/>
      <c r="F722" s="95"/>
      <c r="G722" s="95"/>
      <c r="H722" s="93"/>
      <c r="I722" s="93"/>
      <c r="J722" s="93"/>
    </row>
    <row r="723" spans="1:10" s="65" customFormat="1" ht="14" x14ac:dyDescent="0.35">
      <c r="A723" s="93"/>
      <c r="B723" s="93"/>
      <c r="C723" s="93"/>
      <c r="D723" s="93"/>
      <c r="E723" s="93"/>
      <c r="F723" s="95"/>
      <c r="G723" s="95"/>
      <c r="H723" s="93"/>
      <c r="I723" s="93"/>
      <c r="J723" s="93"/>
    </row>
    <row r="724" spans="1:10" s="65" customFormat="1" ht="14" x14ac:dyDescent="0.35">
      <c r="A724" s="93"/>
      <c r="B724" s="93"/>
      <c r="C724" s="93"/>
      <c r="D724" s="93"/>
      <c r="E724" s="93"/>
      <c r="F724" s="95"/>
      <c r="G724" s="95"/>
      <c r="H724" s="93"/>
      <c r="I724" s="93"/>
      <c r="J724" s="93"/>
    </row>
    <row r="725" spans="1:10" s="65" customFormat="1" ht="14" x14ac:dyDescent="0.35">
      <c r="A725" s="93"/>
      <c r="B725" s="93"/>
      <c r="C725" s="93"/>
      <c r="D725" s="93"/>
      <c r="E725" s="93"/>
      <c r="F725" s="95"/>
      <c r="G725" s="95"/>
      <c r="H725" s="93"/>
      <c r="I725" s="93"/>
      <c r="J725" s="93"/>
    </row>
    <row r="726" spans="1:10" s="65" customFormat="1" ht="14" x14ac:dyDescent="0.35">
      <c r="A726" s="93"/>
      <c r="B726" s="93"/>
      <c r="C726" s="93"/>
      <c r="D726" s="93"/>
      <c r="E726" s="93"/>
      <c r="F726" s="95"/>
      <c r="G726" s="95"/>
      <c r="H726" s="93"/>
      <c r="I726" s="93"/>
      <c r="J726" s="93"/>
    </row>
    <row r="727" spans="1:10" s="65" customFormat="1" ht="14" x14ac:dyDescent="0.35">
      <c r="A727" s="93"/>
      <c r="B727" s="93"/>
      <c r="C727" s="93"/>
      <c r="D727" s="93"/>
      <c r="E727" s="93"/>
      <c r="F727" s="95"/>
      <c r="G727" s="95"/>
      <c r="H727" s="93"/>
      <c r="I727" s="93"/>
      <c r="J727" s="93"/>
    </row>
    <row r="728" spans="1:10" s="65" customFormat="1" ht="14" x14ac:dyDescent="0.35">
      <c r="A728" s="93"/>
      <c r="B728" s="93"/>
      <c r="C728" s="93"/>
      <c r="D728" s="93"/>
      <c r="E728" s="93"/>
      <c r="F728" s="95"/>
      <c r="G728" s="95"/>
      <c r="H728" s="93"/>
      <c r="I728" s="93"/>
      <c r="J728" s="93"/>
    </row>
    <row r="729" spans="1:10" s="65" customFormat="1" ht="14" x14ac:dyDescent="0.35">
      <c r="A729" s="93"/>
      <c r="B729" s="93"/>
      <c r="C729" s="93"/>
      <c r="D729" s="93"/>
      <c r="E729" s="93"/>
      <c r="F729" s="95"/>
      <c r="G729" s="95"/>
      <c r="H729" s="93"/>
      <c r="I729" s="93"/>
      <c r="J729" s="93"/>
    </row>
    <row r="730" spans="1:10" s="65" customFormat="1" ht="14" x14ac:dyDescent="0.35">
      <c r="A730" s="93"/>
      <c r="B730" s="93"/>
      <c r="C730" s="93"/>
      <c r="D730" s="93"/>
      <c r="E730" s="93"/>
      <c r="F730" s="95"/>
      <c r="G730" s="95"/>
      <c r="H730" s="93"/>
      <c r="I730" s="93"/>
      <c r="J730" s="93"/>
    </row>
    <row r="731" spans="1:10" s="65" customFormat="1" ht="14" x14ac:dyDescent="0.35">
      <c r="A731" s="93"/>
      <c r="B731" s="93"/>
      <c r="C731" s="93"/>
      <c r="D731" s="93"/>
      <c r="E731" s="93"/>
      <c r="F731" s="95"/>
      <c r="G731" s="95"/>
      <c r="H731" s="93"/>
      <c r="I731" s="93"/>
      <c r="J731" s="93"/>
    </row>
    <row r="732" spans="1:10" s="65" customFormat="1" ht="14" x14ac:dyDescent="0.35">
      <c r="A732" s="93"/>
      <c r="B732" s="93"/>
      <c r="C732" s="93"/>
      <c r="D732" s="93"/>
      <c r="E732" s="93"/>
      <c r="F732" s="95"/>
      <c r="G732" s="95"/>
      <c r="H732" s="93"/>
      <c r="I732" s="93"/>
      <c r="J732" s="93"/>
    </row>
    <row r="733" spans="1:10" s="65" customFormat="1" ht="14" x14ac:dyDescent="0.35">
      <c r="A733" s="93"/>
      <c r="B733" s="93"/>
      <c r="C733" s="93"/>
      <c r="D733" s="93"/>
      <c r="E733" s="93"/>
      <c r="F733" s="95"/>
      <c r="G733" s="95"/>
      <c r="H733" s="93"/>
      <c r="I733" s="93"/>
      <c r="J733" s="93"/>
    </row>
    <row r="734" spans="1:10" s="65" customFormat="1" ht="14" x14ac:dyDescent="0.35">
      <c r="A734" s="93"/>
      <c r="B734" s="93"/>
      <c r="C734" s="93"/>
      <c r="D734" s="93"/>
      <c r="E734" s="93"/>
      <c r="F734" s="95"/>
      <c r="G734" s="95"/>
      <c r="H734" s="93"/>
      <c r="I734" s="93"/>
      <c r="J734" s="93"/>
    </row>
    <row r="735" spans="1:10" s="65" customFormat="1" ht="14" x14ac:dyDescent="0.35">
      <c r="A735" s="93"/>
      <c r="B735" s="93"/>
      <c r="C735" s="93"/>
      <c r="D735" s="93"/>
      <c r="E735" s="93"/>
      <c r="F735" s="95"/>
      <c r="G735" s="95"/>
      <c r="H735" s="93"/>
      <c r="I735" s="93"/>
      <c r="J735" s="93"/>
    </row>
    <row r="736" spans="1:10" s="65" customFormat="1" ht="14" x14ac:dyDescent="0.35">
      <c r="A736" s="93"/>
      <c r="B736" s="93"/>
      <c r="C736" s="93"/>
      <c r="D736" s="93"/>
      <c r="E736" s="93"/>
      <c r="F736" s="95"/>
      <c r="G736" s="95"/>
      <c r="H736" s="93"/>
      <c r="I736" s="93"/>
      <c r="J736" s="93"/>
    </row>
    <row r="737" spans="1:10" s="65" customFormat="1" ht="14" x14ac:dyDescent="0.35">
      <c r="A737" s="93"/>
      <c r="B737" s="93"/>
      <c r="C737" s="93"/>
      <c r="D737" s="93"/>
      <c r="E737" s="93"/>
      <c r="F737" s="95"/>
      <c r="G737" s="95"/>
      <c r="H737" s="93"/>
      <c r="I737" s="93"/>
      <c r="J737" s="93"/>
    </row>
    <row r="738" spans="1:10" s="65" customFormat="1" ht="14" x14ac:dyDescent="0.35">
      <c r="A738" s="93"/>
      <c r="B738" s="93"/>
      <c r="C738" s="93"/>
      <c r="D738" s="93"/>
      <c r="E738" s="93"/>
      <c r="F738" s="95"/>
      <c r="G738" s="95"/>
      <c r="H738" s="93"/>
      <c r="I738" s="93"/>
      <c r="J738" s="93"/>
    </row>
    <row r="739" spans="1:10" s="65" customFormat="1" ht="14" x14ac:dyDescent="0.35">
      <c r="A739" s="93"/>
      <c r="B739" s="93"/>
      <c r="C739" s="93"/>
      <c r="D739" s="93"/>
      <c r="E739" s="93"/>
      <c r="F739" s="95"/>
      <c r="G739" s="95"/>
      <c r="H739" s="93"/>
      <c r="I739" s="93"/>
      <c r="J739" s="93"/>
    </row>
    <row r="740" spans="1:10" s="65" customFormat="1" ht="14" x14ac:dyDescent="0.35">
      <c r="A740" s="93"/>
      <c r="B740" s="93"/>
      <c r="C740" s="93"/>
      <c r="D740" s="93"/>
      <c r="E740" s="93"/>
      <c r="F740" s="95"/>
      <c r="G740" s="95"/>
      <c r="H740" s="93"/>
      <c r="I740" s="93"/>
      <c r="J740" s="93"/>
    </row>
    <row r="741" spans="1:10" s="65" customFormat="1" ht="14" x14ac:dyDescent="0.35">
      <c r="A741" s="93"/>
      <c r="B741" s="93"/>
      <c r="C741" s="93"/>
      <c r="D741" s="93"/>
      <c r="E741" s="93"/>
      <c r="F741" s="95"/>
      <c r="G741" s="95"/>
      <c r="H741" s="93"/>
      <c r="I741" s="93"/>
      <c r="J741" s="93"/>
    </row>
    <row r="742" spans="1:10" s="65" customFormat="1" ht="14" x14ac:dyDescent="0.35">
      <c r="A742" s="93"/>
      <c r="B742" s="93"/>
      <c r="C742" s="93"/>
      <c r="D742" s="93"/>
      <c r="E742" s="93"/>
      <c r="F742" s="95"/>
      <c r="G742" s="95"/>
      <c r="H742" s="93"/>
      <c r="I742" s="93"/>
      <c r="J742" s="93"/>
    </row>
    <row r="743" spans="1:10" s="65" customFormat="1" ht="14" x14ac:dyDescent="0.35">
      <c r="A743" s="93"/>
      <c r="B743" s="93"/>
      <c r="C743" s="93"/>
      <c r="D743" s="93"/>
      <c r="E743" s="93"/>
      <c r="F743" s="95"/>
      <c r="G743" s="95"/>
      <c r="H743" s="93"/>
      <c r="I743" s="93"/>
      <c r="J743" s="93"/>
    </row>
    <row r="744" spans="1:10" s="65" customFormat="1" ht="14" x14ac:dyDescent="0.35">
      <c r="A744" s="93"/>
      <c r="B744" s="93"/>
      <c r="C744" s="93"/>
      <c r="D744" s="93"/>
      <c r="E744" s="93"/>
      <c r="F744" s="95"/>
      <c r="G744" s="95"/>
      <c r="H744" s="93"/>
      <c r="I744" s="93"/>
      <c r="J744" s="93"/>
    </row>
    <row r="745" spans="1:10" s="65" customFormat="1" ht="14" x14ac:dyDescent="0.35">
      <c r="A745" s="93"/>
      <c r="B745" s="93"/>
      <c r="C745" s="93"/>
      <c r="D745" s="93"/>
      <c r="E745" s="93"/>
      <c r="F745" s="95"/>
      <c r="G745" s="95"/>
      <c r="H745" s="93"/>
      <c r="I745" s="93"/>
      <c r="J745" s="93"/>
    </row>
    <row r="746" spans="1:10" s="65" customFormat="1" ht="14" x14ac:dyDescent="0.35">
      <c r="A746" s="93"/>
      <c r="B746" s="93"/>
      <c r="C746" s="93"/>
      <c r="D746" s="93"/>
      <c r="E746" s="93"/>
      <c r="F746" s="95"/>
      <c r="G746" s="95"/>
      <c r="H746" s="93"/>
      <c r="I746" s="93"/>
      <c r="J746" s="93"/>
    </row>
    <row r="747" spans="1:10" s="65" customFormat="1" ht="14" x14ac:dyDescent="0.35">
      <c r="A747" s="93"/>
      <c r="B747" s="93"/>
      <c r="C747" s="93"/>
      <c r="D747" s="93"/>
      <c r="E747" s="93"/>
      <c r="F747" s="95"/>
      <c r="G747" s="95"/>
      <c r="H747" s="93"/>
      <c r="I747" s="93"/>
      <c r="J747" s="93"/>
    </row>
    <row r="748" spans="1:10" s="65" customFormat="1" ht="14" x14ac:dyDescent="0.35">
      <c r="A748" s="93"/>
      <c r="B748" s="93"/>
      <c r="C748" s="93"/>
      <c r="D748" s="93"/>
      <c r="E748" s="93"/>
      <c r="F748" s="95"/>
      <c r="G748" s="95"/>
      <c r="H748" s="93"/>
      <c r="I748" s="93"/>
      <c r="J748" s="93"/>
    </row>
    <row r="749" spans="1:10" s="65" customFormat="1" ht="14" x14ac:dyDescent="0.35">
      <c r="A749" s="93"/>
      <c r="B749" s="93"/>
      <c r="C749" s="93"/>
      <c r="D749" s="93"/>
      <c r="E749" s="93"/>
      <c r="F749" s="95"/>
      <c r="G749" s="95"/>
      <c r="H749" s="93"/>
      <c r="I749" s="93"/>
      <c r="J749" s="93"/>
    </row>
    <row r="750" spans="1:10" s="65" customFormat="1" ht="14" x14ac:dyDescent="0.35">
      <c r="A750" s="93"/>
      <c r="B750" s="93"/>
      <c r="C750" s="93"/>
      <c r="D750" s="93"/>
      <c r="E750" s="93"/>
      <c r="F750" s="95"/>
      <c r="G750" s="95"/>
      <c r="H750" s="93"/>
      <c r="I750" s="93"/>
      <c r="J750" s="93"/>
    </row>
    <row r="751" spans="1:10" s="65" customFormat="1" ht="14" x14ac:dyDescent="0.35">
      <c r="A751" s="93"/>
      <c r="B751" s="93"/>
      <c r="C751" s="93"/>
      <c r="D751" s="93"/>
      <c r="E751" s="93"/>
      <c r="F751" s="95"/>
      <c r="G751" s="95"/>
      <c r="H751" s="93"/>
      <c r="I751" s="93"/>
      <c r="J751" s="93"/>
    </row>
    <row r="752" spans="1:10" s="65" customFormat="1" ht="14" x14ac:dyDescent="0.35">
      <c r="A752" s="93"/>
      <c r="B752" s="93"/>
      <c r="C752" s="93"/>
      <c r="D752" s="93"/>
      <c r="E752" s="93"/>
      <c r="F752" s="95"/>
      <c r="G752" s="95"/>
      <c r="H752" s="93"/>
      <c r="I752" s="93"/>
      <c r="J752" s="93"/>
    </row>
    <row r="753" spans="1:10" s="65" customFormat="1" ht="14" x14ac:dyDescent="0.35">
      <c r="A753" s="93"/>
      <c r="B753" s="93"/>
      <c r="C753" s="93"/>
      <c r="D753" s="93"/>
      <c r="E753" s="93"/>
      <c r="F753" s="95"/>
      <c r="G753" s="95"/>
      <c r="H753" s="93"/>
      <c r="I753" s="93"/>
      <c r="J753" s="93"/>
    </row>
    <row r="754" spans="1:10" s="65" customFormat="1" ht="14" x14ac:dyDescent="0.35">
      <c r="A754" s="93"/>
      <c r="B754" s="93"/>
      <c r="C754" s="93"/>
      <c r="D754" s="93"/>
      <c r="E754" s="93"/>
      <c r="F754" s="95"/>
      <c r="G754" s="95"/>
      <c r="H754" s="93"/>
      <c r="I754" s="93"/>
      <c r="J754" s="93"/>
    </row>
    <row r="755" spans="1:10" s="65" customFormat="1" ht="14" x14ac:dyDescent="0.35">
      <c r="A755" s="93"/>
      <c r="B755" s="93"/>
      <c r="C755" s="93"/>
      <c r="D755" s="93"/>
      <c r="E755" s="93"/>
      <c r="F755" s="95"/>
      <c r="G755" s="95"/>
      <c r="H755" s="93"/>
      <c r="I755" s="93"/>
      <c r="J755" s="93"/>
    </row>
    <row r="756" spans="1:10" s="65" customFormat="1" ht="14" x14ac:dyDescent="0.35">
      <c r="A756" s="93"/>
      <c r="B756" s="93"/>
      <c r="C756" s="93"/>
      <c r="D756" s="93"/>
      <c r="E756" s="93"/>
      <c r="F756" s="95"/>
      <c r="G756" s="95"/>
      <c r="H756" s="93"/>
      <c r="I756" s="93"/>
      <c r="J756" s="93"/>
    </row>
    <row r="757" spans="1:10" s="65" customFormat="1" ht="14" x14ac:dyDescent="0.35">
      <c r="A757" s="93"/>
      <c r="B757" s="93"/>
      <c r="C757" s="93"/>
      <c r="D757" s="93"/>
      <c r="E757" s="93"/>
      <c r="F757" s="95"/>
      <c r="G757" s="95"/>
      <c r="H757" s="93"/>
      <c r="I757" s="93"/>
      <c r="J757" s="93"/>
    </row>
    <row r="758" spans="1:10" s="65" customFormat="1" ht="14" x14ac:dyDescent="0.35">
      <c r="A758" s="93"/>
      <c r="B758" s="93"/>
      <c r="C758" s="93"/>
      <c r="D758" s="93"/>
      <c r="E758" s="93"/>
      <c r="F758" s="95"/>
      <c r="G758" s="95"/>
      <c r="H758" s="93"/>
      <c r="I758" s="93"/>
      <c r="J758" s="93"/>
    </row>
    <row r="759" spans="1:10" s="65" customFormat="1" ht="14" x14ac:dyDescent="0.35">
      <c r="A759" s="93"/>
      <c r="B759" s="93"/>
      <c r="C759" s="93"/>
      <c r="D759" s="93"/>
      <c r="E759" s="93"/>
      <c r="F759" s="95"/>
      <c r="G759" s="95"/>
      <c r="H759" s="93"/>
      <c r="I759" s="93"/>
      <c r="J759" s="93"/>
    </row>
    <row r="760" spans="1:10" s="65" customFormat="1" ht="14" x14ac:dyDescent="0.35">
      <c r="A760" s="93"/>
      <c r="B760" s="93"/>
      <c r="C760" s="93"/>
      <c r="D760" s="93"/>
      <c r="E760" s="93"/>
      <c r="F760" s="95"/>
      <c r="G760" s="95"/>
      <c r="H760" s="93"/>
      <c r="I760" s="93"/>
      <c r="J760" s="93"/>
    </row>
    <row r="761" spans="1:10" s="65" customFormat="1" ht="14" x14ac:dyDescent="0.35">
      <c r="A761" s="93"/>
      <c r="B761" s="93"/>
      <c r="C761" s="93"/>
      <c r="D761" s="93"/>
      <c r="E761" s="93"/>
      <c r="F761" s="95"/>
      <c r="G761" s="95"/>
      <c r="H761" s="93"/>
      <c r="I761" s="93"/>
      <c r="J761" s="93"/>
    </row>
    <row r="762" spans="1:10" s="65" customFormat="1" ht="14" x14ac:dyDescent="0.35">
      <c r="A762" s="93"/>
      <c r="B762" s="93"/>
      <c r="C762" s="93"/>
      <c r="D762" s="93"/>
      <c r="E762" s="93"/>
      <c r="F762" s="95"/>
      <c r="G762" s="95"/>
      <c r="H762" s="93"/>
      <c r="I762" s="93"/>
      <c r="J762" s="93"/>
    </row>
    <row r="763" spans="1:10" s="65" customFormat="1" ht="14" x14ac:dyDescent="0.35">
      <c r="A763" s="93"/>
      <c r="B763" s="93"/>
      <c r="C763" s="93"/>
      <c r="D763" s="93"/>
      <c r="E763" s="93"/>
      <c r="F763" s="95"/>
      <c r="G763" s="95"/>
      <c r="H763" s="93"/>
      <c r="I763" s="93"/>
      <c r="J763" s="93"/>
    </row>
    <row r="764" spans="1:10" s="65" customFormat="1" ht="14" x14ac:dyDescent="0.35">
      <c r="A764" s="93"/>
      <c r="B764" s="93"/>
      <c r="C764" s="93"/>
      <c r="D764" s="93"/>
      <c r="E764" s="93"/>
      <c r="F764" s="95"/>
      <c r="G764" s="95"/>
      <c r="H764" s="93"/>
      <c r="I764" s="93"/>
      <c r="J764" s="93"/>
    </row>
    <row r="765" spans="1:10" s="65" customFormat="1" ht="14" x14ac:dyDescent="0.35">
      <c r="A765" s="93"/>
      <c r="B765" s="93"/>
      <c r="C765" s="93"/>
      <c r="D765" s="93"/>
      <c r="E765" s="93"/>
      <c r="F765" s="95"/>
      <c r="G765" s="95"/>
      <c r="H765" s="93"/>
      <c r="I765" s="93"/>
      <c r="J765" s="93"/>
    </row>
    <row r="766" spans="1:10" s="65" customFormat="1" ht="14" x14ac:dyDescent="0.35">
      <c r="A766" s="93"/>
      <c r="B766" s="93"/>
      <c r="C766" s="93"/>
      <c r="D766" s="93"/>
      <c r="E766" s="93"/>
      <c r="F766" s="95"/>
      <c r="G766" s="95"/>
      <c r="H766" s="93"/>
      <c r="I766" s="93"/>
      <c r="J766" s="93"/>
    </row>
    <row r="767" spans="1:10" s="65" customFormat="1" ht="14" x14ac:dyDescent="0.35">
      <c r="A767" s="93"/>
      <c r="B767" s="93"/>
      <c r="C767" s="93"/>
      <c r="D767" s="93"/>
      <c r="E767" s="93"/>
      <c r="F767" s="95"/>
      <c r="G767" s="95"/>
      <c r="H767" s="93"/>
      <c r="I767" s="93"/>
      <c r="J767" s="93"/>
    </row>
    <row r="768" spans="1:10" s="65" customFormat="1" ht="14" x14ac:dyDescent="0.35">
      <c r="A768" s="93"/>
      <c r="B768" s="93"/>
      <c r="C768" s="93"/>
      <c r="D768" s="93"/>
      <c r="E768" s="93"/>
      <c r="F768" s="95"/>
      <c r="G768" s="95"/>
      <c r="H768" s="93"/>
      <c r="I768" s="93"/>
      <c r="J768" s="93"/>
    </row>
    <row r="769" spans="1:10" s="65" customFormat="1" ht="14" x14ac:dyDescent="0.35">
      <c r="A769" s="93"/>
      <c r="B769" s="93"/>
      <c r="C769" s="93"/>
      <c r="D769" s="93"/>
      <c r="E769" s="93"/>
      <c r="F769" s="95"/>
      <c r="G769" s="95"/>
      <c r="H769" s="93"/>
      <c r="I769" s="93"/>
      <c r="J769" s="93"/>
    </row>
    <row r="770" spans="1:10" s="65" customFormat="1" ht="14" x14ac:dyDescent="0.35">
      <c r="A770" s="93"/>
      <c r="B770" s="93"/>
      <c r="C770" s="93"/>
      <c r="D770" s="93"/>
      <c r="E770" s="93"/>
      <c r="F770" s="95"/>
      <c r="G770" s="95"/>
      <c r="H770" s="93"/>
      <c r="I770" s="93"/>
      <c r="J770" s="93"/>
    </row>
    <row r="771" spans="1:10" s="65" customFormat="1" ht="14" x14ac:dyDescent="0.35">
      <c r="A771" s="93"/>
      <c r="B771" s="93"/>
      <c r="C771" s="93"/>
      <c r="D771" s="93"/>
      <c r="E771" s="93"/>
      <c r="F771" s="95"/>
      <c r="G771" s="95"/>
      <c r="H771" s="93"/>
      <c r="I771" s="93"/>
      <c r="J771" s="93"/>
    </row>
    <row r="772" spans="1:10" s="65" customFormat="1" ht="14" x14ac:dyDescent="0.35">
      <c r="A772" s="93"/>
      <c r="B772" s="93"/>
      <c r="C772" s="93"/>
      <c r="D772" s="93"/>
      <c r="E772" s="93"/>
      <c r="F772" s="95"/>
      <c r="G772" s="95"/>
      <c r="H772" s="93"/>
      <c r="I772" s="93"/>
      <c r="J772" s="93"/>
    </row>
    <row r="773" spans="1:10" s="65" customFormat="1" ht="14" x14ac:dyDescent="0.35">
      <c r="A773" s="93"/>
      <c r="B773" s="93"/>
      <c r="C773" s="93"/>
      <c r="D773" s="93"/>
      <c r="E773" s="93"/>
      <c r="F773" s="95"/>
      <c r="G773" s="95"/>
      <c r="H773" s="93"/>
      <c r="I773" s="93"/>
      <c r="J773" s="93"/>
    </row>
    <row r="774" spans="1:10" s="65" customFormat="1" ht="14" x14ac:dyDescent="0.35">
      <c r="A774" s="93"/>
      <c r="B774" s="93"/>
      <c r="C774" s="93"/>
      <c r="D774" s="93"/>
      <c r="E774" s="93"/>
      <c r="F774" s="95"/>
      <c r="G774" s="95"/>
      <c r="H774" s="93"/>
      <c r="I774" s="93"/>
      <c r="J774" s="93"/>
    </row>
    <row r="775" spans="1:10" s="65" customFormat="1" ht="14" x14ac:dyDescent="0.35">
      <c r="A775" s="93"/>
      <c r="B775" s="93"/>
      <c r="C775" s="93"/>
      <c r="D775" s="93"/>
      <c r="E775" s="93"/>
      <c r="F775" s="95"/>
      <c r="G775" s="95"/>
      <c r="H775" s="93"/>
      <c r="I775" s="93"/>
      <c r="J775" s="93"/>
    </row>
    <row r="776" spans="1:10" s="65" customFormat="1" ht="14" x14ac:dyDescent="0.35">
      <c r="A776" s="93"/>
      <c r="B776" s="93"/>
      <c r="C776" s="93"/>
      <c r="D776" s="93"/>
      <c r="E776" s="93"/>
      <c r="F776" s="95"/>
      <c r="G776" s="95"/>
      <c r="H776" s="93"/>
      <c r="I776" s="93"/>
      <c r="J776" s="93"/>
    </row>
    <row r="777" spans="1:10" s="65" customFormat="1" ht="14" x14ac:dyDescent="0.35">
      <c r="A777" s="93"/>
      <c r="B777" s="93"/>
      <c r="C777" s="93"/>
      <c r="D777" s="93"/>
      <c r="E777" s="93"/>
      <c r="F777" s="95"/>
      <c r="G777" s="95"/>
      <c r="H777" s="93"/>
      <c r="I777" s="93"/>
      <c r="J777" s="93"/>
    </row>
    <row r="778" spans="1:10" s="65" customFormat="1" ht="14" x14ac:dyDescent="0.35">
      <c r="A778" s="93"/>
      <c r="B778" s="93"/>
      <c r="C778" s="93"/>
      <c r="D778" s="93"/>
      <c r="E778" s="93"/>
      <c r="F778" s="95"/>
      <c r="G778" s="95"/>
      <c r="H778" s="93"/>
      <c r="I778" s="93"/>
      <c r="J778" s="93"/>
    </row>
    <row r="779" spans="1:10" s="65" customFormat="1" ht="14" x14ac:dyDescent="0.35">
      <c r="A779" s="93"/>
      <c r="B779" s="93"/>
      <c r="C779" s="93"/>
      <c r="D779" s="93"/>
      <c r="E779" s="93"/>
      <c r="F779" s="95"/>
      <c r="G779" s="95"/>
      <c r="H779" s="93"/>
      <c r="I779" s="93"/>
      <c r="J779" s="93"/>
    </row>
    <row r="780" spans="1:10" s="65" customFormat="1" ht="14" x14ac:dyDescent="0.35">
      <c r="A780" s="93"/>
      <c r="B780" s="93"/>
      <c r="C780" s="93"/>
      <c r="D780" s="93"/>
      <c r="E780" s="93"/>
      <c r="F780" s="95"/>
      <c r="G780" s="95"/>
      <c r="H780" s="93"/>
      <c r="I780" s="93"/>
      <c r="J780" s="93"/>
    </row>
    <row r="781" spans="1:10" s="65" customFormat="1" ht="14" x14ac:dyDescent="0.35">
      <c r="A781" s="93"/>
      <c r="B781" s="93"/>
      <c r="C781" s="93"/>
      <c r="D781" s="93"/>
      <c r="E781" s="93"/>
      <c r="F781" s="95"/>
      <c r="G781" s="95"/>
      <c r="H781" s="93"/>
      <c r="I781" s="93"/>
      <c r="J781" s="93"/>
    </row>
    <row r="782" spans="1:10" s="65" customFormat="1" ht="14" x14ac:dyDescent="0.35">
      <c r="A782" s="93"/>
      <c r="B782" s="93"/>
      <c r="C782" s="93"/>
      <c r="D782" s="93"/>
      <c r="E782" s="93"/>
      <c r="F782" s="95"/>
      <c r="G782" s="95"/>
      <c r="H782" s="93"/>
      <c r="I782" s="93"/>
      <c r="J782" s="93"/>
    </row>
    <row r="783" spans="1:10" s="65" customFormat="1" ht="14" x14ac:dyDescent="0.35">
      <c r="A783" s="93"/>
      <c r="B783" s="93"/>
      <c r="C783" s="93"/>
      <c r="D783" s="93"/>
      <c r="E783" s="93"/>
      <c r="F783" s="95"/>
      <c r="G783" s="95"/>
      <c r="H783" s="93"/>
      <c r="I783" s="93"/>
      <c r="J783" s="93"/>
    </row>
    <row r="784" spans="1:10" s="65" customFormat="1" ht="14" x14ac:dyDescent="0.35">
      <c r="A784" s="93"/>
      <c r="B784" s="93"/>
      <c r="C784" s="93"/>
      <c r="D784" s="93"/>
      <c r="E784" s="93"/>
      <c r="F784" s="95"/>
      <c r="G784" s="95"/>
      <c r="H784" s="93"/>
      <c r="I784" s="93"/>
      <c r="J784" s="93"/>
    </row>
    <row r="785" spans="1:10" s="65" customFormat="1" ht="14" x14ac:dyDescent="0.35">
      <c r="A785" s="93"/>
      <c r="B785" s="93"/>
      <c r="C785" s="93"/>
      <c r="D785" s="93"/>
      <c r="E785" s="93"/>
      <c r="F785" s="95"/>
      <c r="G785" s="95"/>
      <c r="H785" s="93"/>
      <c r="I785" s="93"/>
      <c r="J785" s="93"/>
    </row>
    <row r="786" spans="1:10" s="65" customFormat="1" ht="14" x14ac:dyDescent="0.35">
      <c r="A786" s="93"/>
      <c r="B786" s="93"/>
      <c r="C786" s="93"/>
      <c r="D786" s="93"/>
      <c r="E786" s="93"/>
      <c r="F786" s="95"/>
      <c r="G786" s="95"/>
      <c r="H786" s="93"/>
      <c r="I786" s="93"/>
      <c r="J786" s="93"/>
    </row>
    <row r="787" spans="1:10" s="65" customFormat="1" ht="14" x14ac:dyDescent="0.35">
      <c r="A787" s="93"/>
      <c r="B787" s="93"/>
      <c r="C787" s="93"/>
      <c r="D787" s="93"/>
      <c r="E787" s="93"/>
      <c r="F787" s="95"/>
      <c r="G787" s="95"/>
      <c r="H787" s="93"/>
      <c r="I787" s="93"/>
      <c r="J787" s="93"/>
    </row>
    <row r="788" spans="1:10" s="65" customFormat="1" ht="14" x14ac:dyDescent="0.35">
      <c r="A788" s="93"/>
      <c r="B788" s="93"/>
      <c r="C788" s="93"/>
      <c r="D788" s="93"/>
      <c r="E788" s="93"/>
      <c r="F788" s="95"/>
      <c r="G788" s="95"/>
      <c r="H788" s="93"/>
      <c r="I788" s="93"/>
      <c r="J788" s="93"/>
    </row>
    <row r="789" spans="1:10" s="65" customFormat="1" ht="14" x14ac:dyDescent="0.35">
      <c r="A789" s="93"/>
      <c r="B789" s="93"/>
      <c r="C789" s="93"/>
      <c r="D789" s="93"/>
      <c r="E789" s="93"/>
      <c r="F789" s="95"/>
      <c r="G789" s="95"/>
      <c r="H789" s="93"/>
      <c r="I789" s="93"/>
      <c r="J789" s="93"/>
    </row>
    <row r="790" spans="1:10" s="65" customFormat="1" ht="14" x14ac:dyDescent="0.35">
      <c r="A790" s="93"/>
      <c r="B790" s="93"/>
      <c r="C790" s="93"/>
      <c r="D790" s="93"/>
      <c r="E790" s="93"/>
      <c r="F790" s="95"/>
      <c r="G790" s="95"/>
      <c r="H790" s="93"/>
      <c r="I790" s="93"/>
      <c r="J790" s="93"/>
    </row>
    <row r="791" spans="1:10" s="65" customFormat="1" ht="14" x14ac:dyDescent="0.35">
      <c r="A791" s="93"/>
      <c r="B791" s="93"/>
      <c r="C791" s="93"/>
      <c r="D791" s="93"/>
      <c r="E791" s="93"/>
      <c r="F791" s="95"/>
      <c r="G791" s="95"/>
      <c r="H791" s="93"/>
      <c r="I791" s="93"/>
      <c r="J791" s="93"/>
    </row>
    <row r="792" spans="1:10" s="65" customFormat="1" ht="14" x14ac:dyDescent="0.35">
      <c r="A792" s="93"/>
      <c r="B792" s="93"/>
      <c r="C792" s="93"/>
      <c r="D792" s="93"/>
      <c r="E792" s="93"/>
      <c r="F792" s="95"/>
      <c r="G792" s="95"/>
      <c r="H792" s="93"/>
      <c r="I792" s="93"/>
      <c r="J792" s="93"/>
    </row>
    <row r="793" spans="1:10" s="65" customFormat="1" ht="14" x14ac:dyDescent="0.35">
      <c r="A793" s="93"/>
      <c r="B793" s="93"/>
      <c r="C793" s="93"/>
      <c r="D793" s="93"/>
      <c r="E793" s="93"/>
      <c r="F793" s="95"/>
      <c r="G793" s="95"/>
      <c r="H793" s="93"/>
      <c r="I793" s="93"/>
      <c r="J793" s="93"/>
    </row>
    <row r="794" spans="1:10" s="65" customFormat="1" ht="14" x14ac:dyDescent="0.35">
      <c r="A794" s="93"/>
      <c r="B794" s="93"/>
      <c r="C794" s="93"/>
      <c r="D794" s="93"/>
      <c r="E794" s="93"/>
      <c r="F794" s="95"/>
      <c r="G794" s="95"/>
      <c r="H794" s="93"/>
      <c r="I794" s="93"/>
      <c r="J794" s="93"/>
    </row>
    <row r="795" spans="1:10" s="65" customFormat="1" ht="14" x14ac:dyDescent="0.35">
      <c r="A795" s="93"/>
      <c r="B795" s="93"/>
      <c r="C795" s="93"/>
      <c r="D795" s="93"/>
      <c r="E795" s="93"/>
      <c r="F795" s="95"/>
      <c r="G795" s="95"/>
      <c r="H795" s="93"/>
      <c r="I795" s="93"/>
      <c r="J795" s="93"/>
    </row>
    <row r="796" spans="1:10" s="65" customFormat="1" ht="14" x14ac:dyDescent="0.35">
      <c r="A796" s="93"/>
      <c r="B796" s="93"/>
      <c r="C796" s="93"/>
      <c r="D796" s="93"/>
      <c r="E796" s="93"/>
      <c r="F796" s="95"/>
      <c r="G796" s="95"/>
      <c r="H796" s="93"/>
      <c r="I796" s="93"/>
      <c r="J796" s="93"/>
    </row>
    <row r="797" spans="1:10" s="65" customFormat="1" ht="14" x14ac:dyDescent="0.35">
      <c r="A797" s="93"/>
      <c r="B797" s="93"/>
      <c r="C797" s="93"/>
      <c r="D797" s="93"/>
      <c r="E797" s="93"/>
      <c r="F797" s="95"/>
      <c r="G797" s="95"/>
      <c r="H797" s="93"/>
      <c r="I797" s="93"/>
      <c r="J797" s="93"/>
    </row>
    <row r="798" spans="1:10" s="65" customFormat="1" ht="14" x14ac:dyDescent="0.35">
      <c r="A798" s="93"/>
      <c r="B798" s="93"/>
      <c r="C798" s="93"/>
      <c r="D798" s="93"/>
      <c r="E798" s="93"/>
      <c r="F798" s="95"/>
      <c r="G798" s="95"/>
      <c r="H798" s="93"/>
      <c r="I798" s="93"/>
      <c r="J798" s="93"/>
    </row>
    <row r="799" spans="1:10" s="65" customFormat="1" ht="14" x14ac:dyDescent="0.35">
      <c r="A799" s="93"/>
      <c r="B799" s="93"/>
      <c r="C799" s="93"/>
      <c r="D799" s="93"/>
      <c r="E799" s="93"/>
      <c r="F799" s="95"/>
      <c r="G799" s="95"/>
      <c r="H799" s="93"/>
      <c r="I799" s="93"/>
      <c r="J799" s="93"/>
    </row>
    <row r="800" spans="1:10" s="65" customFormat="1" ht="14" x14ac:dyDescent="0.35">
      <c r="A800" s="93"/>
      <c r="B800" s="93"/>
      <c r="C800" s="93"/>
      <c r="D800" s="93"/>
      <c r="E800" s="93"/>
      <c r="F800" s="95"/>
      <c r="G800" s="95"/>
      <c r="H800" s="93"/>
      <c r="I800" s="93"/>
      <c r="J800" s="93"/>
    </row>
    <row r="801" spans="1:10" s="65" customFormat="1" ht="14" x14ac:dyDescent="0.35">
      <c r="A801" s="93"/>
      <c r="B801" s="93"/>
      <c r="C801" s="93"/>
      <c r="D801" s="93"/>
      <c r="E801" s="93"/>
      <c r="F801" s="95"/>
      <c r="G801" s="95"/>
      <c r="H801" s="93"/>
      <c r="I801" s="93"/>
      <c r="J801" s="93"/>
    </row>
    <row r="802" spans="1:10" s="65" customFormat="1" ht="14" x14ac:dyDescent="0.35">
      <c r="A802" s="93"/>
      <c r="B802" s="93"/>
      <c r="C802" s="93"/>
      <c r="D802" s="93"/>
      <c r="E802" s="93"/>
      <c r="F802" s="95"/>
      <c r="G802" s="95"/>
      <c r="H802" s="93"/>
      <c r="I802" s="93"/>
      <c r="J802" s="93"/>
    </row>
    <row r="803" spans="1:10" s="65" customFormat="1" ht="14" x14ac:dyDescent="0.35">
      <c r="A803" s="93"/>
      <c r="B803" s="93"/>
      <c r="C803" s="93"/>
      <c r="D803" s="93"/>
      <c r="E803" s="93"/>
      <c r="F803" s="95"/>
      <c r="G803" s="95"/>
      <c r="H803" s="93"/>
      <c r="I803" s="93"/>
      <c r="J803" s="93"/>
    </row>
    <row r="804" spans="1:10" s="65" customFormat="1" ht="14" x14ac:dyDescent="0.35">
      <c r="A804" s="93"/>
      <c r="B804" s="93"/>
      <c r="C804" s="93"/>
      <c r="D804" s="93"/>
      <c r="E804" s="93"/>
      <c r="F804" s="95"/>
      <c r="G804" s="95"/>
      <c r="H804" s="93"/>
      <c r="I804" s="93"/>
      <c r="J804" s="93"/>
    </row>
    <row r="805" spans="1:10" s="65" customFormat="1" ht="14" x14ac:dyDescent="0.35">
      <c r="A805" s="93"/>
      <c r="B805" s="93"/>
      <c r="C805" s="93"/>
      <c r="D805" s="93"/>
      <c r="E805" s="93"/>
      <c r="F805" s="95"/>
      <c r="G805" s="95"/>
      <c r="H805" s="93"/>
      <c r="I805" s="93"/>
      <c r="J805" s="93"/>
    </row>
    <row r="806" spans="1:10" s="65" customFormat="1" ht="14" x14ac:dyDescent="0.35">
      <c r="A806" s="93"/>
      <c r="B806" s="93"/>
      <c r="C806" s="93"/>
      <c r="D806" s="93"/>
      <c r="E806" s="93"/>
      <c r="F806" s="95"/>
      <c r="G806" s="95"/>
      <c r="H806" s="93"/>
      <c r="I806" s="93"/>
      <c r="J806" s="93"/>
    </row>
    <row r="807" spans="1:10" s="65" customFormat="1" ht="14" x14ac:dyDescent="0.35">
      <c r="A807" s="93"/>
      <c r="B807" s="93"/>
      <c r="C807" s="93"/>
      <c r="D807" s="93"/>
      <c r="E807" s="93"/>
      <c r="F807" s="95"/>
      <c r="G807" s="95"/>
      <c r="H807" s="93"/>
      <c r="I807" s="93"/>
      <c r="J807" s="93"/>
    </row>
    <row r="808" spans="1:10" s="65" customFormat="1" ht="14" x14ac:dyDescent="0.35">
      <c r="A808" s="93"/>
      <c r="B808" s="93"/>
      <c r="C808" s="93"/>
      <c r="D808" s="93"/>
      <c r="E808" s="93"/>
      <c r="F808" s="95"/>
      <c r="G808" s="95"/>
      <c r="H808" s="93"/>
      <c r="I808" s="93"/>
      <c r="J808" s="93"/>
    </row>
    <row r="809" spans="1:10" s="65" customFormat="1" ht="14" x14ac:dyDescent="0.35">
      <c r="A809" s="93"/>
      <c r="B809" s="93"/>
      <c r="C809" s="93"/>
      <c r="D809" s="93"/>
      <c r="E809" s="93"/>
      <c r="F809" s="95"/>
      <c r="G809" s="95"/>
      <c r="H809" s="93"/>
      <c r="I809" s="93"/>
      <c r="J809" s="93"/>
    </row>
    <row r="810" spans="1:10" s="65" customFormat="1" ht="14" x14ac:dyDescent="0.35">
      <c r="A810" s="93"/>
      <c r="B810" s="93"/>
      <c r="C810" s="93"/>
      <c r="D810" s="93"/>
      <c r="E810" s="93"/>
      <c r="F810" s="95"/>
      <c r="G810" s="95"/>
      <c r="H810" s="93"/>
      <c r="I810" s="93"/>
      <c r="J810" s="93"/>
    </row>
    <row r="811" spans="1:10" s="65" customFormat="1" ht="14" x14ac:dyDescent="0.35">
      <c r="A811" s="93"/>
      <c r="B811" s="93"/>
      <c r="C811" s="93"/>
      <c r="D811" s="93"/>
      <c r="E811" s="93"/>
      <c r="F811" s="95"/>
      <c r="G811" s="95"/>
      <c r="H811" s="93"/>
      <c r="I811" s="93"/>
      <c r="J811" s="93"/>
    </row>
    <row r="812" spans="1:10" s="65" customFormat="1" ht="14" x14ac:dyDescent="0.35">
      <c r="A812" s="93"/>
      <c r="B812" s="93"/>
      <c r="C812" s="93"/>
      <c r="D812" s="93"/>
      <c r="E812" s="93"/>
      <c r="F812" s="95"/>
      <c r="G812" s="95"/>
      <c r="H812" s="93"/>
      <c r="I812" s="93"/>
      <c r="J812" s="93"/>
    </row>
    <row r="813" spans="1:10" s="65" customFormat="1" ht="14" x14ac:dyDescent="0.35">
      <c r="A813" s="93"/>
      <c r="B813" s="93"/>
      <c r="C813" s="93"/>
      <c r="D813" s="93"/>
      <c r="E813" s="93"/>
      <c r="F813" s="95"/>
      <c r="G813" s="95"/>
      <c r="H813" s="93"/>
      <c r="I813" s="93"/>
      <c r="J813" s="93"/>
    </row>
    <row r="814" spans="1:10" s="65" customFormat="1" ht="14" x14ac:dyDescent="0.35">
      <c r="A814" s="93"/>
      <c r="B814" s="93"/>
      <c r="C814" s="93"/>
      <c r="D814" s="93"/>
      <c r="E814" s="93"/>
      <c r="F814" s="95"/>
      <c r="G814" s="95"/>
      <c r="H814" s="93"/>
      <c r="I814" s="93"/>
      <c r="J814" s="93"/>
    </row>
    <row r="815" spans="1:10" s="65" customFormat="1" ht="14" x14ac:dyDescent="0.35">
      <c r="A815" s="93"/>
      <c r="B815" s="93"/>
      <c r="C815" s="93"/>
      <c r="D815" s="93"/>
      <c r="E815" s="93"/>
      <c r="F815" s="95"/>
      <c r="G815" s="95"/>
      <c r="H815" s="93"/>
      <c r="I815" s="93"/>
      <c r="J815" s="93"/>
    </row>
    <row r="816" spans="1:10" s="65" customFormat="1" ht="14" x14ac:dyDescent="0.35">
      <c r="A816" s="93"/>
      <c r="B816" s="93"/>
      <c r="C816" s="93"/>
      <c r="D816" s="93"/>
      <c r="E816" s="93"/>
      <c r="F816" s="95"/>
      <c r="G816" s="95"/>
      <c r="H816" s="93"/>
      <c r="I816" s="93"/>
      <c r="J816" s="93"/>
    </row>
    <row r="817" spans="1:10" s="65" customFormat="1" ht="14" x14ac:dyDescent="0.35">
      <c r="A817" s="93"/>
      <c r="B817" s="93"/>
      <c r="C817" s="93"/>
      <c r="D817" s="93"/>
      <c r="E817" s="93"/>
      <c r="F817" s="95"/>
      <c r="G817" s="95"/>
      <c r="H817" s="93"/>
      <c r="I817" s="93"/>
      <c r="J817" s="93"/>
    </row>
    <row r="818" spans="1:10" s="65" customFormat="1" ht="14" x14ac:dyDescent="0.35">
      <c r="A818" s="93"/>
      <c r="B818" s="93"/>
      <c r="C818" s="93"/>
      <c r="D818" s="93"/>
      <c r="E818" s="93"/>
      <c r="F818" s="95"/>
      <c r="G818" s="95"/>
      <c r="H818" s="93"/>
      <c r="I818" s="93"/>
      <c r="J818" s="93"/>
    </row>
    <row r="819" spans="1:10" s="65" customFormat="1" ht="14" x14ac:dyDescent="0.35">
      <c r="A819" s="93"/>
      <c r="B819" s="93"/>
      <c r="C819" s="93"/>
      <c r="D819" s="93"/>
      <c r="E819" s="93"/>
      <c r="F819" s="95"/>
      <c r="G819" s="95"/>
      <c r="H819" s="93"/>
      <c r="I819" s="93"/>
      <c r="J819" s="93"/>
    </row>
    <row r="820" spans="1:10" s="65" customFormat="1" ht="14" x14ac:dyDescent="0.35">
      <c r="A820" s="93"/>
      <c r="B820" s="93"/>
      <c r="C820" s="93"/>
      <c r="D820" s="93"/>
      <c r="E820" s="93"/>
      <c r="F820" s="95"/>
      <c r="G820" s="95"/>
      <c r="H820" s="93"/>
      <c r="I820" s="93"/>
      <c r="J820" s="93"/>
    </row>
    <row r="821" spans="1:10" s="65" customFormat="1" ht="14" x14ac:dyDescent="0.35">
      <c r="A821" s="93"/>
      <c r="B821" s="93"/>
      <c r="C821" s="93"/>
      <c r="D821" s="93"/>
      <c r="E821" s="93"/>
      <c r="F821" s="95"/>
      <c r="G821" s="95"/>
      <c r="H821" s="93"/>
      <c r="I821" s="93"/>
      <c r="J821" s="93"/>
    </row>
    <row r="822" spans="1:10" s="65" customFormat="1" ht="14" x14ac:dyDescent="0.35">
      <c r="A822" s="93"/>
      <c r="B822" s="93"/>
      <c r="C822" s="93"/>
      <c r="D822" s="93"/>
      <c r="E822" s="93"/>
      <c r="F822" s="95"/>
      <c r="G822" s="95"/>
      <c r="H822" s="93"/>
      <c r="I822" s="93"/>
      <c r="J822" s="93"/>
    </row>
    <row r="823" spans="1:10" s="65" customFormat="1" ht="14" x14ac:dyDescent="0.35">
      <c r="A823" s="93"/>
      <c r="B823" s="93"/>
      <c r="C823" s="93"/>
      <c r="D823" s="93"/>
      <c r="E823" s="93"/>
      <c r="F823" s="95"/>
      <c r="G823" s="95"/>
      <c r="H823" s="93"/>
      <c r="I823" s="93"/>
      <c r="J823" s="93"/>
    </row>
    <row r="824" spans="1:10" s="65" customFormat="1" ht="14" x14ac:dyDescent="0.35">
      <c r="A824" s="93"/>
      <c r="B824" s="93"/>
      <c r="C824" s="93"/>
      <c r="D824" s="93"/>
      <c r="E824" s="93"/>
      <c r="F824" s="95"/>
      <c r="G824" s="95"/>
      <c r="H824" s="93"/>
      <c r="I824" s="93"/>
      <c r="J824" s="93"/>
    </row>
    <row r="825" spans="1:10" s="65" customFormat="1" ht="14" x14ac:dyDescent="0.35">
      <c r="A825" s="93"/>
      <c r="B825" s="93"/>
      <c r="C825" s="93"/>
      <c r="D825" s="93"/>
      <c r="E825" s="93"/>
      <c r="F825" s="95"/>
      <c r="G825" s="95"/>
      <c r="H825" s="93"/>
      <c r="I825" s="93"/>
      <c r="J825" s="93"/>
    </row>
    <row r="826" spans="1:10" s="65" customFormat="1" ht="14" x14ac:dyDescent="0.35">
      <c r="A826" s="93"/>
      <c r="B826" s="93"/>
      <c r="C826" s="93"/>
      <c r="D826" s="93"/>
      <c r="E826" s="93"/>
      <c r="F826" s="95"/>
      <c r="G826" s="95"/>
      <c r="H826" s="93"/>
      <c r="I826" s="93"/>
      <c r="J826" s="93"/>
    </row>
    <row r="827" spans="1:10" s="65" customFormat="1" ht="14" x14ac:dyDescent="0.35">
      <c r="A827" s="93"/>
      <c r="B827" s="93"/>
      <c r="C827" s="93"/>
      <c r="D827" s="93"/>
      <c r="E827" s="93"/>
      <c r="F827" s="95"/>
      <c r="G827" s="95"/>
      <c r="H827" s="93"/>
      <c r="I827" s="93"/>
      <c r="J827" s="93"/>
    </row>
    <row r="828" spans="1:10" s="65" customFormat="1" ht="14" x14ac:dyDescent="0.35">
      <c r="A828" s="93"/>
      <c r="B828" s="93"/>
      <c r="C828" s="93"/>
      <c r="D828" s="93"/>
      <c r="E828" s="93"/>
      <c r="F828" s="95"/>
      <c r="G828" s="95"/>
      <c r="H828" s="93"/>
      <c r="I828" s="93"/>
      <c r="J828" s="93"/>
    </row>
    <row r="829" spans="1:10" s="65" customFormat="1" ht="14" x14ac:dyDescent="0.35">
      <c r="A829" s="93"/>
      <c r="B829" s="93"/>
      <c r="C829" s="93"/>
      <c r="D829" s="93"/>
      <c r="E829" s="93"/>
      <c r="F829" s="95"/>
      <c r="G829" s="95"/>
      <c r="H829" s="93"/>
      <c r="I829" s="93"/>
      <c r="J829" s="93"/>
    </row>
    <row r="830" spans="1:10" s="65" customFormat="1" ht="14" x14ac:dyDescent="0.35">
      <c r="A830" s="93"/>
      <c r="B830" s="93"/>
      <c r="C830" s="93"/>
      <c r="D830" s="93"/>
      <c r="E830" s="93"/>
      <c r="F830" s="95"/>
      <c r="G830" s="95"/>
      <c r="H830" s="93"/>
      <c r="I830" s="93"/>
      <c r="J830" s="93"/>
    </row>
    <row r="831" spans="1:10" s="65" customFormat="1" ht="14" x14ac:dyDescent="0.35">
      <c r="A831" s="93"/>
      <c r="B831" s="93"/>
      <c r="C831" s="93"/>
      <c r="D831" s="93"/>
      <c r="E831" s="93"/>
      <c r="F831" s="95"/>
      <c r="G831" s="95"/>
      <c r="H831" s="93"/>
      <c r="I831" s="93"/>
      <c r="J831" s="93"/>
    </row>
    <row r="832" spans="1:10" s="65" customFormat="1" ht="14" x14ac:dyDescent="0.35">
      <c r="A832" s="93"/>
      <c r="B832" s="93"/>
      <c r="C832" s="93"/>
      <c r="D832" s="93"/>
      <c r="E832" s="93"/>
      <c r="F832" s="95"/>
      <c r="G832" s="95"/>
      <c r="H832" s="93"/>
      <c r="I832" s="93"/>
      <c r="J832" s="93"/>
    </row>
    <row r="833" spans="1:10" s="65" customFormat="1" ht="14" x14ac:dyDescent="0.35">
      <c r="A833" s="93"/>
      <c r="B833" s="93"/>
      <c r="C833" s="93"/>
      <c r="D833" s="93"/>
      <c r="E833" s="93"/>
      <c r="F833" s="95"/>
      <c r="G833" s="95"/>
      <c r="H833" s="93"/>
      <c r="I833" s="93"/>
      <c r="J833" s="93"/>
    </row>
    <row r="834" spans="1:10" s="65" customFormat="1" ht="14" x14ac:dyDescent="0.35">
      <c r="A834" s="93"/>
      <c r="B834" s="93"/>
      <c r="C834" s="93"/>
      <c r="D834" s="93"/>
      <c r="E834" s="93"/>
      <c r="F834" s="95"/>
      <c r="G834" s="95"/>
      <c r="H834" s="93"/>
      <c r="I834" s="93"/>
      <c r="J834" s="93"/>
    </row>
    <row r="835" spans="1:10" s="65" customFormat="1" ht="14" x14ac:dyDescent="0.35">
      <c r="A835" s="93"/>
      <c r="B835" s="93"/>
      <c r="C835" s="93"/>
      <c r="D835" s="93"/>
      <c r="E835" s="93"/>
      <c r="F835" s="95"/>
      <c r="G835" s="95"/>
      <c r="H835" s="93"/>
      <c r="I835" s="93"/>
      <c r="J835" s="93"/>
    </row>
    <row r="836" spans="1:10" s="65" customFormat="1" ht="14" x14ac:dyDescent="0.35">
      <c r="A836" s="93"/>
      <c r="B836" s="93"/>
      <c r="C836" s="93"/>
      <c r="D836" s="93"/>
      <c r="E836" s="93"/>
      <c r="F836" s="95"/>
      <c r="G836" s="95"/>
      <c r="H836" s="93"/>
      <c r="I836" s="93"/>
      <c r="J836" s="93"/>
    </row>
    <row r="837" spans="1:10" s="65" customFormat="1" ht="14" x14ac:dyDescent="0.35">
      <c r="A837" s="93"/>
      <c r="B837" s="93"/>
      <c r="C837" s="93"/>
      <c r="D837" s="93"/>
      <c r="E837" s="93"/>
      <c r="F837" s="95"/>
      <c r="G837" s="95"/>
      <c r="H837" s="93"/>
      <c r="I837" s="93"/>
      <c r="J837" s="93"/>
    </row>
    <row r="838" spans="1:10" s="65" customFormat="1" ht="14" x14ac:dyDescent="0.35">
      <c r="A838" s="93"/>
      <c r="B838" s="93"/>
      <c r="C838" s="93"/>
      <c r="D838" s="93"/>
      <c r="E838" s="93"/>
      <c r="F838" s="95"/>
      <c r="G838" s="95"/>
      <c r="H838" s="93"/>
      <c r="I838" s="93"/>
      <c r="J838" s="93"/>
    </row>
    <row r="839" spans="1:10" s="65" customFormat="1" ht="14" x14ac:dyDescent="0.35">
      <c r="A839" s="93"/>
      <c r="B839" s="93"/>
      <c r="C839" s="93"/>
      <c r="D839" s="93"/>
      <c r="E839" s="93"/>
      <c r="F839" s="95"/>
      <c r="G839" s="95"/>
      <c r="H839" s="93"/>
      <c r="I839" s="93"/>
      <c r="J839" s="93"/>
    </row>
    <row r="840" spans="1:10" s="65" customFormat="1" ht="14" x14ac:dyDescent="0.35">
      <c r="A840" s="93"/>
      <c r="B840" s="93"/>
      <c r="C840" s="93"/>
      <c r="D840" s="93"/>
      <c r="E840" s="93"/>
      <c r="F840" s="95"/>
      <c r="G840" s="95"/>
      <c r="H840" s="93"/>
      <c r="I840" s="93"/>
      <c r="J840" s="93"/>
    </row>
    <row r="841" spans="1:10" s="65" customFormat="1" ht="14" x14ac:dyDescent="0.35">
      <c r="A841" s="93"/>
      <c r="B841" s="93"/>
      <c r="C841" s="93"/>
      <c r="D841" s="93"/>
      <c r="E841" s="93"/>
      <c r="F841" s="95"/>
      <c r="G841" s="95"/>
      <c r="H841" s="93"/>
      <c r="I841" s="93"/>
      <c r="J841" s="93"/>
    </row>
    <row r="842" spans="1:10" s="65" customFormat="1" ht="14" x14ac:dyDescent="0.35">
      <c r="A842" s="93"/>
      <c r="B842" s="93"/>
      <c r="C842" s="93"/>
      <c r="D842" s="93"/>
      <c r="E842" s="93"/>
      <c r="F842" s="95"/>
      <c r="G842" s="95"/>
      <c r="H842" s="93"/>
      <c r="I842" s="93"/>
      <c r="J842" s="93"/>
    </row>
    <row r="843" spans="1:10" s="65" customFormat="1" ht="14" x14ac:dyDescent="0.35">
      <c r="A843" s="93"/>
      <c r="B843" s="93"/>
      <c r="C843" s="93"/>
      <c r="D843" s="93"/>
      <c r="E843" s="93"/>
      <c r="F843" s="95"/>
      <c r="G843" s="95"/>
      <c r="H843" s="93"/>
      <c r="I843" s="93"/>
      <c r="J843" s="93"/>
    </row>
    <row r="844" spans="1:10" s="65" customFormat="1" ht="14" x14ac:dyDescent="0.35">
      <c r="A844" s="93"/>
      <c r="B844" s="93"/>
      <c r="C844" s="93"/>
      <c r="D844" s="93"/>
      <c r="E844" s="93"/>
      <c r="F844" s="95"/>
      <c r="G844" s="95"/>
      <c r="H844" s="93"/>
      <c r="I844" s="93"/>
      <c r="J844" s="93"/>
    </row>
    <row r="845" spans="1:10" s="65" customFormat="1" ht="14" x14ac:dyDescent="0.35">
      <c r="A845" s="93"/>
      <c r="B845" s="93"/>
      <c r="C845" s="93"/>
      <c r="D845" s="93"/>
      <c r="E845" s="93"/>
      <c r="F845" s="95"/>
      <c r="G845" s="95"/>
      <c r="H845" s="93"/>
      <c r="I845" s="93"/>
      <c r="J845" s="93"/>
    </row>
    <row r="846" spans="1:10" s="65" customFormat="1" ht="14" x14ac:dyDescent="0.35">
      <c r="A846" s="93"/>
      <c r="B846" s="93"/>
      <c r="C846" s="93"/>
      <c r="D846" s="93"/>
      <c r="E846" s="93"/>
      <c r="F846" s="95"/>
      <c r="G846" s="95"/>
      <c r="H846" s="93"/>
      <c r="I846" s="93"/>
      <c r="J846" s="93"/>
    </row>
    <row r="847" spans="1:10" s="65" customFormat="1" ht="14" x14ac:dyDescent="0.35">
      <c r="A847" s="93"/>
      <c r="B847" s="93"/>
      <c r="C847" s="93"/>
      <c r="D847" s="93"/>
      <c r="E847" s="93"/>
      <c r="F847" s="95"/>
      <c r="G847" s="95"/>
      <c r="H847" s="93"/>
      <c r="I847" s="93"/>
      <c r="J847" s="93"/>
    </row>
    <row r="848" spans="1:10" s="65" customFormat="1" ht="14" x14ac:dyDescent="0.35">
      <c r="A848" s="93"/>
      <c r="B848" s="93"/>
      <c r="C848" s="93"/>
      <c r="D848" s="93"/>
      <c r="E848" s="93"/>
      <c r="F848" s="95"/>
      <c r="G848" s="95"/>
      <c r="H848" s="93"/>
      <c r="I848" s="93"/>
      <c r="J848" s="93"/>
    </row>
    <row r="849" spans="1:10" s="65" customFormat="1" ht="14" x14ac:dyDescent="0.35">
      <c r="A849" s="93"/>
      <c r="B849" s="93"/>
      <c r="C849" s="93"/>
      <c r="D849" s="93"/>
      <c r="E849" s="93"/>
      <c r="F849" s="95"/>
      <c r="G849" s="95"/>
      <c r="H849" s="93"/>
      <c r="I849" s="93"/>
      <c r="J849" s="93"/>
    </row>
    <row r="850" spans="1:10" s="65" customFormat="1" ht="14" x14ac:dyDescent="0.35">
      <c r="A850" s="93"/>
      <c r="B850" s="93"/>
      <c r="C850" s="93"/>
      <c r="D850" s="93"/>
      <c r="E850" s="93"/>
      <c r="F850" s="95"/>
      <c r="G850" s="95"/>
      <c r="H850" s="93"/>
      <c r="I850" s="93"/>
      <c r="J850" s="93"/>
    </row>
    <row r="851" spans="1:10" s="65" customFormat="1" ht="14" x14ac:dyDescent="0.35">
      <c r="A851" s="93"/>
      <c r="B851" s="93"/>
      <c r="C851" s="93"/>
      <c r="D851" s="93"/>
      <c r="E851" s="93"/>
      <c r="F851" s="95"/>
      <c r="G851" s="95"/>
      <c r="H851" s="93"/>
      <c r="I851" s="93"/>
      <c r="J851" s="93"/>
    </row>
    <row r="852" spans="1:10" s="65" customFormat="1" ht="14" x14ac:dyDescent="0.35">
      <c r="A852" s="93"/>
      <c r="B852" s="93"/>
      <c r="C852" s="93"/>
      <c r="D852" s="93"/>
      <c r="E852" s="93"/>
      <c r="F852" s="95"/>
      <c r="G852" s="95"/>
      <c r="H852" s="93"/>
      <c r="I852" s="93"/>
      <c r="J852" s="93"/>
    </row>
    <row r="853" spans="1:10" s="65" customFormat="1" ht="14" x14ac:dyDescent="0.35">
      <c r="A853" s="93"/>
      <c r="B853" s="93"/>
      <c r="C853" s="93"/>
      <c r="D853" s="93"/>
      <c r="E853" s="93"/>
      <c r="F853" s="95"/>
      <c r="G853" s="95"/>
      <c r="H853" s="93"/>
      <c r="I853" s="93"/>
      <c r="J853" s="93"/>
    </row>
    <row r="854" spans="1:10" s="65" customFormat="1" ht="14" x14ac:dyDescent="0.35">
      <c r="A854" s="93"/>
      <c r="B854" s="93"/>
      <c r="C854" s="93"/>
      <c r="D854" s="93"/>
      <c r="E854" s="93"/>
      <c r="F854" s="95"/>
      <c r="G854" s="95"/>
      <c r="H854" s="93"/>
      <c r="I854" s="93"/>
      <c r="J854" s="93"/>
    </row>
    <row r="855" spans="1:10" s="65" customFormat="1" ht="14" x14ac:dyDescent="0.35">
      <c r="A855" s="93"/>
      <c r="B855" s="93"/>
      <c r="C855" s="93"/>
      <c r="D855" s="93"/>
      <c r="E855" s="93"/>
      <c r="F855" s="95"/>
      <c r="G855" s="95"/>
      <c r="H855" s="93"/>
      <c r="I855" s="93"/>
      <c r="J855" s="93"/>
    </row>
    <row r="856" spans="1:10" s="65" customFormat="1" ht="14" x14ac:dyDescent="0.35">
      <c r="A856" s="93"/>
      <c r="B856" s="93"/>
      <c r="C856" s="93"/>
      <c r="D856" s="93"/>
      <c r="E856" s="93"/>
      <c r="F856" s="95"/>
      <c r="G856" s="95"/>
      <c r="H856" s="93"/>
      <c r="I856" s="93"/>
      <c r="J856" s="93"/>
    </row>
    <row r="857" spans="1:10" s="65" customFormat="1" ht="14" x14ac:dyDescent="0.35">
      <c r="A857" s="93"/>
      <c r="B857" s="93"/>
      <c r="C857" s="93"/>
      <c r="D857" s="93"/>
      <c r="E857" s="93"/>
      <c r="F857" s="95"/>
      <c r="G857" s="95"/>
      <c r="H857" s="93"/>
      <c r="I857" s="93"/>
      <c r="J857" s="93"/>
    </row>
    <row r="858" spans="1:10" s="65" customFormat="1" ht="14" x14ac:dyDescent="0.35">
      <c r="A858" s="93"/>
      <c r="B858" s="93"/>
      <c r="C858" s="93"/>
      <c r="D858" s="93"/>
      <c r="E858" s="93"/>
      <c r="F858" s="95"/>
      <c r="G858" s="95"/>
      <c r="H858" s="93"/>
      <c r="I858" s="93"/>
      <c r="J858" s="93"/>
    </row>
    <row r="859" spans="1:10" s="65" customFormat="1" ht="14" x14ac:dyDescent="0.35">
      <c r="A859" s="93"/>
      <c r="B859" s="93"/>
      <c r="C859" s="93"/>
      <c r="D859" s="93"/>
      <c r="E859" s="93"/>
      <c r="F859" s="95"/>
      <c r="G859" s="95"/>
      <c r="H859" s="93"/>
      <c r="I859" s="93"/>
      <c r="J859" s="93"/>
    </row>
    <row r="860" spans="1:10" s="65" customFormat="1" ht="14" x14ac:dyDescent="0.35">
      <c r="A860" s="93"/>
      <c r="B860" s="93"/>
      <c r="C860" s="93"/>
      <c r="D860" s="93"/>
      <c r="E860" s="93"/>
      <c r="F860" s="95"/>
      <c r="G860" s="95"/>
      <c r="H860" s="93"/>
      <c r="I860" s="93"/>
      <c r="J860" s="93"/>
    </row>
    <row r="861" spans="1:10" s="65" customFormat="1" ht="14" x14ac:dyDescent="0.35">
      <c r="A861" s="93"/>
      <c r="B861" s="93"/>
      <c r="C861" s="93"/>
      <c r="D861" s="93"/>
      <c r="E861" s="93"/>
      <c r="F861" s="95"/>
      <c r="G861" s="95"/>
      <c r="H861" s="93"/>
      <c r="I861" s="93"/>
      <c r="J861" s="93"/>
    </row>
    <row r="862" spans="1:10" s="65" customFormat="1" ht="14" x14ac:dyDescent="0.35">
      <c r="A862" s="93"/>
      <c r="B862" s="93"/>
      <c r="C862" s="93"/>
      <c r="D862" s="93"/>
      <c r="E862" s="93"/>
      <c r="F862" s="95"/>
      <c r="G862" s="95"/>
      <c r="H862" s="93"/>
      <c r="I862" s="93"/>
      <c r="J862" s="93"/>
    </row>
    <row r="863" spans="1:10" s="65" customFormat="1" ht="14" x14ac:dyDescent="0.35">
      <c r="A863" s="93"/>
      <c r="B863" s="93"/>
      <c r="C863" s="93"/>
      <c r="D863" s="93"/>
      <c r="E863" s="93"/>
      <c r="F863" s="95"/>
      <c r="G863" s="95"/>
      <c r="H863" s="93"/>
      <c r="I863" s="93"/>
      <c r="J863" s="93"/>
    </row>
    <row r="864" spans="1:10" s="65" customFormat="1" ht="14" x14ac:dyDescent="0.35">
      <c r="A864" s="93"/>
      <c r="B864" s="93"/>
      <c r="C864" s="93"/>
      <c r="D864" s="93"/>
      <c r="E864" s="93"/>
      <c r="F864" s="95"/>
      <c r="G864" s="95"/>
      <c r="H864" s="93"/>
      <c r="I864" s="93"/>
      <c r="J864" s="93"/>
    </row>
    <row r="865" spans="1:10" s="65" customFormat="1" ht="14" x14ac:dyDescent="0.35">
      <c r="A865" s="93"/>
      <c r="B865" s="93"/>
      <c r="C865" s="93"/>
      <c r="D865" s="93"/>
      <c r="E865" s="93"/>
      <c r="F865" s="95"/>
      <c r="G865" s="95"/>
      <c r="H865" s="93"/>
      <c r="I865" s="93"/>
      <c r="J865" s="93"/>
    </row>
    <row r="866" spans="1:10" s="65" customFormat="1" ht="14" x14ac:dyDescent="0.35">
      <c r="A866" s="93"/>
      <c r="B866" s="93"/>
      <c r="C866" s="93"/>
      <c r="D866" s="93"/>
      <c r="E866" s="93"/>
      <c r="F866" s="95"/>
      <c r="G866" s="95"/>
      <c r="H866" s="93"/>
      <c r="I866" s="93"/>
      <c r="J866" s="93"/>
    </row>
    <row r="867" spans="1:10" s="65" customFormat="1" ht="14" x14ac:dyDescent="0.35">
      <c r="A867" s="93"/>
      <c r="B867" s="93"/>
      <c r="C867" s="93"/>
      <c r="D867" s="93"/>
      <c r="E867" s="93"/>
      <c r="F867" s="95"/>
      <c r="G867" s="95"/>
      <c r="H867" s="93"/>
      <c r="I867" s="93"/>
      <c r="J867" s="93"/>
    </row>
    <row r="868" spans="1:10" s="65" customFormat="1" ht="14" x14ac:dyDescent="0.35">
      <c r="A868" s="93"/>
      <c r="B868" s="93"/>
      <c r="C868" s="93"/>
      <c r="D868" s="93"/>
      <c r="E868" s="93"/>
      <c r="F868" s="95"/>
      <c r="G868" s="95"/>
      <c r="H868" s="93"/>
      <c r="I868" s="93"/>
      <c r="J868" s="93"/>
    </row>
    <row r="869" spans="1:10" s="65" customFormat="1" ht="14" x14ac:dyDescent="0.35">
      <c r="A869" s="93"/>
      <c r="B869" s="93"/>
      <c r="C869" s="93"/>
      <c r="D869" s="93"/>
      <c r="E869" s="93"/>
      <c r="F869" s="95"/>
      <c r="G869" s="95"/>
      <c r="H869" s="93"/>
      <c r="I869" s="93"/>
      <c r="J869" s="93"/>
    </row>
    <row r="870" spans="1:10" s="65" customFormat="1" ht="14" x14ac:dyDescent="0.35">
      <c r="A870" s="93"/>
      <c r="B870" s="93"/>
      <c r="C870" s="93"/>
      <c r="D870" s="93"/>
      <c r="E870" s="93"/>
      <c r="F870" s="95"/>
      <c r="G870" s="95"/>
      <c r="H870" s="93"/>
      <c r="I870" s="93"/>
      <c r="J870" s="93"/>
    </row>
    <row r="871" spans="1:10" s="65" customFormat="1" ht="14" x14ac:dyDescent="0.35">
      <c r="A871" s="93"/>
      <c r="B871" s="93"/>
      <c r="C871" s="93"/>
      <c r="D871" s="93"/>
      <c r="E871" s="93"/>
      <c r="F871" s="95"/>
      <c r="G871" s="95"/>
      <c r="H871" s="93"/>
      <c r="I871" s="93"/>
      <c r="J871" s="93"/>
    </row>
    <row r="872" spans="1:10" s="65" customFormat="1" ht="14" x14ac:dyDescent="0.35">
      <c r="A872" s="93"/>
      <c r="B872" s="93"/>
      <c r="C872" s="93"/>
      <c r="D872" s="93"/>
      <c r="E872" s="93"/>
      <c r="F872" s="95"/>
      <c r="G872" s="95"/>
      <c r="H872" s="93"/>
      <c r="I872" s="93"/>
      <c r="J872" s="93"/>
    </row>
    <row r="873" spans="1:10" s="65" customFormat="1" ht="14" x14ac:dyDescent="0.35">
      <c r="A873" s="93"/>
      <c r="B873" s="93"/>
      <c r="C873" s="93"/>
      <c r="D873" s="93"/>
      <c r="E873" s="93"/>
      <c r="F873" s="95"/>
      <c r="G873" s="95"/>
      <c r="H873" s="93"/>
      <c r="I873" s="93"/>
      <c r="J873" s="93"/>
    </row>
    <row r="874" spans="1:10" s="65" customFormat="1" ht="14" x14ac:dyDescent="0.35">
      <c r="A874" s="93"/>
      <c r="B874" s="93"/>
      <c r="C874" s="93"/>
      <c r="D874" s="93"/>
      <c r="E874" s="93"/>
      <c r="F874" s="95"/>
      <c r="G874" s="95"/>
      <c r="H874" s="93"/>
      <c r="I874" s="93"/>
      <c r="J874" s="93"/>
    </row>
    <row r="875" spans="1:10" s="65" customFormat="1" ht="14" x14ac:dyDescent="0.35">
      <c r="A875" s="93"/>
      <c r="B875" s="93"/>
      <c r="C875" s="93"/>
      <c r="D875" s="93"/>
      <c r="E875" s="93"/>
      <c r="F875" s="95"/>
      <c r="G875" s="95"/>
      <c r="H875" s="93"/>
      <c r="I875" s="93"/>
      <c r="J875" s="93"/>
    </row>
    <row r="876" spans="1:10" s="65" customFormat="1" ht="14" x14ac:dyDescent="0.35">
      <c r="A876" s="93"/>
      <c r="B876" s="93"/>
      <c r="C876" s="93"/>
      <c r="D876" s="93"/>
      <c r="E876" s="93"/>
      <c r="F876" s="95"/>
      <c r="G876" s="95"/>
      <c r="H876" s="93"/>
      <c r="I876" s="93"/>
      <c r="J876" s="93"/>
    </row>
    <row r="877" spans="1:10" s="65" customFormat="1" ht="14" x14ac:dyDescent="0.35">
      <c r="A877" s="93"/>
      <c r="B877" s="93"/>
      <c r="C877" s="93"/>
      <c r="D877" s="93"/>
      <c r="E877" s="93"/>
      <c r="F877" s="95"/>
      <c r="G877" s="95"/>
      <c r="H877" s="93"/>
      <c r="I877" s="93"/>
      <c r="J877" s="93"/>
    </row>
    <row r="878" spans="1:10" s="65" customFormat="1" ht="14" x14ac:dyDescent="0.35">
      <c r="A878" s="93"/>
      <c r="B878" s="93"/>
      <c r="C878" s="93"/>
      <c r="D878" s="93"/>
      <c r="E878" s="93"/>
      <c r="F878" s="95"/>
      <c r="G878" s="95"/>
      <c r="H878" s="93"/>
      <c r="I878" s="93"/>
      <c r="J878" s="93"/>
    </row>
    <row r="879" spans="1:10" s="65" customFormat="1" ht="14" x14ac:dyDescent="0.35">
      <c r="A879" s="93"/>
      <c r="B879" s="93"/>
      <c r="C879" s="93"/>
      <c r="D879" s="93"/>
      <c r="E879" s="93"/>
      <c r="F879" s="95"/>
      <c r="G879" s="95"/>
      <c r="H879" s="93"/>
      <c r="I879" s="93"/>
      <c r="J879" s="93"/>
    </row>
    <row r="880" spans="1:10" s="65" customFormat="1" ht="14" x14ac:dyDescent="0.35">
      <c r="A880" s="93"/>
      <c r="B880" s="93"/>
      <c r="C880" s="93"/>
      <c r="D880" s="93"/>
      <c r="E880" s="93"/>
      <c r="F880" s="95"/>
      <c r="G880" s="95"/>
      <c r="H880" s="93"/>
      <c r="I880" s="93"/>
      <c r="J880" s="93"/>
    </row>
    <row r="881" spans="1:10" s="65" customFormat="1" ht="14" x14ac:dyDescent="0.35">
      <c r="A881" s="93"/>
      <c r="B881" s="93"/>
      <c r="C881" s="93"/>
      <c r="D881" s="93"/>
      <c r="E881" s="93"/>
      <c r="F881" s="95"/>
      <c r="G881" s="95"/>
      <c r="H881" s="93"/>
      <c r="I881" s="93"/>
      <c r="J881" s="93"/>
    </row>
    <row r="882" spans="1:10" s="65" customFormat="1" ht="14" x14ac:dyDescent="0.35">
      <c r="A882" s="93"/>
      <c r="B882" s="93"/>
      <c r="C882" s="93"/>
      <c r="D882" s="93"/>
      <c r="E882" s="93"/>
      <c r="F882" s="95"/>
      <c r="G882" s="95"/>
      <c r="H882" s="93"/>
      <c r="I882" s="93"/>
      <c r="J882" s="93"/>
    </row>
    <row r="883" spans="1:10" s="65" customFormat="1" ht="14" x14ac:dyDescent="0.35">
      <c r="A883" s="93"/>
      <c r="B883" s="93"/>
      <c r="C883" s="93"/>
      <c r="D883" s="93"/>
      <c r="E883" s="93"/>
      <c r="F883" s="95"/>
      <c r="G883" s="95"/>
      <c r="H883" s="93"/>
      <c r="I883" s="93"/>
      <c r="J883" s="93"/>
    </row>
    <row r="884" spans="1:10" s="65" customFormat="1" ht="14" x14ac:dyDescent="0.35">
      <c r="A884" s="93"/>
      <c r="B884" s="93"/>
      <c r="C884" s="93"/>
      <c r="D884" s="93"/>
      <c r="E884" s="93"/>
      <c r="F884" s="95"/>
      <c r="G884" s="95"/>
      <c r="H884" s="93"/>
      <c r="I884" s="93"/>
      <c r="J884" s="93"/>
    </row>
    <row r="885" spans="1:10" s="65" customFormat="1" ht="14" x14ac:dyDescent="0.35">
      <c r="A885" s="93"/>
      <c r="B885" s="93"/>
      <c r="C885" s="93"/>
      <c r="D885" s="93"/>
      <c r="E885" s="93"/>
      <c r="F885" s="95"/>
      <c r="G885" s="95"/>
      <c r="H885" s="93"/>
      <c r="I885" s="93"/>
      <c r="J885" s="93"/>
    </row>
    <row r="886" spans="1:10" s="65" customFormat="1" ht="14" x14ac:dyDescent="0.35">
      <c r="A886" s="93"/>
      <c r="B886" s="93"/>
      <c r="C886" s="93"/>
      <c r="D886" s="93"/>
      <c r="E886" s="93"/>
      <c r="F886" s="95"/>
      <c r="G886" s="95"/>
      <c r="H886" s="93"/>
      <c r="I886" s="93"/>
      <c r="J886" s="93"/>
    </row>
    <row r="887" spans="1:10" s="65" customFormat="1" ht="14" x14ac:dyDescent="0.35">
      <c r="A887" s="93"/>
      <c r="B887" s="93"/>
      <c r="C887" s="93"/>
      <c r="D887" s="93"/>
      <c r="E887" s="93"/>
      <c r="F887" s="95"/>
      <c r="G887" s="95"/>
      <c r="H887" s="93"/>
      <c r="I887" s="93"/>
      <c r="J887" s="93"/>
    </row>
    <row r="888" spans="1:10" s="65" customFormat="1" ht="14" x14ac:dyDescent="0.35">
      <c r="A888" s="93"/>
      <c r="B888" s="93"/>
      <c r="C888" s="93"/>
      <c r="D888" s="93"/>
      <c r="E888" s="93"/>
      <c r="F888" s="95"/>
      <c r="G888" s="95"/>
      <c r="H888" s="93"/>
      <c r="I888" s="93"/>
      <c r="J888" s="93"/>
    </row>
    <row r="889" spans="1:10" s="65" customFormat="1" ht="14" x14ac:dyDescent="0.35">
      <c r="A889" s="93"/>
      <c r="B889" s="93"/>
      <c r="C889" s="93"/>
      <c r="D889" s="93"/>
      <c r="E889" s="93"/>
      <c r="F889" s="95"/>
      <c r="G889" s="95"/>
      <c r="H889" s="93"/>
      <c r="I889" s="93"/>
      <c r="J889" s="93"/>
    </row>
    <row r="890" spans="1:10" s="65" customFormat="1" ht="14" x14ac:dyDescent="0.35">
      <c r="A890" s="93"/>
      <c r="B890" s="93"/>
      <c r="C890" s="93"/>
      <c r="D890" s="93"/>
      <c r="E890" s="93"/>
      <c r="F890" s="95"/>
      <c r="G890" s="95"/>
      <c r="H890" s="93"/>
      <c r="I890" s="93"/>
      <c r="J890" s="93"/>
    </row>
    <row r="891" spans="1:10" s="65" customFormat="1" ht="14" x14ac:dyDescent="0.35">
      <c r="A891" s="93"/>
      <c r="B891" s="93"/>
      <c r="C891" s="93"/>
      <c r="D891" s="93"/>
      <c r="E891" s="93"/>
      <c r="F891" s="95"/>
      <c r="G891" s="95"/>
      <c r="H891" s="93"/>
      <c r="I891" s="93"/>
      <c r="J891" s="93"/>
    </row>
    <row r="892" spans="1:10" s="65" customFormat="1" ht="14" x14ac:dyDescent="0.35">
      <c r="A892" s="93"/>
      <c r="B892" s="93"/>
      <c r="C892" s="93"/>
      <c r="D892" s="93"/>
      <c r="E892" s="93"/>
      <c r="F892" s="95"/>
      <c r="G892" s="95"/>
      <c r="H892" s="93"/>
      <c r="I892" s="93"/>
      <c r="J892" s="93"/>
    </row>
    <row r="893" spans="1:10" s="65" customFormat="1" ht="14" x14ac:dyDescent="0.35">
      <c r="A893" s="93"/>
      <c r="B893" s="93"/>
      <c r="C893" s="93"/>
      <c r="D893" s="93"/>
      <c r="E893" s="93"/>
      <c r="F893" s="95"/>
      <c r="G893" s="95"/>
      <c r="H893" s="93"/>
      <c r="I893" s="93"/>
      <c r="J893" s="93"/>
    </row>
    <row r="894" spans="1:10" s="65" customFormat="1" ht="14" x14ac:dyDescent="0.35">
      <c r="A894" s="93"/>
      <c r="B894" s="93"/>
      <c r="C894" s="93"/>
      <c r="D894" s="93"/>
      <c r="E894" s="93"/>
      <c r="F894" s="95"/>
      <c r="G894" s="95"/>
      <c r="H894" s="93"/>
      <c r="I894" s="93"/>
      <c r="J894" s="93"/>
    </row>
    <row r="895" spans="1:10" s="65" customFormat="1" ht="14" x14ac:dyDescent="0.35">
      <c r="A895" s="93"/>
      <c r="B895" s="93"/>
      <c r="C895" s="93"/>
      <c r="D895" s="93"/>
      <c r="E895" s="93"/>
      <c r="F895" s="95"/>
      <c r="G895" s="95"/>
      <c r="H895" s="93"/>
      <c r="I895" s="93"/>
      <c r="J895" s="93"/>
    </row>
    <row r="896" spans="1:10" s="65" customFormat="1" ht="14" x14ac:dyDescent="0.35">
      <c r="A896" s="93"/>
      <c r="B896" s="93"/>
      <c r="C896" s="93"/>
      <c r="D896" s="93"/>
      <c r="E896" s="93"/>
      <c r="F896" s="95"/>
      <c r="G896" s="95"/>
      <c r="H896" s="93"/>
      <c r="I896" s="93"/>
      <c r="J896" s="93"/>
    </row>
    <row r="897" spans="1:10" s="65" customFormat="1" ht="14" x14ac:dyDescent="0.35">
      <c r="A897" s="93"/>
      <c r="B897" s="93"/>
      <c r="C897" s="93"/>
      <c r="D897" s="93"/>
      <c r="E897" s="93"/>
      <c r="F897" s="95"/>
      <c r="G897" s="95"/>
      <c r="H897" s="93"/>
      <c r="I897" s="93"/>
      <c r="J897" s="93"/>
    </row>
    <row r="898" spans="1:10" s="65" customFormat="1" ht="14" x14ac:dyDescent="0.35">
      <c r="A898" s="93"/>
      <c r="B898" s="93"/>
      <c r="C898" s="93"/>
      <c r="D898" s="93"/>
      <c r="E898" s="93"/>
      <c r="F898" s="95"/>
      <c r="G898" s="95"/>
      <c r="H898" s="93"/>
      <c r="I898" s="93"/>
      <c r="J898" s="93"/>
    </row>
    <row r="899" spans="1:10" s="65" customFormat="1" ht="14" x14ac:dyDescent="0.35">
      <c r="A899" s="93"/>
      <c r="B899" s="93"/>
      <c r="C899" s="93"/>
      <c r="D899" s="93"/>
      <c r="E899" s="93"/>
      <c r="F899" s="95"/>
      <c r="G899" s="95"/>
      <c r="H899" s="93"/>
      <c r="I899" s="93"/>
      <c r="J899" s="93"/>
    </row>
    <row r="900" spans="1:10" s="65" customFormat="1" ht="14" x14ac:dyDescent="0.35">
      <c r="A900" s="93"/>
      <c r="B900" s="93"/>
      <c r="C900" s="93"/>
      <c r="D900" s="93"/>
      <c r="E900" s="93"/>
      <c r="F900" s="95"/>
      <c r="G900" s="95"/>
      <c r="H900" s="93"/>
      <c r="I900" s="93"/>
      <c r="J900" s="93"/>
    </row>
    <row r="901" spans="1:10" s="65" customFormat="1" ht="14" x14ac:dyDescent="0.35">
      <c r="A901" s="93"/>
      <c r="B901" s="93"/>
      <c r="C901" s="93"/>
      <c r="D901" s="93"/>
      <c r="E901" s="93"/>
      <c r="F901" s="95"/>
      <c r="G901" s="95"/>
      <c r="H901" s="93"/>
      <c r="I901" s="93"/>
      <c r="J901" s="93"/>
    </row>
    <row r="902" spans="1:10" s="65" customFormat="1" ht="14" x14ac:dyDescent="0.35">
      <c r="A902" s="93"/>
      <c r="B902" s="93"/>
      <c r="C902" s="93"/>
      <c r="D902" s="93"/>
      <c r="E902" s="93"/>
      <c r="F902" s="95"/>
      <c r="G902" s="95"/>
      <c r="H902" s="93"/>
      <c r="I902" s="93"/>
      <c r="J902" s="93"/>
    </row>
    <row r="903" spans="1:10" s="65" customFormat="1" ht="14" x14ac:dyDescent="0.35">
      <c r="A903" s="93"/>
      <c r="B903" s="93"/>
      <c r="C903" s="93"/>
      <c r="D903" s="93"/>
      <c r="E903" s="93"/>
      <c r="F903" s="95"/>
      <c r="G903" s="95"/>
      <c r="H903" s="93"/>
      <c r="I903" s="93"/>
      <c r="J903" s="93"/>
    </row>
    <row r="904" spans="1:10" s="65" customFormat="1" ht="14" x14ac:dyDescent="0.35">
      <c r="A904" s="93"/>
      <c r="B904" s="93"/>
      <c r="C904" s="93"/>
      <c r="D904" s="93"/>
      <c r="E904" s="93"/>
      <c r="F904" s="95"/>
      <c r="G904" s="95"/>
      <c r="H904" s="93"/>
      <c r="I904" s="93"/>
      <c r="J904" s="93"/>
    </row>
    <row r="905" spans="1:10" s="65" customFormat="1" ht="14" x14ac:dyDescent="0.35">
      <c r="A905" s="93"/>
      <c r="B905" s="93"/>
      <c r="C905" s="93"/>
      <c r="D905" s="93"/>
      <c r="E905" s="93"/>
      <c r="F905" s="95"/>
      <c r="G905" s="95"/>
      <c r="H905" s="93"/>
      <c r="I905" s="93"/>
      <c r="J905" s="93"/>
    </row>
    <row r="906" spans="1:10" s="65" customFormat="1" ht="14" x14ac:dyDescent="0.35">
      <c r="A906" s="93"/>
      <c r="B906" s="93"/>
      <c r="C906" s="93"/>
      <c r="D906" s="93"/>
      <c r="E906" s="93"/>
      <c r="F906" s="95"/>
      <c r="G906" s="95"/>
      <c r="H906" s="93"/>
      <c r="I906" s="93"/>
      <c r="J906" s="93"/>
    </row>
    <row r="907" spans="1:10" s="65" customFormat="1" ht="14" x14ac:dyDescent="0.35">
      <c r="A907" s="93"/>
      <c r="B907" s="93"/>
      <c r="C907" s="93"/>
      <c r="D907" s="93"/>
      <c r="E907" s="93"/>
      <c r="F907" s="95"/>
      <c r="G907" s="95"/>
      <c r="H907" s="93"/>
      <c r="I907" s="93"/>
      <c r="J907" s="93"/>
    </row>
    <row r="908" spans="1:10" s="65" customFormat="1" ht="14" x14ac:dyDescent="0.35">
      <c r="A908" s="93"/>
      <c r="B908" s="93"/>
      <c r="C908" s="93"/>
      <c r="D908" s="93"/>
      <c r="E908" s="93"/>
      <c r="F908" s="95"/>
      <c r="G908" s="95"/>
      <c r="H908" s="93"/>
      <c r="I908" s="93"/>
      <c r="J908" s="93"/>
    </row>
    <row r="909" spans="1:10" s="65" customFormat="1" ht="14" x14ac:dyDescent="0.35">
      <c r="A909" s="93"/>
      <c r="B909" s="93"/>
      <c r="C909" s="93"/>
      <c r="D909" s="93"/>
      <c r="E909" s="93"/>
      <c r="F909" s="95"/>
      <c r="G909" s="95"/>
      <c r="H909" s="93"/>
      <c r="I909" s="93"/>
      <c r="J909" s="93"/>
    </row>
    <row r="910" spans="1:10" s="65" customFormat="1" ht="14" x14ac:dyDescent="0.35">
      <c r="A910" s="93"/>
      <c r="B910" s="93"/>
      <c r="C910" s="93"/>
      <c r="D910" s="93"/>
      <c r="E910" s="93"/>
      <c r="F910" s="95"/>
      <c r="G910" s="95"/>
      <c r="H910" s="93"/>
      <c r="I910" s="93"/>
      <c r="J910" s="93"/>
    </row>
    <row r="911" spans="1:10" s="65" customFormat="1" ht="14" x14ac:dyDescent="0.35">
      <c r="A911" s="93"/>
      <c r="B911" s="93"/>
      <c r="C911" s="93"/>
      <c r="D911" s="93"/>
      <c r="E911" s="93"/>
      <c r="F911" s="95"/>
      <c r="G911" s="95"/>
      <c r="H911" s="93"/>
      <c r="I911" s="93"/>
      <c r="J911" s="93"/>
    </row>
    <row r="912" spans="1:10" s="65" customFormat="1" ht="14" x14ac:dyDescent="0.35">
      <c r="A912" s="93"/>
      <c r="B912" s="93"/>
      <c r="C912" s="93"/>
      <c r="D912" s="93"/>
      <c r="E912" s="93"/>
      <c r="F912" s="95"/>
      <c r="G912" s="95"/>
      <c r="H912" s="93"/>
      <c r="I912" s="93"/>
      <c r="J912" s="93"/>
    </row>
    <row r="913" spans="1:10" s="65" customFormat="1" ht="14" x14ac:dyDescent="0.35">
      <c r="A913" s="93"/>
      <c r="B913" s="93"/>
      <c r="C913" s="93"/>
      <c r="D913" s="93"/>
      <c r="E913" s="93"/>
      <c r="F913" s="95"/>
      <c r="G913" s="95"/>
      <c r="H913" s="93"/>
      <c r="I913" s="93"/>
      <c r="J913" s="93"/>
    </row>
    <row r="914" spans="1:10" s="65" customFormat="1" ht="14" x14ac:dyDescent="0.35">
      <c r="A914" s="93"/>
      <c r="B914" s="93"/>
      <c r="C914" s="93"/>
      <c r="D914" s="93"/>
      <c r="E914" s="93"/>
      <c r="F914" s="95"/>
      <c r="G914" s="95"/>
      <c r="H914" s="93"/>
      <c r="I914" s="93"/>
      <c r="J914" s="93"/>
    </row>
    <row r="915" spans="1:10" s="65" customFormat="1" ht="14" x14ac:dyDescent="0.35">
      <c r="A915" s="93"/>
      <c r="B915" s="93"/>
      <c r="C915" s="93"/>
      <c r="D915" s="93"/>
      <c r="E915" s="93"/>
      <c r="F915" s="95"/>
      <c r="G915" s="95"/>
      <c r="H915" s="93"/>
      <c r="I915" s="93"/>
      <c r="J915" s="93"/>
    </row>
    <row r="916" spans="1:10" s="65" customFormat="1" ht="14" x14ac:dyDescent="0.35">
      <c r="A916" s="93"/>
      <c r="B916" s="93"/>
      <c r="C916" s="93"/>
      <c r="D916" s="93"/>
      <c r="E916" s="93"/>
      <c r="F916" s="95"/>
      <c r="G916" s="95"/>
      <c r="H916" s="93"/>
      <c r="I916" s="93"/>
      <c r="J916" s="93"/>
    </row>
    <row r="917" spans="1:10" s="65" customFormat="1" ht="14" x14ac:dyDescent="0.35">
      <c r="A917" s="93"/>
      <c r="B917" s="93"/>
      <c r="C917" s="93"/>
      <c r="D917" s="93"/>
      <c r="E917" s="93"/>
      <c r="F917" s="95"/>
      <c r="G917" s="95"/>
      <c r="H917" s="93"/>
      <c r="I917" s="93"/>
      <c r="J917" s="93"/>
    </row>
    <row r="918" spans="1:10" s="65" customFormat="1" ht="14" x14ac:dyDescent="0.35">
      <c r="A918" s="93"/>
      <c r="B918" s="93"/>
      <c r="C918" s="93"/>
      <c r="D918" s="93"/>
      <c r="E918" s="93"/>
      <c r="F918" s="95"/>
      <c r="G918" s="95"/>
      <c r="H918" s="93"/>
      <c r="I918" s="93"/>
      <c r="J918" s="93"/>
    </row>
    <row r="919" spans="1:10" s="65" customFormat="1" ht="14" x14ac:dyDescent="0.35">
      <c r="A919" s="93"/>
      <c r="B919" s="93"/>
      <c r="C919" s="93"/>
      <c r="D919" s="93"/>
      <c r="E919" s="93"/>
      <c r="F919" s="95"/>
      <c r="G919" s="95"/>
      <c r="H919" s="93"/>
      <c r="I919" s="93"/>
      <c r="J919" s="93"/>
    </row>
    <row r="920" spans="1:10" s="65" customFormat="1" ht="14" x14ac:dyDescent="0.35">
      <c r="A920" s="93"/>
      <c r="B920" s="93"/>
      <c r="C920" s="93"/>
      <c r="D920" s="93"/>
      <c r="E920" s="93"/>
      <c r="F920" s="95"/>
      <c r="G920" s="95"/>
      <c r="H920" s="93"/>
      <c r="I920" s="93"/>
      <c r="J920" s="93"/>
    </row>
    <row r="921" spans="1:10" s="65" customFormat="1" ht="14" x14ac:dyDescent="0.35">
      <c r="A921" s="93"/>
      <c r="B921" s="93"/>
      <c r="C921" s="93"/>
      <c r="D921" s="93"/>
      <c r="E921" s="93"/>
      <c r="F921" s="95"/>
      <c r="G921" s="95"/>
      <c r="H921" s="93"/>
      <c r="I921" s="93"/>
      <c r="J921" s="93"/>
    </row>
    <row r="922" spans="1:10" s="65" customFormat="1" ht="14" x14ac:dyDescent="0.35">
      <c r="A922" s="93"/>
      <c r="B922" s="93"/>
      <c r="C922" s="93"/>
      <c r="D922" s="93"/>
      <c r="E922" s="93"/>
      <c r="F922" s="95"/>
      <c r="G922" s="95"/>
      <c r="H922" s="93"/>
      <c r="I922" s="93"/>
      <c r="J922" s="93"/>
    </row>
    <row r="923" spans="1:10" s="65" customFormat="1" ht="14" x14ac:dyDescent="0.35">
      <c r="A923" s="93"/>
      <c r="B923" s="93"/>
      <c r="C923" s="93"/>
      <c r="D923" s="93"/>
      <c r="E923" s="93"/>
      <c r="F923" s="95"/>
      <c r="G923" s="95"/>
      <c r="H923" s="93"/>
      <c r="I923" s="93"/>
      <c r="J923" s="93"/>
    </row>
    <row r="924" spans="1:10" s="65" customFormat="1" ht="14" x14ac:dyDescent="0.35">
      <c r="A924" s="93"/>
      <c r="B924" s="93"/>
      <c r="C924" s="93"/>
      <c r="D924" s="93"/>
      <c r="E924" s="93"/>
      <c r="F924" s="95"/>
      <c r="G924" s="95"/>
      <c r="H924" s="93"/>
      <c r="I924" s="93"/>
      <c r="J924" s="93"/>
    </row>
    <row r="925" spans="1:10" s="65" customFormat="1" ht="14" x14ac:dyDescent="0.35">
      <c r="A925" s="93"/>
      <c r="B925" s="93"/>
      <c r="C925" s="93"/>
      <c r="D925" s="93"/>
      <c r="E925" s="93"/>
      <c r="F925" s="95"/>
      <c r="G925" s="95"/>
      <c r="H925" s="93"/>
      <c r="I925" s="93"/>
      <c r="J925" s="93"/>
    </row>
    <row r="926" spans="1:10" s="65" customFormat="1" ht="14" x14ac:dyDescent="0.35">
      <c r="A926" s="93"/>
      <c r="B926" s="93"/>
      <c r="C926" s="93"/>
      <c r="D926" s="93"/>
      <c r="E926" s="93"/>
      <c r="F926" s="95"/>
      <c r="G926" s="95"/>
      <c r="H926" s="93"/>
      <c r="I926" s="93"/>
      <c r="J926" s="93"/>
    </row>
    <row r="927" spans="1:10" s="65" customFormat="1" ht="14" x14ac:dyDescent="0.35">
      <c r="A927" s="93"/>
      <c r="B927" s="93"/>
      <c r="C927" s="93"/>
      <c r="D927" s="93"/>
      <c r="E927" s="93"/>
      <c r="F927" s="95"/>
      <c r="G927" s="95"/>
      <c r="H927" s="93"/>
      <c r="I927" s="93"/>
      <c r="J927" s="93"/>
    </row>
    <row r="928" spans="1:10" s="65" customFormat="1" ht="14" x14ac:dyDescent="0.35">
      <c r="A928" s="93"/>
      <c r="B928" s="93"/>
      <c r="C928" s="93"/>
      <c r="D928" s="93"/>
      <c r="E928" s="93"/>
      <c r="F928" s="95"/>
      <c r="G928" s="95"/>
      <c r="H928" s="93"/>
      <c r="I928" s="93"/>
      <c r="J928" s="93"/>
    </row>
    <row r="929" spans="1:10" s="65" customFormat="1" ht="14" x14ac:dyDescent="0.35">
      <c r="A929" s="93"/>
      <c r="B929" s="93"/>
      <c r="C929" s="93"/>
      <c r="D929" s="93"/>
      <c r="E929" s="93"/>
      <c r="F929" s="95"/>
      <c r="G929" s="95"/>
      <c r="H929" s="93"/>
      <c r="I929" s="93"/>
      <c r="J929" s="93"/>
    </row>
    <row r="930" spans="1:10" s="65" customFormat="1" ht="14" x14ac:dyDescent="0.35">
      <c r="A930" s="93"/>
      <c r="B930" s="93"/>
      <c r="C930" s="93"/>
      <c r="D930" s="93"/>
      <c r="E930" s="93"/>
      <c r="F930" s="95"/>
      <c r="G930" s="95"/>
      <c r="H930" s="93"/>
      <c r="I930" s="93"/>
      <c r="J930" s="93"/>
    </row>
    <row r="931" spans="1:10" s="65" customFormat="1" ht="14" x14ac:dyDescent="0.35">
      <c r="A931" s="93"/>
      <c r="B931" s="93"/>
      <c r="C931" s="93"/>
      <c r="D931" s="93"/>
      <c r="E931" s="93"/>
      <c r="F931" s="95"/>
      <c r="G931" s="95"/>
      <c r="H931" s="93"/>
      <c r="I931" s="93"/>
      <c r="J931" s="93"/>
    </row>
    <row r="932" spans="1:10" s="65" customFormat="1" ht="14" x14ac:dyDescent="0.35">
      <c r="A932" s="93"/>
      <c r="B932" s="93"/>
      <c r="C932" s="93"/>
      <c r="D932" s="93"/>
      <c r="E932" s="93"/>
      <c r="F932" s="95"/>
      <c r="G932" s="95"/>
      <c r="H932" s="93"/>
      <c r="I932" s="93"/>
      <c r="J932" s="93"/>
    </row>
    <row r="933" spans="1:10" s="65" customFormat="1" ht="14" x14ac:dyDescent="0.35">
      <c r="A933" s="93"/>
      <c r="B933" s="93"/>
      <c r="C933" s="93"/>
      <c r="D933" s="93"/>
      <c r="E933" s="93"/>
      <c r="F933" s="95"/>
      <c r="G933" s="95"/>
      <c r="H933" s="93"/>
      <c r="I933" s="93"/>
      <c r="J933" s="93"/>
    </row>
    <row r="934" spans="1:10" s="65" customFormat="1" ht="14" x14ac:dyDescent="0.35">
      <c r="A934" s="93"/>
      <c r="B934" s="93"/>
      <c r="C934" s="93"/>
      <c r="D934" s="93"/>
      <c r="E934" s="93"/>
      <c r="F934" s="95"/>
      <c r="G934" s="95"/>
      <c r="H934" s="93"/>
      <c r="I934" s="93"/>
      <c r="J934" s="93"/>
    </row>
    <row r="935" spans="1:10" s="65" customFormat="1" ht="14" x14ac:dyDescent="0.35">
      <c r="A935" s="93"/>
      <c r="B935" s="93"/>
      <c r="C935" s="93"/>
      <c r="D935" s="93"/>
      <c r="E935" s="93"/>
      <c r="F935" s="95"/>
      <c r="G935" s="95"/>
      <c r="H935" s="93"/>
      <c r="I935" s="93"/>
      <c r="J935" s="93"/>
    </row>
    <row r="936" spans="1:10" s="65" customFormat="1" ht="14" x14ac:dyDescent="0.35">
      <c r="A936" s="93"/>
      <c r="B936" s="93"/>
      <c r="C936" s="93"/>
      <c r="D936" s="93"/>
      <c r="E936" s="93"/>
      <c r="F936" s="95"/>
      <c r="G936" s="95"/>
      <c r="H936" s="93"/>
      <c r="I936" s="93"/>
      <c r="J936" s="93"/>
    </row>
    <row r="937" spans="1:10" s="65" customFormat="1" ht="14" x14ac:dyDescent="0.35">
      <c r="A937" s="93"/>
      <c r="B937" s="93"/>
      <c r="C937" s="93"/>
      <c r="D937" s="93"/>
      <c r="E937" s="93"/>
      <c r="F937" s="95"/>
      <c r="G937" s="95"/>
      <c r="H937" s="93"/>
      <c r="I937" s="93"/>
      <c r="J937" s="93"/>
    </row>
    <row r="938" spans="1:10" s="65" customFormat="1" ht="14" x14ac:dyDescent="0.35">
      <c r="A938" s="93"/>
      <c r="B938" s="93"/>
      <c r="C938" s="93"/>
      <c r="D938" s="93"/>
      <c r="E938" s="93"/>
      <c r="F938" s="95"/>
      <c r="G938" s="95"/>
      <c r="H938" s="93"/>
      <c r="I938" s="93"/>
      <c r="J938" s="93"/>
    </row>
    <row r="939" spans="1:10" s="65" customFormat="1" ht="14" x14ac:dyDescent="0.35">
      <c r="A939" s="93"/>
      <c r="B939" s="93"/>
      <c r="C939" s="93"/>
      <c r="D939" s="93"/>
      <c r="E939" s="93"/>
      <c r="F939" s="95"/>
      <c r="G939" s="95"/>
      <c r="H939" s="93"/>
      <c r="I939" s="93"/>
      <c r="J939" s="93"/>
    </row>
    <row r="940" spans="1:10" s="65" customFormat="1" ht="14" x14ac:dyDescent="0.35">
      <c r="A940" s="93"/>
      <c r="B940" s="93"/>
      <c r="C940" s="93"/>
      <c r="D940" s="93"/>
      <c r="E940" s="93"/>
      <c r="F940" s="95"/>
      <c r="G940" s="95"/>
      <c r="H940" s="93"/>
      <c r="I940" s="93"/>
      <c r="J940" s="93"/>
    </row>
    <row r="941" spans="1:10" s="65" customFormat="1" ht="14" x14ac:dyDescent="0.35">
      <c r="A941" s="93"/>
      <c r="B941" s="93"/>
      <c r="C941" s="93"/>
      <c r="D941" s="93"/>
      <c r="E941" s="93"/>
      <c r="F941" s="95"/>
      <c r="G941" s="95"/>
      <c r="H941" s="93"/>
      <c r="I941" s="93"/>
      <c r="J941" s="93"/>
    </row>
    <row r="942" spans="1:10" s="65" customFormat="1" ht="14" x14ac:dyDescent="0.35">
      <c r="A942" s="93"/>
      <c r="B942" s="93"/>
      <c r="C942" s="93"/>
      <c r="D942" s="93"/>
      <c r="E942" s="93"/>
      <c r="F942" s="95"/>
      <c r="G942" s="95"/>
      <c r="H942" s="93"/>
      <c r="I942" s="93"/>
      <c r="J942" s="93"/>
    </row>
    <row r="943" spans="1:10" s="65" customFormat="1" ht="14" x14ac:dyDescent="0.35">
      <c r="A943" s="93"/>
      <c r="B943" s="93"/>
      <c r="C943" s="93"/>
      <c r="D943" s="93"/>
      <c r="E943" s="93"/>
      <c r="F943" s="95"/>
      <c r="G943" s="95"/>
      <c r="H943" s="93"/>
      <c r="I943" s="93"/>
      <c r="J943" s="93"/>
    </row>
    <row r="944" spans="1:10" s="65" customFormat="1" ht="14" x14ac:dyDescent="0.35">
      <c r="A944" s="93"/>
      <c r="B944" s="93"/>
      <c r="C944" s="93"/>
      <c r="D944" s="93"/>
      <c r="E944" s="93"/>
      <c r="F944" s="95"/>
      <c r="G944" s="95"/>
      <c r="H944" s="93"/>
      <c r="I944" s="93"/>
      <c r="J944" s="93"/>
    </row>
    <row r="945" spans="1:10" s="65" customFormat="1" ht="14" x14ac:dyDescent="0.35">
      <c r="A945" s="93"/>
      <c r="B945" s="93"/>
      <c r="C945" s="93"/>
      <c r="D945" s="93"/>
      <c r="E945" s="93"/>
      <c r="F945" s="95"/>
      <c r="G945" s="95"/>
      <c r="H945" s="93"/>
      <c r="I945" s="93"/>
      <c r="J945" s="93"/>
    </row>
    <row r="946" spans="1:10" s="65" customFormat="1" ht="14" x14ac:dyDescent="0.35">
      <c r="A946" s="93"/>
      <c r="B946" s="93"/>
      <c r="C946" s="93"/>
      <c r="D946" s="93"/>
      <c r="E946" s="93"/>
      <c r="F946" s="95"/>
      <c r="G946" s="95"/>
      <c r="H946" s="93"/>
      <c r="I946" s="93"/>
      <c r="J946" s="93"/>
    </row>
    <row r="947" spans="1:10" s="65" customFormat="1" ht="14" x14ac:dyDescent="0.35">
      <c r="A947" s="93"/>
      <c r="B947" s="93"/>
      <c r="C947" s="93"/>
      <c r="D947" s="93"/>
      <c r="E947" s="93"/>
      <c r="F947" s="95"/>
      <c r="G947" s="95"/>
      <c r="H947" s="93"/>
      <c r="I947" s="93"/>
      <c r="J947" s="93"/>
    </row>
    <row r="948" spans="1:10" s="65" customFormat="1" ht="14" x14ac:dyDescent="0.35">
      <c r="A948" s="93"/>
      <c r="B948" s="93"/>
      <c r="C948" s="93"/>
      <c r="D948" s="93"/>
      <c r="E948" s="93"/>
      <c r="F948" s="95"/>
      <c r="G948" s="95"/>
      <c r="H948" s="93"/>
      <c r="I948" s="93"/>
      <c r="J948" s="93"/>
    </row>
    <row r="949" spans="1:10" s="65" customFormat="1" ht="14" x14ac:dyDescent="0.35">
      <c r="A949" s="93"/>
      <c r="B949" s="93"/>
      <c r="C949" s="93"/>
      <c r="D949" s="93"/>
      <c r="E949" s="93"/>
      <c r="F949" s="95"/>
      <c r="G949" s="95"/>
      <c r="H949" s="93"/>
      <c r="I949" s="93"/>
      <c r="J949" s="93"/>
    </row>
    <row r="950" spans="1:10" s="65" customFormat="1" ht="14" x14ac:dyDescent="0.35">
      <c r="A950" s="93"/>
      <c r="B950" s="93"/>
      <c r="C950" s="93"/>
      <c r="D950" s="93"/>
      <c r="E950" s="93"/>
      <c r="F950" s="95"/>
      <c r="G950" s="95"/>
      <c r="H950" s="93"/>
      <c r="I950" s="93"/>
      <c r="J950" s="93"/>
    </row>
    <row r="951" spans="1:10" s="65" customFormat="1" ht="14" x14ac:dyDescent="0.35">
      <c r="A951" s="93"/>
      <c r="B951" s="93"/>
      <c r="C951" s="93"/>
      <c r="D951" s="93"/>
      <c r="E951" s="93"/>
      <c r="F951" s="95"/>
      <c r="G951" s="95"/>
      <c r="H951" s="93"/>
      <c r="I951" s="93"/>
      <c r="J951" s="93"/>
    </row>
    <row r="952" spans="1:10" s="65" customFormat="1" ht="14" x14ac:dyDescent="0.35">
      <c r="A952" s="93"/>
      <c r="B952" s="93"/>
      <c r="C952" s="93"/>
      <c r="D952" s="93"/>
      <c r="E952" s="93"/>
      <c r="F952" s="95"/>
      <c r="G952" s="95"/>
      <c r="H952" s="93"/>
      <c r="I952" s="93"/>
      <c r="J952" s="93"/>
    </row>
    <row r="953" spans="1:10" s="65" customFormat="1" ht="14" x14ac:dyDescent="0.35">
      <c r="A953" s="93"/>
      <c r="B953" s="93"/>
      <c r="C953" s="93"/>
      <c r="D953" s="93"/>
      <c r="E953" s="93"/>
      <c r="F953" s="95"/>
      <c r="G953" s="95"/>
      <c r="H953" s="93"/>
      <c r="I953" s="93"/>
      <c r="J953" s="93"/>
    </row>
    <row r="954" spans="1:10" s="65" customFormat="1" ht="14" x14ac:dyDescent="0.35">
      <c r="A954" s="93"/>
      <c r="B954" s="93"/>
      <c r="C954" s="93"/>
      <c r="D954" s="93"/>
      <c r="E954" s="93"/>
      <c r="F954" s="95"/>
      <c r="G954" s="95"/>
      <c r="H954" s="93"/>
      <c r="I954" s="93"/>
      <c r="J954" s="93"/>
    </row>
    <row r="955" spans="1:10" s="65" customFormat="1" ht="14" x14ac:dyDescent="0.35">
      <c r="A955" s="93"/>
      <c r="B955" s="93"/>
      <c r="C955" s="93"/>
      <c r="D955" s="93"/>
      <c r="E955" s="93"/>
      <c r="F955" s="95"/>
      <c r="G955" s="95"/>
      <c r="H955" s="93"/>
      <c r="I955" s="93"/>
      <c r="J955" s="93"/>
    </row>
    <row r="956" spans="1:10" s="65" customFormat="1" ht="14" x14ac:dyDescent="0.35">
      <c r="A956" s="93"/>
      <c r="B956" s="93"/>
      <c r="C956" s="93"/>
      <c r="D956" s="93"/>
      <c r="E956" s="93"/>
      <c r="F956" s="95"/>
      <c r="G956" s="95"/>
      <c r="H956" s="93"/>
      <c r="I956" s="93"/>
      <c r="J956" s="93"/>
    </row>
    <row r="957" spans="1:10" s="65" customFormat="1" ht="14" x14ac:dyDescent="0.35">
      <c r="A957" s="93"/>
      <c r="B957" s="93"/>
      <c r="C957" s="93"/>
      <c r="D957" s="93"/>
      <c r="E957" s="93"/>
      <c r="F957" s="95"/>
      <c r="G957" s="95"/>
      <c r="H957" s="93"/>
      <c r="I957" s="93"/>
      <c r="J957" s="93"/>
    </row>
    <row r="958" spans="1:10" s="65" customFormat="1" ht="14" x14ac:dyDescent="0.35">
      <c r="A958" s="93"/>
      <c r="B958" s="93"/>
      <c r="C958" s="93"/>
      <c r="D958" s="93"/>
      <c r="E958" s="93"/>
      <c r="F958" s="95"/>
      <c r="G958" s="95"/>
      <c r="H958" s="93"/>
      <c r="I958" s="93"/>
      <c r="J958" s="93"/>
    </row>
    <row r="959" spans="1:10" s="65" customFormat="1" ht="14" x14ac:dyDescent="0.35">
      <c r="A959" s="93"/>
      <c r="B959" s="93"/>
      <c r="C959" s="93"/>
      <c r="D959" s="93"/>
      <c r="E959" s="93"/>
      <c r="F959" s="95"/>
      <c r="G959" s="95"/>
      <c r="H959" s="93"/>
      <c r="I959" s="93"/>
      <c r="J959" s="93"/>
    </row>
    <row r="960" spans="1:10" s="65" customFormat="1" ht="14" x14ac:dyDescent="0.35">
      <c r="A960" s="93"/>
      <c r="B960" s="93"/>
      <c r="C960" s="93"/>
      <c r="D960" s="93"/>
      <c r="E960" s="93"/>
      <c r="F960" s="95"/>
      <c r="G960" s="95"/>
      <c r="H960" s="93"/>
      <c r="I960" s="93"/>
      <c r="J960" s="93"/>
    </row>
    <row r="961" spans="1:10" s="65" customFormat="1" ht="14" x14ac:dyDescent="0.35">
      <c r="A961" s="93"/>
      <c r="B961" s="93"/>
      <c r="C961" s="93"/>
      <c r="D961" s="93"/>
      <c r="E961" s="93"/>
      <c r="F961" s="95"/>
      <c r="G961" s="95"/>
      <c r="H961" s="93"/>
      <c r="I961" s="93"/>
      <c r="J961" s="93"/>
    </row>
    <row r="962" spans="1:10" s="65" customFormat="1" ht="14" x14ac:dyDescent="0.35">
      <c r="A962" s="93"/>
      <c r="B962" s="93"/>
      <c r="C962" s="93"/>
      <c r="D962" s="93"/>
      <c r="E962" s="93"/>
      <c r="F962" s="95"/>
      <c r="G962" s="95"/>
      <c r="H962" s="93"/>
      <c r="I962" s="93"/>
      <c r="J962" s="93"/>
    </row>
    <row r="963" spans="1:10" s="65" customFormat="1" ht="14" x14ac:dyDescent="0.35">
      <c r="A963" s="93"/>
      <c r="B963" s="93"/>
      <c r="C963" s="93"/>
      <c r="D963" s="93"/>
      <c r="E963" s="93"/>
      <c r="F963" s="95"/>
      <c r="G963" s="95"/>
      <c r="H963" s="93"/>
      <c r="I963" s="93"/>
      <c r="J963" s="93"/>
    </row>
    <row r="964" spans="1:10" s="65" customFormat="1" ht="14" x14ac:dyDescent="0.35">
      <c r="A964" s="93"/>
      <c r="B964" s="93"/>
      <c r="C964" s="93"/>
      <c r="D964" s="93"/>
      <c r="E964" s="93"/>
      <c r="F964" s="95"/>
      <c r="G964" s="95"/>
      <c r="H964" s="93"/>
      <c r="I964" s="93"/>
      <c r="J964" s="93"/>
    </row>
    <row r="965" spans="1:10" s="65" customFormat="1" ht="14" x14ac:dyDescent="0.35">
      <c r="A965" s="93"/>
      <c r="B965" s="93"/>
      <c r="C965" s="93"/>
      <c r="D965" s="93"/>
      <c r="E965" s="93"/>
      <c r="F965" s="95"/>
      <c r="G965" s="95"/>
      <c r="H965" s="93"/>
      <c r="I965" s="93"/>
      <c r="J965" s="93"/>
    </row>
    <row r="966" spans="1:10" s="65" customFormat="1" ht="14" x14ac:dyDescent="0.35">
      <c r="A966" s="93"/>
      <c r="B966" s="93"/>
      <c r="C966" s="93"/>
      <c r="D966" s="93"/>
      <c r="E966" s="93"/>
      <c r="F966" s="95"/>
      <c r="G966" s="95"/>
      <c r="H966" s="93"/>
      <c r="I966" s="93"/>
      <c r="J966" s="93"/>
    </row>
    <row r="967" spans="1:10" s="65" customFormat="1" ht="14" x14ac:dyDescent="0.35">
      <c r="A967" s="93"/>
      <c r="B967" s="93"/>
      <c r="C967" s="93"/>
      <c r="D967" s="93"/>
      <c r="E967" s="93"/>
      <c r="F967" s="95"/>
      <c r="G967" s="95"/>
      <c r="H967" s="93"/>
      <c r="I967" s="93"/>
      <c r="J967" s="93"/>
    </row>
    <row r="968" spans="1:10" s="65" customFormat="1" ht="14" x14ac:dyDescent="0.35">
      <c r="A968" s="93"/>
      <c r="B968" s="93"/>
      <c r="C968" s="93"/>
      <c r="D968" s="93"/>
      <c r="E968" s="93"/>
      <c r="F968" s="95"/>
      <c r="G968" s="95"/>
      <c r="H968" s="93"/>
      <c r="I968" s="93"/>
      <c r="J968" s="93"/>
    </row>
    <row r="969" spans="1:10" s="65" customFormat="1" ht="14" x14ac:dyDescent="0.35">
      <c r="A969" s="93"/>
      <c r="B969" s="93"/>
      <c r="C969" s="93"/>
      <c r="D969" s="93"/>
      <c r="E969" s="93"/>
      <c r="F969" s="95"/>
      <c r="G969" s="95"/>
      <c r="H969" s="93"/>
      <c r="I969" s="93"/>
      <c r="J969" s="93"/>
    </row>
    <row r="970" spans="1:10" s="65" customFormat="1" ht="14" x14ac:dyDescent="0.35">
      <c r="A970" s="93"/>
      <c r="B970" s="93"/>
      <c r="C970" s="93"/>
      <c r="D970" s="93"/>
      <c r="E970" s="93"/>
      <c r="F970" s="95"/>
      <c r="G970" s="95"/>
      <c r="H970" s="93"/>
      <c r="I970" s="93"/>
      <c r="J970" s="93"/>
    </row>
    <row r="971" spans="1:10" s="65" customFormat="1" ht="14" x14ac:dyDescent="0.35">
      <c r="A971" s="93"/>
      <c r="B971" s="93"/>
      <c r="C971" s="93"/>
      <c r="D971" s="93"/>
      <c r="E971" s="93"/>
      <c r="F971" s="95"/>
      <c r="G971" s="95"/>
      <c r="H971" s="93"/>
      <c r="I971" s="93"/>
      <c r="J971" s="93"/>
    </row>
    <row r="972" spans="1:10" s="65" customFormat="1" ht="14" x14ac:dyDescent="0.35">
      <c r="A972" s="93"/>
      <c r="B972" s="93"/>
      <c r="C972" s="93"/>
      <c r="D972" s="93"/>
      <c r="E972" s="93"/>
      <c r="F972" s="95"/>
      <c r="G972" s="95"/>
      <c r="H972" s="93"/>
      <c r="I972" s="93"/>
      <c r="J972" s="93"/>
    </row>
    <row r="973" spans="1:10" s="65" customFormat="1" ht="14" x14ac:dyDescent="0.35">
      <c r="A973" s="93"/>
      <c r="B973" s="93"/>
      <c r="C973" s="93"/>
      <c r="D973" s="93"/>
      <c r="E973" s="93"/>
      <c r="F973" s="95"/>
      <c r="G973" s="95"/>
      <c r="H973" s="93"/>
      <c r="I973" s="93"/>
      <c r="J973" s="93"/>
    </row>
    <row r="974" spans="1:10" s="65" customFormat="1" ht="14" x14ac:dyDescent="0.35">
      <c r="A974" s="93"/>
      <c r="B974" s="93"/>
      <c r="C974" s="93"/>
      <c r="D974" s="93"/>
      <c r="E974" s="93"/>
      <c r="F974" s="95"/>
      <c r="G974" s="95"/>
      <c r="H974" s="93"/>
      <c r="I974" s="93"/>
      <c r="J974" s="93"/>
    </row>
    <row r="975" spans="1:10" s="65" customFormat="1" ht="14" x14ac:dyDescent="0.35">
      <c r="A975" s="93"/>
      <c r="B975" s="93"/>
      <c r="C975" s="93"/>
      <c r="D975" s="93"/>
      <c r="E975" s="93"/>
      <c r="F975" s="95"/>
      <c r="G975" s="95"/>
      <c r="H975" s="93"/>
      <c r="I975" s="93"/>
      <c r="J975" s="93"/>
    </row>
    <row r="976" spans="1:10" s="65" customFormat="1" ht="14" x14ac:dyDescent="0.35">
      <c r="A976" s="93"/>
      <c r="B976" s="93"/>
      <c r="C976" s="93"/>
      <c r="D976" s="93"/>
      <c r="E976" s="93"/>
      <c r="F976" s="95"/>
      <c r="G976" s="95"/>
      <c r="H976" s="93"/>
      <c r="I976" s="93"/>
      <c r="J976" s="93"/>
    </row>
    <row r="977" spans="1:10" s="65" customFormat="1" ht="14" x14ac:dyDescent="0.35">
      <c r="A977" s="93"/>
      <c r="B977" s="93"/>
      <c r="C977" s="93"/>
      <c r="D977" s="93"/>
      <c r="E977" s="93"/>
      <c r="F977" s="95"/>
      <c r="G977" s="95"/>
      <c r="H977" s="93"/>
      <c r="I977" s="93"/>
      <c r="J977" s="93"/>
    </row>
    <row r="978" spans="1:10" s="65" customFormat="1" ht="14" x14ac:dyDescent="0.35">
      <c r="A978" s="93"/>
      <c r="B978" s="93"/>
      <c r="C978" s="93"/>
      <c r="D978" s="93"/>
      <c r="E978" s="93"/>
      <c r="F978" s="95"/>
      <c r="G978" s="95"/>
      <c r="H978" s="93"/>
      <c r="I978" s="93"/>
      <c r="J978" s="93"/>
    </row>
    <row r="979" spans="1:10" s="65" customFormat="1" ht="14" x14ac:dyDescent="0.35">
      <c r="A979" s="93"/>
      <c r="B979" s="93"/>
      <c r="C979" s="93"/>
      <c r="D979" s="93"/>
      <c r="E979" s="93"/>
      <c r="F979" s="95"/>
      <c r="G979" s="95"/>
      <c r="H979" s="93"/>
      <c r="I979" s="93"/>
      <c r="J979" s="93"/>
    </row>
    <row r="980" spans="1:10" s="65" customFormat="1" ht="14" x14ac:dyDescent="0.35">
      <c r="A980" s="93"/>
      <c r="B980" s="93"/>
      <c r="C980" s="93"/>
      <c r="D980" s="93"/>
      <c r="E980" s="93"/>
      <c r="F980" s="95"/>
      <c r="G980" s="95"/>
      <c r="H980" s="93"/>
      <c r="I980" s="93"/>
      <c r="J980" s="93"/>
    </row>
    <row r="981" spans="1:10" s="65" customFormat="1" ht="14" x14ac:dyDescent="0.35">
      <c r="A981" s="93"/>
      <c r="B981" s="93"/>
      <c r="C981" s="93"/>
      <c r="D981" s="93"/>
      <c r="E981" s="93"/>
      <c r="F981" s="95"/>
      <c r="G981" s="95"/>
      <c r="H981" s="93"/>
      <c r="I981" s="93"/>
      <c r="J981" s="93"/>
    </row>
    <row r="982" spans="1:10" s="65" customFormat="1" ht="14" x14ac:dyDescent="0.35">
      <c r="A982" s="93"/>
      <c r="B982" s="93"/>
      <c r="C982" s="93"/>
      <c r="D982" s="93"/>
      <c r="E982" s="93"/>
      <c r="F982" s="95"/>
      <c r="G982" s="95"/>
      <c r="H982" s="93"/>
      <c r="I982" s="93"/>
      <c r="J982" s="93"/>
    </row>
    <row r="983" spans="1:10" s="65" customFormat="1" ht="14" x14ac:dyDescent="0.35">
      <c r="A983" s="93"/>
      <c r="B983" s="93"/>
      <c r="C983" s="93"/>
      <c r="D983" s="93"/>
      <c r="E983" s="93"/>
      <c r="F983" s="95"/>
      <c r="G983" s="95"/>
      <c r="H983" s="93"/>
      <c r="I983" s="93"/>
      <c r="J983" s="93"/>
    </row>
    <row r="984" spans="1:10" s="65" customFormat="1" ht="14" x14ac:dyDescent="0.35">
      <c r="A984" s="93"/>
      <c r="B984" s="93"/>
      <c r="C984" s="93"/>
      <c r="D984" s="93"/>
      <c r="E984" s="93"/>
      <c r="F984" s="95"/>
      <c r="G984" s="95"/>
      <c r="H984" s="93"/>
      <c r="I984" s="93"/>
      <c r="J984" s="93"/>
    </row>
    <row r="985" spans="1:10" s="65" customFormat="1" ht="14" x14ac:dyDescent="0.35">
      <c r="A985" s="93"/>
      <c r="B985" s="93"/>
      <c r="C985" s="93"/>
      <c r="D985" s="93"/>
      <c r="E985" s="93"/>
      <c r="F985" s="95"/>
      <c r="G985" s="95"/>
      <c r="H985" s="93"/>
      <c r="I985" s="93"/>
      <c r="J985" s="93"/>
    </row>
    <row r="986" spans="1:10" s="65" customFormat="1" ht="14" x14ac:dyDescent="0.35">
      <c r="A986" s="93"/>
      <c r="B986" s="93"/>
      <c r="C986" s="93"/>
      <c r="D986" s="93"/>
      <c r="E986" s="93"/>
      <c r="F986" s="95"/>
      <c r="G986" s="95"/>
      <c r="H986" s="93"/>
      <c r="I986" s="93"/>
      <c r="J986" s="93"/>
    </row>
    <row r="987" spans="1:10" s="65" customFormat="1" ht="14" x14ac:dyDescent="0.35">
      <c r="A987" s="93"/>
      <c r="B987" s="93"/>
      <c r="C987" s="93"/>
      <c r="D987" s="93"/>
      <c r="E987" s="93"/>
      <c r="F987" s="95"/>
      <c r="G987" s="95"/>
      <c r="H987" s="93"/>
      <c r="I987" s="93"/>
      <c r="J987" s="93"/>
    </row>
    <row r="988" spans="1:10" s="65" customFormat="1" ht="14" x14ac:dyDescent="0.35">
      <c r="A988" s="93"/>
      <c r="B988" s="93"/>
      <c r="C988" s="93"/>
      <c r="D988" s="93"/>
      <c r="E988" s="93"/>
      <c r="F988" s="95"/>
      <c r="G988" s="95"/>
      <c r="H988" s="93"/>
      <c r="I988" s="93"/>
      <c r="J988" s="93"/>
    </row>
    <row r="989" spans="1:10" s="65" customFormat="1" ht="14" x14ac:dyDescent="0.35">
      <c r="A989" s="93"/>
      <c r="B989" s="93"/>
      <c r="C989" s="93"/>
      <c r="D989" s="93"/>
      <c r="E989" s="93"/>
      <c r="F989" s="95"/>
      <c r="G989" s="95"/>
      <c r="H989" s="93"/>
      <c r="I989" s="93"/>
      <c r="J989" s="93"/>
    </row>
    <row r="990" spans="1:10" s="65" customFormat="1" ht="14" x14ac:dyDescent="0.35">
      <c r="A990" s="93"/>
      <c r="B990" s="93"/>
      <c r="C990" s="93"/>
      <c r="D990" s="93"/>
      <c r="E990" s="93"/>
      <c r="F990" s="95"/>
      <c r="G990" s="95"/>
      <c r="H990" s="93"/>
      <c r="I990" s="93"/>
      <c r="J990" s="93"/>
    </row>
    <row r="991" spans="1:10" s="65" customFormat="1" ht="14" x14ac:dyDescent="0.35">
      <c r="A991" s="93"/>
      <c r="B991" s="93"/>
      <c r="C991" s="93"/>
      <c r="D991" s="93"/>
      <c r="E991" s="93"/>
      <c r="F991" s="95"/>
      <c r="G991" s="95"/>
      <c r="H991" s="93"/>
      <c r="I991" s="93"/>
      <c r="J991" s="93"/>
    </row>
    <row r="992" spans="1:10" s="65" customFormat="1" ht="14" x14ac:dyDescent="0.35">
      <c r="A992" s="93"/>
      <c r="B992" s="93"/>
      <c r="C992" s="93"/>
      <c r="D992" s="93"/>
      <c r="E992" s="93"/>
      <c r="F992" s="95"/>
      <c r="G992" s="95"/>
      <c r="H992" s="93"/>
      <c r="I992" s="93"/>
      <c r="J992" s="93"/>
    </row>
    <row r="993" spans="1:10" s="65" customFormat="1" ht="14" x14ac:dyDescent="0.35">
      <c r="A993" s="93"/>
      <c r="B993" s="93"/>
      <c r="C993" s="93"/>
      <c r="D993" s="93"/>
      <c r="E993" s="93"/>
      <c r="F993" s="95"/>
      <c r="G993" s="95"/>
      <c r="H993" s="93"/>
      <c r="I993" s="93"/>
      <c r="J993" s="93"/>
    </row>
    <row r="994" spans="1:10" s="65" customFormat="1" ht="14" x14ac:dyDescent="0.35">
      <c r="A994" s="93"/>
      <c r="B994" s="93"/>
      <c r="C994" s="93"/>
      <c r="D994" s="93"/>
      <c r="E994" s="93"/>
      <c r="F994" s="95"/>
      <c r="G994" s="95"/>
      <c r="H994" s="93"/>
      <c r="I994" s="93"/>
      <c r="J994" s="93"/>
    </row>
    <row r="995" spans="1:10" s="65" customFormat="1" ht="14" x14ac:dyDescent="0.35">
      <c r="A995" s="93"/>
      <c r="B995" s="93"/>
      <c r="C995" s="93"/>
      <c r="D995" s="93"/>
      <c r="E995" s="93"/>
      <c r="F995" s="95"/>
      <c r="G995" s="95"/>
      <c r="H995" s="93"/>
      <c r="I995" s="93"/>
      <c r="J995" s="93"/>
    </row>
    <row r="996" spans="1:10" s="65" customFormat="1" ht="14" x14ac:dyDescent="0.35">
      <c r="A996" s="93"/>
      <c r="B996" s="93"/>
      <c r="C996" s="93"/>
      <c r="D996" s="93"/>
      <c r="E996" s="93"/>
      <c r="F996" s="95"/>
      <c r="G996" s="95"/>
      <c r="H996" s="93"/>
      <c r="I996" s="93"/>
      <c r="J996" s="93"/>
    </row>
    <row r="997" spans="1:10" s="65" customFormat="1" ht="14" x14ac:dyDescent="0.35">
      <c r="A997" s="93"/>
      <c r="B997" s="93"/>
      <c r="C997" s="93"/>
      <c r="D997" s="93"/>
      <c r="E997" s="93"/>
      <c r="F997" s="95"/>
      <c r="G997" s="95"/>
      <c r="H997" s="93"/>
      <c r="I997" s="93"/>
      <c r="J997" s="93"/>
    </row>
    <row r="998" spans="1:10" s="65" customFormat="1" ht="14" x14ac:dyDescent="0.35">
      <c r="A998" s="93"/>
      <c r="B998" s="93"/>
      <c r="C998" s="93"/>
      <c r="D998" s="93"/>
      <c r="E998" s="93"/>
      <c r="F998" s="95"/>
      <c r="G998" s="95"/>
      <c r="H998" s="93"/>
      <c r="I998" s="93"/>
      <c r="J998" s="93"/>
    </row>
    <row r="999" spans="1:10" s="65" customFormat="1" ht="14" x14ac:dyDescent="0.35">
      <c r="A999" s="93"/>
      <c r="B999" s="93"/>
      <c r="C999" s="93"/>
      <c r="D999" s="93"/>
      <c r="E999" s="93"/>
      <c r="F999" s="95"/>
      <c r="G999" s="95"/>
      <c r="H999" s="93"/>
      <c r="I999" s="93"/>
      <c r="J999" s="93"/>
    </row>
    <row r="1000" spans="1:10" s="65" customFormat="1" ht="14" x14ac:dyDescent="0.35">
      <c r="A1000" s="93"/>
      <c r="B1000" s="93"/>
      <c r="C1000" s="93"/>
      <c r="D1000" s="93"/>
      <c r="E1000" s="93"/>
      <c r="F1000" s="95"/>
      <c r="G1000" s="95"/>
      <c r="H1000" s="93"/>
      <c r="I1000" s="93"/>
      <c r="J1000" s="93"/>
    </row>
    <row r="1001" spans="1:10" s="65" customFormat="1" ht="14" x14ac:dyDescent="0.35">
      <c r="A1001" s="93"/>
      <c r="B1001" s="93"/>
      <c r="C1001" s="93"/>
      <c r="D1001" s="93"/>
      <c r="E1001" s="93"/>
      <c r="F1001" s="95"/>
      <c r="G1001" s="95"/>
      <c r="H1001" s="93"/>
      <c r="I1001" s="93"/>
      <c r="J1001" s="93"/>
    </row>
    <row r="1002" spans="1:10" s="65" customFormat="1" ht="14" x14ac:dyDescent="0.35">
      <c r="A1002" s="93"/>
      <c r="B1002" s="93"/>
      <c r="C1002" s="93"/>
      <c r="D1002" s="93"/>
      <c r="E1002" s="93"/>
      <c r="F1002" s="95"/>
      <c r="G1002" s="95"/>
      <c r="H1002" s="93"/>
      <c r="I1002" s="93"/>
      <c r="J1002" s="93"/>
    </row>
    <row r="1003" spans="1:10" s="65" customFormat="1" ht="14" x14ac:dyDescent="0.35">
      <c r="A1003" s="93"/>
      <c r="B1003" s="93"/>
      <c r="C1003" s="93"/>
      <c r="D1003" s="93"/>
      <c r="E1003" s="93"/>
      <c r="F1003" s="95"/>
      <c r="G1003" s="95"/>
      <c r="H1003" s="93"/>
      <c r="I1003" s="93"/>
      <c r="J1003" s="93"/>
    </row>
    <row r="1004" spans="1:10" s="65" customFormat="1" ht="14" x14ac:dyDescent="0.35">
      <c r="A1004" s="93"/>
      <c r="B1004" s="93"/>
      <c r="C1004" s="93"/>
      <c r="D1004" s="93"/>
      <c r="E1004" s="93"/>
      <c r="F1004" s="95"/>
      <c r="G1004" s="95"/>
      <c r="H1004" s="93"/>
      <c r="I1004" s="93"/>
      <c r="J1004" s="93"/>
    </row>
    <row r="1005" spans="1:10" s="65" customFormat="1" ht="14" x14ac:dyDescent="0.35">
      <c r="A1005" s="93"/>
      <c r="B1005" s="93"/>
      <c r="C1005" s="93"/>
      <c r="D1005" s="93"/>
      <c r="E1005" s="93"/>
      <c r="F1005" s="95"/>
      <c r="G1005" s="95"/>
      <c r="H1005" s="93"/>
      <c r="I1005" s="93"/>
      <c r="J1005" s="93"/>
    </row>
    <row r="1006" spans="1:10" s="65" customFormat="1" ht="14" x14ac:dyDescent="0.35">
      <c r="A1006" s="93"/>
      <c r="B1006" s="93"/>
      <c r="C1006" s="93"/>
      <c r="D1006" s="93"/>
      <c r="E1006" s="93"/>
      <c r="F1006" s="95"/>
      <c r="G1006" s="95"/>
      <c r="H1006" s="93"/>
      <c r="I1006" s="93"/>
      <c r="J1006" s="93"/>
    </row>
    <row r="1007" spans="1:10" s="65" customFormat="1" ht="14" x14ac:dyDescent="0.35">
      <c r="A1007" s="93"/>
      <c r="B1007" s="93"/>
      <c r="C1007" s="93"/>
      <c r="D1007" s="93"/>
      <c r="E1007" s="93"/>
      <c r="F1007" s="95"/>
      <c r="G1007" s="95"/>
      <c r="H1007" s="93"/>
      <c r="I1007" s="93"/>
      <c r="J1007" s="93"/>
    </row>
    <row r="1008" spans="1:10" s="65" customFormat="1" ht="14" x14ac:dyDescent="0.35">
      <c r="A1008" s="93"/>
      <c r="B1008" s="93"/>
      <c r="C1008" s="93"/>
      <c r="D1008" s="93"/>
      <c r="E1008" s="93"/>
      <c r="F1008" s="95"/>
      <c r="G1008" s="95"/>
      <c r="H1008" s="93"/>
      <c r="I1008" s="93"/>
      <c r="J1008" s="93"/>
    </row>
    <row r="1009" spans="1:10" s="65" customFormat="1" ht="14" x14ac:dyDescent="0.35">
      <c r="A1009" s="93"/>
      <c r="B1009" s="93"/>
      <c r="C1009" s="93"/>
      <c r="D1009" s="93"/>
      <c r="E1009" s="93"/>
      <c r="F1009" s="95"/>
      <c r="G1009" s="95"/>
      <c r="H1009" s="93"/>
      <c r="I1009" s="93"/>
      <c r="J1009" s="93"/>
    </row>
    <row r="1010" spans="1:10" s="65" customFormat="1" ht="14" x14ac:dyDescent="0.35">
      <c r="A1010" s="93"/>
      <c r="B1010" s="93"/>
      <c r="C1010" s="93"/>
      <c r="D1010" s="93"/>
      <c r="E1010" s="93"/>
      <c r="F1010" s="95"/>
      <c r="G1010" s="95"/>
      <c r="H1010" s="93"/>
      <c r="I1010" s="93"/>
      <c r="J1010" s="93"/>
    </row>
    <row r="1011" spans="1:10" s="65" customFormat="1" ht="14" x14ac:dyDescent="0.35">
      <c r="A1011" s="93"/>
      <c r="B1011" s="93"/>
      <c r="C1011" s="93"/>
      <c r="D1011" s="93"/>
      <c r="E1011" s="93"/>
      <c r="F1011" s="95"/>
      <c r="G1011" s="95"/>
      <c r="H1011" s="93"/>
      <c r="I1011" s="93"/>
      <c r="J1011" s="93"/>
    </row>
    <row r="1012" spans="1:10" s="65" customFormat="1" ht="14" x14ac:dyDescent="0.35">
      <c r="A1012" s="93"/>
      <c r="B1012" s="93"/>
      <c r="C1012" s="93"/>
      <c r="D1012" s="93"/>
      <c r="E1012" s="93"/>
      <c r="F1012" s="95"/>
      <c r="G1012" s="95"/>
      <c r="H1012" s="93"/>
      <c r="I1012" s="93"/>
      <c r="J1012" s="93"/>
    </row>
    <row r="1013" spans="1:10" s="65" customFormat="1" ht="14" x14ac:dyDescent="0.35">
      <c r="A1013" s="93"/>
      <c r="B1013" s="93"/>
      <c r="C1013" s="93"/>
      <c r="D1013" s="93"/>
      <c r="E1013" s="93"/>
      <c r="F1013" s="95"/>
      <c r="G1013" s="95"/>
      <c r="H1013" s="93"/>
      <c r="I1013" s="93"/>
      <c r="J1013" s="93"/>
    </row>
    <row r="1014" spans="1:10" s="65" customFormat="1" ht="14" x14ac:dyDescent="0.35">
      <c r="A1014" s="93"/>
      <c r="B1014" s="93"/>
      <c r="C1014" s="93"/>
      <c r="D1014" s="93"/>
      <c r="E1014" s="93"/>
      <c r="F1014" s="95"/>
      <c r="G1014" s="95"/>
      <c r="H1014" s="93"/>
      <c r="I1014" s="93"/>
      <c r="J1014" s="93"/>
    </row>
    <row r="1015" spans="1:10" s="65" customFormat="1" ht="14" x14ac:dyDescent="0.35">
      <c r="A1015" s="93"/>
      <c r="B1015" s="93"/>
      <c r="C1015" s="93"/>
      <c r="D1015" s="93"/>
      <c r="E1015" s="93"/>
      <c r="F1015" s="95"/>
      <c r="G1015" s="95"/>
      <c r="H1015" s="93"/>
      <c r="I1015" s="93"/>
      <c r="J1015" s="93"/>
    </row>
    <row r="1016" spans="1:10" s="65" customFormat="1" ht="14" x14ac:dyDescent="0.35">
      <c r="A1016" s="93"/>
      <c r="B1016" s="93"/>
      <c r="C1016" s="93"/>
      <c r="D1016" s="93"/>
      <c r="E1016" s="93"/>
      <c r="F1016" s="95"/>
      <c r="G1016" s="95"/>
      <c r="H1016" s="93"/>
      <c r="I1016" s="93"/>
      <c r="J1016" s="93"/>
    </row>
    <row r="1017" spans="1:10" s="65" customFormat="1" ht="14" x14ac:dyDescent="0.35">
      <c r="A1017" s="93"/>
      <c r="B1017" s="93"/>
      <c r="C1017" s="93"/>
      <c r="D1017" s="93"/>
      <c r="E1017" s="93"/>
      <c r="F1017" s="95"/>
      <c r="G1017" s="95"/>
      <c r="H1017" s="93"/>
      <c r="I1017" s="93"/>
      <c r="J1017" s="93"/>
    </row>
    <row r="1018" spans="1:10" s="65" customFormat="1" ht="14" x14ac:dyDescent="0.35">
      <c r="A1018" s="93"/>
      <c r="B1018" s="93"/>
      <c r="C1018" s="93"/>
      <c r="D1018" s="93"/>
      <c r="E1018" s="93"/>
      <c r="F1018" s="95"/>
      <c r="G1018" s="95"/>
      <c r="H1018" s="93"/>
      <c r="I1018" s="93"/>
      <c r="J1018" s="93"/>
    </row>
    <row r="1019" spans="1:10" s="65" customFormat="1" ht="14" x14ac:dyDescent="0.35">
      <c r="A1019" s="93"/>
      <c r="B1019" s="93"/>
      <c r="C1019" s="93"/>
      <c r="D1019" s="93"/>
      <c r="E1019" s="93"/>
      <c r="F1019" s="95"/>
      <c r="G1019" s="95"/>
      <c r="H1019" s="93"/>
      <c r="I1019" s="93"/>
      <c r="J1019" s="93"/>
    </row>
    <row r="1020" spans="1:10" s="65" customFormat="1" ht="14" x14ac:dyDescent="0.35">
      <c r="A1020" s="93"/>
      <c r="B1020" s="93"/>
      <c r="C1020" s="93"/>
      <c r="D1020" s="93"/>
      <c r="E1020" s="93"/>
      <c r="F1020" s="95"/>
      <c r="G1020" s="95"/>
      <c r="H1020" s="93"/>
      <c r="I1020" s="93"/>
      <c r="J1020" s="93"/>
    </row>
    <row r="1021" spans="1:10" s="65" customFormat="1" ht="14" x14ac:dyDescent="0.35">
      <c r="A1021" s="93"/>
      <c r="B1021" s="93"/>
      <c r="C1021" s="93"/>
      <c r="D1021" s="93"/>
      <c r="E1021" s="93"/>
      <c r="F1021" s="95"/>
      <c r="G1021" s="95"/>
      <c r="H1021" s="93"/>
      <c r="I1021" s="93"/>
      <c r="J1021" s="93"/>
    </row>
    <row r="1022" spans="1:10" s="65" customFormat="1" ht="14" x14ac:dyDescent="0.35">
      <c r="A1022" s="93"/>
      <c r="B1022" s="93"/>
      <c r="C1022" s="93"/>
      <c r="D1022" s="93"/>
      <c r="E1022" s="93"/>
      <c r="F1022" s="95"/>
      <c r="G1022" s="95"/>
      <c r="H1022" s="93"/>
      <c r="I1022" s="93"/>
      <c r="J1022" s="93"/>
    </row>
    <row r="1023" spans="1:10" s="65" customFormat="1" ht="14" x14ac:dyDescent="0.35">
      <c r="A1023" s="93"/>
      <c r="B1023" s="93"/>
      <c r="C1023" s="93"/>
      <c r="D1023" s="93"/>
      <c r="E1023" s="93"/>
      <c r="F1023" s="95"/>
      <c r="G1023" s="95"/>
      <c r="H1023" s="93"/>
      <c r="I1023" s="93"/>
      <c r="J1023" s="93"/>
    </row>
    <row r="1024" spans="1:10" s="65" customFormat="1" ht="14" x14ac:dyDescent="0.35">
      <c r="A1024" s="93"/>
      <c r="B1024" s="93"/>
      <c r="C1024" s="93"/>
      <c r="D1024" s="93"/>
      <c r="E1024" s="93"/>
      <c r="F1024" s="95"/>
      <c r="G1024" s="95"/>
      <c r="H1024" s="93"/>
      <c r="I1024" s="93"/>
      <c r="J1024" s="93"/>
    </row>
    <row r="1025" spans="1:10" s="65" customFormat="1" ht="14" x14ac:dyDescent="0.35">
      <c r="A1025" s="93"/>
      <c r="B1025" s="93"/>
      <c r="C1025" s="93"/>
      <c r="D1025" s="93"/>
      <c r="E1025" s="93"/>
      <c r="F1025" s="95"/>
      <c r="G1025" s="95"/>
      <c r="H1025" s="93"/>
      <c r="I1025" s="93"/>
      <c r="J1025" s="93"/>
    </row>
    <row r="1026" spans="1:10" s="65" customFormat="1" ht="14" x14ac:dyDescent="0.35">
      <c r="A1026" s="93"/>
      <c r="B1026" s="93"/>
      <c r="C1026" s="93"/>
      <c r="D1026" s="93"/>
      <c r="E1026" s="93"/>
      <c r="F1026" s="95"/>
      <c r="G1026" s="95"/>
      <c r="H1026" s="93"/>
      <c r="I1026" s="93"/>
      <c r="J1026" s="93"/>
    </row>
    <row r="1027" spans="1:10" s="65" customFormat="1" ht="14" x14ac:dyDescent="0.35">
      <c r="A1027" s="93"/>
      <c r="B1027" s="93"/>
      <c r="C1027" s="93"/>
      <c r="D1027" s="93"/>
      <c r="E1027" s="93"/>
      <c r="F1027" s="95"/>
      <c r="G1027" s="95"/>
      <c r="H1027" s="93"/>
      <c r="I1027" s="93"/>
      <c r="J1027" s="93"/>
    </row>
    <row r="1028" spans="1:10" s="65" customFormat="1" ht="14" x14ac:dyDescent="0.35">
      <c r="A1028" s="93"/>
      <c r="B1028" s="93"/>
      <c r="C1028" s="93"/>
      <c r="D1028" s="93"/>
      <c r="E1028" s="93"/>
      <c r="F1028" s="95"/>
      <c r="G1028" s="95"/>
      <c r="H1028" s="93"/>
      <c r="I1028" s="93"/>
      <c r="J1028" s="93"/>
    </row>
    <row r="1029" spans="1:10" s="65" customFormat="1" ht="14" x14ac:dyDescent="0.35">
      <c r="A1029" s="93"/>
      <c r="B1029" s="93"/>
      <c r="C1029" s="93"/>
      <c r="D1029" s="93"/>
      <c r="E1029" s="93"/>
      <c r="F1029" s="95"/>
      <c r="G1029" s="95"/>
      <c r="H1029" s="93"/>
      <c r="I1029" s="93"/>
      <c r="J1029" s="93"/>
    </row>
    <row r="1030" spans="1:10" s="65" customFormat="1" ht="14" x14ac:dyDescent="0.35">
      <c r="A1030" s="93"/>
      <c r="B1030" s="93"/>
      <c r="C1030" s="93"/>
      <c r="D1030" s="93"/>
      <c r="E1030" s="93"/>
      <c r="F1030" s="95"/>
      <c r="G1030" s="95"/>
      <c r="H1030" s="93"/>
      <c r="I1030" s="93"/>
      <c r="J1030" s="93"/>
    </row>
    <row r="1031" spans="1:10" s="65" customFormat="1" ht="14" x14ac:dyDescent="0.35">
      <c r="A1031" s="93"/>
      <c r="B1031" s="93"/>
      <c r="C1031" s="93"/>
      <c r="D1031" s="93"/>
      <c r="E1031" s="93"/>
      <c r="F1031" s="95"/>
      <c r="G1031" s="95"/>
      <c r="H1031" s="93"/>
      <c r="I1031" s="93"/>
      <c r="J1031" s="93"/>
    </row>
    <row r="1032" spans="1:10" s="65" customFormat="1" ht="14" x14ac:dyDescent="0.35">
      <c r="A1032" s="93"/>
      <c r="B1032" s="93"/>
      <c r="C1032" s="93"/>
      <c r="D1032" s="93"/>
      <c r="E1032" s="93"/>
      <c r="F1032" s="95"/>
      <c r="G1032" s="95"/>
      <c r="H1032" s="93"/>
      <c r="I1032" s="93"/>
      <c r="J1032" s="93"/>
    </row>
    <row r="1033" spans="1:10" s="65" customFormat="1" ht="14" x14ac:dyDescent="0.35">
      <c r="A1033" s="93"/>
      <c r="B1033" s="93"/>
      <c r="C1033" s="93"/>
      <c r="D1033" s="93"/>
      <c r="E1033" s="93"/>
      <c r="F1033" s="95"/>
      <c r="G1033" s="95"/>
      <c r="H1033" s="93"/>
      <c r="I1033" s="93"/>
      <c r="J1033" s="93"/>
    </row>
    <row r="1034" spans="1:10" s="65" customFormat="1" ht="14" x14ac:dyDescent="0.35">
      <c r="A1034" s="93"/>
      <c r="B1034" s="93"/>
      <c r="C1034" s="93"/>
      <c r="D1034" s="93"/>
      <c r="E1034" s="93"/>
      <c r="F1034" s="95"/>
      <c r="G1034" s="95"/>
      <c r="H1034" s="93"/>
      <c r="I1034" s="93"/>
      <c r="J1034" s="93"/>
    </row>
    <row r="1035" spans="1:10" s="65" customFormat="1" ht="14" x14ac:dyDescent="0.35">
      <c r="A1035" s="93"/>
      <c r="B1035" s="93"/>
      <c r="C1035" s="93"/>
      <c r="D1035" s="93"/>
      <c r="E1035" s="93"/>
      <c r="F1035" s="95"/>
      <c r="G1035" s="95"/>
      <c r="H1035" s="93"/>
      <c r="I1035" s="93"/>
      <c r="J1035" s="93"/>
    </row>
    <row r="1036" spans="1:10" s="65" customFormat="1" ht="14" x14ac:dyDescent="0.35">
      <c r="A1036" s="93"/>
      <c r="B1036" s="93"/>
      <c r="C1036" s="93"/>
      <c r="D1036" s="93"/>
      <c r="E1036" s="93"/>
      <c r="F1036" s="95"/>
      <c r="G1036" s="95"/>
      <c r="H1036" s="93"/>
      <c r="I1036" s="93"/>
      <c r="J1036" s="93"/>
    </row>
    <row r="1037" spans="1:10" s="65" customFormat="1" ht="14" x14ac:dyDescent="0.35">
      <c r="A1037" s="93"/>
      <c r="B1037" s="93"/>
      <c r="C1037" s="93"/>
      <c r="D1037" s="93"/>
      <c r="E1037" s="93"/>
      <c r="F1037" s="95"/>
      <c r="G1037" s="95"/>
      <c r="H1037" s="93"/>
      <c r="I1037" s="93"/>
      <c r="J1037" s="93"/>
    </row>
    <row r="1038" spans="1:10" s="65" customFormat="1" ht="14" x14ac:dyDescent="0.35">
      <c r="A1038" s="93"/>
      <c r="B1038" s="93"/>
      <c r="C1038" s="93"/>
      <c r="D1038" s="93"/>
      <c r="E1038" s="93"/>
      <c r="F1038" s="95"/>
      <c r="G1038" s="95"/>
      <c r="H1038" s="93"/>
      <c r="I1038" s="93"/>
      <c r="J1038" s="93"/>
    </row>
    <row r="1039" spans="1:10" s="65" customFormat="1" ht="14" x14ac:dyDescent="0.35">
      <c r="A1039" s="93"/>
      <c r="B1039" s="93"/>
      <c r="C1039" s="93"/>
      <c r="D1039" s="93"/>
      <c r="E1039" s="93"/>
      <c r="F1039" s="95"/>
      <c r="G1039" s="95"/>
      <c r="H1039" s="93"/>
      <c r="I1039" s="93"/>
      <c r="J1039" s="93"/>
    </row>
    <row r="1040" spans="1:10" s="65" customFormat="1" ht="14" x14ac:dyDescent="0.35">
      <c r="A1040" s="93"/>
      <c r="B1040" s="93"/>
      <c r="C1040" s="93"/>
      <c r="D1040" s="93"/>
      <c r="E1040" s="93"/>
      <c r="F1040" s="95"/>
      <c r="G1040" s="95"/>
      <c r="H1040" s="93"/>
      <c r="I1040" s="93"/>
      <c r="J1040" s="93"/>
    </row>
    <row r="1041" spans="1:10" s="65" customFormat="1" ht="14" x14ac:dyDescent="0.35">
      <c r="A1041" s="93"/>
      <c r="B1041" s="93"/>
      <c r="C1041" s="93"/>
      <c r="D1041" s="93"/>
      <c r="E1041" s="93"/>
      <c r="F1041" s="95"/>
      <c r="G1041" s="95"/>
      <c r="H1041" s="93"/>
      <c r="I1041" s="93"/>
      <c r="J1041" s="93"/>
    </row>
    <row r="1042" spans="1:10" s="65" customFormat="1" ht="14" x14ac:dyDescent="0.35">
      <c r="A1042" s="93"/>
      <c r="B1042" s="93"/>
      <c r="C1042" s="93"/>
      <c r="D1042" s="93"/>
      <c r="E1042" s="93"/>
      <c r="F1042" s="95"/>
      <c r="G1042" s="95"/>
      <c r="H1042" s="93"/>
      <c r="I1042" s="93"/>
      <c r="J1042" s="93"/>
    </row>
    <row r="1043" spans="1:10" s="65" customFormat="1" ht="14" x14ac:dyDescent="0.35">
      <c r="A1043" s="93"/>
      <c r="B1043" s="93"/>
      <c r="C1043" s="93"/>
      <c r="D1043" s="93"/>
      <c r="E1043" s="93"/>
      <c r="F1043" s="95"/>
      <c r="G1043" s="95"/>
      <c r="H1043" s="93"/>
      <c r="I1043" s="93"/>
      <c r="J1043" s="93"/>
    </row>
    <row r="1044" spans="1:10" s="65" customFormat="1" ht="14" x14ac:dyDescent="0.35">
      <c r="A1044" s="93"/>
      <c r="B1044" s="93"/>
      <c r="C1044" s="93"/>
      <c r="D1044" s="93"/>
      <c r="E1044" s="93"/>
      <c r="F1044" s="95"/>
      <c r="G1044" s="95"/>
      <c r="H1044" s="93"/>
      <c r="I1044" s="93"/>
      <c r="J1044" s="93"/>
    </row>
    <row r="1045" spans="1:10" s="65" customFormat="1" ht="14" x14ac:dyDescent="0.35">
      <c r="A1045" s="93"/>
      <c r="B1045" s="93"/>
      <c r="C1045" s="93"/>
      <c r="D1045" s="93"/>
      <c r="E1045" s="93"/>
      <c r="F1045" s="95"/>
      <c r="G1045" s="95"/>
      <c r="H1045" s="93"/>
      <c r="I1045" s="93"/>
      <c r="J1045" s="93"/>
    </row>
    <row r="1046" spans="1:10" s="65" customFormat="1" ht="14" x14ac:dyDescent="0.35">
      <c r="A1046" s="93"/>
      <c r="B1046" s="93"/>
      <c r="C1046" s="93"/>
      <c r="D1046" s="93"/>
      <c r="E1046" s="93"/>
      <c r="F1046" s="95"/>
      <c r="G1046" s="95"/>
      <c r="H1046" s="93"/>
      <c r="I1046" s="93"/>
      <c r="J1046" s="93"/>
    </row>
    <row r="1047" spans="1:10" s="65" customFormat="1" ht="14" x14ac:dyDescent="0.35">
      <c r="A1047" s="93"/>
      <c r="B1047" s="93"/>
      <c r="C1047" s="93"/>
      <c r="D1047" s="93"/>
      <c r="E1047" s="93"/>
      <c r="F1047" s="95"/>
      <c r="G1047" s="95"/>
      <c r="H1047" s="93"/>
      <c r="I1047" s="93"/>
      <c r="J1047" s="93"/>
    </row>
    <row r="1048" spans="1:10" s="65" customFormat="1" ht="14" x14ac:dyDescent="0.35">
      <c r="A1048" s="93"/>
      <c r="B1048" s="93"/>
      <c r="C1048" s="93"/>
      <c r="D1048" s="93"/>
      <c r="E1048" s="93"/>
      <c r="F1048" s="95"/>
      <c r="G1048" s="95"/>
      <c r="H1048" s="93"/>
      <c r="I1048" s="93"/>
      <c r="J1048" s="93"/>
    </row>
    <row r="1049" spans="1:10" s="65" customFormat="1" ht="14" x14ac:dyDescent="0.35">
      <c r="A1049" s="93"/>
      <c r="B1049" s="93"/>
      <c r="C1049" s="93"/>
      <c r="D1049" s="93"/>
      <c r="E1049" s="93"/>
      <c r="F1049" s="95"/>
      <c r="G1049" s="95"/>
      <c r="H1049" s="93"/>
      <c r="I1049" s="93"/>
      <c r="J1049" s="93"/>
    </row>
    <row r="1050" spans="1:10" s="65" customFormat="1" ht="14" x14ac:dyDescent="0.35">
      <c r="A1050" s="93"/>
      <c r="B1050" s="93"/>
      <c r="C1050" s="93"/>
      <c r="D1050" s="93"/>
      <c r="E1050" s="93"/>
      <c r="F1050" s="95"/>
      <c r="G1050" s="95"/>
      <c r="H1050" s="93"/>
      <c r="I1050" s="93"/>
      <c r="J1050" s="93"/>
    </row>
    <row r="1051" spans="1:10" s="65" customFormat="1" ht="14" x14ac:dyDescent="0.35">
      <c r="A1051" s="93"/>
      <c r="B1051" s="93"/>
      <c r="C1051" s="93"/>
      <c r="D1051" s="93"/>
      <c r="E1051" s="93"/>
      <c r="F1051" s="95"/>
      <c r="G1051" s="95"/>
      <c r="H1051" s="93"/>
      <c r="I1051" s="93"/>
      <c r="J1051" s="93"/>
    </row>
    <row r="1052" spans="1:10" s="65" customFormat="1" ht="14" x14ac:dyDescent="0.35">
      <c r="A1052" s="93"/>
      <c r="B1052" s="93"/>
      <c r="C1052" s="93"/>
      <c r="D1052" s="93"/>
      <c r="E1052" s="93"/>
      <c r="F1052" s="95"/>
      <c r="G1052" s="95"/>
      <c r="H1052" s="93"/>
      <c r="I1052" s="93"/>
      <c r="J1052" s="93"/>
    </row>
    <row r="1053" spans="1:10" s="65" customFormat="1" ht="14" x14ac:dyDescent="0.35">
      <c r="A1053" s="93"/>
      <c r="B1053" s="93"/>
      <c r="C1053" s="93"/>
      <c r="D1053" s="93"/>
      <c r="E1053" s="93"/>
      <c r="F1053" s="95"/>
      <c r="G1053" s="95"/>
      <c r="H1053" s="93"/>
      <c r="I1053" s="93"/>
      <c r="J1053" s="93"/>
    </row>
    <row r="1054" spans="1:10" s="65" customFormat="1" ht="14" x14ac:dyDescent="0.35">
      <c r="A1054" s="93"/>
      <c r="B1054" s="93"/>
      <c r="C1054" s="93"/>
      <c r="D1054" s="93"/>
      <c r="E1054" s="93"/>
      <c r="F1054" s="95"/>
      <c r="G1054" s="95"/>
      <c r="H1054" s="93"/>
      <c r="I1054" s="93"/>
      <c r="J1054" s="93"/>
    </row>
    <row r="1055" spans="1:10" s="65" customFormat="1" ht="14" x14ac:dyDescent="0.35">
      <c r="A1055" s="93"/>
      <c r="B1055" s="93"/>
      <c r="C1055" s="93"/>
      <c r="D1055" s="93"/>
      <c r="E1055" s="93"/>
      <c r="F1055" s="95"/>
      <c r="G1055" s="95"/>
      <c r="H1055" s="93"/>
      <c r="I1055" s="93"/>
      <c r="J1055" s="93"/>
    </row>
    <row r="1056" spans="1:10" s="65" customFormat="1" ht="14" x14ac:dyDescent="0.35">
      <c r="A1056" s="93"/>
      <c r="B1056" s="93"/>
      <c r="C1056" s="93"/>
      <c r="D1056" s="93"/>
      <c r="E1056" s="93"/>
      <c r="F1056" s="95"/>
      <c r="G1056" s="95"/>
      <c r="H1056" s="93"/>
      <c r="I1056" s="93"/>
      <c r="J1056" s="93"/>
    </row>
    <row r="1057" spans="1:10" s="65" customFormat="1" ht="14" x14ac:dyDescent="0.35">
      <c r="A1057" s="93"/>
      <c r="B1057" s="93"/>
      <c r="C1057" s="93"/>
      <c r="D1057" s="93"/>
      <c r="E1057" s="93"/>
      <c r="F1057" s="95"/>
      <c r="G1057" s="95"/>
      <c r="H1057" s="93"/>
      <c r="I1057" s="93"/>
      <c r="J1057" s="93"/>
    </row>
    <row r="1058" spans="1:10" s="65" customFormat="1" ht="14" x14ac:dyDescent="0.35">
      <c r="A1058" s="93"/>
      <c r="B1058" s="93"/>
      <c r="C1058" s="93"/>
      <c r="D1058" s="93"/>
      <c r="E1058" s="93"/>
      <c r="F1058" s="95"/>
      <c r="G1058" s="95"/>
      <c r="H1058" s="93"/>
      <c r="I1058" s="93"/>
      <c r="J1058" s="93"/>
    </row>
    <row r="1059" spans="1:10" s="65" customFormat="1" ht="14" x14ac:dyDescent="0.35">
      <c r="A1059" s="93"/>
      <c r="B1059" s="93"/>
      <c r="C1059" s="93"/>
      <c r="D1059" s="93"/>
      <c r="E1059" s="93"/>
      <c r="F1059" s="95"/>
      <c r="G1059" s="95"/>
      <c r="H1059" s="93"/>
      <c r="I1059" s="93"/>
      <c r="J1059" s="93"/>
    </row>
    <row r="1060" spans="1:10" s="65" customFormat="1" ht="14" x14ac:dyDescent="0.35">
      <c r="A1060" s="93"/>
      <c r="B1060" s="93"/>
      <c r="C1060" s="93"/>
      <c r="D1060" s="93"/>
      <c r="E1060" s="93"/>
      <c r="F1060" s="95"/>
      <c r="G1060" s="95"/>
      <c r="H1060" s="93"/>
      <c r="I1060" s="93"/>
      <c r="J1060" s="93"/>
    </row>
    <row r="1061" spans="1:10" s="65" customFormat="1" ht="14" x14ac:dyDescent="0.35">
      <c r="A1061" s="93"/>
      <c r="B1061" s="93"/>
      <c r="C1061" s="93"/>
      <c r="D1061" s="93"/>
      <c r="E1061" s="93"/>
      <c r="F1061" s="95"/>
      <c r="G1061" s="95"/>
      <c r="H1061" s="93"/>
      <c r="I1061" s="93"/>
      <c r="J1061" s="93"/>
    </row>
    <row r="1062" spans="1:10" s="65" customFormat="1" ht="14" x14ac:dyDescent="0.35">
      <c r="A1062" s="93"/>
      <c r="B1062" s="93"/>
      <c r="C1062" s="93"/>
      <c r="D1062" s="93"/>
      <c r="E1062" s="93"/>
      <c r="F1062" s="95"/>
      <c r="G1062" s="95"/>
      <c r="H1062" s="93"/>
      <c r="I1062" s="93"/>
      <c r="J1062" s="93"/>
    </row>
    <row r="1063" spans="1:10" s="65" customFormat="1" ht="14" x14ac:dyDescent="0.35">
      <c r="A1063" s="93"/>
      <c r="B1063" s="93"/>
      <c r="C1063" s="93"/>
      <c r="D1063" s="93"/>
      <c r="E1063" s="93"/>
      <c r="F1063" s="95"/>
      <c r="G1063" s="95"/>
      <c r="H1063" s="93"/>
      <c r="I1063" s="93"/>
      <c r="J1063" s="93"/>
    </row>
    <row r="1064" spans="1:10" s="65" customFormat="1" ht="14" x14ac:dyDescent="0.35">
      <c r="A1064" s="93"/>
      <c r="B1064" s="93"/>
      <c r="C1064" s="93"/>
      <c r="D1064" s="93"/>
      <c r="E1064" s="93"/>
      <c r="F1064" s="95"/>
      <c r="G1064" s="95"/>
      <c r="H1064" s="93"/>
      <c r="I1064" s="93"/>
      <c r="J1064" s="93"/>
    </row>
    <row r="1065" spans="1:10" s="65" customFormat="1" ht="14" x14ac:dyDescent="0.35">
      <c r="A1065" s="93"/>
      <c r="B1065" s="93"/>
      <c r="C1065" s="93"/>
      <c r="D1065" s="93"/>
      <c r="E1065" s="93"/>
      <c r="F1065" s="95"/>
      <c r="G1065" s="95"/>
      <c r="H1065" s="93"/>
      <c r="I1065" s="93"/>
      <c r="J1065" s="93"/>
    </row>
    <row r="1066" spans="1:10" s="65" customFormat="1" ht="14" x14ac:dyDescent="0.35">
      <c r="A1066" s="93"/>
      <c r="B1066" s="93"/>
      <c r="C1066" s="93"/>
      <c r="D1066" s="93"/>
      <c r="E1066" s="93"/>
      <c r="F1066" s="95"/>
      <c r="G1066" s="95"/>
      <c r="H1066" s="93"/>
      <c r="I1066" s="93"/>
      <c r="J1066" s="93"/>
    </row>
    <row r="1067" spans="1:10" s="65" customFormat="1" ht="14" x14ac:dyDescent="0.35">
      <c r="A1067" s="93"/>
      <c r="B1067" s="93"/>
      <c r="C1067" s="93"/>
      <c r="D1067" s="93"/>
      <c r="E1067" s="93"/>
      <c r="F1067" s="95"/>
      <c r="G1067" s="95"/>
      <c r="H1067" s="93"/>
      <c r="I1067" s="93"/>
      <c r="J1067" s="93"/>
    </row>
    <row r="1068" spans="1:10" s="65" customFormat="1" ht="14" x14ac:dyDescent="0.35">
      <c r="A1068" s="93"/>
      <c r="B1068" s="93"/>
      <c r="C1068" s="93"/>
      <c r="D1068" s="93"/>
      <c r="E1068" s="93"/>
      <c r="F1068" s="95"/>
      <c r="G1068" s="95"/>
      <c r="H1068" s="93"/>
      <c r="I1068" s="93"/>
      <c r="J1068" s="93"/>
    </row>
    <row r="1069" spans="1:10" s="65" customFormat="1" ht="14" x14ac:dyDescent="0.35">
      <c r="A1069" s="93"/>
      <c r="B1069" s="93"/>
      <c r="C1069" s="93"/>
      <c r="D1069" s="93"/>
      <c r="E1069" s="93"/>
      <c r="F1069" s="95"/>
      <c r="G1069" s="95"/>
      <c r="H1069" s="93"/>
      <c r="I1069" s="93"/>
      <c r="J1069" s="93"/>
    </row>
    <row r="1070" spans="1:10" s="65" customFormat="1" ht="14" x14ac:dyDescent="0.35">
      <c r="A1070" s="93"/>
      <c r="B1070" s="93"/>
      <c r="C1070" s="93"/>
      <c r="D1070" s="93"/>
      <c r="E1070" s="93"/>
      <c r="F1070" s="95"/>
      <c r="G1070" s="95"/>
      <c r="H1070" s="93"/>
      <c r="I1070" s="93"/>
      <c r="J1070" s="93"/>
    </row>
    <row r="1071" spans="1:10" s="65" customFormat="1" ht="14" x14ac:dyDescent="0.35">
      <c r="A1071" s="93"/>
      <c r="B1071" s="93"/>
      <c r="C1071" s="93"/>
      <c r="D1071" s="93"/>
      <c r="E1071" s="93"/>
      <c r="F1071" s="95"/>
      <c r="G1071" s="95"/>
      <c r="H1071" s="93"/>
      <c r="I1071" s="93"/>
      <c r="J1071" s="93"/>
    </row>
    <row r="1072" spans="1:10" s="65" customFormat="1" ht="14" x14ac:dyDescent="0.35">
      <c r="A1072" s="93"/>
      <c r="B1072" s="93"/>
      <c r="C1072" s="93"/>
      <c r="D1072" s="93"/>
      <c r="E1072" s="93"/>
      <c r="F1072" s="95"/>
      <c r="G1072" s="95"/>
      <c r="H1072" s="93"/>
      <c r="I1072" s="93"/>
      <c r="J1072" s="93"/>
    </row>
    <row r="1073" spans="1:10" s="65" customFormat="1" ht="14" x14ac:dyDescent="0.35">
      <c r="A1073" s="93"/>
      <c r="B1073" s="93"/>
      <c r="C1073" s="93"/>
      <c r="D1073" s="93"/>
      <c r="E1073" s="93"/>
      <c r="F1073" s="95"/>
      <c r="G1073" s="95"/>
      <c r="H1073" s="93"/>
      <c r="I1073" s="93"/>
      <c r="J1073" s="93"/>
    </row>
    <row r="1074" spans="1:10" s="65" customFormat="1" ht="14" x14ac:dyDescent="0.35">
      <c r="A1074" s="93"/>
      <c r="B1074" s="93"/>
      <c r="C1074" s="93"/>
      <c r="D1074" s="93"/>
      <c r="E1074" s="93"/>
      <c r="F1074" s="95"/>
      <c r="G1074" s="95"/>
      <c r="H1074" s="93"/>
      <c r="I1074" s="93"/>
      <c r="J1074" s="93"/>
    </row>
    <row r="1075" spans="1:10" s="65" customFormat="1" ht="14" x14ac:dyDescent="0.35">
      <c r="A1075" s="93"/>
      <c r="B1075" s="93"/>
      <c r="C1075" s="93"/>
      <c r="D1075" s="93"/>
      <c r="E1075" s="93"/>
      <c r="F1075" s="95"/>
      <c r="G1075" s="95"/>
      <c r="H1075" s="93"/>
      <c r="I1075" s="93"/>
      <c r="J1075" s="93"/>
    </row>
    <row r="1076" spans="1:10" s="65" customFormat="1" ht="14" x14ac:dyDescent="0.35">
      <c r="A1076" s="93"/>
      <c r="B1076" s="93"/>
      <c r="C1076" s="93"/>
      <c r="D1076" s="93"/>
      <c r="E1076" s="93"/>
      <c r="F1076" s="95"/>
      <c r="G1076" s="95"/>
      <c r="H1076" s="93"/>
      <c r="I1076" s="93"/>
      <c r="J1076" s="93"/>
    </row>
    <row r="1077" spans="1:10" s="65" customFormat="1" ht="14" x14ac:dyDescent="0.35">
      <c r="A1077" s="93"/>
      <c r="B1077" s="93"/>
      <c r="C1077" s="93"/>
      <c r="D1077" s="93"/>
      <c r="E1077" s="93"/>
      <c r="F1077" s="95"/>
      <c r="G1077" s="95"/>
      <c r="H1077" s="93"/>
      <c r="I1077" s="93"/>
      <c r="J1077" s="93"/>
    </row>
    <row r="1078" spans="1:10" s="65" customFormat="1" ht="14" x14ac:dyDescent="0.35">
      <c r="A1078" s="93"/>
      <c r="B1078" s="93"/>
      <c r="C1078" s="93"/>
      <c r="D1078" s="93"/>
      <c r="E1078" s="93"/>
      <c r="F1078" s="95"/>
      <c r="G1078" s="95"/>
      <c r="H1078" s="93"/>
      <c r="I1078" s="93"/>
      <c r="J1078" s="93"/>
    </row>
    <row r="1079" spans="1:10" s="65" customFormat="1" ht="14" x14ac:dyDescent="0.35">
      <c r="A1079" s="93"/>
      <c r="B1079" s="93"/>
      <c r="C1079" s="93"/>
      <c r="D1079" s="93"/>
      <c r="E1079" s="93"/>
      <c r="F1079" s="95"/>
      <c r="G1079" s="95"/>
      <c r="H1079" s="93"/>
      <c r="I1079" s="93"/>
      <c r="J1079" s="93"/>
    </row>
    <row r="1080" spans="1:10" s="65" customFormat="1" ht="14" x14ac:dyDescent="0.35">
      <c r="A1080" s="93"/>
      <c r="B1080" s="93"/>
      <c r="C1080" s="93"/>
      <c r="D1080" s="93"/>
      <c r="E1080" s="93"/>
      <c r="F1080" s="95"/>
      <c r="G1080" s="95"/>
      <c r="H1080" s="93"/>
      <c r="I1080" s="93"/>
      <c r="J1080" s="93"/>
    </row>
    <row r="1081" spans="1:10" s="65" customFormat="1" ht="14" x14ac:dyDescent="0.35">
      <c r="A1081" s="93"/>
      <c r="B1081" s="93"/>
      <c r="C1081" s="93"/>
      <c r="D1081" s="93"/>
      <c r="E1081" s="93"/>
      <c r="F1081" s="95"/>
      <c r="G1081" s="95"/>
      <c r="H1081" s="93"/>
      <c r="I1081" s="93"/>
      <c r="J1081" s="93"/>
    </row>
    <row r="1082" spans="1:10" s="65" customFormat="1" ht="14" x14ac:dyDescent="0.35">
      <c r="A1082" s="93"/>
      <c r="B1082" s="93"/>
      <c r="C1082" s="93"/>
      <c r="D1082" s="93"/>
      <c r="E1082" s="93"/>
      <c r="F1082" s="95"/>
      <c r="G1082" s="95"/>
      <c r="H1082" s="93"/>
      <c r="I1082" s="93"/>
      <c r="J1082" s="93"/>
    </row>
    <row r="1083" spans="1:10" s="65" customFormat="1" ht="14" x14ac:dyDescent="0.35">
      <c r="A1083" s="93"/>
      <c r="B1083" s="93"/>
      <c r="C1083" s="93"/>
      <c r="D1083" s="93"/>
      <c r="E1083" s="93"/>
      <c r="F1083" s="95"/>
      <c r="G1083" s="95"/>
      <c r="H1083" s="93"/>
      <c r="I1083" s="93"/>
      <c r="J1083" s="93"/>
    </row>
    <row r="1084" spans="1:10" s="65" customFormat="1" ht="14" x14ac:dyDescent="0.35">
      <c r="A1084" s="93"/>
      <c r="B1084" s="93"/>
      <c r="C1084" s="93"/>
      <c r="D1084" s="93"/>
      <c r="E1084" s="93"/>
      <c r="F1084" s="95"/>
      <c r="G1084" s="95"/>
      <c r="H1084" s="93"/>
      <c r="I1084" s="93"/>
      <c r="J1084" s="93"/>
    </row>
    <row r="1085" spans="1:10" s="65" customFormat="1" ht="14" x14ac:dyDescent="0.35">
      <c r="A1085" s="93"/>
      <c r="B1085" s="93"/>
      <c r="C1085" s="93"/>
      <c r="D1085" s="93"/>
      <c r="E1085" s="93"/>
      <c r="F1085" s="95"/>
      <c r="G1085" s="95"/>
      <c r="H1085" s="93"/>
      <c r="I1085" s="93"/>
      <c r="J1085" s="93"/>
    </row>
    <row r="1086" spans="1:10" s="65" customFormat="1" ht="14" x14ac:dyDescent="0.35">
      <c r="A1086" s="93"/>
      <c r="B1086" s="93"/>
      <c r="C1086" s="93"/>
      <c r="D1086" s="93"/>
      <c r="E1086" s="93"/>
      <c r="F1086" s="95"/>
      <c r="G1086" s="95"/>
      <c r="H1086" s="93"/>
      <c r="I1086" s="93"/>
      <c r="J1086" s="93"/>
    </row>
    <row r="1087" spans="1:10" s="65" customFormat="1" ht="14" x14ac:dyDescent="0.35">
      <c r="A1087" s="93"/>
      <c r="B1087" s="93"/>
      <c r="C1087" s="93"/>
      <c r="D1087" s="93"/>
      <c r="E1087" s="93"/>
      <c r="F1087" s="95"/>
      <c r="G1087" s="95"/>
      <c r="H1087" s="93"/>
      <c r="I1087" s="93"/>
      <c r="J1087" s="93"/>
    </row>
    <row r="1088" spans="1:10" s="65" customFormat="1" ht="14" x14ac:dyDescent="0.35">
      <c r="A1088" s="93"/>
      <c r="B1088" s="93"/>
      <c r="C1088" s="93"/>
      <c r="D1088" s="93"/>
      <c r="E1088" s="93"/>
      <c r="F1088" s="95"/>
      <c r="G1088" s="95"/>
      <c r="H1088" s="93"/>
      <c r="I1088" s="93"/>
      <c r="J1088" s="93"/>
    </row>
    <row r="1089" spans="1:10" s="65" customFormat="1" ht="14" x14ac:dyDescent="0.35">
      <c r="A1089" s="93"/>
      <c r="B1089" s="93"/>
      <c r="C1089" s="93"/>
      <c r="D1089" s="93"/>
      <c r="E1089" s="93"/>
      <c r="F1089" s="95"/>
      <c r="G1089" s="95"/>
      <c r="H1089" s="93"/>
      <c r="I1089" s="93"/>
      <c r="J1089" s="93"/>
    </row>
    <row r="1090" spans="1:10" s="65" customFormat="1" ht="14" x14ac:dyDescent="0.35">
      <c r="A1090" s="93"/>
      <c r="B1090" s="93"/>
      <c r="C1090" s="93"/>
      <c r="D1090" s="93"/>
      <c r="E1090" s="93"/>
      <c r="F1090" s="95"/>
      <c r="G1090" s="95"/>
      <c r="H1090" s="93"/>
      <c r="I1090" s="93"/>
      <c r="J1090" s="93"/>
    </row>
    <row r="1091" spans="1:10" s="65" customFormat="1" ht="14" x14ac:dyDescent="0.35">
      <c r="A1091" s="93"/>
      <c r="B1091" s="93"/>
      <c r="C1091" s="93"/>
      <c r="D1091" s="93"/>
      <c r="E1091" s="93"/>
      <c r="F1091" s="95"/>
      <c r="G1091" s="95"/>
      <c r="H1091" s="93"/>
      <c r="I1091" s="93"/>
      <c r="J1091" s="93"/>
    </row>
    <row r="1092" spans="1:10" s="65" customFormat="1" ht="14" x14ac:dyDescent="0.35">
      <c r="A1092" s="93"/>
      <c r="B1092" s="93"/>
      <c r="C1092" s="93"/>
      <c r="D1092" s="93"/>
      <c r="E1092" s="93"/>
      <c r="F1092" s="95"/>
      <c r="G1092" s="95"/>
      <c r="H1092" s="93"/>
      <c r="I1092" s="93"/>
      <c r="J1092" s="93"/>
    </row>
    <row r="1093" spans="1:10" s="65" customFormat="1" ht="14" x14ac:dyDescent="0.35">
      <c r="A1093" s="93"/>
      <c r="B1093" s="93"/>
      <c r="C1093" s="93"/>
      <c r="D1093" s="93"/>
      <c r="E1093" s="93"/>
      <c r="F1093" s="95"/>
      <c r="G1093" s="95"/>
      <c r="H1093" s="93"/>
      <c r="I1093" s="93"/>
      <c r="J1093" s="93"/>
    </row>
    <row r="1094" spans="1:10" s="65" customFormat="1" ht="14" x14ac:dyDescent="0.35">
      <c r="A1094" s="93"/>
      <c r="B1094" s="93"/>
      <c r="C1094" s="93"/>
      <c r="D1094" s="93"/>
      <c r="E1094" s="93"/>
      <c r="F1094" s="95"/>
      <c r="G1094" s="95"/>
      <c r="H1094" s="93"/>
      <c r="I1094" s="93"/>
      <c r="J1094" s="93"/>
    </row>
    <row r="1095" spans="1:10" s="65" customFormat="1" ht="14" x14ac:dyDescent="0.35">
      <c r="A1095" s="93"/>
      <c r="B1095" s="93"/>
      <c r="C1095" s="93"/>
      <c r="D1095" s="93"/>
      <c r="E1095" s="93"/>
      <c r="F1095" s="95"/>
      <c r="G1095" s="95"/>
      <c r="H1095" s="93"/>
      <c r="I1095" s="93"/>
      <c r="J1095" s="93"/>
    </row>
    <row r="1096" spans="1:10" s="65" customFormat="1" ht="14" x14ac:dyDescent="0.35">
      <c r="A1096" s="93"/>
      <c r="B1096" s="93"/>
      <c r="C1096" s="93"/>
      <c r="D1096" s="93"/>
      <c r="E1096" s="93"/>
      <c r="F1096" s="95"/>
      <c r="G1096" s="95"/>
      <c r="H1096" s="93"/>
      <c r="I1096" s="93"/>
      <c r="J1096" s="93"/>
    </row>
    <row r="1097" spans="1:10" s="65" customFormat="1" ht="14" x14ac:dyDescent="0.35">
      <c r="A1097" s="93"/>
      <c r="B1097" s="93"/>
      <c r="C1097" s="93"/>
      <c r="D1097" s="93"/>
      <c r="E1097" s="93"/>
      <c r="F1097" s="95"/>
      <c r="G1097" s="95"/>
      <c r="H1097" s="93"/>
      <c r="I1097" s="93"/>
      <c r="J1097" s="93"/>
    </row>
    <row r="1098" spans="1:10" s="65" customFormat="1" ht="14" x14ac:dyDescent="0.35">
      <c r="A1098" s="93"/>
      <c r="B1098" s="93"/>
      <c r="C1098" s="93"/>
      <c r="D1098" s="93"/>
      <c r="E1098" s="93"/>
      <c r="F1098" s="95"/>
      <c r="G1098" s="95"/>
      <c r="H1098" s="93"/>
      <c r="I1098" s="93"/>
      <c r="J1098" s="93"/>
    </row>
    <row r="1099" spans="1:10" s="65" customFormat="1" ht="14" x14ac:dyDescent="0.35">
      <c r="A1099" s="93"/>
      <c r="B1099" s="93"/>
      <c r="C1099" s="93"/>
      <c r="D1099" s="93"/>
      <c r="E1099" s="93"/>
      <c r="F1099" s="95"/>
      <c r="G1099" s="95"/>
      <c r="H1099" s="93"/>
      <c r="I1099" s="93"/>
      <c r="J1099" s="93"/>
    </row>
    <row r="1100" spans="1:10" s="65" customFormat="1" ht="14" x14ac:dyDescent="0.35">
      <c r="A1100" s="93"/>
      <c r="B1100" s="93"/>
      <c r="C1100" s="93"/>
      <c r="D1100" s="93"/>
      <c r="E1100" s="93"/>
      <c r="F1100" s="95"/>
      <c r="G1100" s="95"/>
      <c r="H1100" s="93"/>
      <c r="I1100" s="93"/>
      <c r="J1100" s="93"/>
    </row>
    <row r="1101" spans="1:10" s="65" customFormat="1" ht="14" x14ac:dyDescent="0.35">
      <c r="A1101" s="93"/>
      <c r="B1101" s="93"/>
      <c r="C1101" s="93"/>
      <c r="D1101" s="93"/>
      <c r="E1101" s="93"/>
      <c r="F1101" s="95"/>
      <c r="G1101" s="95"/>
      <c r="H1101" s="93"/>
      <c r="I1101" s="93"/>
      <c r="J1101" s="93"/>
    </row>
    <row r="1102" spans="1:10" s="65" customFormat="1" ht="14" x14ac:dyDescent="0.35">
      <c r="A1102" s="93"/>
      <c r="B1102" s="93"/>
      <c r="C1102" s="93"/>
      <c r="D1102" s="93"/>
      <c r="E1102" s="93"/>
      <c r="F1102" s="95"/>
      <c r="G1102" s="95"/>
      <c r="H1102" s="93"/>
      <c r="I1102" s="93"/>
      <c r="J1102" s="93"/>
    </row>
    <row r="1103" spans="1:10" s="65" customFormat="1" ht="14" x14ac:dyDescent="0.35">
      <c r="A1103" s="93"/>
      <c r="B1103" s="93"/>
      <c r="C1103" s="93"/>
      <c r="D1103" s="93"/>
      <c r="E1103" s="93"/>
      <c r="F1103" s="95"/>
      <c r="G1103" s="95"/>
      <c r="H1103" s="93"/>
      <c r="I1103" s="93"/>
      <c r="J1103" s="93"/>
    </row>
    <row r="1104" spans="1:10" s="65" customFormat="1" ht="14" x14ac:dyDescent="0.35">
      <c r="A1104" s="93"/>
      <c r="B1104" s="93"/>
      <c r="C1104" s="93"/>
      <c r="D1104" s="93"/>
      <c r="E1104" s="93"/>
      <c r="F1104" s="95"/>
      <c r="G1104" s="95"/>
      <c r="H1104" s="93"/>
      <c r="I1104" s="93"/>
      <c r="J1104" s="93"/>
    </row>
    <row r="1105" spans="1:10" s="65" customFormat="1" ht="14" x14ac:dyDescent="0.35">
      <c r="A1105" s="93"/>
      <c r="B1105" s="93"/>
      <c r="C1105" s="93"/>
      <c r="D1105" s="93"/>
      <c r="E1105" s="93"/>
      <c r="F1105" s="95"/>
      <c r="G1105" s="95"/>
      <c r="H1105" s="93"/>
      <c r="I1105" s="93"/>
      <c r="J1105" s="93"/>
    </row>
    <row r="1106" spans="1:10" s="65" customFormat="1" ht="14" x14ac:dyDescent="0.35">
      <c r="A1106" s="93"/>
      <c r="B1106" s="93"/>
      <c r="C1106" s="93"/>
      <c r="D1106" s="93"/>
      <c r="E1106" s="93"/>
      <c r="F1106" s="95"/>
      <c r="G1106" s="95"/>
      <c r="H1106" s="93"/>
      <c r="I1106" s="93"/>
      <c r="J1106" s="93"/>
    </row>
    <row r="1107" spans="1:10" s="65" customFormat="1" ht="14" x14ac:dyDescent="0.35">
      <c r="A1107" s="93"/>
      <c r="B1107" s="93"/>
      <c r="C1107" s="93"/>
      <c r="D1107" s="93"/>
      <c r="E1107" s="93"/>
      <c r="F1107" s="95"/>
      <c r="G1107" s="95"/>
      <c r="H1107" s="93"/>
      <c r="I1107" s="93"/>
      <c r="J1107" s="93"/>
    </row>
    <row r="1108" spans="1:10" s="65" customFormat="1" ht="14" x14ac:dyDescent="0.35">
      <c r="A1108" s="93"/>
      <c r="B1108" s="93"/>
      <c r="C1108" s="93"/>
      <c r="D1108" s="93"/>
      <c r="E1108" s="93"/>
      <c r="F1108" s="95"/>
      <c r="G1108" s="95"/>
      <c r="H1108" s="93"/>
      <c r="I1108" s="93"/>
      <c r="J1108" s="93"/>
    </row>
    <row r="1109" spans="1:10" s="65" customFormat="1" ht="14" x14ac:dyDescent="0.35">
      <c r="A1109" s="93"/>
      <c r="B1109" s="93"/>
      <c r="C1109" s="93"/>
      <c r="D1109" s="93"/>
      <c r="E1109" s="93"/>
      <c r="F1109" s="95"/>
      <c r="G1109" s="95"/>
      <c r="H1109" s="93"/>
      <c r="I1109" s="93"/>
      <c r="J1109" s="93"/>
    </row>
    <row r="1110" spans="1:10" s="65" customFormat="1" ht="14" x14ac:dyDescent="0.35">
      <c r="A1110" s="93"/>
      <c r="B1110" s="93"/>
      <c r="C1110" s="93"/>
      <c r="D1110" s="93"/>
      <c r="E1110" s="93"/>
      <c r="F1110" s="95"/>
      <c r="G1110" s="95"/>
      <c r="H1110" s="93"/>
      <c r="I1110" s="93"/>
      <c r="J1110" s="93"/>
    </row>
    <row r="1111" spans="1:10" s="65" customFormat="1" ht="14" x14ac:dyDescent="0.35">
      <c r="A1111" s="93"/>
      <c r="B1111" s="93"/>
      <c r="C1111" s="93"/>
      <c r="D1111" s="93"/>
      <c r="E1111" s="93"/>
      <c r="F1111" s="95"/>
      <c r="G1111" s="95"/>
      <c r="H1111" s="93"/>
      <c r="I1111" s="93"/>
      <c r="J1111" s="93"/>
    </row>
    <row r="1112" spans="1:10" s="65" customFormat="1" ht="14" x14ac:dyDescent="0.35">
      <c r="A1112" s="93"/>
      <c r="B1112" s="93"/>
      <c r="C1112" s="93"/>
      <c r="D1112" s="93"/>
      <c r="E1112" s="93"/>
      <c r="F1112" s="95"/>
      <c r="G1112" s="95"/>
      <c r="H1112" s="93"/>
      <c r="I1112" s="93"/>
      <c r="J1112" s="93"/>
    </row>
    <row r="1113" spans="1:10" s="65" customFormat="1" ht="14" x14ac:dyDescent="0.35">
      <c r="A1113" s="93"/>
      <c r="B1113" s="93"/>
      <c r="C1113" s="93"/>
      <c r="D1113" s="93"/>
      <c r="E1113" s="93"/>
      <c r="F1113" s="95"/>
      <c r="G1113" s="95"/>
      <c r="H1113" s="93"/>
      <c r="I1113" s="93"/>
      <c r="J1113" s="93"/>
    </row>
    <row r="1114" spans="1:10" s="65" customFormat="1" ht="14" x14ac:dyDescent="0.35">
      <c r="A1114" s="93"/>
      <c r="B1114" s="93"/>
      <c r="C1114" s="93"/>
      <c r="D1114" s="93"/>
      <c r="E1114" s="93"/>
      <c r="F1114" s="95"/>
      <c r="G1114" s="95"/>
      <c r="H1114" s="93"/>
      <c r="I1114" s="93"/>
      <c r="J1114" s="93"/>
    </row>
    <row r="1115" spans="1:10" s="65" customFormat="1" ht="14" x14ac:dyDescent="0.35">
      <c r="A1115" s="93"/>
      <c r="B1115" s="93"/>
      <c r="C1115" s="93"/>
      <c r="D1115" s="93"/>
      <c r="E1115" s="93"/>
      <c r="F1115" s="95"/>
      <c r="G1115" s="95"/>
      <c r="H1115" s="93"/>
      <c r="I1115" s="93"/>
      <c r="J1115" s="93"/>
    </row>
    <row r="1116" spans="1:10" s="65" customFormat="1" ht="14" x14ac:dyDescent="0.35">
      <c r="A1116" s="93"/>
      <c r="B1116" s="93"/>
      <c r="C1116" s="93"/>
      <c r="D1116" s="93"/>
      <c r="E1116" s="93"/>
      <c r="F1116" s="95"/>
      <c r="G1116" s="95"/>
      <c r="H1116" s="93"/>
      <c r="I1116" s="93"/>
      <c r="J1116" s="93"/>
    </row>
    <row r="1117" spans="1:10" s="65" customFormat="1" ht="14" x14ac:dyDescent="0.35">
      <c r="A1117" s="93"/>
      <c r="B1117" s="93"/>
      <c r="C1117" s="93"/>
      <c r="D1117" s="93"/>
      <c r="E1117" s="93"/>
      <c r="F1117" s="95"/>
      <c r="G1117" s="95"/>
      <c r="H1117" s="93"/>
      <c r="I1117" s="93"/>
      <c r="J1117" s="93"/>
    </row>
    <row r="1118" spans="1:10" s="65" customFormat="1" ht="14" x14ac:dyDescent="0.35">
      <c r="A1118" s="93"/>
      <c r="B1118" s="93"/>
      <c r="C1118" s="93"/>
      <c r="D1118" s="93"/>
      <c r="E1118" s="93"/>
      <c r="F1118" s="95"/>
      <c r="G1118" s="95"/>
      <c r="H1118" s="93"/>
      <c r="I1118" s="93"/>
      <c r="J1118" s="93"/>
    </row>
    <row r="1119" spans="1:10" s="65" customFormat="1" ht="14" x14ac:dyDescent="0.35">
      <c r="A1119" s="93"/>
      <c r="B1119" s="93"/>
      <c r="C1119" s="93"/>
      <c r="D1119" s="93"/>
      <c r="E1119" s="93"/>
      <c r="F1119" s="95"/>
      <c r="G1119" s="95"/>
      <c r="H1119" s="93"/>
      <c r="I1119" s="93"/>
      <c r="J1119" s="93"/>
    </row>
    <row r="1120" spans="1:10" s="65" customFormat="1" ht="14" x14ac:dyDescent="0.35">
      <c r="A1120" s="93"/>
      <c r="B1120" s="93"/>
      <c r="C1120" s="93"/>
      <c r="D1120" s="93"/>
      <c r="E1120" s="93"/>
      <c r="F1120" s="95"/>
      <c r="G1120" s="95"/>
      <c r="H1120" s="93"/>
      <c r="I1120" s="93"/>
      <c r="J1120" s="93"/>
    </row>
    <row r="1121" spans="1:10" s="65" customFormat="1" ht="14" x14ac:dyDescent="0.35">
      <c r="A1121" s="93"/>
      <c r="B1121" s="93"/>
      <c r="C1121" s="93"/>
      <c r="D1121" s="93"/>
      <c r="E1121" s="93"/>
      <c r="F1121" s="95"/>
      <c r="G1121" s="95"/>
      <c r="H1121" s="93"/>
      <c r="I1121" s="93"/>
      <c r="J1121" s="93"/>
    </row>
    <row r="1122" spans="1:10" s="65" customFormat="1" ht="14" x14ac:dyDescent="0.35">
      <c r="A1122" s="93"/>
      <c r="B1122" s="93"/>
      <c r="C1122" s="93"/>
      <c r="D1122" s="93"/>
      <c r="E1122" s="93"/>
      <c r="F1122" s="95"/>
      <c r="G1122" s="95"/>
      <c r="H1122" s="93"/>
      <c r="I1122" s="93"/>
      <c r="J1122" s="93"/>
    </row>
    <row r="1123" spans="1:10" s="65" customFormat="1" ht="14" x14ac:dyDescent="0.35">
      <c r="A1123" s="93"/>
      <c r="B1123" s="93"/>
      <c r="C1123" s="93"/>
      <c r="D1123" s="93"/>
      <c r="E1123" s="93"/>
      <c r="F1123" s="95"/>
      <c r="G1123" s="95"/>
      <c r="H1123" s="93"/>
      <c r="I1123" s="93"/>
      <c r="J1123" s="93"/>
    </row>
    <row r="1124" spans="1:10" s="65" customFormat="1" ht="14" x14ac:dyDescent="0.35">
      <c r="A1124" s="93"/>
      <c r="B1124" s="93"/>
      <c r="C1124" s="93"/>
      <c r="D1124" s="93"/>
      <c r="E1124" s="93"/>
      <c r="F1124" s="95"/>
      <c r="G1124" s="95"/>
      <c r="H1124" s="93"/>
      <c r="I1124" s="93"/>
      <c r="J1124" s="93"/>
    </row>
    <row r="1125" spans="1:10" s="65" customFormat="1" ht="14" x14ac:dyDescent="0.35">
      <c r="A1125" s="93"/>
      <c r="B1125" s="93"/>
      <c r="C1125" s="93"/>
      <c r="D1125" s="93"/>
      <c r="E1125" s="93"/>
      <c r="F1125" s="95"/>
      <c r="G1125" s="95"/>
      <c r="H1125" s="93"/>
      <c r="I1125" s="93"/>
      <c r="J1125" s="93"/>
    </row>
    <row r="1126" spans="1:10" s="65" customFormat="1" ht="14" x14ac:dyDescent="0.35">
      <c r="A1126" s="93"/>
      <c r="B1126" s="93"/>
      <c r="C1126" s="93"/>
      <c r="D1126" s="93"/>
      <c r="E1126" s="93"/>
      <c r="F1126" s="95"/>
      <c r="G1126" s="95"/>
      <c r="H1126" s="93"/>
      <c r="I1126" s="93"/>
      <c r="J1126" s="93"/>
    </row>
    <row r="1127" spans="1:10" s="65" customFormat="1" ht="14" x14ac:dyDescent="0.35">
      <c r="A1127" s="93"/>
      <c r="B1127" s="93"/>
      <c r="C1127" s="93"/>
      <c r="D1127" s="93"/>
      <c r="E1127" s="93"/>
      <c r="F1127" s="95"/>
      <c r="G1127" s="95"/>
      <c r="H1127" s="93"/>
      <c r="I1127" s="93"/>
      <c r="J1127" s="93"/>
    </row>
    <row r="1128" spans="1:10" s="65" customFormat="1" ht="14" x14ac:dyDescent="0.35">
      <c r="A1128" s="93"/>
      <c r="B1128" s="93"/>
      <c r="C1128" s="93"/>
      <c r="D1128" s="93"/>
      <c r="E1128" s="93"/>
      <c r="F1128" s="95"/>
      <c r="G1128" s="95"/>
      <c r="H1128" s="93"/>
      <c r="I1128" s="93"/>
      <c r="J1128" s="93"/>
    </row>
    <row r="1129" spans="1:10" s="65" customFormat="1" ht="14" x14ac:dyDescent="0.35">
      <c r="A1129" s="93"/>
      <c r="B1129" s="93"/>
      <c r="C1129" s="93"/>
      <c r="D1129" s="93"/>
      <c r="E1129" s="93"/>
      <c r="F1129" s="95"/>
      <c r="G1129" s="95"/>
      <c r="H1129" s="93"/>
      <c r="I1129" s="93"/>
      <c r="J1129" s="93"/>
    </row>
    <row r="1130" spans="1:10" s="65" customFormat="1" ht="14" x14ac:dyDescent="0.35">
      <c r="A1130" s="93"/>
      <c r="B1130" s="93"/>
      <c r="C1130" s="93"/>
      <c r="D1130" s="93"/>
      <c r="E1130" s="93"/>
      <c r="F1130" s="95"/>
      <c r="G1130" s="95"/>
      <c r="H1130" s="93"/>
      <c r="I1130" s="93"/>
      <c r="J1130" s="93"/>
    </row>
    <row r="1131" spans="1:10" s="65" customFormat="1" ht="14" x14ac:dyDescent="0.35">
      <c r="A1131" s="93"/>
      <c r="B1131" s="93"/>
      <c r="C1131" s="93"/>
      <c r="D1131" s="93"/>
      <c r="E1131" s="93"/>
      <c r="F1131" s="95"/>
      <c r="G1131" s="95"/>
      <c r="H1131" s="93"/>
      <c r="I1131" s="93"/>
      <c r="J1131" s="93"/>
    </row>
    <row r="1132" spans="1:10" s="65" customFormat="1" ht="14" x14ac:dyDescent="0.35">
      <c r="A1132" s="93"/>
      <c r="B1132" s="93"/>
      <c r="C1132" s="93"/>
      <c r="D1132" s="93"/>
      <c r="E1132" s="93"/>
      <c r="F1132" s="95"/>
      <c r="G1132" s="95"/>
      <c r="H1132" s="93"/>
      <c r="I1132" s="93"/>
      <c r="J1132" s="93"/>
    </row>
    <row r="1133" spans="1:10" s="65" customFormat="1" ht="14" x14ac:dyDescent="0.35">
      <c r="A1133" s="93"/>
      <c r="B1133" s="93"/>
      <c r="C1133" s="93"/>
      <c r="D1133" s="93"/>
      <c r="E1133" s="93"/>
      <c r="F1133" s="95"/>
      <c r="G1133" s="95"/>
      <c r="H1133" s="93"/>
      <c r="I1133" s="93"/>
      <c r="J1133" s="93"/>
    </row>
    <row r="1134" spans="1:10" s="65" customFormat="1" ht="14" x14ac:dyDescent="0.35">
      <c r="A1134" s="93"/>
      <c r="B1134" s="93"/>
      <c r="C1134" s="93"/>
      <c r="D1134" s="93"/>
      <c r="E1134" s="93"/>
      <c r="F1134" s="95"/>
      <c r="G1134" s="95"/>
      <c r="H1134" s="93"/>
      <c r="I1134" s="93"/>
      <c r="J1134" s="93"/>
    </row>
    <row r="1135" spans="1:10" s="65" customFormat="1" ht="14" x14ac:dyDescent="0.35">
      <c r="A1135" s="93"/>
      <c r="B1135" s="93"/>
      <c r="C1135" s="93"/>
      <c r="D1135" s="93"/>
      <c r="E1135" s="93"/>
      <c r="F1135" s="95"/>
      <c r="G1135" s="95"/>
      <c r="H1135" s="93"/>
      <c r="I1135" s="93"/>
      <c r="J1135" s="93"/>
    </row>
    <row r="1136" spans="1:10" s="65" customFormat="1" ht="14" x14ac:dyDescent="0.35">
      <c r="A1136" s="93"/>
      <c r="B1136" s="93"/>
      <c r="C1136" s="93"/>
      <c r="D1136" s="93"/>
      <c r="E1136" s="93"/>
      <c r="F1136" s="95"/>
      <c r="G1136" s="95"/>
      <c r="H1136" s="93"/>
      <c r="I1136" s="93"/>
      <c r="J1136" s="93"/>
    </row>
    <row r="1137" spans="1:10" s="65" customFormat="1" ht="14" x14ac:dyDescent="0.35">
      <c r="A1137" s="93"/>
      <c r="B1137" s="93"/>
      <c r="C1137" s="93"/>
      <c r="D1137" s="93"/>
      <c r="E1137" s="93"/>
      <c r="F1137" s="95"/>
      <c r="G1137" s="95"/>
      <c r="H1137" s="93"/>
      <c r="I1137" s="93"/>
      <c r="J1137" s="93"/>
    </row>
    <row r="1138" spans="1:10" s="65" customFormat="1" ht="14" x14ac:dyDescent="0.35">
      <c r="A1138" s="93"/>
      <c r="B1138" s="93"/>
      <c r="C1138" s="93"/>
      <c r="D1138" s="93"/>
      <c r="E1138" s="93"/>
      <c r="F1138" s="95"/>
      <c r="G1138" s="95"/>
      <c r="H1138" s="93"/>
      <c r="I1138" s="93"/>
      <c r="J1138" s="93"/>
    </row>
    <row r="1139" spans="1:10" s="65" customFormat="1" ht="14" x14ac:dyDescent="0.35">
      <c r="A1139" s="93"/>
      <c r="B1139" s="93"/>
      <c r="C1139" s="93"/>
      <c r="D1139" s="93"/>
      <c r="E1139" s="93"/>
      <c r="F1139" s="95"/>
      <c r="G1139" s="95"/>
      <c r="H1139" s="93"/>
      <c r="I1139" s="93"/>
      <c r="J1139" s="93"/>
    </row>
    <row r="1140" spans="1:10" s="65" customFormat="1" ht="14" x14ac:dyDescent="0.35">
      <c r="A1140" s="93"/>
      <c r="B1140" s="93"/>
      <c r="C1140" s="93"/>
      <c r="D1140" s="93"/>
      <c r="E1140" s="93"/>
      <c r="F1140" s="95"/>
      <c r="G1140" s="95"/>
      <c r="H1140" s="93"/>
      <c r="I1140" s="93"/>
      <c r="J1140" s="93"/>
    </row>
    <row r="1141" spans="1:10" s="65" customFormat="1" ht="14" x14ac:dyDescent="0.35">
      <c r="A1141" s="93"/>
      <c r="B1141" s="93"/>
      <c r="C1141" s="93"/>
      <c r="D1141" s="93"/>
      <c r="E1141" s="93"/>
      <c r="F1141" s="95"/>
      <c r="G1141" s="95"/>
      <c r="H1141" s="93"/>
      <c r="I1141" s="93"/>
      <c r="J1141" s="93"/>
    </row>
    <row r="1142" spans="1:10" s="65" customFormat="1" ht="14" x14ac:dyDescent="0.35">
      <c r="A1142" s="93"/>
      <c r="B1142" s="93"/>
      <c r="C1142" s="93"/>
      <c r="D1142" s="93"/>
      <c r="E1142" s="93"/>
      <c r="F1142" s="95"/>
      <c r="G1142" s="95"/>
      <c r="H1142" s="93"/>
      <c r="I1142" s="93"/>
      <c r="J1142" s="93"/>
    </row>
    <row r="1143" spans="1:10" s="65" customFormat="1" ht="14" x14ac:dyDescent="0.35">
      <c r="A1143" s="93"/>
      <c r="B1143" s="93"/>
      <c r="C1143" s="93"/>
      <c r="D1143" s="93"/>
      <c r="E1143" s="93"/>
      <c r="F1143" s="95"/>
      <c r="G1143" s="95"/>
      <c r="H1143" s="93"/>
      <c r="I1143" s="93"/>
      <c r="J1143" s="93"/>
    </row>
    <row r="1144" spans="1:10" s="65" customFormat="1" ht="14" x14ac:dyDescent="0.35">
      <c r="A1144" s="93"/>
      <c r="B1144" s="93"/>
      <c r="C1144" s="93"/>
      <c r="D1144" s="93"/>
      <c r="E1144" s="93"/>
      <c r="F1144" s="95"/>
      <c r="G1144" s="95"/>
      <c r="H1144" s="93"/>
      <c r="I1144" s="93"/>
      <c r="J1144" s="93"/>
    </row>
    <row r="1145" spans="1:10" s="65" customFormat="1" ht="14" x14ac:dyDescent="0.35">
      <c r="A1145" s="93"/>
      <c r="B1145" s="93"/>
      <c r="C1145" s="93"/>
      <c r="D1145" s="93"/>
      <c r="E1145" s="93"/>
      <c r="F1145" s="95"/>
      <c r="G1145" s="95"/>
      <c r="H1145" s="93"/>
      <c r="I1145" s="93"/>
      <c r="J1145" s="93"/>
    </row>
    <row r="1146" spans="1:10" s="65" customFormat="1" ht="14" x14ac:dyDescent="0.35">
      <c r="A1146" s="93"/>
      <c r="B1146" s="93"/>
      <c r="C1146" s="93"/>
      <c r="D1146" s="93"/>
      <c r="E1146" s="93"/>
      <c r="F1146" s="95"/>
      <c r="G1146" s="95"/>
      <c r="H1146" s="93"/>
      <c r="I1146" s="93"/>
      <c r="J1146" s="93"/>
    </row>
    <row r="1147" spans="1:10" s="65" customFormat="1" ht="14" x14ac:dyDescent="0.35">
      <c r="A1147" s="93"/>
      <c r="B1147" s="93"/>
      <c r="C1147" s="93"/>
      <c r="D1147" s="93"/>
      <c r="E1147" s="93"/>
      <c r="F1147" s="95"/>
      <c r="G1147" s="95"/>
      <c r="H1147" s="93"/>
      <c r="I1147" s="93"/>
      <c r="J1147" s="93"/>
    </row>
    <row r="1148" spans="1:10" s="65" customFormat="1" ht="14" x14ac:dyDescent="0.35">
      <c r="A1148" s="93"/>
      <c r="B1148" s="93"/>
      <c r="C1148" s="93"/>
      <c r="D1148" s="93"/>
      <c r="E1148" s="93"/>
      <c r="F1148" s="95"/>
      <c r="G1148" s="95"/>
      <c r="H1148" s="93"/>
      <c r="I1148" s="93"/>
      <c r="J1148" s="93"/>
    </row>
    <row r="1149" spans="1:10" s="65" customFormat="1" ht="14" x14ac:dyDescent="0.35">
      <c r="A1149" s="93"/>
      <c r="B1149" s="93"/>
      <c r="C1149" s="93"/>
      <c r="D1149" s="93"/>
      <c r="E1149" s="93"/>
      <c r="F1149" s="95"/>
      <c r="G1149" s="95"/>
      <c r="H1149" s="93"/>
      <c r="I1149" s="93"/>
      <c r="J1149" s="93"/>
    </row>
    <row r="1150" spans="1:10" s="65" customFormat="1" ht="14" x14ac:dyDescent="0.35">
      <c r="A1150" s="93"/>
      <c r="B1150" s="93"/>
      <c r="C1150" s="93"/>
      <c r="D1150" s="93"/>
      <c r="E1150" s="93"/>
      <c r="F1150" s="95"/>
      <c r="G1150" s="95"/>
      <c r="H1150" s="93"/>
      <c r="I1150" s="93"/>
      <c r="J1150" s="93"/>
    </row>
    <row r="1151" spans="1:10" s="65" customFormat="1" ht="14" x14ac:dyDescent="0.35">
      <c r="A1151" s="93"/>
      <c r="B1151" s="93"/>
      <c r="C1151" s="93"/>
      <c r="D1151" s="93"/>
      <c r="E1151" s="93"/>
      <c r="F1151" s="95"/>
      <c r="G1151" s="95"/>
      <c r="H1151" s="93"/>
      <c r="I1151" s="93"/>
      <c r="J1151" s="93"/>
    </row>
    <row r="1152" spans="1:10" s="65" customFormat="1" ht="14" x14ac:dyDescent="0.35">
      <c r="A1152" s="93"/>
      <c r="B1152" s="93"/>
      <c r="C1152" s="93"/>
      <c r="D1152" s="93"/>
      <c r="E1152" s="93"/>
      <c r="F1152" s="95"/>
      <c r="G1152" s="95"/>
      <c r="H1152" s="93"/>
      <c r="I1152" s="93"/>
      <c r="J1152" s="93"/>
    </row>
    <row r="1153" spans="1:10" s="65" customFormat="1" ht="14" x14ac:dyDescent="0.35">
      <c r="A1153" s="93"/>
      <c r="B1153" s="93"/>
      <c r="C1153" s="93"/>
      <c r="D1153" s="93"/>
      <c r="E1153" s="93"/>
      <c r="F1153" s="95"/>
      <c r="G1153" s="95"/>
      <c r="H1153" s="93"/>
      <c r="I1153" s="93"/>
      <c r="J1153" s="93"/>
    </row>
    <row r="1154" spans="1:10" s="65" customFormat="1" ht="14" x14ac:dyDescent="0.35">
      <c r="A1154" s="93"/>
      <c r="B1154" s="93"/>
      <c r="C1154" s="93"/>
      <c r="D1154" s="93"/>
      <c r="E1154" s="93"/>
      <c r="F1154" s="95"/>
      <c r="G1154" s="95"/>
      <c r="H1154" s="93"/>
      <c r="I1154" s="93"/>
      <c r="J1154" s="93"/>
    </row>
    <row r="1155" spans="1:10" s="65" customFormat="1" ht="14" x14ac:dyDescent="0.35">
      <c r="A1155" s="93"/>
      <c r="B1155" s="93"/>
      <c r="C1155" s="93"/>
      <c r="D1155" s="93"/>
      <c r="E1155" s="93"/>
      <c r="F1155" s="95"/>
      <c r="G1155" s="95"/>
      <c r="H1155" s="93"/>
      <c r="I1155" s="93"/>
      <c r="J1155" s="93"/>
    </row>
    <row r="1156" spans="1:10" s="65" customFormat="1" ht="14" x14ac:dyDescent="0.35">
      <c r="A1156" s="93"/>
      <c r="B1156" s="93"/>
      <c r="C1156" s="93"/>
      <c r="D1156" s="93"/>
      <c r="E1156" s="93"/>
      <c r="F1156" s="95"/>
      <c r="G1156" s="95"/>
      <c r="H1156" s="93"/>
      <c r="I1156" s="93"/>
      <c r="J1156" s="93"/>
    </row>
    <row r="1157" spans="1:10" s="65" customFormat="1" ht="14" x14ac:dyDescent="0.35">
      <c r="A1157" s="93"/>
      <c r="B1157" s="93"/>
      <c r="C1157" s="93"/>
      <c r="D1157" s="93"/>
      <c r="E1157" s="93"/>
      <c r="F1157" s="95"/>
      <c r="G1157" s="95"/>
      <c r="H1157" s="93"/>
      <c r="I1157" s="93"/>
      <c r="J1157" s="93"/>
    </row>
    <row r="1158" spans="1:10" s="65" customFormat="1" ht="14" x14ac:dyDescent="0.35">
      <c r="A1158" s="93"/>
      <c r="B1158" s="93"/>
      <c r="C1158" s="93"/>
      <c r="D1158" s="93"/>
      <c r="E1158" s="93"/>
      <c r="F1158" s="95"/>
      <c r="G1158" s="95"/>
      <c r="H1158" s="93"/>
      <c r="I1158" s="93"/>
      <c r="J1158" s="93"/>
    </row>
    <row r="1159" spans="1:10" s="65" customFormat="1" ht="14" x14ac:dyDescent="0.35">
      <c r="A1159" s="93"/>
      <c r="B1159" s="93"/>
      <c r="C1159" s="93"/>
      <c r="D1159" s="93"/>
      <c r="E1159" s="93"/>
      <c r="F1159" s="95"/>
      <c r="G1159" s="95"/>
      <c r="H1159" s="93"/>
      <c r="I1159" s="93"/>
      <c r="J1159" s="93"/>
    </row>
    <row r="1160" spans="1:10" s="65" customFormat="1" ht="14" x14ac:dyDescent="0.35">
      <c r="A1160" s="93"/>
      <c r="B1160" s="93"/>
      <c r="C1160" s="93"/>
      <c r="D1160" s="93"/>
      <c r="E1160" s="93"/>
      <c r="F1160" s="95"/>
      <c r="G1160" s="95"/>
      <c r="H1160" s="93"/>
      <c r="I1160" s="93"/>
      <c r="J1160" s="93"/>
    </row>
    <row r="1161" spans="1:10" s="65" customFormat="1" ht="14" x14ac:dyDescent="0.35">
      <c r="A1161" s="93"/>
      <c r="B1161" s="93"/>
      <c r="C1161" s="93"/>
      <c r="D1161" s="93"/>
      <c r="E1161" s="93"/>
      <c r="F1161" s="95"/>
      <c r="G1161" s="95"/>
      <c r="H1161" s="93"/>
      <c r="I1161" s="93"/>
      <c r="J1161" s="93"/>
    </row>
    <row r="1162" spans="1:10" s="65" customFormat="1" ht="14" x14ac:dyDescent="0.35">
      <c r="A1162" s="93"/>
      <c r="B1162" s="93"/>
      <c r="C1162" s="93"/>
      <c r="D1162" s="93"/>
      <c r="E1162" s="93"/>
      <c r="F1162" s="95"/>
      <c r="G1162" s="95"/>
      <c r="H1162" s="93"/>
      <c r="I1162" s="93"/>
      <c r="J1162" s="93"/>
    </row>
    <row r="1163" spans="1:10" s="65" customFormat="1" ht="14" x14ac:dyDescent="0.35">
      <c r="A1163" s="93"/>
      <c r="B1163" s="93"/>
      <c r="C1163" s="93"/>
      <c r="D1163" s="93"/>
      <c r="E1163" s="93"/>
      <c r="F1163" s="95"/>
      <c r="G1163" s="95"/>
      <c r="H1163" s="93"/>
      <c r="I1163" s="93"/>
      <c r="J1163" s="93"/>
    </row>
    <row r="1164" spans="1:10" s="65" customFormat="1" ht="14" x14ac:dyDescent="0.35">
      <c r="A1164" s="93"/>
      <c r="B1164" s="93"/>
      <c r="C1164" s="93"/>
      <c r="D1164" s="93"/>
      <c r="E1164" s="93"/>
      <c r="F1164" s="95"/>
      <c r="G1164" s="95"/>
      <c r="H1164" s="93"/>
      <c r="I1164" s="93"/>
      <c r="J1164" s="93"/>
    </row>
    <row r="1165" spans="1:10" s="65" customFormat="1" ht="14" x14ac:dyDescent="0.35">
      <c r="A1165" s="93"/>
      <c r="B1165" s="93"/>
      <c r="C1165" s="93"/>
      <c r="D1165" s="93"/>
      <c r="E1165" s="93"/>
      <c r="F1165" s="95"/>
      <c r="G1165" s="95"/>
      <c r="H1165" s="93"/>
      <c r="I1165" s="93"/>
      <c r="J1165" s="93"/>
    </row>
    <row r="1166" spans="1:10" s="65" customFormat="1" ht="14" x14ac:dyDescent="0.35">
      <c r="A1166" s="93"/>
      <c r="B1166" s="93"/>
      <c r="C1166" s="93"/>
      <c r="D1166" s="93"/>
      <c r="E1166" s="93"/>
      <c r="F1166" s="95"/>
      <c r="G1166" s="95"/>
      <c r="H1166" s="93"/>
      <c r="I1166" s="93"/>
      <c r="J1166" s="93"/>
    </row>
    <row r="1167" spans="1:10" s="65" customFormat="1" ht="14" x14ac:dyDescent="0.35">
      <c r="A1167" s="93"/>
      <c r="B1167" s="93"/>
      <c r="C1167" s="93"/>
      <c r="D1167" s="93"/>
      <c r="E1167" s="93"/>
      <c r="F1167" s="95"/>
      <c r="G1167" s="95"/>
      <c r="H1167" s="93"/>
      <c r="I1167" s="93"/>
      <c r="J1167" s="93"/>
    </row>
    <row r="1168" spans="1:10" s="65" customFormat="1" ht="14" x14ac:dyDescent="0.35">
      <c r="A1168" s="93"/>
      <c r="B1168" s="93"/>
      <c r="C1168" s="93"/>
      <c r="D1168" s="93"/>
      <c r="E1168" s="93"/>
      <c r="F1168" s="95"/>
      <c r="G1168" s="95"/>
      <c r="H1168" s="93"/>
      <c r="I1168" s="93"/>
      <c r="J1168" s="93"/>
    </row>
    <row r="1169" spans="1:10" s="65" customFormat="1" ht="14" x14ac:dyDescent="0.35">
      <c r="A1169" s="93"/>
      <c r="B1169" s="93"/>
      <c r="C1169" s="93"/>
      <c r="D1169" s="93"/>
      <c r="E1169" s="93"/>
      <c r="F1169" s="95"/>
      <c r="G1169" s="95"/>
      <c r="H1169" s="93"/>
      <c r="I1169" s="93"/>
      <c r="J1169" s="93"/>
    </row>
    <row r="1170" spans="1:10" s="65" customFormat="1" ht="14" x14ac:dyDescent="0.35">
      <c r="A1170" s="93"/>
      <c r="B1170" s="93"/>
      <c r="C1170" s="93"/>
      <c r="D1170" s="93"/>
      <c r="E1170" s="93"/>
      <c r="F1170" s="95"/>
      <c r="G1170" s="95"/>
      <c r="H1170" s="93"/>
      <c r="I1170" s="93"/>
      <c r="J1170" s="93"/>
    </row>
    <row r="1171" spans="1:10" s="65" customFormat="1" ht="14" x14ac:dyDescent="0.35">
      <c r="A1171" s="93"/>
      <c r="B1171" s="93"/>
      <c r="C1171" s="93"/>
      <c r="D1171" s="93"/>
      <c r="E1171" s="93"/>
      <c r="F1171" s="95"/>
      <c r="G1171" s="95"/>
      <c r="H1171" s="93"/>
      <c r="I1171" s="93"/>
      <c r="J1171" s="93"/>
    </row>
    <row r="1172" spans="1:10" s="65" customFormat="1" ht="14" x14ac:dyDescent="0.35">
      <c r="A1172" s="93"/>
      <c r="B1172" s="93"/>
      <c r="C1172" s="93"/>
      <c r="D1172" s="93"/>
      <c r="E1172" s="93"/>
      <c r="F1172" s="95"/>
      <c r="G1172" s="95"/>
      <c r="H1172" s="93"/>
      <c r="I1172" s="93"/>
      <c r="J1172" s="93"/>
    </row>
    <row r="1173" spans="1:10" s="65" customFormat="1" ht="14" x14ac:dyDescent="0.35">
      <c r="A1173" s="93"/>
      <c r="B1173" s="93"/>
      <c r="C1173" s="93"/>
      <c r="D1173" s="93"/>
      <c r="E1173" s="93"/>
      <c r="F1173" s="95"/>
      <c r="G1173" s="95"/>
      <c r="H1173" s="93"/>
      <c r="I1173" s="93"/>
      <c r="J1173" s="93"/>
    </row>
    <row r="1174" spans="1:10" s="65" customFormat="1" ht="14" x14ac:dyDescent="0.35">
      <c r="A1174" s="93"/>
      <c r="B1174" s="93"/>
      <c r="C1174" s="93"/>
      <c r="D1174" s="93"/>
      <c r="E1174" s="93"/>
      <c r="F1174" s="95"/>
      <c r="G1174" s="95"/>
      <c r="H1174" s="93"/>
      <c r="I1174" s="93"/>
      <c r="J1174" s="93"/>
    </row>
    <row r="1175" spans="1:10" s="65" customFormat="1" ht="14" x14ac:dyDescent="0.35">
      <c r="A1175" s="93"/>
      <c r="B1175" s="93"/>
      <c r="C1175" s="93"/>
      <c r="D1175" s="93"/>
      <c r="E1175" s="93"/>
      <c r="F1175" s="95"/>
      <c r="G1175" s="95"/>
      <c r="H1175" s="93"/>
      <c r="I1175" s="93"/>
      <c r="J1175" s="93"/>
    </row>
    <row r="1176" spans="1:10" s="65" customFormat="1" ht="14" x14ac:dyDescent="0.35">
      <c r="A1176" s="93"/>
      <c r="B1176" s="93"/>
      <c r="C1176" s="93"/>
      <c r="D1176" s="93"/>
      <c r="E1176" s="93"/>
      <c r="F1176" s="95"/>
      <c r="G1176" s="95"/>
      <c r="H1176" s="93"/>
      <c r="I1176" s="93"/>
      <c r="J1176" s="93"/>
    </row>
    <row r="1177" spans="1:10" s="65" customFormat="1" ht="14" x14ac:dyDescent="0.35">
      <c r="A1177" s="93"/>
      <c r="B1177" s="93"/>
      <c r="C1177" s="93"/>
      <c r="D1177" s="93"/>
      <c r="E1177" s="93"/>
      <c r="F1177" s="95"/>
      <c r="G1177" s="95"/>
      <c r="H1177" s="93"/>
      <c r="I1177" s="93"/>
      <c r="J1177" s="93"/>
    </row>
    <row r="1178" spans="1:10" s="65" customFormat="1" ht="14" x14ac:dyDescent="0.35">
      <c r="A1178" s="93"/>
      <c r="B1178" s="93"/>
      <c r="C1178" s="93"/>
      <c r="D1178" s="93"/>
      <c r="E1178" s="93"/>
      <c r="F1178" s="95"/>
      <c r="G1178" s="95"/>
      <c r="H1178" s="93"/>
      <c r="I1178" s="93"/>
      <c r="J1178" s="93"/>
    </row>
    <row r="1179" spans="1:10" s="65" customFormat="1" ht="14" x14ac:dyDescent="0.35">
      <c r="A1179" s="93"/>
      <c r="B1179" s="93"/>
      <c r="C1179" s="93"/>
      <c r="D1179" s="93"/>
      <c r="E1179" s="93"/>
      <c r="F1179" s="95"/>
      <c r="G1179" s="95"/>
      <c r="H1179" s="93"/>
      <c r="I1179" s="93"/>
      <c r="J1179" s="93"/>
    </row>
    <row r="1180" spans="1:10" s="65" customFormat="1" ht="14" x14ac:dyDescent="0.35">
      <c r="A1180" s="93"/>
      <c r="B1180" s="93"/>
      <c r="C1180" s="93"/>
      <c r="D1180" s="93"/>
      <c r="E1180" s="93"/>
      <c r="F1180" s="95"/>
      <c r="G1180" s="95"/>
      <c r="H1180" s="93"/>
      <c r="I1180" s="93"/>
      <c r="J1180" s="93"/>
    </row>
    <row r="1181" spans="1:10" s="65" customFormat="1" ht="14" x14ac:dyDescent="0.35">
      <c r="A1181" s="93"/>
      <c r="B1181" s="93"/>
      <c r="C1181" s="93"/>
      <c r="D1181" s="93"/>
      <c r="E1181" s="93"/>
      <c r="F1181" s="95"/>
      <c r="G1181" s="95"/>
      <c r="H1181" s="93"/>
      <c r="I1181" s="93"/>
      <c r="J1181" s="93"/>
    </row>
    <row r="1182" spans="1:10" s="65" customFormat="1" ht="14" x14ac:dyDescent="0.35">
      <c r="A1182" s="93"/>
      <c r="B1182" s="93"/>
      <c r="C1182" s="93"/>
      <c r="D1182" s="93"/>
      <c r="E1182" s="93"/>
      <c r="F1182" s="95"/>
      <c r="G1182" s="95"/>
      <c r="H1182" s="93"/>
      <c r="I1182" s="93"/>
      <c r="J1182" s="93"/>
    </row>
    <row r="1183" spans="1:10" s="65" customFormat="1" ht="14" x14ac:dyDescent="0.35">
      <c r="A1183" s="93"/>
      <c r="B1183" s="93"/>
      <c r="C1183" s="93"/>
      <c r="D1183" s="93"/>
      <c r="E1183" s="93"/>
      <c r="F1183" s="95"/>
      <c r="G1183" s="95"/>
      <c r="H1183" s="93"/>
      <c r="I1183" s="93"/>
      <c r="J1183" s="93"/>
    </row>
    <row r="1184" spans="1:10" s="65" customFormat="1" ht="14" x14ac:dyDescent="0.35">
      <c r="A1184" s="93"/>
      <c r="B1184" s="93"/>
      <c r="C1184" s="93"/>
      <c r="D1184" s="93"/>
      <c r="E1184" s="93"/>
      <c r="F1184" s="95"/>
      <c r="G1184" s="95"/>
      <c r="H1184" s="93"/>
      <c r="I1184" s="93"/>
      <c r="J1184" s="93"/>
    </row>
    <row r="1185" spans="1:10" s="65" customFormat="1" ht="14" x14ac:dyDescent="0.35">
      <c r="A1185" s="93"/>
      <c r="B1185" s="93"/>
      <c r="C1185" s="93"/>
      <c r="D1185" s="93"/>
      <c r="E1185" s="93"/>
      <c r="F1185" s="95"/>
      <c r="G1185" s="95"/>
      <c r="H1185" s="93"/>
      <c r="I1185" s="93"/>
      <c r="J1185" s="93"/>
    </row>
    <row r="1186" spans="1:10" s="65" customFormat="1" ht="14" x14ac:dyDescent="0.35">
      <c r="A1186" s="93"/>
      <c r="B1186" s="93"/>
      <c r="C1186" s="93"/>
      <c r="D1186" s="93"/>
      <c r="E1186" s="93"/>
      <c r="F1186" s="95"/>
      <c r="G1186" s="95"/>
      <c r="H1186" s="93"/>
      <c r="I1186" s="93"/>
      <c r="J1186" s="93"/>
    </row>
    <row r="1187" spans="1:10" s="65" customFormat="1" ht="14" x14ac:dyDescent="0.35">
      <c r="A1187" s="93"/>
      <c r="B1187" s="93"/>
      <c r="C1187" s="93"/>
      <c r="D1187" s="93"/>
      <c r="E1187" s="93"/>
      <c r="F1187" s="95"/>
      <c r="G1187" s="95"/>
      <c r="H1187" s="93"/>
      <c r="I1187" s="93"/>
      <c r="J1187" s="93"/>
    </row>
    <row r="1188" spans="1:10" s="65" customFormat="1" ht="14" x14ac:dyDescent="0.35">
      <c r="A1188" s="93"/>
      <c r="B1188" s="93"/>
      <c r="C1188" s="93"/>
      <c r="D1188" s="93"/>
      <c r="E1188" s="93"/>
      <c r="F1188" s="95"/>
      <c r="G1188" s="95"/>
      <c r="H1188" s="93"/>
      <c r="I1188" s="93"/>
      <c r="J1188" s="93"/>
    </row>
    <row r="1189" spans="1:10" s="65" customFormat="1" ht="14" x14ac:dyDescent="0.35">
      <c r="A1189" s="93"/>
      <c r="B1189" s="93"/>
      <c r="C1189" s="93"/>
      <c r="D1189" s="93"/>
      <c r="E1189" s="93"/>
      <c r="F1189" s="95"/>
      <c r="G1189" s="95"/>
      <c r="H1189" s="93"/>
      <c r="I1189" s="93"/>
      <c r="J1189" s="93"/>
    </row>
    <row r="1190" spans="1:10" s="65" customFormat="1" ht="14" x14ac:dyDescent="0.35">
      <c r="A1190" s="93"/>
      <c r="B1190" s="93"/>
      <c r="C1190" s="93"/>
      <c r="D1190" s="93"/>
      <c r="E1190" s="93"/>
      <c r="F1190" s="95"/>
      <c r="G1190" s="95"/>
      <c r="H1190" s="93"/>
      <c r="I1190" s="93"/>
      <c r="J1190" s="93"/>
    </row>
    <row r="1191" spans="1:10" s="65" customFormat="1" ht="14" x14ac:dyDescent="0.35">
      <c r="A1191" s="93"/>
      <c r="B1191" s="93"/>
      <c r="C1191" s="93"/>
      <c r="D1191" s="93"/>
      <c r="E1191" s="93"/>
      <c r="F1191" s="95"/>
      <c r="G1191" s="95"/>
      <c r="H1191" s="93"/>
      <c r="I1191" s="93"/>
      <c r="J1191" s="93"/>
    </row>
    <row r="1192" spans="1:10" s="65" customFormat="1" ht="14" x14ac:dyDescent="0.35">
      <c r="A1192" s="93"/>
      <c r="B1192" s="93"/>
      <c r="C1192" s="93"/>
      <c r="D1192" s="93"/>
      <c r="E1192" s="93"/>
      <c r="F1192" s="95"/>
      <c r="G1192" s="95"/>
      <c r="H1192" s="93"/>
      <c r="I1192" s="93"/>
      <c r="J1192" s="93"/>
    </row>
    <row r="1193" spans="1:10" s="65" customFormat="1" ht="14" x14ac:dyDescent="0.35">
      <c r="A1193" s="93"/>
      <c r="B1193" s="93"/>
      <c r="C1193" s="93"/>
      <c r="D1193" s="93"/>
      <c r="E1193" s="93"/>
      <c r="F1193" s="95"/>
      <c r="G1193" s="95"/>
      <c r="H1193" s="93"/>
      <c r="I1193" s="93"/>
      <c r="J1193" s="93"/>
    </row>
    <row r="1194" spans="1:10" s="65" customFormat="1" ht="14" x14ac:dyDescent="0.35">
      <c r="A1194" s="93"/>
      <c r="B1194" s="93"/>
      <c r="C1194" s="93"/>
      <c r="D1194" s="93"/>
      <c r="E1194" s="93"/>
      <c r="F1194" s="95"/>
      <c r="G1194" s="95"/>
      <c r="H1194" s="93"/>
      <c r="I1194" s="93"/>
      <c r="J1194" s="93"/>
    </row>
    <row r="1195" spans="1:10" s="65" customFormat="1" ht="14" x14ac:dyDescent="0.35">
      <c r="A1195" s="93"/>
      <c r="B1195" s="93"/>
      <c r="C1195" s="93"/>
      <c r="D1195" s="93"/>
      <c r="E1195" s="93"/>
      <c r="F1195" s="95"/>
      <c r="G1195" s="95"/>
      <c r="H1195" s="93"/>
      <c r="I1195" s="93"/>
      <c r="J1195" s="93"/>
    </row>
    <row r="1196" spans="1:10" s="65" customFormat="1" ht="14" x14ac:dyDescent="0.35">
      <c r="A1196" s="93"/>
      <c r="B1196" s="93"/>
      <c r="C1196" s="93"/>
      <c r="D1196" s="93"/>
      <c r="E1196" s="93"/>
      <c r="F1196" s="95"/>
      <c r="G1196" s="95"/>
      <c r="H1196" s="93"/>
      <c r="I1196" s="93"/>
      <c r="J1196" s="93"/>
    </row>
    <row r="1197" spans="1:10" s="65" customFormat="1" ht="14" x14ac:dyDescent="0.35">
      <c r="A1197" s="93"/>
      <c r="B1197" s="93"/>
      <c r="C1197" s="93"/>
      <c r="D1197" s="93"/>
      <c r="E1197" s="93"/>
      <c r="F1197" s="95"/>
      <c r="G1197" s="95"/>
      <c r="H1197" s="93"/>
      <c r="I1197" s="93"/>
      <c r="J1197" s="93"/>
    </row>
    <row r="1198" spans="1:10" s="65" customFormat="1" ht="14" x14ac:dyDescent="0.35">
      <c r="A1198" s="93"/>
      <c r="B1198" s="93"/>
      <c r="C1198" s="93"/>
      <c r="D1198" s="93"/>
      <c r="E1198" s="93"/>
      <c r="F1198" s="95"/>
      <c r="G1198" s="95"/>
      <c r="H1198" s="93"/>
      <c r="I1198" s="93"/>
      <c r="J1198" s="93"/>
    </row>
    <row r="1199" spans="1:10" s="65" customFormat="1" ht="14" x14ac:dyDescent="0.35">
      <c r="A1199" s="93"/>
      <c r="B1199" s="93"/>
      <c r="C1199" s="93"/>
      <c r="D1199" s="93"/>
      <c r="E1199" s="93"/>
      <c r="F1199" s="95"/>
      <c r="G1199" s="95"/>
      <c r="H1199" s="93"/>
      <c r="I1199" s="93"/>
      <c r="J1199" s="93"/>
    </row>
    <row r="1200" spans="1:10" s="65" customFormat="1" ht="14" x14ac:dyDescent="0.35">
      <c r="A1200" s="93"/>
      <c r="B1200" s="93"/>
      <c r="C1200" s="93"/>
      <c r="D1200" s="93"/>
      <c r="E1200" s="93"/>
      <c r="F1200" s="95"/>
      <c r="G1200" s="95"/>
      <c r="H1200" s="93"/>
      <c r="I1200" s="93"/>
      <c r="J1200" s="93"/>
    </row>
    <row r="1201" spans="1:10" s="65" customFormat="1" ht="14" x14ac:dyDescent="0.35">
      <c r="A1201" s="93"/>
      <c r="B1201" s="93"/>
      <c r="C1201" s="93"/>
      <c r="D1201" s="93"/>
      <c r="E1201" s="93"/>
      <c r="F1201" s="95"/>
      <c r="G1201" s="95"/>
      <c r="H1201" s="93"/>
      <c r="I1201" s="93"/>
      <c r="J1201" s="93"/>
    </row>
    <row r="1202" spans="1:10" s="65" customFormat="1" ht="14" x14ac:dyDescent="0.35">
      <c r="A1202" s="93"/>
      <c r="B1202" s="93"/>
      <c r="C1202" s="93"/>
      <c r="D1202" s="93"/>
      <c r="E1202" s="93"/>
      <c r="F1202" s="95"/>
      <c r="G1202" s="95"/>
      <c r="H1202" s="93"/>
      <c r="I1202" s="93"/>
      <c r="J1202" s="93"/>
    </row>
    <row r="1203" spans="1:10" s="65" customFormat="1" ht="14" x14ac:dyDescent="0.35">
      <c r="A1203" s="93"/>
      <c r="B1203" s="93"/>
      <c r="C1203" s="93"/>
      <c r="D1203" s="93"/>
      <c r="E1203" s="93"/>
      <c r="F1203" s="95"/>
      <c r="G1203" s="95"/>
      <c r="H1203" s="93"/>
      <c r="I1203" s="93"/>
      <c r="J1203" s="93"/>
    </row>
    <row r="1204" spans="1:10" s="65" customFormat="1" ht="14" x14ac:dyDescent="0.35">
      <c r="A1204" s="93"/>
      <c r="B1204" s="93"/>
      <c r="C1204" s="93"/>
      <c r="D1204" s="93"/>
      <c r="E1204" s="93"/>
      <c r="F1204" s="95"/>
      <c r="G1204" s="95"/>
      <c r="H1204" s="93"/>
      <c r="I1204" s="93"/>
      <c r="J1204" s="93"/>
    </row>
    <row r="1205" spans="1:10" s="65" customFormat="1" ht="14" x14ac:dyDescent="0.35">
      <c r="A1205" s="93"/>
      <c r="B1205" s="93"/>
      <c r="C1205" s="93"/>
      <c r="D1205" s="93"/>
      <c r="E1205" s="93"/>
      <c r="F1205" s="95"/>
      <c r="G1205" s="95"/>
      <c r="H1205" s="93"/>
      <c r="I1205" s="93"/>
      <c r="J1205" s="93"/>
    </row>
    <row r="1206" spans="1:10" s="65" customFormat="1" ht="14" x14ac:dyDescent="0.35">
      <c r="A1206" s="93"/>
      <c r="B1206" s="93"/>
      <c r="C1206" s="93"/>
      <c r="D1206" s="93"/>
      <c r="E1206" s="93"/>
      <c r="F1206" s="95"/>
      <c r="G1206" s="95"/>
      <c r="H1206" s="93"/>
      <c r="I1206" s="93"/>
      <c r="J1206" s="93"/>
    </row>
    <row r="1207" spans="1:10" s="65" customFormat="1" ht="14" x14ac:dyDescent="0.35">
      <c r="A1207" s="93"/>
      <c r="B1207" s="93"/>
      <c r="C1207" s="93"/>
      <c r="D1207" s="93"/>
      <c r="E1207" s="93"/>
      <c r="F1207" s="95"/>
      <c r="G1207" s="95"/>
      <c r="H1207" s="93"/>
      <c r="I1207" s="93"/>
      <c r="J1207" s="93"/>
    </row>
    <row r="1208" spans="1:10" s="65" customFormat="1" ht="14" x14ac:dyDescent="0.35">
      <c r="A1208" s="93"/>
      <c r="B1208" s="93"/>
      <c r="C1208" s="93"/>
      <c r="D1208" s="93"/>
      <c r="E1208" s="93"/>
      <c r="F1208" s="95"/>
      <c r="G1208" s="95"/>
      <c r="H1208" s="93"/>
      <c r="I1208" s="93"/>
      <c r="J1208" s="93"/>
    </row>
    <row r="1209" spans="1:10" s="65" customFormat="1" ht="14" x14ac:dyDescent="0.35">
      <c r="A1209" s="93"/>
      <c r="B1209" s="93"/>
      <c r="C1209" s="93"/>
      <c r="D1209" s="93"/>
      <c r="E1209" s="93"/>
      <c r="F1209" s="95"/>
      <c r="G1209" s="95"/>
      <c r="H1209" s="93"/>
      <c r="I1209" s="93"/>
      <c r="J1209" s="93"/>
    </row>
    <row r="1210" spans="1:10" s="65" customFormat="1" ht="14" x14ac:dyDescent="0.35">
      <c r="A1210" s="93"/>
      <c r="B1210" s="93"/>
      <c r="C1210" s="93"/>
      <c r="D1210" s="93"/>
      <c r="E1210" s="93"/>
      <c r="F1210" s="95"/>
      <c r="G1210" s="95"/>
      <c r="H1210" s="93"/>
      <c r="I1210" s="93"/>
      <c r="J1210" s="93"/>
    </row>
    <row r="1211" spans="1:10" s="65" customFormat="1" ht="14" x14ac:dyDescent="0.35">
      <c r="A1211" s="93"/>
      <c r="B1211" s="93"/>
      <c r="C1211" s="93"/>
      <c r="D1211" s="93"/>
      <c r="E1211" s="93"/>
      <c r="F1211" s="95"/>
      <c r="G1211" s="95"/>
      <c r="H1211" s="93"/>
      <c r="I1211" s="93"/>
      <c r="J1211" s="93"/>
    </row>
    <row r="1212" spans="1:10" s="65" customFormat="1" ht="14" x14ac:dyDescent="0.35">
      <c r="A1212" s="93"/>
      <c r="B1212" s="93"/>
      <c r="C1212" s="93"/>
      <c r="D1212" s="93"/>
      <c r="E1212" s="93"/>
      <c r="F1212" s="95"/>
      <c r="G1212" s="95"/>
      <c r="H1212" s="93"/>
      <c r="I1212" s="93"/>
      <c r="J1212" s="93"/>
    </row>
    <row r="1213" spans="1:10" s="65" customFormat="1" ht="14" x14ac:dyDescent="0.35">
      <c r="A1213" s="93"/>
      <c r="B1213" s="93"/>
      <c r="C1213" s="93"/>
      <c r="D1213" s="93"/>
      <c r="E1213" s="93"/>
      <c r="F1213" s="95"/>
      <c r="G1213" s="95"/>
      <c r="H1213" s="93"/>
      <c r="I1213" s="93"/>
      <c r="J1213" s="93"/>
    </row>
    <row r="1214" spans="1:10" s="65" customFormat="1" ht="14" x14ac:dyDescent="0.35">
      <c r="A1214" s="93"/>
      <c r="B1214" s="93"/>
      <c r="C1214" s="93"/>
      <c r="D1214" s="93"/>
      <c r="E1214" s="93"/>
      <c r="F1214" s="95"/>
      <c r="G1214" s="95"/>
      <c r="H1214" s="93"/>
      <c r="I1214" s="93"/>
      <c r="J1214" s="93"/>
    </row>
    <row r="1215" spans="1:10" s="65" customFormat="1" ht="14" x14ac:dyDescent="0.35">
      <c r="A1215" s="93"/>
      <c r="B1215" s="93"/>
      <c r="C1215" s="93"/>
      <c r="D1215" s="93"/>
      <c r="E1215" s="93"/>
      <c r="F1215" s="95"/>
      <c r="G1215" s="95"/>
      <c r="H1215" s="93"/>
      <c r="I1215" s="93"/>
      <c r="J1215" s="93"/>
    </row>
    <row r="1216" spans="1:10" s="65" customFormat="1" ht="14" x14ac:dyDescent="0.35">
      <c r="A1216" s="93"/>
      <c r="B1216" s="93"/>
      <c r="C1216" s="93"/>
      <c r="D1216" s="93"/>
      <c r="E1216" s="93"/>
      <c r="F1216" s="95"/>
      <c r="G1216" s="95"/>
      <c r="H1216" s="93"/>
      <c r="I1216" s="93"/>
      <c r="J1216" s="93"/>
    </row>
    <row r="1217" spans="1:10" s="65" customFormat="1" ht="14" x14ac:dyDescent="0.35">
      <c r="A1217" s="93"/>
      <c r="B1217" s="93"/>
      <c r="C1217" s="93"/>
      <c r="D1217" s="93"/>
      <c r="E1217" s="93"/>
      <c r="F1217" s="95"/>
      <c r="G1217" s="95"/>
      <c r="H1217" s="93"/>
      <c r="I1217" s="93"/>
      <c r="J1217" s="93"/>
    </row>
    <row r="1218" spans="1:10" s="65" customFormat="1" ht="14" x14ac:dyDescent="0.35">
      <c r="A1218" s="93"/>
      <c r="B1218" s="93"/>
      <c r="C1218" s="93"/>
      <c r="D1218" s="93"/>
      <c r="E1218" s="93"/>
      <c r="F1218" s="95"/>
      <c r="G1218" s="95"/>
      <c r="H1218" s="93"/>
      <c r="I1218" s="93"/>
      <c r="J1218" s="93"/>
    </row>
    <row r="1219" spans="1:10" s="65" customFormat="1" ht="14" x14ac:dyDescent="0.35">
      <c r="A1219" s="93"/>
      <c r="B1219" s="93"/>
      <c r="C1219" s="93"/>
      <c r="D1219" s="93"/>
      <c r="E1219" s="93"/>
      <c r="F1219" s="95"/>
      <c r="G1219" s="95"/>
      <c r="H1219" s="93"/>
      <c r="I1219" s="93"/>
      <c r="J1219" s="93"/>
    </row>
    <row r="1220" spans="1:10" s="65" customFormat="1" ht="14" x14ac:dyDescent="0.35">
      <c r="A1220" s="93"/>
      <c r="B1220" s="93"/>
      <c r="C1220" s="93"/>
      <c r="D1220" s="93"/>
      <c r="E1220" s="93"/>
      <c r="F1220" s="95"/>
      <c r="G1220" s="95"/>
      <c r="H1220" s="93"/>
      <c r="I1220" s="93"/>
      <c r="J1220" s="93"/>
    </row>
    <row r="1221" spans="1:10" s="65" customFormat="1" ht="14" x14ac:dyDescent="0.35">
      <c r="A1221" s="93"/>
      <c r="B1221" s="93"/>
      <c r="C1221" s="93"/>
      <c r="D1221" s="93"/>
      <c r="E1221" s="93"/>
      <c r="F1221" s="95"/>
      <c r="G1221" s="95"/>
      <c r="H1221" s="93"/>
      <c r="I1221" s="93"/>
      <c r="J1221" s="93"/>
    </row>
    <row r="1222" spans="1:10" s="65" customFormat="1" ht="14" x14ac:dyDescent="0.35">
      <c r="A1222" s="93"/>
      <c r="B1222" s="93"/>
      <c r="C1222" s="93"/>
      <c r="D1222" s="93"/>
      <c r="E1222" s="93"/>
      <c r="F1222" s="95"/>
      <c r="G1222" s="95"/>
      <c r="H1222" s="93"/>
      <c r="I1222" s="93"/>
      <c r="J1222" s="93"/>
    </row>
    <row r="1223" spans="1:10" s="65" customFormat="1" ht="14" x14ac:dyDescent="0.35">
      <c r="A1223" s="93"/>
      <c r="B1223" s="93"/>
      <c r="C1223" s="93"/>
      <c r="D1223" s="93"/>
      <c r="E1223" s="93"/>
      <c r="F1223" s="95"/>
      <c r="G1223" s="95"/>
      <c r="H1223" s="93"/>
      <c r="I1223" s="93"/>
      <c r="J1223" s="93"/>
    </row>
    <row r="1224" spans="1:10" s="65" customFormat="1" ht="14" x14ac:dyDescent="0.35">
      <c r="A1224" s="93"/>
      <c r="B1224" s="93"/>
      <c r="C1224" s="93"/>
      <c r="D1224" s="93"/>
      <c r="E1224" s="93"/>
      <c r="F1224" s="95"/>
      <c r="G1224" s="95"/>
      <c r="H1224" s="93"/>
      <c r="I1224" s="93"/>
      <c r="J1224" s="93"/>
    </row>
    <row r="1225" spans="1:10" s="65" customFormat="1" ht="14" x14ac:dyDescent="0.35">
      <c r="A1225" s="93"/>
      <c r="B1225" s="93"/>
      <c r="C1225" s="93"/>
      <c r="D1225" s="93"/>
      <c r="E1225" s="93"/>
      <c r="F1225" s="95"/>
      <c r="G1225" s="95"/>
      <c r="H1225" s="93"/>
      <c r="I1225" s="93"/>
      <c r="J1225" s="93"/>
    </row>
    <row r="1226" spans="1:10" s="65" customFormat="1" ht="14" x14ac:dyDescent="0.35">
      <c r="A1226" s="93"/>
      <c r="B1226" s="93"/>
      <c r="C1226" s="93"/>
      <c r="D1226" s="93"/>
      <c r="E1226" s="93"/>
      <c r="F1226" s="95"/>
      <c r="G1226" s="95"/>
      <c r="H1226" s="93"/>
      <c r="I1226" s="93"/>
      <c r="J1226" s="93"/>
    </row>
    <row r="1227" spans="1:10" s="65" customFormat="1" ht="14" x14ac:dyDescent="0.35">
      <c r="A1227" s="93"/>
      <c r="B1227" s="93"/>
      <c r="C1227" s="93"/>
      <c r="D1227" s="93"/>
      <c r="E1227" s="93"/>
      <c r="F1227" s="95"/>
      <c r="G1227" s="95"/>
      <c r="H1227" s="93"/>
      <c r="I1227" s="93"/>
      <c r="J1227" s="93"/>
    </row>
    <row r="1228" spans="1:10" s="65" customFormat="1" ht="14" x14ac:dyDescent="0.35">
      <c r="A1228" s="93"/>
      <c r="B1228" s="93"/>
      <c r="C1228" s="93"/>
      <c r="D1228" s="93"/>
      <c r="E1228" s="93"/>
      <c r="F1228" s="95"/>
      <c r="G1228" s="95"/>
      <c r="H1228" s="93"/>
      <c r="I1228" s="93"/>
      <c r="J1228" s="93"/>
    </row>
    <row r="1229" spans="1:10" s="65" customFormat="1" ht="14" x14ac:dyDescent="0.35">
      <c r="A1229" s="93"/>
      <c r="B1229" s="93"/>
      <c r="C1229" s="93"/>
      <c r="D1229" s="93"/>
      <c r="E1229" s="93"/>
      <c r="F1229" s="95"/>
      <c r="G1229" s="95"/>
      <c r="H1229" s="93"/>
      <c r="I1229" s="93"/>
      <c r="J1229" s="93"/>
    </row>
    <row r="1230" spans="1:10" s="65" customFormat="1" ht="14" x14ac:dyDescent="0.35">
      <c r="A1230" s="93"/>
      <c r="B1230" s="93"/>
      <c r="C1230" s="93"/>
      <c r="D1230" s="93"/>
      <c r="E1230" s="93"/>
      <c r="F1230" s="95"/>
      <c r="G1230" s="95"/>
      <c r="H1230" s="93"/>
      <c r="I1230" s="93"/>
      <c r="J1230" s="93"/>
    </row>
    <row r="1231" spans="1:10" s="65" customFormat="1" ht="14" x14ac:dyDescent="0.35">
      <c r="A1231" s="93"/>
      <c r="B1231" s="93"/>
      <c r="C1231" s="93"/>
      <c r="D1231" s="93"/>
      <c r="E1231" s="93"/>
      <c r="F1231" s="95"/>
      <c r="G1231" s="95"/>
      <c r="H1231" s="93"/>
      <c r="I1231" s="93"/>
      <c r="J1231" s="93"/>
    </row>
    <row r="1232" spans="1:10" s="65" customFormat="1" ht="14" x14ac:dyDescent="0.35">
      <c r="A1232" s="93"/>
      <c r="B1232" s="93"/>
      <c r="C1232" s="93"/>
      <c r="D1232" s="93"/>
      <c r="E1232" s="93"/>
      <c r="F1232" s="95"/>
      <c r="G1232" s="95"/>
      <c r="H1232" s="93"/>
      <c r="I1232" s="93"/>
      <c r="J1232" s="93"/>
    </row>
    <row r="1233" spans="1:10" s="65" customFormat="1" ht="14" x14ac:dyDescent="0.35">
      <c r="A1233" s="93"/>
      <c r="B1233" s="93"/>
      <c r="C1233" s="93"/>
      <c r="D1233" s="93"/>
      <c r="E1233" s="93"/>
      <c r="F1233" s="95"/>
      <c r="G1233" s="95"/>
      <c r="H1233" s="93"/>
      <c r="I1233" s="93"/>
      <c r="J1233" s="93"/>
    </row>
    <row r="1234" spans="1:10" s="65" customFormat="1" ht="14" x14ac:dyDescent="0.35">
      <c r="A1234" s="93"/>
      <c r="B1234" s="93"/>
      <c r="C1234" s="93"/>
      <c r="D1234" s="93"/>
      <c r="E1234" s="93"/>
      <c r="F1234" s="95"/>
      <c r="G1234" s="95"/>
      <c r="H1234" s="93"/>
      <c r="I1234" s="93"/>
      <c r="J1234" s="93"/>
    </row>
    <row r="1235" spans="1:10" s="65" customFormat="1" ht="14" x14ac:dyDescent="0.35">
      <c r="A1235" s="93"/>
      <c r="B1235" s="93"/>
      <c r="C1235" s="93"/>
      <c r="D1235" s="93"/>
      <c r="E1235" s="93"/>
      <c r="F1235" s="95"/>
      <c r="G1235" s="95"/>
      <c r="H1235" s="93"/>
      <c r="I1235" s="93"/>
      <c r="J1235" s="93"/>
    </row>
    <row r="1236" spans="1:10" s="65" customFormat="1" ht="14" x14ac:dyDescent="0.35">
      <c r="A1236" s="93"/>
      <c r="B1236" s="93"/>
      <c r="C1236" s="93"/>
      <c r="D1236" s="93"/>
      <c r="E1236" s="93"/>
      <c r="F1236" s="95"/>
      <c r="G1236" s="95"/>
      <c r="H1236" s="93"/>
      <c r="I1236" s="93"/>
      <c r="J1236" s="93"/>
    </row>
    <row r="1237" spans="1:10" s="65" customFormat="1" ht="14" x14ac:dyDescent="0.35">
      <c r="A1237" s="93"/>
      <c r="B1237" s="93"/>
      <c r="C1237" s="93"/>
      <c r="D1237" s="93"/>
      <c r="E1237" s="93"/>
      <c r="F1237" s="95"/>
      <c r="G1237" s="95"/>
      <c r="H1237" s="93"/>
      <c r="I1237" s="93"/>
      <c r="J1237" s="93"/>
    </row>
    <row r="1238" spans="1:10" s="65" customFormat="1" ht="14" x14ac:dyDescent="0.35">
      <c r="A1238" s="93"/>
      <c r="B1238" s="93"/>
      <c r="C1238" s="93"/>
      <c r="D1238" s="93"/>
      <c r="E1238" s="93"/>
      <c r="F1238" s="95"/>
      <c r="G1238" s="95"/>
      <c r="H1238" s="93"/>
      <c r="I1238" s="93"/>
      <c r="J1238" s="93"/>
    </row>
    <row r="1239" spans="1:10" s="65" customFormat="1" ht="14" x14ac:dyDescent="0.35">
      <c r="A1239" s="93"/>
      <c r="B1239" s="93"/>
      <c r="C1239" s="93"/>
      <c r="D1239" s="93"/>
      <c r="E1239" s="93"/>
      <c r="F1239" s="95"/>
      <c r="G1239" s="95"/>
      <c r="H1239" s="93"/>
      <c r="I1239" s="93"/>
      <c r="J1239" s="93"/>
    </row>
    <row r="1240" spans="1:10" s="65" customFormat="1" ht="14" x14ac:dyDescent="0.35">
      <c r="A1240" s="93"/>
      <c r="B1240" s="93"/>
      <c r="C1240" s="93"/>
      <c r="D1240" s="93"/>
      <c r="E1240" s="93"/>
      <c r="F1240" s="95"/>
      <c r="G1240" s="95"/>
      <c r="H1240" s="93"/>
      <c r="I1240" s="93"/>
      <c r="J1240" s="93"/>
    </row>
    <row r="1241" spans="1:10" s="65" customFormat="1" ht="14" x14ac:dyDescent="0.35">
      <c r="A1241" s="93"/>
      <c r="B1241" s="93"/>
      <c r="C1241" s="93"/>
      <c r="D1241" s="93"/>
      <c r="E1241" s="93"/>
      <c r="F1241" s="95"/>
      <c r="G1241" s="95"/>
      <c r="H1241" s="93"/>
      <c r="I1241" s="93"/>
      <c r="J1241" s="93"/>
    </row>
    <row r="1242" spans="1:10" s="65" customFormat="1" ht="14" x14ac:dyDescent="0.35">
      <c r="A1242" s="93"/>
      <c r="B1242" s="93"/>
      <c r="C1242" s="93"/>
      <c r="D1242" s="93"/>
      <c r="E1242" s="93"/>
      <c r="F1242" s="95"/>
      <c r="G1242" s="95"/>
      <c r="H1242" s="93"/>
      <c r="I1242" s="93"/>
      <c r="J1242" s="93"/>
    </row>
    <row r="1243" spans="1:10" s="65" customFormat="1" ht="14" x14ac:dyDescent="0.35">
      <c r="A1243" s="93"/>
      <c r="B1243" s="93"/>
      <c r="C1243" s="93"/>
      <c r="D1243" s="93"/>
      <c r="E1243" s="93"/>
      <c r="F1243" s="95"/>
      <c r="G1243" s="95"/>
      <c r="H1243" s="93"/>
      <c r="I1243" s="93"/>
      <c r="J1243" s="93"/>
    </row>
    <row r="1244" spans="1:10" s="65" customFormat="1" ht="14" x14ac:dyDescent="0.35">
      <c r="A1244" s="93"/>
      <c r="B1244" s="93"/>
      <c r="C1244" s="93"/>
      <c r="D1244" s="93"/>
      <c r="E1244" s="93"/>
      <c r="F1244" s="95"/>
      <c r="G1244" s="95"/>
      <c r="H1244" s="93"/>
      <c r="I1244" s="93"/>
      <c r="J1244" s="93"/>
    </row>
    <row r="1245" spans="1:10" s="65" customFormat="1" ht="14" x14ac:dyDescent="0.35">
      <c r="A1245" s="93"/>
      <c r="B1245" s="93"/>
      <c r="C1245" s="93"/>
      <c r="D1245" s="93"/>
      <c r="E1245" s="93"/>
      <c r="F1245" s="95"/>
      <c r="G1245" s="95"/>
      <c r="H1245" s="93"/>
      <c r="I1245" s="93"/>
      <c r="J1245" s="93"/>
    </row>
    <row r="1246" spans="1:10" s="65" customFormat="1" ht="14" x14ac:dyDescent="0.35">
      <c r="A1246" s="93"/>
      <c r="B1246" s="93"/>
      <c r="C1246" s="93"/>
      <c r="D1246" s="93"/>
      <c r="E1246" s="93"/>
      <c r="F1246" s="95"/>
      <c r="G1246" s="95"/>
      <c r="H1246" s="93"/>
      <c r="I1246" s="93"/>
      <c r="J1246" s="93"/>
    </row>
    <row r="1247" spans="1:10" s="65" customFormat="1" ht="14" x14ac:dyDescent="0.35">
      <c r="A1247" s="93"/>
      <c r="B1247" s="93"/>
      <c r="C1247" s="93"/>
      <c r="D1247" s="93"/>
      <c r="E1247" s="93"/>
      <c r="F1247" s="95"/>
      <c r="G1247" s="95"/>
      <c r="H1247" s="93"/>
      <c r="I1247" s="93"/>
      <c r="J1247" s="93"/>
    </row>
    <row r="1248" spans="1:10" s="65" customFormat="1" ht="14" x14ac:dyDescent="0.35">
      <c r="A1248" s="93"/>
      <c r="B1248" s="93"/>
      <c r="C1248" s="93"/>
      <c r="D1248" s="93"/>
      <c r="E1248" s="93"/>
      <c r="F1248" s="95"/>
      <c r="G1248" s="95"/>
      <c r="H1248" s="93"/>
      <c r="I1248" s="93"/>
      <c r="J1248" s="93"/>
    </row>
    <row r="1249" spans="1:10" s="65" customFormat="1" ht="14" x14ac:dyDescent="0.35">
      <c r="A1249" s="93"/>
      <c r="B1249" s="93"/>
      <c r="C1249" s="93"/>
      <c r="D1249" s="93"/>
      <c r="E1249" s="93"/>
      <c r="F1249" s="95"/>
      <c r="G1249" s="95"/>
      <c r="H1249" s="93"/>
      <c r="I1249" s="93"/>
      <c r="J1249" s="93"/>
    </row>
    <row r="1250" spans="1:10" s="65" customFormat="1" ht="14" x14ac:dyDescent="0.35">
      <c r="A1250" s="93"/>
      <c r="B1250" s="93"/>
      <c r="C1250" s="93"/>
      <c r="D1250" s="93"/>
      <c r="E1250" s="93"/>
      <c r="F1250" s="95"/>
      <c r="G1250" s="95"/>
      <c r="H1250" s="93"/>
      <c r="I1250" s="93"/>
      <c r="J1250" s="93"/>
    </row>
    <row r="1251" spans="1:10" s="65" customFormat="1" ht="14" x14ac:dyDescent="0.35">
      <c r="A1251" s="93"/>
      <c r="B1251" s="93"/>
      <c r="C1251" s="93"/>
      <c r="D1251" s="93"/>
      <c r="E1251" s="93"/>
      <c r="F1251" s="95"/>
      <c r="G1251" s="95"/>
      <c r="H1251" s="93"/>
      <c r="I1251" s="93"/>
      <c r="J1251" s="93"/>
    </row>
    <row r="1252" spans="1:10" s="65" customFormat="1" ht="14" x14ac:dyDescent="0.35">
      <c r="A1252" s="93"/>
      <c r="B1252" s="93"/>
      <c r="C1252" s="93"/>
      <c r="D1252" s="93"/>
      <c r="E1252" s="93"/>
      <c r="F1252" s="95"/>
      <c r="G1252" s="95"/>
      <c r="H1252" s="93"/>
      <c r="I1252" s="93"/>
      <c r="J1252" s="93"/>
    </row>
    <row r="1253" spans="1:10" s="65" customFormat="1" ht="14" x14ac:dyDescent="0.35">
      <c r="A1253" s="93"/>
      <c r="B1253" s="93"/>
      <c r="C1253" s="93"/>
      <c r="D1253" s="93"/>
      <c r="E1253" s="93"/>
      <c r="F1253" s="95"/>
      <c r="G1253" s="95"/>
      <c r="H1253" s="93"/>
      <c r="I1253" s="93"/>
      <c r="J1253" s="93"/>
    </row>
    <row r="1254" spans="1:10" s="65" customFormat="1" ht="14" x14ac:dyDescent="0.35">
      <c r="A1254" s="93"/>
      <c r="B1254" s="93"/>
      <c r="C1254" s="93"/>
      <c r="D1254" s="93"/>
      <c r="E1254" s="93"/>
      <c r="F1254" s="95"/>
      <c r="G1254" s="95"/>
      <c r="H1254" s="93"/>
      <c r="I1254" s="93"/>
      <c r="J1254" s="93"/>
    </row>
    <row r="1255" spans="1:10" s="65" customFormat="1" ht="14" x14ac:dyDescent="0.35">
      <c r="A1255" s="93"/>
      <c r="B1255" s="93"/>
      <c r="C1255" s="93"/>
      <c r="D1255" s="93"/>
      <c r="E1255" s="93"/>
      <c r="F1255" s="95"/>
      <c r="G1255" s="95"/>
      <c r="H1255" s="93"/>
      <c r="I1255" s="93"/>
      <c r="J1255" s="93"/>
    </row>
    <row r="1256" spans="1:10" s="65" customFormat="1" ht="14" x14ac:dyDescent="0.35">
      <c r="A1256" s="93"/>
      <c r="B1256" s="93"/>
      <c r="C1256" s="93"/>
      <c r="D1256" s="93"/>
      <c r="E1256" s="93"/>
      <c r="F1256" s="95"/>
      <c r="G1256" s="95"/>
      <c r="H1256" s="93"/>
      <c r="I1256" s="93"/>
      <c r="J1256" s="93"/>
    </row>
    <row r="1257" spans="1:10" s="65" customFormat="1" ht="14" x14ac:dyDescent="0.35">
      <c r="A1257" s="93"/>
      <c r="B1257" s="93"/>
      <c r="C1257" s="93"/>
      <c r="D1257" s="93"/>
      <c r="E1257" s="93"/>
      <c r="F1257" s="95"/>
      <c r="G1257" s="95"/>
      <c r="H1257" s="93"/>
      <c r="I1257" s="93"/>
      <c r="J1257" s="93"/>
    </row>
    <row r="1258" spans="1:10" s="65" customFormat="1" ht="14" x14ac:dyDescent="0.35">
      <c r="A1258" s="93"/>
      <c r="B1258" s="93"/>
      <c r="C1258" s="93"/>
      <c r="D1258" s="93"/>
      <c r="E1258" s="93"/>
      <c r="F1258" s="95"/>
      <c r="G1258" s="95"/>
      <c r="H1258" s="93"/>
      <c r="I1258" s="93"/>
      <c r="J1258" s="93"/>
    </row>
    <row r="1259" spans="1:10" s="65" customFormat="1" ht="14" x14ac:dyDescent="0.35">
      <c r="A1259" s="93"/>
      <c r="B1259" s="93"/>
      <c r="C1259" s="93"/>
      <c r="D1259" s="93"/>
      <c r="E1259" s="93"/>
      <c r="F1259" s="95"/>
      <c r="G1259" s="95"/>
      <c r="H1259" s="93"/>
      <c r="I1259" s="93"/>
      <c r="J1259" s="93"/>
    </row>
    <row r="1260" spans="1:10" s="65" customFormat="1" ht="14" x14ac:dyDescent="0.35">
      <c r="A1260" s="93"/>
      <c r="B1260" s="93"/>
      <c r="C1260" s="93"/>
      <c r="D1260" s="93"/>
      <c r="E1260" s="93"/>
      <c r="F1260" s="95"/>
      <c r="G1260" s="95"/>
      <c r="H1260" s="93"/>
      <c r="I1260" s="93"/>
      <c r="J1260" s="93"/>
    </row>
    <row r="1261" spans="1:10" s="65" customFormat="1" ht="14" x14ac:dyDescent="0.35">
      <c r="A1261" s="93"/>
      <c r="B1261" s="93"/>
      <c r="C1261" s="93"/>
      <c r="D1261" s="93"/>
      <c r="E1261" s="93"/>
      <c r="F1261" s="95"/>
      <c r="G1261" s="95"/>
      <c r="H1261" s="93"/>
      <c r="I1261" s="93"/>
      <c r="J1261" s="93"/>
    </row>
    <row r="1262" spans="1:10" s="65" customFormat="1" ht="14" x14ac:dyDescent="0.35">
      <c r="A1262" s="93"/>
      <c r="B1262" s="93"/>
      <c r="C1262" s="93"/>
      <c r="D1262" s="93"/>
      <c r="E1262" s="93"/>
      <c r="F1262" s="95"/>
      <c r="G1262" s="95"/>
      <c r="H1262" s="93"/>
      <c r="I1262" s="93"/>
      <c r="J1262" s="93"/>
    </row>
    <row r="1263" spans="1:10" s="65" customFormat="1" ht="14" x14ac:dyDescent="0.35">
      <c r="A1263" s="93"/>
      <c r="B1263" s="93"/>
      <c r="C1263" s="93"/>
      <c r="D1263" s="93"/>
      <c r="E1263" s="93"/>
      <c r="F1263" s="95"/>
      <c r="G1263" s="95"/>
      <c r="H1263" s="93"/>
      <c r="I1263" s="93"/>
      <c r="J1263" s="93"/>
    </row>
    <row r="1264" spans="1:10" s="65" customFormat="1" ht="14" x14ac:dyDescent="0.35">
      <c r="A1264" s="93"/>
      <c r="B1264" s="93"/>
      <c r="C1264" s="93"/>
      <c r="D1264" s="93"/>
      <c r="E1264" s="93"/>
      <c r="F1264" s="95"/>
      <c r="G1264" s="95"/>
      <c r="H1264" s="93"/>
      <c r="I1264" s="93"/>
      <c r="J1264" s="93"/>
    </row>
    <row r="1265" spans="1:10" s="65" customFormat="1" ht="14" x14ac:dyDescent="0.35">
      <c r="A1265" s="93"/>
      <c r="B1265" s="93"/>
      <c r="C1265" s="93"/>
      <c r="D1265" s="93"/>
      <c r="E1265" s="93"/>
      <c r="F1265" s="95"/>
      <c r="G1265" s="95"/>
      <c r="H1265" s="93"/>
      <c r="I1265" s="93"/>
      <c r="J1265" s="93"/>
    </row>
    <row r="1266" spans="1:10" s="65" customFormat="1" ht="14" x14ac:dyDescent="0.35">
      <c r="F1266" s="102"/>
      <c r="G1266" s="102"/>
      <c r="I1266" s="93"/>
      <c r="J1266" s="93"/>
    </row>
    <row r="1267" spans="1:10" s="65" customFormat="1" ht="14" x14ac:dyDescent="0.35">
      <c r="F1267" s="102"/>
      <c r="G1267" s="102"/>
      <c r="I1267" s="93"/>
      <c r="J1267" s="93"/>
    </row>
    <row r="1268" spans="1:10" s="65" customFormat="1" ht="14" x14ac:dyDescent="0.35">
      <c r="F1268" s="102"/>
      <c r="G1268" s="102"/>
      <c r="I1268" s="93"/>
      <c r="J1268" s="93"/>
    </row>
    <row r="1269" spans="1:10" s="65" customFormat="1" ht="14" x14ac:dyDescent="0.35">
      <c r="F1269" s="102"/>
      <c r="G1269" s="102"/>
      <c r="I1269" s="93"/>
      <c r="J1269" s="93"/>
    </row>
    <row r="1270" spans="1:10" s="65" customFormat="1" ht="14" x14ac:dyDescent="0.35">
      <c r="F1270" s="102"/>
      <c r="G1270" s="102"/>
      <c r="I1270" s="93"/>
      <c r="J1270" s="93"/>
    </row>
    <row r="1271" spans="1:10" s="65" customFormat="1" ht="14" x14ac:dyDescent="0.35">
      <c r="F1271" s="102"/>
      <c r="G1271" s="102"/>
      <c r="I1271" s="93"/>
      <c r="J1271" s="93"/>
    </row>
    <row r="1272" spans="1:10" s="65" customFormat="1" ht="14" x14ac:dyDescent="0.35">
      <c r="F1272" s="102"/>
      <c r="G1272" s="102"/>
      <c r="I1272" s="93"/>
      <c r="J1272" s="93"/>
    </row>
    <row r="1273" spans="1:10" s="65" customFormat="1" ht="14" x14ac:dyDescent="0.35">
      <c r="F1273" s="102"/>
      <c r="G1273" s="102"/>
      <c r="I1273" s="93"/>
      <c r="J1273" s="93"/>
    </row>
    <row r="1274" spans="1:10" s="65" customFormat="1" ht="14" x14ac:dyDescent="0.35">
      <c r="F1274" s="102"/>
      <c r="G1274" s="102"/>
      <c r="I1274" s="93"/>
      <c r="J1274" s="93"/>
    </row>
    <row r="1275" spans="1:10" s="65" customFormat="1" ht="14" x14ac:dyDescent="0.35">
      <c r="F1275" s="102"/>
      <c r="G1275" s="102"/>
      <c r="I1275" s="93"/>
      <c r="J1275" s="93"/>
    </row>
    <row r="1276" spans="1:10" s="65" customFormat="1" ht="14" x14ac:dyDescent="0.35">
      <c r="F1276" s="102"/>
      <c r="G1276" s="102"/>
      <c r="I1276" s="93"/>
      <c r="J1276" s="93"/>
    </row>
    <row r="1277" spans="1:10" s="65" customFormat="1" ht="14" x14ac:dyDescent="0.35">
      <c r="F1277" s="102"/>
      <c r="G1277" s="102"/>
      <c r="I1277" s="93"/>
      <c r="J1277" s="93"/>
    </row>
    <row r="1278" spans="1:10" s="65" customFormat="1" ht="14" x14ac:dyDescent="0.35">
      <c r="F1278" s="102"/>
      <c r="G1278" s="102"/>
      <c r="I1278" s="93"/>
      <c r="J1278" s="93"/>
    </row>
    <row r="1279" spans="1:10" s="65" customFormat="1" ht="14" x14ac:dyDescent="0.35">
      <c r="F1279" s="102"/>
      <c r="G1279" s="102"/>
      <c r="I1279" s="93"/>
      <c r="J1279" s="93"/>
    </row>
    <row r="1280" spans="1:10" s="65" customFormat="1" ht="14" x14ac:dyDescent="0.35">
      <c r="F1280" s="102"/>
      <c r="G1280" s="102"/>
      <c r="I1280" s="93"/>
      <c r="J1280" s="93"/>
    </row>
    <row r="1281" spans="6:10" s="65" customFormat="1" ht="14" x14ac:dyDescent="0.35">
      <c r="F1281" s="102"/>
      <c r="G1281" s="102"/>
      <c r="I1281" s="93"/>
      <c r="J1281" s="93"/>
    </row>
    <row r="1282" spans="6:10" s="65" customFormat="1" ht="14" x14ac:dyDescent="0.35">
      <c r="F1282" s="102"/>
      <c r="G1282" s="102"/>
      <c r="I1282" s="93"/>
      <c r="J1282" s="93"/>
    </row>
    <row r="1283" spans="6:10" s="65" customFormat="1" ht="14" x14ac:dyDescent="0.35">
      <c r="F1283" s="102"/>
      <c r="G1283" s="102"/>
      <c r="I1283" s="93"/>
      <c r="J1283" s="93"/>
    </row>
    <row r="1284" spans="6:10" s="65" customFormat="1" ht="14" x14ac:dyDescent="0.35">
      <c r="F1284" s="102"/>
      <c r="G1284" s="102"/>
      <c r="I1284" s="93"/>
      <c r="J1284" s="93"/>
    </row>
    <row r="1285" spans="6:10" s="65" customFormat="1" ht="14" x14ac:dyDescent="0.35">
      <c r="F1285" s="102"/>
      <c r="G1285" s="102"/>
      <c r="I1285" s="93"/>
      <c r="J1285" s="93"/>
    </row>
    <row r="1286" spans="6:10" s="65" customFormat="1" ht="14" x14ac:dyDescent="0.35">
      <c r="F1286" s="102"/>
      <c r="G1286" s="102"/>
      <c r="I1286" s="93"/>
      <c r="J1286" s="93"/>
    </row>
    <row r="1287" spans="6:10" s="65" customFormat="1" ht="14" x14ac:dyDescent="0.35">
      <c r="F1287" s="102"/>
      <c r="G1287" s="102"/>
      <c r="I1287" s="93"/>
      <c r="J1287" s="93"/>
    </row>
    <row r="1288" spans="6:10" s="65" customFormat="1" ht="14" x14ac:dyDescent="0.35">
      <c r="F1288" s="102"/>
      <c r="G1288" s="102"/>
      <c r="I1288" s="93"/>
      <c r="J1288" s="93"/>
    </row>
    <row r="1289" spans="6:10" s="65" customFormat="1" ht="14" x14ac:dyDescent="0.35">
      <c r="F1289" s="102"/>
      <c r="G1289" s="102"/>
      <c r="I1289" s="93"/>
      <c r="J1289" s="93"/>
    </row>
    <row r="1290" spans="6:10" s="65" customFormat="1" ht="14" x14ac:dyDescent="0.35">
      <c r="F1290" s="102"/>
      <c r="G1290" s="102"/>
      <c r="I1290" s="93"/>
      <c r="J1290" s="93"/>
    </row>
    <row r="1291" spans="6:10" s="65" customFormat="1" ht="14" x14ac:dyDescent="0.35">
      <c r="F1291" s="102"/>
      <c r="G1291" s="102"/>
      <c r="I1291" s="93"/>
      <c r="J1291" s="93"/>
    </row>
    <row r="1292" spans="6:10" s="65" customFormat="1" ht="14" x14ac:dyDescent="0.35">
      <c r="F1292" s="102"/>
      <c r="G1292" s="102"/>
      <c r="I1292" s="93"/>
      <c r="J1292" s="93"/>
    </row>
    <row r="1293" spans="6:10" s="65" customFormat="1" ht="14" x14ac:dyDescent="0.35">
      <c r="F1293" s="102"/>
      <c r="G1293" s="102"/>
      <c r="I1293" s="93"/>
      <c r="J1293" s="93"/>
    </row>
    <row r="1294" spans="6:10" s="65" customFormat="1" ht="14" x14ac:dyDescent="0.35">
      <c r="F1294" s="102"/>
      <c r="G1294" s="102"/>
      <c r="I1294" s="93"/>
      <c r="J1294" s="93"/>
    </row>
    <row r="1295" spans="6:10" s="65" customFormat="1" ht="14" x14ac:dyDescent="0.35">
      <c r="F1295" s="102"/>
      <c r="G1295" s="102"/>
      <c r="I1295" s="93"/>
      <c r="J1295" s="93"/>
    </row>
    <row r="1296" spans="6:10" s="65" customFormat="1" ht="14" x14ac:dyDescent="0.35">
      <c r="F1296" s="102"/>
      <c r="G1296" s="102"/>
      <c r="I1296" s="93"/>
      <c r="J1296" s="93"/>
    </row>
    <row r="1297" spans="6:10" s="65" customFormat="1" ht="14" x14ac:dyDescent="0.35">
      <c r="F1297" s="102"/>
      <c r="G1297" s="102"/>
      <c r="I1297" s="93"/>
      <c r="J1297" s="93"/>
    </row>
    <row r="1298" spans="6:10" s="65" customFormat="1" ht="14" x14ac:dyDescent="0.35">
      <c r="F1298" s="102"/>
      <c r="G1298" s="102"/>
      <c r="I1298" s="93"/>
      <c r="J1298" s="93"/>
    </row>
    <row r="1299" spans="6:10" s="65" customFormat="1" ht="14" x14ac:dyDescent="0.35">
      <c r="F1299" s="102"/>
      <c r="G1299" s="102"/>
      <c r="I1299" s="93"/>
      <c r="J1299" s="93"/>
    </row>
    <row r="1300" spans="6:10" s="65" customFormat="1" ht="14" x14ac:dyDescent="0.35">
      <c r="F1300" s="102"/>
      <c r="G1300" s="102"/>
      <c r="I1300" s="93"/>
      <c r="J1300" s="93"/>
    </row>
    <row r="1301" spans="6:10" s="65" customFormat="1" ht="14" x14ac:dyDescent="0.35">
      <c r="F1301" s="102"/>
      <c r="G1301" s="102"/>
      <c r="I1301" s="93"/>
      <c r="J1301" s="93"/>
    </row>
    <row r="1302" spans="6:10" s="65" customFormat="1" ht="14" x14ac:dyDescent="0.35">
      <c r="F1302" s="102"/>
      <c r="G1302" s="102"/>
      <c r="I1302" s="93"/>
      <c r="J1302" s="93"/>
    </row>
    <row r="1303" spans="6:10" s="65" customFormat="1" ht="14" x14ac:dyDescent="0.35">
      <c r="F1303" s="102"/>
      <c r="G1303" s="102"/>
      <c r="I1303" s="93"/>
      <c r="J1303" s="93"/>
    </row>
    <row r="1304" spans="6:10" s="65" customFormat="1" ht="14" x14ac:dyDescent="0.35">
      <c r="F1304" s="102"/>
      <c r="G1304" s="102"/>
      <c r="I1304" s="93"/>
      <c r="J1304" s="93"/>
    </row>
    <row r="1305" spans="6:10" s="65" customFormat="1" ht="14" x14ac:dyDescent="0.35">
      <c r="F1305" s="102"/>
      <c r="G1305" s="102"/>
      <c r="I1305" s="93"/>
      <c r="J1305" s="93"/>
    </row>
    <row r="1306" spans="6:10" s="65" customFormat="1" ht="14" x14ac:dyDescent="0.35">
      <c r="F1306" s="102"/>
      <c r="G1306" s="102"/>
      <c r="I1306" s="93"/>
      <c r="J1306" s="93"/>
    </row>
    <row r="1307" spans="6:10" s="65" customFormat="1" ht="14" x14ac:dyDescent="0.35">
      <c r="F1307" s="102"/>
      <c r="G1307" s="102"/>
      <c r="I1307" s="93"/>
      <c r="J1307" s="93"/>
    </row>
    <row r="1308" spans="6:10" s="65" customFormat="1" ht="14" x14ac:dyDescent="0.35">
      <c r="F1308" s="102"/>
      <c r="G1308" s="102"/>
      <c r="I1308" s="93"/>
      <c r="J1308" s="93"/>
    </row>
    <row r="1309" spans="6:10" s="65" customFormat="1" ht="14" x14ac:dyDescent="0.35">
      <c r="F1309" s="102"/>
      <c r="G1309" s="102"/>
      <c r="I1309" s="93"/>
      <c r="J1309" s="93"/>
    </row>
    <row r="1310" spans="6:10" s="65" customFormat="1" ht="14" x14ac:dyDescent="0.35">
      <c r="F1310" s="102"/>
      <c r="G1310" s="102"/>
      <c r="I1310" s="93"/>
      <c r="J1310" s="93"/>
    </row>
    <row r="1311" spans="6:10" s="65" customFormat="1" ht="14" x14ac:dyDescent="0.35">
      <c r="F1311" s="102"/>
      <c r="G1311" s="102"/>
      <c r="I1311" s="93"/>
      <c r="J1311" s="93"/>
    </row>
    <row r="1312" spans="6:10" s="65" customFormat="1" ht="14" x14ac:dyDescent="0.35">
      <c r="F1312" s="102"/>
      <c r="G1312" s="102"/>
      <c r="I1312" s="93"/>
      <c r="J1312" s="93"/>
    </row>
    <row r="1313" spans="6:10" s="65" customFormat="1" ht="14" x14ac:dyDescent="0.35">
      <c r="F1313" s="102"/>
      <c r="G1313" s="102"/>
      <c r="I1313" s="93"/>
      <c r="J1313" s="93"/>
    </row>
    <row r="1314" spans="6:10" s="65" customFormat="1" ht="14" x14ac:dyDescent="0.35">
      <c r="F1314" s="102"/>
      <c r="G1314" s="102"/>
      <c r="I1314" s="93"/>
      <c r="J1314" s="93"/>
    </row>
    <row r="1315" spans="6:10" s="65" customFormat="1" ht="14" x14ac:dyDescent="0.35">
      <c r="F1315" s="102"/>
      <c r="G1315" s="102"/>
      <c r="I1315" s="93"/>
      <c r="J1315" s="93"/>
    </row>
    <row r="1316" spans="6:10" s="65" customFormat="1" ht="14" x14ac:dyDescent="0.35">
      <c r="F1316" s="102"/>
      <c r="G1316" s="102"/>
      <c r="I1316" s="93"/>
      <c r="J1316" s="93"/>
    </row>
    <row r="1317" spans="6:10" s="65" customFormat="1" ht="14" x14ac:dyDescent="0.35">
      <c r="F1317" s="102"/>
      <c r="G1317" s="102"/>
      <c r="I1317" s="93"/>
      <c r="J1317" s="93"/>
    </row>
    <row r="1318" spans="6:10" s="65" customFormat="1" ht="14" x14ac:dyDescent="0.35">
      <c r="F1318" s="102"/>
      <c r="G1318" s="102"/>
      <c r="I1318" s="93"/>
      <c r="J1318" s="93"/>
    </row>
    <row r="1319" spans="6:10" s="65" customFormat="1" ht="14" x14ac:dyDescent="0.35">
      <c r="F1319" s="102"/>
      <c r="G1319" s="102"/>
      <c r="I1319" s="93"/>
      <c r="J1319" s="93"/>
    </row>
    <row r="1320" spans="6:10" s="65" customFormat="1" ht="14" x14ac:dyDescent="0.35">
      <c r="F1320" s="102"/>
      <c r="G1320" s="102"/>
      <c r="I1320" s="93"/>
      <c r="J1320" s="93"/>
    </row>
    <row r="1321" spans="6:10" s="65" customFormat="1" ht="14" x14ac:dyDescent="0.35">
      <c r="F1321" s="102"/>
      <c r="G1321" s="102"/>
      <c r="I1321" s="93"/>
      <c r="J1321" s="93"/>
    </row>
    <row r="1322" spans="6:10" s="65" customFormat="1" ht="14" x14ac:dyDescent="0.35">
      <c r="F1322" s="102"/>
      <c r="G1322" s="102"/>
      <c r="I1322" s="93"/>
      <c r="J1322" s="93"/>
    </row>
    <row r="1323" spans="6:10" s="65" customFormat="1" ht="14" x14ac:dyDescent="0.35">
      <c r="F1323" s="102"/>
      <c r="G1323" s="102"/>
      <c r="I1323" s="93"/>
      <c r="J1323" s="93"/>
    </row>
    <row r="1324" spans="6:10" s="65" customFormat="1" ht="14" x14ac:dyDescent="0.35">
      <c r="F1324" s="102"/>
      <c r="G1324" s="102"/>
      <c r="I1324" s="93"/>
      <c r="J1324" s="93"/>
    </row>
    <row r="1325" spans="6:10" s="65" customFormat="1" ht="14" x14ac:dyDescent="0.35">
      <c r="F1325" s="102"/>
      <c r="G1325" s="102"/>
      <c r="I1325" s="93"/>
      <c r="J1325" s="93"/>
    </row>
    <row r="1326" spans="6:10" s="65" customFormat="1" ht="14" x14ac:dyDescent="0.35">
      <c r="F1326" s="102"/>
      <c r="G1326" s="102"/>
      <c r="I1326" s="93"/>
      <c r="J1326" s="93"/>
    </row>
    <row r="1327" spans="6:10" s="65" customFormat="1" ht="14" x14ac:dyDescent="0.35">
      <c r="F1327" s="102"/>
      <c r="G1327" s="102"/>
      <c r="I1327" s="93"/>
      <c r="J1327" s="93"/>
    </row>
    <row r="1328" spans="6:10" s="65" customFormat="1" ht="14" x14ac:dyDescent="0.35">
      <c r="F1328" s="102"/>
      <c r="G1328" s="102"/>
      <c r="I1328" s="93"/>
      <c r="J1328" s="93"/>
    </row>
    <row r="1329" spans="6:10" s="65" customFormat="1" ht="14" x14ac:dyDescent="0.35">
      <c r="F1329" s="102"/>
      <c r="G1329" s="102"/>
      <c r="I1329" s="93"/>
      <c r="J1329" s="93"/>
    </row>
    <row r="1330" spans="6:10" s="65" customFormat="1" ht="14" x14ac:dyDescent="0.35">
      <c r="F1330" s="102"/>
      <c r="G1330" s="102"/>
      <c r="I1330" s="93"/>
      <c r="J1330" s="93"/>
    </row>
    <row r="1331" spans="6:10" s="65" customFormat="1" ht="14" x14ac:dyDescent="0.35">
      <c r="F1331" s="102"/>
      <c r="G1331" s="102"/>
      <c r="I1331" s="93"/>
      <c r="J1331" s="93"/>
    </row>
    <row r="1332" spans="6:10" s="65" customFormat="1" ht="14" x14ac:dyDescent="0.35">
      <c r="F1332" s="102"/>
      <c r="G1332" s="102"/>
      <c r="I1332" s="93"/>
      <c r="J1332" s="93"/>
    </row>
    <row r="1333" spans="6:10" s="65" customFormat="1" ht="14" x14ac:dyDescent="0.35">
      <c r="F1333" s="102"/>
      <c r="G1333" s="102"/>
      <c r="I1333" s="93"/>
      <c r="J1333" s="93"/>
    </row>
    <row r="1334" spans="6:10" s="65" customFormat="1" ht="14" x14ac:dyDescent="0.35">
      <c r="F1334" s="102"/>
      <c r="G1334" s="102"/>
      <c r="I1334" s="93"/>
      <c r="J1334" s="93"/>
    </row>
    <row r="1335" spans="6:10" s="65" customFormat="1" ht="14" x14ac:dyDescent="0.35">
      <c r="F1335" s="102"/>
      <c r="G1335" s="102"/>
      <c r="I1335" s="93"/>
      <c r="J1335" s="93"/>
    </row>
    <row r="1336" spans="6:10" s="65" customFormat="1" ht="14" x14ac:dyDescent="0.35">
      <c r="F1336" s="102"/>
      <c r="G1336" s="102"/>
      <c r="I1336" s="93"/>
      <c r="J1336" s="93"/>
    </row>
    <row r="1337" spans="6:10" s="65" customFormat="1" ht="14" x14ac:dyDescent="0.35">
      <c r="F1337" s="102"/>
      <c r="G1337" s="102"/>
      <c r="I1337" s="93"/>
      <c r="J1337" s="93"/>
    </row>
    <row r="1338" spans="6:10" s="65" customFormat="1" ht="14" x14ac:dyDescent="0.35">
      <c r="F1338" s="102"/>
      <c r="G1338" s="102"/>
      <c r="I1338" s="93"/>
      <c r="J1338" s="93"/>
    </row>
    <row r="1339" spans="6:10" s="65" customFormat="1" ht="14" x14ac:dyDescent="0.35">
      <c r="F1339" s="102"/>
      <c r="G1339" s="102"/>
      <c r="I1339" s="93"/>
      <c r="J1339" s="93"/>
    </row>
    <row r="1340" spans="6:10" s="65" customFormat="1" ht="14" x14ac:dyDescent="0.35">
      <c r="F1340" s="102"/>
      <c r="G1340" s="102"/>
      <c r="I1340" s="93"/>
      <c r="J1340" s="93"/>
    </row>
    <row r="1341" spans="6:10" s="65" customFormat="1" ht="14" x14ac:dyDescent="0.35">
      <c r="F1341" s="102"/>
      <c r="G1341" s="102"/>
      <c r="I1341" s="93"/>
      <c r="J1341" s="93"/>
    </row>
    <row r="1342" spans="6:10" s="65" customFormat="1" ht="14" x14ac:dyDescent="0.35">
      <c r="F1342" s="102"/>
      <c r="G1342" s="102"/>
      <c r="I1342" s="93"/>
      <c r="J1342" s="93"/>
    </row>
    <row r="1343" spans="6:10" s="65" customFormat="1" ht="14" x14ac:dyDescent="0.35">
      <c r="F1343" s="102"/>
      <c r="G1343" s="102"/>
      <c r="I1343" s="93"/>
      <c r="J1343" s="93"/>
    </row>
    <row r="1344" spans="6:10" s="65" customFormat="1" ht="14" x14ac:dyDescent="0.35">
      <c r="F1344" s="102"/>
      <c r="G1344" s="102"/>
      <c r="I1344" s="93"/>
      <c r="J1344" s="93"/>
    </row>
    <row r="1345" spans="6:10" s="65" customFormat="1" ht="14" x14ac:dyDescent="0.35">
      <c r="F1345" s="102"/>
      <c r="G1345" s="102"/>
      <c r="I1345" s="93"/>
      <c r="J1345" s="93"/>
    </row>
    <row r="1346" spans="6:10" s="65" customFormat="1" ht="14" x14ac:dyDescent="0.35">
      <c r="F1346" s="102"/>
      <c r="G1346" s="102"/>
      <c r="I1346" s="93"/>
      <c r="J1346" s="93"/>
    </row>
    <row r="1347" spans="6:10" s="65" customFormat="1" ht="14" x14ac:dyDescent="0.35">
      <c r="F1347" s="102"/>
      <c r="G1347" s="102"/>
      <c r="I1347" s="93"/>
      <c r="J1347" s="93"/>
    </row>
    <row r="1348" spans="6:10" s="65" customFormat="1" ht="14" x14ac:dyDescent="0.35">
      <c r="F1348" s="102"/>
      <c r="G1348" s="102"/>
      <c r="I1348" s="93"/>
      <c r="J1348" s="93"/>
    </row>
    <row r="1349" spans="6:10" s="65" customFormat="1" ht="14" x14ac:dyDescent="0.35">
      <c r="F1349" s="102"/>
      <c r="G1349" s="102"/>
      <c r="I1349" s="93"/>
      <c r="J1349" s="93"/>
    </row>
    <row r="1350" spans="6:10" s="65" customFormat="1" ht="14" x14ac:dyDescent="0.35">
      <c r="F1350" s="102"/>
      <c r="G1350" s="102"/>
      <c r="I1350" s="93"/>
      <c r="J1350" s="93"/>
    </row>
    <row r="1351" spans="6:10" s="65" customFormat="1" ht="14" x14ac:dyDescent="0.35">
      <c r="F1351" s="102"/>
      <c r="G1351" s="102"/>
      <c r="I1351" s="93"/>
      <c r="J1351" s="93"/>
    </row>
    <row r="1352" spans="6:10" s="65" customFormat="1" ht="14" x14ac:dyDescent="0.35">
      <c r="F1352" s="102"/>
      <c r="G1352" s="102"/>
      <c r="I1352" s="93"/>
      <c r="J1352" s="93"/>
    </row>
    <row r="1353" spans="6:10" s="65" customFormat="1" ht="14" x14ac:dyDescent="0.35">
      <c r="F1353" s="102"/>
      <c r="G1353" s="102"/>
      <c r="I1353" s="93"/>
      <c r="J1353" s="93"/>
    </row>
    <row r="1354" spans="6:10" s="65" customFormat="1" ht="14" x14ac:dyDescent="0.35">
      <c r="F1354" s="102"/>
      <c r="G1354" s="102"/>
      <c r="I1354" s="93"/>
      <c r="J1354" s="93"/>
    </row>
    <row r="1355" spans="6:10" s="65" customFormat="1" ht="14" x14ac:dyDescent="0.35">
      <c r="F1355" s="102"/>
      <c r="G1355" s="102"/>
      <c r="I1355" s="93"/>
      <c r="J1355" s="93"/>
    </row>
    <row r="1356" spans="6:10" s="65" customFormat="1" ht="14" x14ac:dyDescent="0.35">
      <c r="F1356" s="102"/>
      <c r="G1356" s="102"/>
      <c r="I1356" s="93"/>
      <c r="J1356" s="93"/>
    </row>
    <row r="1357" spans="6:10" s="65" customFormat="1" ht="14" x14ac:dyDescent="0.35">
      <c r="F1357" s="102"/>
      <c r="G1357" s="102"/>
      <c r="I1357" s="93"/>
      <c r="J1357" s="93"/>
    </row>
    <row r="1358" spans="6:10" s="65" customFormat="1" ht="14" x14ac:dyDescent="0.35">
      <c r="F1358" s="102"/>
      <c r="G1358" s="102"/>
      <c r="I1358" s="93"/>
      <c r="J1358" s="93"/>
    </row>
    <row r="1359" spans="6:10" s="65" customFormat="1" ht="14" x14ac:dyDescent="0.35">
      <c r="F1359" s="102"/>
      <c r="G1359" s="102"/>
      <c r="I1359" s="93"/>
      <c r="J1359" s="93"/>
    </row>
    <row r="1360" spans="6:10" s="65" customFormat="1" ht="14" x14ac:dyDescent="0.35">
      <c r="F1360" s="102"/>
      <c r="G1360" s="102"/>
      <c r="I1360" s="93"/>
      <c r="J1360" s="93"/>
    </row>
    <row r="1361" spans="6:10" s="65" customFormat="1" ht="14" x14ac:dyDescent="0.35">
      <c r="F1361" s="102"/>
      <c r="G1361" s="102"/>
      <c r="I1361" s="93"/>
      <c r="J1361" s="93"/>
    </row>
    <row r="1362" spans="6:10" s="65" customFormat="1" ht="14" x14ac:dyDescent="0.35">
      <c r="F1362" s="102"/>
      <c r="G1362" s="102"/>
      <c r="I1362" s="93"/>
      <c r="J1362" s="93"/>
    </row>
    <row r="1363" spans="6:10" s="65" customFormat="1" ht="14" x14ac:dyDescent="0.35">
      <c r="F1363" s="102"/>
      <c r="G1363" s="102"/>
      <c r="I1363" s="93"/>
      <c r="J1363" s="93"/>
    </row>
    <row r="1364" spans="6:10" s="65" customFormat="1" ht="14" x14ac:dyDescent="0.35">
      <c r="F1364" s="102"/>
      <c r="G1364" s="102"/>
      <c r="I1364" s="93"/>
      <c r="J1364" s="93"/>
    </row>
    <row r="1365" spans="6:10" s="65" customFormat="1" ht="14" x14ac:dyDescent="0.35">
      <c r="F1365" s="102"/>
      <c r="G1365" s="102"/>
      <c r="I1365" s="93"/>
      <c r="J1365" s="93"/>
    </row>
    <row r="1366" spans="6:10" s="65" customFormat="1" ht="14" x14ac:dyDescent="0.35">
      <c r="F1366" s="102"/>
      <c r="G1366" s="102"/>
      <c r="I1366" s="93"/>
      <c r="J1366" s="93"/>
    </row>
    <row r="1367" spans="6:10" s="65" customFormat="1" ht="14" x14ac:dyDescent="0.35">
      <c r="F1367" s="102"/>
      <c r="G1367" s="102"/>
      <c r="I1367" s="93"/>
      <c r="J1367" s="93"/>
    </row>
    <row r="1368" spans="6:10" s="65" customFormat="1" ht="14" x14ac:dyDescent="0.35">
      <c r="F1368" s="102"/>
      <c r="G1368" s="102"/>
      <c r="I1368" s="93"/>
      <c r="J1368" s="93"/>
    </row>
    <row r="1369" spans="6:10" s="65" customFormat="1" ht="14" x14ac:dyDescent="0.35">
      <c r="F1369" s="102"/>
      <c r="G1369" s="102"/>
      <c r="I1369" s="93"/>
      <c r="J1369" s="93"/>
    </row>
    <row r="1370" spans="6:10" s="65" customFormat="1" ht="14" x14ac:dyDescent="0.35">
      <c r="F1370" s="102"/>
      <c r="G1370" s="102"/>
      <c r="I1370" s="93"/>
      <c r="J1370" s="93"/>
    </row>
    <row r="1371" spans="6:10" s="65" customFormat="1" ht="14" x14ac:dyDescent="0.35">
      <c r="F1371" s="102"/>
      <c r="G1371" s="102"/>
      <c r="I1371" s="93"/>
      <c r="J1371" s="93"/>
    </row>
    <row r="1372" spans="6:10" s="65" customFormat="1" ht="14" x14ac:dyDescent="0.35">
      <c r="F1372" s="102"/>
      <c r="G1372" s="102"/>
      <c r="I1372" s="93"/>
      <c r="J1372" s="93"/>
    </row>
    <row r="1373" spans="6:10" s="65" customFormat="1" ht="14" x14ac:dyDescent="0.35">
      <c r="F1373" s="102"/>
      <c r="G1373" s="102"/>
      <c r="I1373" s="93"/>
      <c r="J1373" s="93"/>
    </row>
    <row r="1374" spans="6:10" s="65" customFormat="1" ht="14" x14ac:dyDescent="0.35">
      <c r="F1374" s="102"/>
      <c r="G1374" s="102"/>
      <c r="I1374" s="93"/>
      <c r="J1374" s="93"/>
    </row>
    <row r="1375" spans="6:10" s="65" customFormat="1" ht="14" x14ac:dyDescent="0.35">
      <c r="F1375" s="102"/>
      <c r="G1375" s="102"/>
      <c r="I1375" s="93"/>
      <c r="J1375" s="93"/>
    </row>
    <row r="1376" spans="6:10" s="65" customFormat="1" ht="14" x14ac:dyDescent="0.35">
      <c r="F1376" s="102"/>
      <c r="G1376" s="102"/>
      <c r="I1376" s="93"/>
      <c r="J1376" s="93"/>
    </row>
    <row r="1377" spans="6:10" s="65" customFormat="1" ht="14" x14ac:dyDescent="0.35">
      <c r="F1377" s="102"/>
      <c r="G1377" s="102"/>
      <c r="I1377" s="93"/>
      <c r="J1377" s="93"/>
    </row>
    <row r="1378" spans="6:10" s="65" customFormat="1" ht="14" x14ac:dyDescent="0.35">
      <c r="F1378" s="102"/>
      <c r="G1378" s="102"/>
      <c r="I1378" s="93"/>
      <c r="J1378" s="93"/>
    </row>
    <row r="1379" spans="6:10" s="65" customFormat="1" ht="14" x14ac:dyDescent="0.35">
      <c r="F1379" s="102"/>
      <c r="G1379" s="102"/>
      <c r="I1379" s="93"/>
      <c r="J1379" s="93"/>
    </row>
    <row r="1380" spans="6:10" s="65" customFormat="1" ht="14" x14ac:dyDescent="0.35">
      <c r="F1380" s="102"/>
      <c r="G1380" s="102"/>
      <c r="I1380" s="93"/>
      <c r="J1380" s="93"/>
    </row>
    <row r="1381" spans="6:10" s="65" customFormat="1" ht="14" x14ac:dyDescent="0.35">
      <c r="F1381" s="102"/>
      <c r="G1381" s="102"/>
      <c r="I1381" s="93"/>
      <c r="J1381" s="93"/>
    </row>
    <row r="1382" spans="6:10" s="65" customFormat="1" ht="14" x14ac:dyDescent="0.35">
      <c r="F1382" s="102"/>
      <c r="G1382" s="102"/>
      <c r="I1382" s="93"/>
      <c r="J1382" s="93"/>
    </row>
    <row r="1383" spans="6:10" s="65" customFormat="1" ht="14" x14ac:dyDescent="0.35">
      <c r="F1383" s="102"/>
      <c r="G1383" s="102"/>
      <c r="I1383" s="93"/>
      <c r="J1383" s="93"/>
    </row>
    <row r="1384" spans="6:10" s="65" customFormat="1" ht="14" x14ac:dyDescent="0.35">
      <c r="F1384" s="102"/>
      <c r="G1384" s="102"/>
      <c r="I1384" s="93"/>
      <c r="J1384" s="93"/>
    </row>
    <row r="1385" spans="6:10" s="65" customFormat="1" ht="14" x14ac:dyDescent="0.35">
      <c r="F1385" s="102"/>
      <c r="G1385" s="102"/>
      <c r="I1385" s="93"/>
      <c r="J1385" s="93"/>
    </row>
    <row r="1386" spans="6:10" s="65" customFormat="1" ht="14" x14ac:dyDescent="0.35">
      <c r="F1386" s="102"/>
      <c r="G1386" s="102"/>
      <c r="I1386" s="93"/>
      <c r="J1386" s="93"/>
    </row>
    <row r="1387" spans="6:10" s="65" customFormat="1" ht="14" x14ac:dyDescent="0.35">
      <c r="F1387" s="102"/>
      <c r="G1387" s="102"/>
      <c r="I1387" s="93"/>
      <c r="J1387" s="93"/>
    </row>
    <row r="1388" spans="6:10" s="65" customFormat="1" ht="14" x14ac:dyDescent="0.35">
      <c r="F1388" s="102"/>
      <c r="G1388" s="102"/>
      <c r="I1388" s="93"/>
      <c r="J1388" s="93"/>
    </row>
    <row r="1389" spans="6:10" s="65" customFormat="1" ht="14" x14ac:dyDescent="0.35">
      <c r="F1389" s="102"/>
      <c r="G1389" s="102"/>
      <c r="I1389" s="93"/>
      <c r="J1389" s="93"/>
    </row>
    <row r="1390" spans="6:10" s="65" customFormat="1" ht="14" x14ac:dyDescent="0.35">
      <c r="F1390" s="102"/>
      <c r="G1390" s="102"/>
      <c r="I1390" s="93"/>
      <c r="J1390" s="93"/>
    </row>
    <row r="1391" spans="6:10" s="65" customFormat="1" ht="14" x14ac:dyDescent="0.35">
      <c r="F1391" s="102"/>
      <c r="G1391" s="102"/>
      <c r="I1391" s="93"/>
      <c r="J1391" s="93"/>
    </row>
    <row r="1392" spans="6:10" s="65" customFormat="1" ht="14" x14ac:dyDescent="0.35">
      <c r="F1392" s="102"/>
      <c r="G1392" s="102"/>
      <c r="I1392" s="93"/>
      <c r="J1392" s="93"/>
    </row>
    <row r="1393" spans="6:10" s="65" customFormat="1" ht="14" x14ac:dyDescent="0.35">
      <c r="F1393" s="102"/>
      <c r="G1393" s="102"/>
      <c r="I1393" s="93"/>
      <c r="J1393" s="93"/>
    </row>
    <row r="1394" spans="6:10" s="65" customFormat="1" ht="14" x14ac:dyDescent="0.35">
      <c r="F1394" s="102"/>
      <c r="G1394" s="102"/>
      <c r="I1394" s="93"/>
      <c r="J1394" s="93"/>
    </row>
    <row r="1395" spans="6:10" s="65" customFormat="1" ht="14" x14ac:dyDescent="0.35">
      <c r="F1395" s="102"/>
      <c r="G1395" s="102"/>
      <c r="I1395" s="93"/>
      <c r="J1395" s="93"/>
    </row>
    <row r="1396" spans="6:10" s="65" customFormat="1" ht="14" x14ac:dyDescent="0.35">
      <c r="F1396" s="102"/>
      <c r="G1396" s="102"/>
      <c r="I1396" s="93"/>
      <c r="J1396" s="93"/>
    </row>
    <row r="1397" spans="6:10" s="65" customFormat="1" ht="14" x14ac:dyDescent="0.35">
      <c r="F1397" s="102"/>
      <c r="G1397" s="102"/>
      <c r="I1397" s="93"/>
      <c r="J1397" s="93"/>
    </row>
    <row r="1398" spans="6:10" s="65" customFormat="1" ht="14" x14ac:dyDescent="0.35">
      <c r="F1398" s="102"/>
      <c r="G1398" s="102"/>
      <c r="I1398" s="93"/>
      <c r="J1398" s="93"/>
    </row>
    <row r="1399" spans="6:10" s="65" customFormat="1" ht="14" x14ac:dyDescent="0.35">
      <c r="F1399" s="102"/>
      <c r="G1399" s="102"/>
      <c r="I1399" s="93"/>
      <c r="J1399" s="93"/>
    </row>
    <row r="1400" spans="6:10" s="65" customFormat="1" ht="14" x14ac:dyDescent="0.35">
      <c r="F1400" s="102"/>
      <c r="G1400" s="102"/>
      <c r="I1400" s="93"/>
      <c r="J1400" s="93"/>
    </row>
    <row r="1401" spans="6:10" s="65" customFormat="1" ht="14" x14ac:dyDescent="0.35">
      <c r="F1401" s="102"/>
      <c r="G1401" s="102"/>
      <c r="I1401" s="93"/>
      <c r="J1401" s="93"/>
    </row>
    <row r="1402" spans="6:10" s="65" customFormat="1" ht="14" x14ac:dyDescent="0.35">
      <c r="F1402" s="102"/>
      <c r="G1402" s="102"/>
      <c r="I1402" s="93"/>
      <c r="J1402" s="93"/>
    </row>
    <row r="1403" spans="6:10" s="65" customFormat="1" ht="14" x14ac:dyDescent="0.35">
      <c r="F1403" s="102"/>
      <c r="G1403" s="102"/>
      <c r="I1403" s="93"/>
      <c r="J1403" s="93"/>
    </row>
    <row r="1404" spans="6:10" s="65" customFormat="1" ht="14" x14ac:dyDescent="0.35">
      <c r="F1404" s="102"/>
      <c r="G1404" s="102"/>
      <c r="I1404" s="93"/>
      <c r="J1404" s="93"/>
    </row>
    <row r="1405" spans="6:10" s="65" customFormat="1" ht="14" x14ac:dyDescent="0.35">
      <c r="F1405" s="102"/>
      <c r="G1405" s="102"/>
      <c r="I1405" s="93"/>
      <c r="J1405" s="93"/>
    </row>
    <row r="1406" spans="6:10" s="65" customFormat="1" ht="14" x14ac:dyDescent="0.35">
      <c r="F1406" s="102"/>
      <c r="G1406" s="102"/>
      <c r="I1406" s="93"/>
      <c r="J1406" s="93"/>
    </row>
    <row r="1407" spans="6:10" s="65" customFormat="1" ht="14" x14ac:dyDescent="0.35">
      <c r="F1407" s="102"/>
      <c r="G1407" s="102"/>
      <c r="I1407" s="93"/>
      <c r="J1407" s="93"/>
    </row>
    <row r="1408" spans="6:10" s="65" customFormat="1" ht="14" x14ac:dyDescent="0.35">
      <c r="F1408" s="102"/>
      <c r="G1408" s="102"/>
      <c r="I1408" s="93"/>
      <c r="J1408" s="93"/>
    </row>
    <row r="1409" spans="6:10" s="65" customFormat="1" ht="14" x14ac:dyDescent="0.35">
      <c r="F1409" s="102"/>
      <c r="G1409" s="102"/>
      <c r="I1409" s="93"/>
      <c r="J1409" s="93"/>
    </row>
    <row r="1410" spans="6:10" s="65" customFormat="1" ht="14" x14ac:dyDescent="0.35">
      <c r="F1410" s="102"/>
      <c r="G1410" s="102"/>
      <c r="I1410" s="93"/>
      <c r="J1410" s="93"/>
    </row>
    <row r="1411" spans="6:10" s="65" customFormat="1" ht="14" x14ac:dyDescent="0.35">
      <c r="F1411" s="102"/>
      <c r="G1411" s="102"/>
      <c r="I1411" s="93"/>
      <c r="J1411" s="93"/>
    </row>
    <row r="1412" spans="6:10" s="65" customFormat="1" ht="14" x14ac:dyDescent="0.35">
      <c r="F1412" s="102"/>
      <c r="G1412" s="102"/>
      <c r="I1412" s="93"/>
      <c r="J1412" s="93"/>
    </row>
    <row r="1413" spans="6:10" s="65" customFormat="1" ht="14" x14ac:dyDescent="0.35">
      <c r="F1413" s="102"/>
      <c r="G1413" s="102"/>
      <c r="I1413" s="93"/>
      <c r="J1413" s="93"/>
    </row>
    <row r="1414" spans="6:10" s="65" customFormat="1" ht="14" x14ac:dyDescent="0.35">
      <c r="F1414" s="102"/>
      <c r="G1414" s="102"/>
      <c r="I1414" s="93"/>
      <c r="J1414" s="93"/>
    </row>
    <row r="1415" spans="6:10" s="65" customFormat="1" ht="14" x14ac:dyDescent="0.35">
      <c r="F1415" s="102"/>
      <c r="G1415" s="102"/>
      <c r="I1415" s="93"/>
      <c r="J1415" s="93"/>
    </row>
    <row r="1416" spans="6:10" s="65" customFormat="1" ht="14" x14ac:dyDescent="0.35">
      <c r="F1416" s="102"/>
      <c r="G1416" s="102"/>
      <c r="I1416" s="93"/>
      <c r="J1416" s="93"/>
    </row>
    <row r="1417" spans="6:10" s="65" customFormat="1" ht="14" x14ac:dyDescent="0.35">
      <c r="F1417" s="102"/>
      <c r="G1417" s="102"/>
      <c r="I1417" s="93"/>
      <c r="J1417" s="93"/>
    </row>
    <row r="1418" spans="6:10" s="65" customFormat="1" ht="14" x14ac:dyDescent="0.35">
      <c r="F1418" s="102"/>
      <c r="G1418" s="102"/>
      <c r="I1418" s="93"/>
      <c r="J1418" s="93"/>
    </row>
    <row r="1419" spans="6:10" s="65" customFormat="1" ht="14" x14ac:dyDescent="0.35">
      <c r="F1419" s="102"/>
      <c r="G1419" s="102"/>
      <c r="I1419" s="93"/>
      <c r="J1419" s="93"/>
    </row>
    <row r="1420" spans="6:10" s="65" customFormat="1" ht="14" x14ac:dyDescent="0.35">
      <c r="F1420" s="102"/>
      <c r="G1420" s="102"/>
      <c r="I1420" s="93"/>
      <c r="J1420" s="93"/>
    </row>
    <row r="1421" spans="6:10" s="65" customFormat="1" ht="14" x14ac:dyDescent="0.35">
      <c r="F1421" s="102"/>
      <c r="G1421" s="102"/>
      <c r="I1421" s="93"/>
      <c r="J1421" s="93"/>
    </row>
    <row r="1422" spans="6:10" s="65" customFormat="1" ht="14" x14ac:dyDescent="0.35">
      <c r="F1422" s="102"/>
      <c r="G1422" s="102"/>
      <c r="I1422" s="93"/>
      <c r="J1422" s="93"/>
    </row>
    <row r="1423" spans="6:10" s="65" customFormat="1" ht="14" x14ac:dyDescent="0.35">
      <c r="F1423" s="102"/>
      <c r="G1423" s="102"/>
      <c r="I1423" s="93"/>
      <c r="J1423" s="93"/>
    </row>
    <row r="1424" spans="6:10" s="65" customFormat="1" ht="14" x14ac:dyDescent="0.35">
      <c r="F1424" s="102"/>
      <c r="G1424" s="102"/>
      <c r="I1424" s="93"/>
      <c r="J1424" s="93"/>
    </row>
    <row r="1425" spans="6:10" s="65" customFormat="1" ht="14" x14ac:dyDescent="0.35">
      <c r="F1425" s="102"/>
      <c r="G1425" s="102"/>
      <c r="I1425" s="93"/>
      <c r="J1425" s="93"/>
    </row>
    <row r="1426" spans="6:10" s="65" customFormat="1" ht="14" x14ac:dyDescent="0.35">
      <c r="F1426" s="102"/>
      <c r="G1426" s="102"/>
      <c r="I1426" s="93"/>
      <c r="J1426" s="93"/>
    </row>
    <row r="1427" spans="6:10" s="65" customFormat="1" ht="14" x14ac:dyDescent="0.35">
      <c r="F1427" s="102"/>
      <c r="G1427" s="102"/>
      <c r="I1427" s="93"/>
      <c r="J1427" s="93"/>
    </row>
    <row r="1428" spans="6:10" s="65" customFormat="1" ht="14" x14ac:dyDescent="0.35">
      <c r="F1428" s="102"/>
      <c r="G1428" s="102"/>
      <c r="I1428" s="93"/>
      <c r="J1428" s="93"/>
    </row>
    <row r="1429" spans="6:10" s="65" customFormat="1" ht="14" x14ac:dyDescent="0.35">
      <c r="F1429" s="102"/>
      <c r="G1429" s="102"/>
      <c r="I1429" s="93"/>
      <c r="J1429" s="93"/>
    </row>
    <row r="1430" spans="6:10" s="65" customFormat="1" ht="14" x14ac:dyDescent="0.35">
      <c r="F1430" s="102"/>
      <c r="G1430" s="102"/>
      <c r="I1430" s="93"/>
      <c r="J1430" s="93"/>
    </row>
    <row r="1431" spans="6:10" s="65" customFormat="1" ht="14" x14ac:dyDescent="0.35">
      <c r="F1431" s="102"/>
      <c r="G1431" s="102"/>
      <c r="I1431" s="93"/>
      <c r="J1431" s="93"/>
    </row>
    <row r="1432" spans="6:10" s="65" customFormat="1" ht="14" x14ac:dyDescent="0.35">
      <c r="F1432" s="102"/>
      <c r="G1432" s="102"/>
      <c r="I1432" s="93"/>
      <c r="J1432" s="93"/>
    </row>
    <row r="1433" spans="6:10" s="65" customFormat="1" ht="14" x14ac:dyDescent="0.35">
      <c r="F1433" s="102"/>
      <c r="G1433" s="102"/>
      <c r="I1433" s="93"/>
      <c r="J1433" s="93"/>
    </row>
    <row r="1434" spans="6:10" s="65" customFormat="1" ht="14" x14ac:dyDescent="0.35">
      <c r="F1434" s="102"/>
      <c r="G1434" s="102"/>
      <c r="I1434" s="93"/>
      <c r="J1434" s="93"/>
    </row>
    <row r="1435" spans="6:10" s="65" customFormat="1" ht="14" x14ac:dyDescent="0.35">
      <c r="F1435" s="102"/>
      <c r="G1435" s="102"/>
      <c r="I1435" s="93"/>
      <c r="J1435" s="93"/>
    </row>
    <row r="1436" spans="6:10" s="65" customFormat="1" ht="14" x14ac:dyDescent="0.35">
      <c r="F1436" s="102"/>
      <c r="G1436" s="102"/>
      <c r="I1436" s="93"/>
      <c r="J1436" s="93"/>
    </row>
    <row r="1437" spans="6:10" s="65" customFormat="1" ht="14" x14ac:dyDescent="0.35">
      <c r="F1437" s="102"/>
      <c r="G1437" s="102"/>
      <c r="I1437" s="93"/>
      <c r="J1437" s="93"/>
    </row>
    <row r="1438" spans="6:10" s="65" customFormat="1" ht="14" x14ac:dyDescent="0.35">
      <c r="F1438" s="102"/>
      <c r="G1438" s="102"/>
      <c r="I1438" s="93"/>
      <c r="J1438" s="93"/>
    </row>
    <row r="1439" spans="6:10" s="65" customFormat="1" ht="14" x14ac:dyDescent="0.35">
      <c r="F1439" s="102"/>
      <c r="G1439" s="102"/>
      <c r="I1439" s="93"/>
      <c r="J1439" s="93"/>
    </row>
    <row r="1440" spans="6:10" s="65" customFormat="1" ht="14" x14ac:dyDescent="0.35">
      <c r="F1440" s="102"/>
      <c r="G1440" s="102"/>
      <c r="I1440" s="93"/>
      <c r="J1440" s="93"/>
    </row>
    <row r="1441" spans="6:10" s="65" customFormat="1" ht="14" x14ac:dyDescent="0.35">
      <c r="F1441" s="102"/>
      <c r="G1441" s="102"/>
      <c r="I1441" s="93"/>
      <c r="J1441" s="93"/>
    </row>
    <row r="1442" spans="6:10" s="65" customFormat="1" ht="14" x14ac:dyDescent="0.35">
      <c r="F1442" s="102"/>
      <c r="G1442" s="102"/>
      <c r="I1442" s="93"/>
      <c r="J1442" s="93"/>
    </row>
    <row r="1443" spans="6:10" s="65" customFormat="1" ht="14" x14ac:dyDescent="0.35">
      <c r="F1443" s="102"/>
      <c r="G1443" s="102"/>
      <c r="I1443" s="93"/>
      <c r="J1443" s="93"/>
    </row>
    <row r="1444" spans="6:10" s="65" customFormat="1" ht="14" x14ac:dyDescent="0.35">
      <c r="F1444" s="102"/>
      <c r="G1444" s="102"/>
      <c r="I1444" s="93"/>
      <c r="J1444" s="93"/>
    </row>
    <row r="1445" spans="6:10" s="65" customFormat="1" ht="14" x14ac:dyDescent="0.35">
      <c r="F1445" s="102"/>
      <c r="G1445" s="102"/>
      <c r="I1445" s="93"/>
      <c r="J1445" s="93"/>
    </row>
    <row r="1446" spans="6:10" s="65" customFormat="1" ht="14" x14ac:dyDescent="0.35">
      <c r="F1446" s="102"/>
      <c r="G1446" s="102"/>
      <c r="I1446" s="93"/>
      <c r="J1446" s="93"/>
    </row>
    <row r="1447" spans="6:10" s="65" customFormat="1" ht="14" x14ac:dyDescent="0.35">
      <c r="F1447" s="102"/>
      <c r="G1447" s="102"/>
      <c r="I1447" s="93"/>
      <c r="J1447" s="93"/>
    </row>
    <row r="1448" spans="6:10" s="65" customFormat="1" ht="14" x14ac:dyDescent="0.35">
      <c r="F1448" s="102"/>
      <c r="G1448" s="102"/>
      <c r="I1448" s="93"/>
      <c r="J1448" s="93"/>
    </row>
    <row r="1449" spans="6:10" s="65" customFormat="1" ht="14" x14ac:dyDescent="0.35">
      <c r="F1449" s="102"/>
      <c r="G1449" s="102"/>
      <c r="I1449" s="93"/>
      <c r="J1449" s="93"/>
    </row>
    <row r="1450" spans="6:10" s="65" customFormat="1" ht="14" x14ac:dyDescent="0.35">
      <c r="F1450" s="102"/>
      <c r="G1450" s="102"/>
      <c r="I1450" s="93"/>
      <c r="J1450" s="93"/>
    </row>
    <row r="1451" spans="6:10" s="65" customFormat="1" ht="14" x14ac:dyDescent="0.35">
      <c r="F1451" s="102"/>
      <c r="G1451" s="102"/>
      <c r="I1451" s="93"/>
      <c r="J1451" s="93"/>
    </row>
    <row r="1452" spans="6:10" s="65" customFormat="1" ht="14" x14ac:dyDescent="0.35">
      <c r="F1452" s="102"/>
      <c r="G1452" s="102"/>
      <c r="I1452" s="93"/>
      <c r="J1452" s="93"/>
    </row>
    <row r="1453" spans="6:10" s="65" customFormat="1" ht="14" x14ac:dyDescent="0.35">
      <c r="F1453" s="102"/>
      <c r="G1453" s="102"/>
      <c r="I1453" s="93"/>
      <c r="J1453" s="93"/>
    </row>
    <row r="1454" spans="6:10" s="65" customFormat="1" ht="14" x14ac:dyDescent="0.35">
      <c r="F1454" s="102"/>
      <c r="G1454" s="102"/>
      <c r="I1454" s="93"/>
      <c r="J1454" s="93"/>
    </row>
    <row r="1455" spans="6:10" s="65" customFormat="1" ht="14" x14ac:dyDescent="0.35">
      <c r="F1455" s="102"/>
      <c r="G1455" s="102"/>
      <c r="I1455" s="93"/>
      <c r="J1455" s="93"/>
    </row>
    <row r="1456" spans="6:10" s="65" customFormat="1" ht="14" x14ac:dyDescent="0.35">
      <c r="F1456" s="102"/>
      <c r="G1456" s="102"/>
      <c r="I1456" s="93"/>
      <c r="J1456" s="93"/>
    </row>
    <row r="1457" spans="6:10" s="65" customFormat="1" ht="14" x14ac:dyDescent="0.35">
      <c r="F1457" s="102"/>
      <c r="G1457" s="102"/>
      <c r="I1457" s="93"/>
      <c r="J1457" s="93"/>
    </row>
    <row r="1458" spans="6:10" s="65" customFormat="1" ht="14" x14ac:dyDescent="0.35">
      <c r="F1458" s="102"/>
      <c r="G1458" s="102"/>
      <c r="I1458" s="93"/>
      <c r="J1458" s="93"/>
    </row>
    <row r="1459" spans="6:10" s="65" customFormat="1" ht="14" x14ac:dyDescent="0.35">
      <c r="F1459" s="102"/>
      <c r="G1459" s="102"/>
      <c r="I1459" s="93"/>
      <c r="J1459" s="93"/>
    </row>
    <row r="1460" spans="6:10" s="65" customFormat="1" ht="14" x14ac:dyDescent="0.35">
      <c r="F1460" s="102"/>
      <c r="G1460" s="102"/>
      <c r="I1460" s="93"/>
      <c r="J1460" s="93"/>
    </row>
    <row r="1461" spans="6:10" s="65" customFormat="1" ht="14" x14ac:dyDescent="0.35">
      <c r="F1461" s="102"/>
      <c r="G1461" s="102"/>
      <c r="I1461" s="93"/>
      <c r="J1461" s="93"/>
    </row>
    <row r="1462" spans="6:10" s="65" customFormat="1" ht="14" x14ac:dyDescent="0.35">
      <c r="F1462" s="102"/>
      <c r="G1462" s="102"/>
      <c r="I1462" s="93"/>
      <c r="J1462" s="93"/>
    </row>
    <row r="1463" spans="6:10" s="65" customFormat="1" ht="14" x14ac:dyDescent="0.35">
      <c r="F1463" s="102"/>
      <c r="G1463" s="102"/>
      <c r="I1463" s="93"/>
      <c r="J1463" s="93"/>
    </row>
    <row r="1464" spans="6:10" s="65" customFormat="1" ht="14" x14ac:dyDescent="0.35">
      <c r="F1464" s="102"/>
      <c r="G1464" s="102"/>
      <c r="I1464" s="93"/>
      <c r="J1464" s="93"/>
    </row>
    <row r="1465" spans="6:10" s="65" customFormat="1" ht="14" x14ac:dyDescent="0.35">
      <c r="F1465" s="102"/>
      <c r="G1465" s="102"/>
      <c r="I1465" s="93"/>
      <c r="J1465" s="93"/>
    </row>
    <row r="1466" spans="6:10" s="65" customFormat="1" ht="14" x14ac:dyDescent="0.35">
      <c r="F1466" s="102"/>
      <c r="G1466" s="102"/>
      <c r="I1466" s="93"/>
      <c r="J1466" s="93"/>
    </row>
    <row r="1467" spans="6:10" s="65" customFormat="1" ht="14" x14ac:dyDescent="0.35">
      <c r="F1467" s="102"/>
      <c r="G1467" s="102"/>
      <c r="I1467" s="93"/>
      <c r="J1467" s="93"/>
    </row>
    <row r="1468" spans="6:10" s="65" customFormat="1" ht="14" x14ac:dyDescent="0.35">
      <c r="F1468" s="102"/>
      <c r="G1468" s="102"/>
      <c r="I1468" s="93"/>
      <c r="J1468" s="93"/>
    </row>
    <row r="1469" spans="6:10" s="65" customFormat="1" ht="14" x14ac:dyDescent="0.35">
      <c r="F1469" s="102"/>
      <c r="G1469" s="102"/>
      <c r="I1469" s="93"/>
      <c r="J1469" s="93"/>
    </row>
    <row r="1470" spans="6:10" s="65" customFormat="1" ht="14" x14ac:dyDescent="0.35">
      <c r="F1470" s="102"/>
      <c r="G1470" s="102"/>
      <c r="I1470" s="93"/>
      <c r="J1470" s="93"/>
    </row>
    <row r="1471" spans="6:10" s="65" customFormat="1" ht="14" x14ac:dyDescent="0.35">
      <c r="F1471" s="102"/>
      <c r="G1471" s="102"/>
      <c r="I1471" s="93"/>
      <c r="J1471" s="93"/>
    </row>
    <row r="1472" spans="6:10" s="65" customFormat="1" ht="14" x14ac:dyDescent="0.35">
      <c r="F1472" s="102"/>
      <c r="G1472" s="102"/>
      <c r="I1472" s="93"/>
      <c r="J1472" s="93"/>
    </row>
    <row r="1473" spans="6:10" s="65" customFormat="1" ht="14" x14ac:dyDescent="0.35">
      <c r="F1473" s="102"/>
      <c r="G1473" s="102"/>
      <c r="I1473" s="93"/>
      <c r="J1473" s="93"/>
    </row>
    <row r="1474" spans="6:10" s="65" customFormat="1" ht="14" x14ac:dyDescent="0.35">
      <c r="F1474" s="102"/>
      <c r="G1474" s="102"/>
      <c r="I1474" s="93"/>
      <c r="J1474" s="93"/>
    </row>
    <row r="1475" spans="6:10" s="65" customFormat="1" ht="14" x14ac:dyDescent="0.35">
      <c r="F1475" s="102"/>
      <c r="G1475" s="102"/>
      <c r="I1475" s="93"/>
      <c r="J1475" s="93"/>
    </row>
    <row r="1476" spans="6:10" s="65" customFormat="1" ht="14" x14ac:dyDescent="0.35">
      <c r="F1476" s="102"/>
      <c r="G1476" s="102"/>
      <c r="I1476" s="93"/>
      <c r="J1476" s="93"/>
    </row>
    <row r="1477" spans="6:10" s="65" customFormat="1" ht="14" x14ac:dyDescent="0.35">
      <c r="F1477" s="102"/>
      <c r="G1477" s="102"/>
      <c r="I1477" s="93"/>
      <c r="J1477" s="93"/>
    </row>
    <row r="1478" spans="6:10" s="65" customFormat="1" ht="14" x14ac:dyDescent="0.35">
      <c r="F1478" s="102"/>
      <c r="G1478" s="102"/>
      <c r="I1478" s="93"/>
      <c r="J1478" s="93"/>
    </row>
    <row r="1479" spans="6:10" s="65" customFormat="1" ht="14" x14ac:dyDescent="0.35">
      <c r="F1479" s="102"/>
      <c r="G1479" s="102"/>
      <c r="I1479" s="93"/>
      <c r="J1479" s="93"/>
    </row>
    <row r="1480" spans="6:10" s="65" customFormat="1" ht="14" x14ac:dyDescent="0.35">
      <c r="F1480" s="102"/>
      <c r="G1480" s="102"/>
      <c r="I1480" s="93"/>
      <c r="J1480" s="93"/>
    </row>
    <row r="1481" spans="6:10" s="65" customFormat="1" ht="14" x14ac:dyDescent="0.35">
      <c r="F1481" s="102"/>
      <c r="G1481" s="102"/>
      <c r="I1481" s="93"/>
      <c r="J1481" s="93"/>
    </row>
    <row r="1482" spans="6:10" s="65" customFormat="1" ht="14" x14ac:dyDescent="0.35">
      <c r="F1482" s="102"/>
      <c r="G1482" s="102"/>
      <c r="I1482" s="93"/>
      <c r="J1482" s="93"/>
    </row>
    <row r="1483" spans="6:10" s="65" customFormat="1" ht="14" x14ac:dyDescent="0.35">
      <c r="F1483" s="102"/>
      <c r="G1483" s="102"/>
      <c r="I1483" s="93"/>
      <c r="J1483" s="93"/>
    </row>
    <row r="1484" spans="6:10" s="65" customFormat="1" ht="14" x14ac:dyDescent="0.35">
      <c r="F1484" s="102"/>
      <c r="G1484" s="102"/>
      <c r="I1484" s="93"/>
      <c r="J1484" s="93"/>
    </row>
    <row r="1485" spans="6:10" s="65" customFormat="1" ht="14" x14ac:dyDescent="0.35">
      <c r="F1485" s="102"/>
      <c r="G1485" s="102"/>
      <c r="I1485" s="93"/>
      <c r="J1485" s="93"/>
    </row>
    <row r="1486" spans="6:10" s="65" customFormat="1" ht="14" x14ac:dyDescent="0.35">
      <c r="F1486" s="102"/>
      <c r="G1486" s="102"/>
      <c r="I1486" s="93"/>
      <c r="J1486" s="93"/>
    </row>
    <row r="1487" spans="6:10" s="65" customFormat="1" ht="14" x14ac:dyDescent="0.35">
      <c r="F1487" s="102"/>
      <c r="G1487" s="102"/>
      <c r="I1487" s="93"/>
      <c r="J1487" s="93"/>
    </row>
    <row r="1488" spans="6:10" s="65" customFormat="1" ht="14" x14ac:dyDescent="0.35">
      <c r="F1488" s="102"/>
      <c r="G1488" s="102"/>
      <c r="I1488" s="93"/>
      <c r="J1488" s="93"/>
    </row>
    <row r="1489" spans="6:10" s="65" customFormat="1" ht="14" x14ac:dyDescent="0.35">
      <c r="F1489" s="102"/>
      <c r="G1489" s="102"/>
      <c r="I1489" s="93"/>
      <c r="J1489" s="93"/>
    </row>
    <row r="1490" spans="6:10" s="65" customFormat="1" ht="14" x14ac:dyDescent="0.35">
      <c r="F1490" s="102"/>
      <c r="G1490" s="102"/>
      <c r="I1490" s="93"/>
      <c r="J1490" s="93"/>
    </row>
    <row r="1491" spans="6:10" s="65" customFormat="1" ht="14" x14ac:dyDescent="0.35">
      <c r="F1491" s="102"/>
      <c r="G1491" s="102"/>
      <c r="I1491" s="93"/>
      <c r="J1491" s="93"/>
    </row>
    <row r="1492" spans="6:10" s="65" customFormat="1" ht="14" x14ac:dyDescent="0.35">
      <c r="F1492" s="102"/>
      <c r="G1492" s="102"/>
      <c r="I1492" s="93"/>
      <c r="J1492" s="93"/>
    </row>
    <row r="1493" spans="6:10" s="65" customFormat="1" ht="14" x14ac:dyDescent="0.35">
      <c r="F1493" s="102"/>
      <c r="G1493" s="102"/>
      <c r="I1493" s="93"/>
      <c r="J1493" s="93"/>
    </row>
    <row r="1494" spans="6:10" s="65" customFormat="1" ht="14" x14ac:dyDescent="0.35">
      <c r="F1494" s="102"/>
      <c r="G1494" s="102"/>
      <c r="I1494" s="93"/>
      <c r="J1494" s="93"/>
    </row>
    <row r="1495" spans="6:10" s="65" customFormat="1" ht="14" x14ac:dyDescent="0.35">
      <c r="F1495" s="102"/>
      <c r="G1495" s="102"/>
      <c r="I1495" s="93"/>
      <c r="J1495" s="93"/>
    </row>
    <row r="1496" spans="6:10" s="65" customFormat="1" ht="14" x14ac:dyDescent="0.35">
      <c r="F1496" s="102"/>
      <c r="G1496" s="102"/>
      <c r="I1496" s="93"/>
      <c r="J1496" s="93"/>
    </row>
    <row r="1497" spans="6:10" s="65" customFormat="1" ht="14" x14ac:dyDescent="0.35">
      <c r="F1497" s="102"/>
      <c r="G1497" s="102"/>
      <c r="I1497" s="93"/>
      <c r="J1497" s="93"/>
    </row>
    <row r="1498" spans="6:10" s="65" customFormat="1" ht="14" x14ac:dyDescent="0.35">
      <c r="F1498" s="102"/>
      <c r="G1498" s="102"/>
      <c r="I1498" s="93"/>
      <c r="J1498" s="93"/>
    </row>
    <row r="1499" spans="6:10" s="65" customFormat="1" ht="14" x14ac:dyDescent="0.35">
      <c r="F1499" s="102"/>
      <c r="G1499" s="102"/>
      <c r="I1499" s="93"/>
      <c r="J1499" s="93"/>
    </row>
    <row r="1500" spans="6:10" s="65" customFormat="1" ht="14" x14ac:dyDescent="0.35">
      <c r="F1500" s="102"/>
      <c r="G1500" s="102"/>
      <c r="I1500" s="93"/>
      <c r="J1500" s="93"/>
    </row>
    <row r="1501" spans="6:10" s="65" customFormat="1" ht="14" x14ac:dyDescent="0.35">
      <c r="F1501" s="102"/>
      <c r="G1501" s="102"/>
      <c r="I1501" s="93"/>
      <c r="J1501" s="93"/>
    </row>
    <row r="1502" spans="6:10" s="65" customFormat="1" ht="14" x14ac:dyDescent="0.35">
      <c r="F1502" s="102"/>
      <c r="G1502" s="102"/>
      <c r="I1502" s="93"/>
      <c r="J1502" s="93"/>
    </row>
    <row r="1503" spans="6:10" s="65" customFormat="1" ht="14" x14ac:dyDescent="0.35">
      <c r="F1503" s="102"/>
      <c r="G1503" s="102"/>
      <c r="I1503" s="93"/>
      <c r="J1503" s="93"/>
    </row>
    <row r="1504" spans="6:10" s="65" customFormat="1" ht="14" x14ac:dyDescent="0.35">
      <c r="F1504" s="102"/>
      <c r="G1504" s="102"/>
      <c r="I1504" s="93"/>
      <c r="J1504" s="93"/>
    </row>
    <row r="1505" spans="6:10" s="65" customFormat="1" ht="14" x14ac:dyDescent="0.35">
      <c r="F1505" s="102"/>
      <c r="G1505" s="102"/>
      <c r="I1505" s="93"/>
      <c r="J1505" s="93"/>
    </row>
    <row r="1506" spans="6:10" s="65" customFormat="1" ht="14" x14ac:dyDescent="0.35">
      <c r="F1506" s="102"/>
      <c r="G1506" s="102"/>
      <c r="I1506" s="93"/>
      <c r="J1506" s="93"/>
    </row>
    <row r="1507" spans="6:10" s="65" customFormat="1" ht="14" x14ac:dyDescent="0.35">
      <c r="F1507" s="102"/>
      <c r="G1507" s="102"/>
      <c r="I1507" s="93"/>
      <c r="J1507" s="93"/>
    </row>
    <row r="1508" spans="6:10" s="65" customFormat="1" ht="14" x14ac:dyDescent="0.35">
      <c r="F1508" s="102"/>
      <c r="G1508" s="102"/>
      <c r="I1508" s="93"/>
      <c r="J1508" s="93"/>
    </row>
    <row r="1509" spans="6:10" s="65" customFormat="1" ht="14" x14ac:dyDescent="0.35">
      <c r="F1509" s="102"/>
      <c r="G1509" s="102"/>
      <c r="I1509" s="93"/>
      <c r="J1509" s="93"/>
    </row>
    <row r="1510" spans="6:10" s="65" customFormat="1" ht="14" x14ac:dyDescent="0.35">
      <c r="F1510" s="102"/>
      <c r="G1510" s="102"/>
      <c r="I1510" s="93"/>
      <c r="J1510" s="93"/>
    </row>
    <row r="1511" spans="6:10" s="65" customFormat="1" ht="14" x14ac:dyDescent="0.35">
      <c r="F1511" s="102"/>
      <c r="G1511" s="102"/>
      <c r="I1511" s="93"/>
      <c r="J1511" s="93"/>
    </row>
    <row r="1512" spans="6:10" s="65" customFormat="1" ht="14" x14ac:dyDescent="0.35">
      <c r="F1512" s="102"/>
      <c r="G1512" s="102"/>
      <c r="I1512" s="93"/>
      <c r="J1512" s="93"/>
    </row>
    <row r="1513" spans="6:10" s="65" customFormat="1" ht="14" x14ac:dyDescent="0.35">
      <c r="F1513" s="102"/>
      <c r="G1513" s="102"/>
      <c r="I1513" s="93"/>
      <c r="J1513" s="93"/>
    </row>
    <row r="1514" spans="6:10" s="65" customFormat="1" ht="14" x14ac:dyDescent="0.35">
      <c r="F1514" s="102"/>
      <c r="G1514" s="102"/>
      <c r="I1514" s="93"/>
      <c r="J1514" s="93"/>
    </row>
    <row r="1515" spans="6:10" s="65" customFormat="1" ht="14" x14ac:dyDescent="0.35">
      <c r="F1515" s="102"/>
      <c r="G1515" s="102"/>
      <c r="I1515" s="93"/>
      <c r="J1515" s="93"/>
    </row>
    <row r="1516" spans="6:10" s="65" customFormat="1" ht="14" x14ac:dyDescent="0.35">
      <c r="F1516" s="102"/>
      <c r="G1516" s="102"/>
      <c r="I1516" s="93"/>
      <c r="J1516" s="93"/>
    </row>
    <row r="1517" spans="6:10" s="65" customFormat="1" ht="14" x14ac:dyDescent="0.35">
      <c r="F1517" s="102"/>
      <c r="G1517" s="102"/>
      <c r="I1517" s="93"/>
      <c r="J1517" s="93"/>
    </row>
    <row r="1518" spans="6:10" s="65" customFormat="1" ht="14" x14ac:dyDescent="0.35">
      <c r="F1518" s="102"/>
      <c r="G1518" s="102"/>
      <c r="I1518" s="93"/>
      <c r="J1518" s="93"/>
    </row>
    <row r="1519" spans="6:10" s="65" customFormat="1" ht="14" x14ac:dyDescent="0.35">
      <c r="F1519" s="102"/>
      <c r="G1519" s="102"/>
      <c r="I1519" s="93"/>
      <c r="J1519" s="93"/>
    </row>
    <row r="1520" spans="6:10" s="65" customFormat="1" ht="14" x14ac:dyDescent="0.35">
      <c r="F1520" s="102"/>
      <c r="G1520" s="102"/>
      <c r="I1520" s="93"/>
      <c r="J1520" s="93"/>
    </row>
    <row r="1521" spans="6:10" s="65" customFormat="1" ht="14" x14ac:dyDescent="0.35">
      <c r="F1521" s="102"/>
      <c r="G1521" s="102"/>
      <c r="I1521" s="93"/>
      <c r="J1521" s="93"/>
    </row>
    <row r="1522" spans="6:10" s="65" customFormat="1" ht="14" x14ac:dyDescent="0.35">
      <c r="F1522" s="102"/>
      <c r="G1522" s="102"/>
      <c r="I1522" s="93"/>
      <c r="J1522" s="93"/>
    </row>
    <row r="1523" spans="6:10" s="65" customFormat="1" ht="14" x14ac:dyDescent="0.35">
      <c r="F1523" s="102"/>
      <c r="G1523" s="102"/>
      <c r="I1523" s="93"/>
      <c r="J1523" s="93"/>
    </row>
    <row r="1524" spans="6:10" s="65" customFormat="1" ht="14" x14ac:dyDescent="0.35">
      <c r="F1524" s="102"/>
      <c r="G1524" s="102"/>
      <c r="I1524" s="93"/>
      <c r="J1524" s="93"/>
    </row>
    <row r="1525" spans="6:10" s="65" customFormat="1" ht="14" x14ac:dyDescent="0.35">
      <c r="F1525" s="102"/>
      <c r="G1525" s="102"/>
      <c r="I1525" s="93"/>
      <c r="J1525" s="93"/>
    </row>
    <row r="1526" spans="6:10" s="65" customFormat="1" ht="14" x14ac:dyDescent="0.35">
      <c r="F1526" s="102"/>
      <c r="G1526" s="102"/>
      <c r="I1526" s="93"/>
      <c r="J1526" s="93"/>
    </row>
    <row r="1527" spans="6:10" s="65" customFormat="1" ht="14" x14ac:dyDescent="0.35">
      <c r="F1527" s="102"/>
      <c r="G1527" s="102"/>
      <c r="I1527" s="93"/>
      <c r="J1527" s="93"/>
    </row>
    <row r="1528" spans="6:10" s="65" customFormat="1" ht="14" x14ac:dyDescent="0.35">
      <c r="F1528" s="102"/>
      <c r="G1528" s="102"/>
      <c r="I1528" s="93"/>
      <c r="J1528" s="93"/>
    </row>
    <row r="1529" spans="6:10" s="65" customFormat="1" ht="14" x14ac:dyDescent="0.35">
      <c r="F1529" s="102"/>
      <c r="G1529" s="102"/>
      <c r="I1529" s="93"/>
      <c r="J1529" s="93"/>
    </row>
    <row r="1530" spans="6:10" s="65" customFormat="1" ht="14" x14ac:dyDescent="0.35">
      <c r="F1530" s="102"/>
      <c r="G1530" s="102"/>
      <c r="I1530" s="93"/>
      <c r="J1530" s="93"/>
    </row>
    <row r="1531" spans="6:10" s="65" customFormat="1" ht="14" x14ac:dyDescent="0.35">
      <c r="F1531" s="102"/>
      <c r="G1531" s="102"/>
      <c r="I1531" s="93"/>
      <c r="J1531" s="93"/>
    </row>
    <row r="1532" spans="6:10" s="65" customFormat="1" ht="14" x14ac:dyDescent="0.35">
      <c r="F1532" s="102"/>
      <c r="G1532" s="102"/>
      <c r="I1532" s="93"/>
      <c r="J1532" s="93"/>
    </row>
    <row r="1533" spans="6:10" s="65" customFormat="1" ht="14" x14ac:dyDescent="0.35">
      <c r="F1533" s="102"/>
      <c r="G1533" s="102"/>
      <c r="I1533" s="93"/>
      <c r="J1533" s="93"/>
    </row>
    <row r="1534" spans="6:10" s="65" customFormat="1" ht="14" x14ac:dyDescent="0.35">
      <c r="F1534" s="102"/>
      <c r="G1534" s="102"/>
      <c r="I1534" s="93"/>
      <c r="J1534" s="93"/>
    </row>
    <row r="1535" spans="6:10" s="65" customFormat="1" ht="14" x14ac:dyDescent="0.35">
      <c r="F1535" s="102"/>
      <c r="G1535" s="102"/>
      <c r="I1535" s="93"/>
      <c r="J1535" s="93"/>
    </row>
    <row r="1536" spans="6:10" s="65" customFormat="1" ht="14" x14ac:dyDescent="0.35">
      <c r="F1536" s="102"/>
      <c r="G1536" s="102"/>
      <c r="I1536" s="93"/>
      <c r="J1536" s="93"/>
    </row>
    <row r="1537" spans="6:10" s="65" customFormat="1" ht="14" x14ac:dyDescent="0.35">
      <c r="F1537" s="102"/>
      <c r="G1537" s="102"/>
      <c r="I1537" s="93"/>
      <c r="J1537" s="93"/>
    </row>
    <row r="1538" spans="6:10" s="65" customFormat="1" ht="14" x14ac:dyDescent="0.35">
      <c r="F1538" s="102"/>
      <c r="G1538" s="102"/>
      <c r="I1538" s="93"/>
      <c r="J1538" s="93"/>
    </row>
    <row r="1539" spans="6:10" s="65" customFormat="1" ht="14" x14ac:dyDescent="0.35">
      <c r="F1539" s="102"/>
      <c r="G1539" s="102"/>
      <c r="I1539" s="93"/>
      <c r="J1539" s="93"/>
    </row>
    <row r="1540" spans="6:10" s="65" customFormat="1" ht="14" x14ac:dyDescent="0.35">
      <c r="F1540" s="102"/>
      <c r="G1540" s="102"/>
      <c r="I1540" s="93"/>
      <c r="J1540" s="93"/>
    </row>
    <row r="1541" spans="6:10" s="65" customFormat="1" ht="14" x14ac:dyDescent="0.35">
      <c r="F1541" s="102"/>
      <c r="G1541" s="102"/>
      <c r="I1541" s="93"/>
      <c r="J1541" s="93"/>
    </row>
    <row r="1542" spans="6:10" s="65" customFormat="1" ht="14" x14ac:dyDescent="0.35">
      <c r="F1542" s="102"/>
      <c r="G1542" s="102"/>
      <c r="I1542" s="93"/>
      <c r="J1542" s="93"/>
    </row>
    <row r="1543" spans="6:10" s="65" customFormat="1" ht="14" x14ac:dyDescent="0.35">
      <c r="F1543" s="102"/>
      <c r="G1543" s="102"/>
      <c r="I1543" s="93"/>
      <c r="J1543" s="93"/>
    </row>
    <row r="1544" spans="6:10" s="65" customFormat="1" ht="14" x14ac:dyDescent="0.35">
      <c r="F1544" s="102"/>
      <c r="G1544" s="102"/>
      <c r="I1544" s="93"/>
      <c r="J1544" s="93"/>
    </row>
    <row r="1545" spans="6:10" s="65" customFormat="1" ht="14" x14ac:dyDescent="0.35">
      <c r="F1545" s="102"/>
      <c r="G1545" s="102"/>
      <c r="I1545" s="93"/>
      <c r="J1545" s="93"/>
    </row>
    <row r="1546" spans="6:10" s="65" customFormat="1" ht="14" x14ac:dyDescent="0.35">
      <c r="F1546" s="102"/>
      <c r="G1546" s="102"/>
      <c r="I1546" s="93"/>
      <c r="J1546" s="93"/>
    </row>
    <row r="1547" spans="6:10" s="65" customFormat="1" ht="14" x14ac:dyDescent="0.35">
      <c r="F1547" s="102"/>
      <c r="G1547" s="102"/>
      <c r="I1547" s="93"/>
      <c r="J1547" s="93"/>
    </row>
    <row r="1548" spans="6:10" s="65" customFormat="1" ht="14" x14ac:dyDescent="0.35">
      <c r="F1548" s="102"/>
      <c r="G1548" s="102"/>
      <c r="I1548" s="93"/>
      <c r="J1548" s="93"/>
    </row>
    <row r="1549" spans="6:10" s="65" customFormat="1" ht="14" x14ac:dyDescent="0.35">
      <c r="F1549" s="102"/>
      <c r="G1549" s="102"/>
      <c r="I1549" s="93"/>
      <c r="J1549" s="93"/>
    </row>
    <row r="1550" spans="6:10" s="65" customFormat="1" ht="14" x14ac:dyDescent="0.35">
      <c r="F1550" s="102"/>
      <c r="G1550" s="102"/>
      <c r="I1550" s="93"/>
      <c r="J1550" s="93"/>
    </row>
    <row r="1551" spans="6:10" s="65" customFormat="1" ht="14" x14ac:dyDescent="0.35">
      <c r="F1551" s="102"/>
      <c r="G1551" s="102"/>
      <c r="I1551" s="93"/>
      <c r="J1551" s="93"/>
    </row>
    <row r="1552" spans="6:10" s="65" customFormat="1" ht="14" x14ac:dyDescent="0.35">
      <c r="F1552" s="102"/>
      <c r="G1552" s="102"/>
      <c r="I1552" s="93"/>
      <c r="J1552" s="93"/>
    </row>
    <row r="1553" spans="6:10" s="65" customFormat="1" ht="14" x14ac:dyDescent="0.35">
      <c r="F1553" s="102"/>
      <c r="G1553" s="102"/>
      <c r="I1553" s="93"/>
      <c r="J1553" s="93"/>
    </row>
    <row r="1554" spans="6:10" s="65" customFormat="1" ht="14" x14ac:dyDescent="0.35">
      <c r="F1554" s="102"/>
      <c r="G1554" s="102"/>
      <c r="I1554" s="93"/>
      <c r="J1554" s="93"/>
    </row>
    <row r="1555" spans="6:10" s="65" customFormat="1" ht="14" x14ac:dyDescent="0.35">
      <c r="F1555" s="102"/>
      <c r="G1555" s="102"/>
      <c r="I1555" s="93"/>
      <c r="J1555" s="93"/>
    </row>
    <row r="1556" spans="6:10" s="65" customFormat="1" ht="14" x14ac:dyDescent="0.35">
      <c r="F1556" s="102"/>
      <c r="G1556" s="102"/>
      <c r="I1556" s="93"/>
      <c r="J1556" s="93"/>
    </row>
    <row r="1557" spans="6:10" s="65" customFormat="1" ht="14" x14ac:dyDescent="0.35">
      <c r="F1557" s="102"/>
      <c r="G1557" s="102"/>
      <c r="I1557" s="93"/>
      <c r="J1557" s="93"/>
    </row>
    <row r="1558" spans="6:10" s="65" customFormat="1" ht="14" x14ac:dyDescent="0.35">
      <c r="F1558" s="102"/>
      <c r="G1558" s="102"/>
      <c r="I1558" s="93"/>
      <c r="J1558" s="93"/>
    </row>
    <row r="1559" spans="6:10" s="65" customFormat="1" ht="14" x14ac:dyDescent="0.35">
      <c r="F1559" s="102"/>
      <c r="G1559" s="102"/>
      <c r="I1559" s="93"/>
      <c r="J1559" s="93"/>
    </row>
    <row r="1560" spans="6:10" s="65" customFormat="1" ht="14" x14ac:dyDescent="0.35">
      <c r="F1560" s="102"/>
      <c r="G1560" s="102"/>
      <c r="I1560" s="93"/>
      <c r="J1560" s="93"/>
    </row>
    <row r="1561" spans="6:10" s="65" customFormat="1" ht="14" x14ac:dyDescent="0.35">
      <c r="F1561" s="102"/>
      <c r="G1561" s="102"/>
      <c r="I1561" s="93"/>
      <c r="J1561" s="93"/>
    </row>
    <row r="1562" spans="6:10" s="65" customFormat="1" ht="14" x14ac:dyDescent="0.35">
      <c r="F1562" s="102"/>
      <c r="G1562" s="102"/>
      <c r="I1562" s="93"/>
      <c r="J1562" s="93"/>
    </row>
    <row r="1563" spans="6:10" s="65" customFormat="1" ht="14" x14ac:dyDescent="0.35">
      <c r="F1563" s="102"/>
      <c r="G1563" s="102"/>
      <c r="I1563" s="93"/>
      <c r="J1563" s="93"/>
    </row>
    <row r="1564" spans="6:10" s="65" customFormat="1" ht="14" x14ac:dyDescent="0.35">
      <c r="F1564" s="102"/>
      <c r="G1564" s="102"/>
      <c r="I1564" s="93"/>
      <c r="J1564" s="93"/>
    </row>
    <row r="1565" spans="6:10" s="65" customFormat="1" ht="14" x14ac:dyDescent="0.35">
      <c r="F1565" s="102"/>
      <c r="G1565" s="102"/>
      <c r="I1565" s="93"/>
      <c r="J1565" s="93"/>
    </row>
    <row r="1566" spans="6:10" s="65" customFormat="1" ht="14" x14ac:dyDescent="0.35">
      <c r="F1566" s="102"/>
      <c r="G1566" s="102"/>
      <c r="I1566" s="93"/>
      <c r="J1566" s="93"/>
    </row>
    <row r="1567" spans="6:10" s="65" customFormat="1" ht="14" x14ac:dyDescent="0.35">
      <c r="F1567" s="102"/>
      <c r="G1567" s="102"/>
      <c r="I1567" s="93"/>
      <c r="J1567" s="93"/>
    </row>
    <row r="1568" spans="6:10" s="65" customFormat="1" ht="14" x14ac:dyDescent="0.35">
      <c r="F1568" s="102"/>
      <c r="G1568" s="102"/>
      <c r="I1568" s="93"/>
      <c r="J1568" s="93"/>
    </row>
    <row r="1569" spans="6:10" s="65" customFormat="1" ht="14" x14ac:dyDescent="0.35">
      <c r="F1569" s="102"/>
      <c r="G1569" s="102"/>
      <c r="I1569" s="93"/>
      <c r="J1569" s="93"/>
    </row>
    <row r="1570" spans="6:10" s="65" customFormat="1" ht="14" x14ac:dyDescent="0.35">
      <c r="F1570" s="102"/>
      <c r="G1570" s="102"/>
      <c r="I1570" s="93"/>
      <c r="J1570" s="93"/>
    </row>
    <row r="1571" spans="6:10" s="65" customFormat="1" ht="14" x14ac:dyDescent="0.35">
      <c r="F1571" s="102"/>
      <c r="G1571" s="102"/>
      <c r="I1571" s="93"/>
      <c r="J1571" s="93"/>
    </row>
    <row r="1572" spans="6:10" s="65" customFormat="1" ht="14" x14ac:dyDescent="0.35">
      <c r="F1572" s="102"/>
      <c r="G1572" s="102"/>
      <c r="I1572" s="93"/>
      <c r="J1572" s="93"/>
    </row>
    <row r="1573" spans="6:10" s="65" customFormat="1" ht="14" x14ac:dyDescent="0.35">
      <c r="F1573" s="102"/>
      <c r="G1573" s="102"/>
      <c r="I1573" s="93"/>
      <c r="J1573" s="93"/>
    </row>
    <row r="1574" spans="6:10" s="65" customFormat="1" ht="14" x14ac:dyDescent="0.35">
      <c r="F1574" s="102"/>
      <c r="G1574" s="102"/>
      <c r="I1574" s="93"/>
      <c r="J1574" s="93"/>
    </row>
    <row r="1575" spans="6:10" s="65" customFormat="1" ht="14" x14ac:dyDescent="0.35">
      <c r="F1575" s="102"/>
      <c r="G1575" s="102"/>
      <c r="I1575" s="93"/>
      <c r="J1575" s="93"/>
    </row>
    <row r="1576" spans="6:10" s="65" customFormat="1" ht="14" x14ac:dyDescent="0.35">
      <c r="F1576" s="102"/>
      <c r="G1576" s="102"/>
      <c r="I1576" s="93"/>
      <c r="J1576" s="93"/>
    </row>
    <row r="1577" spans="6:10" s="65" customFormat="1" ht="14" x14ac:dyDescent="0.35">
      <c r="F1577" s="102"/>
      <c r="G1577" s="102"/>
      <c r="I1577" s="93"/>
      <c r="J1577" s="93"/>
    </row>
    <row r="1578" spans="6:10" s="65" customFormat="1" ht="14" x14ac:dyDescent="0.35">
      <c r="F1578" s="102"/>
      <c r="G1578" s="102"/>
      <c r="I1578" s="93"/>
      <c r="J1578" s="93"/>
    </row>
    <row r="1579" spans="6:10" s="65" customFormat="1" ht="14" x14ac:dyDescent="0.35">
      <c r="F1579" s="102"/>
      <c r="G1579" s="102"/>
      <c r="I1579" s="93"/>
      <c r="J1579" s="93"/>
    </row>
    <row r="1580" spans="6:10" s="65" customFormat="1" ht="14" x14ac:dyDescent="0.35">
      <c r="F1580" s="102"/>
      <c r="G1580" s="102"/>
      <c r="I1580" s="93"/>
      <c r="J1580" s="93"/>
    </row>
    <row r="1581" spans="6:10" s="65" customFormat="1" ht="14" x14ac:dyDescent="0.35">
      <c r="F1581" s="102"/>
      <c r="G1581" s="102"/>
      <c r="I1581" s="93"/>
      <c r="J1581" s="93"/>
    </row>
    <row r="1582" spans="6:10" s="65" customFormat="1" ht="14" x14ac:dyDescent="0.35">
      <c r="F1582" s="102"/>
      <c r="G1582" s="102"/>
      <c r="I1582" s="93"/>
      <c r="J1582" s="93"/>
    </row>
    <row r="1583" spans="6:10" s="65" customFormat="1" ht="14" x14ac:dyDescent="0.35">
      <c r="F1583" s="102"/>
      <c r="G1583" s="102"/>
      <c r="I1583" s="93"/>
      <c r="J1583" s="93"/>
    </row>
    <row r="1584" spans="6:10" s="65" customFormat="1" ht="14" x14ac:dyDescent="0.35">
      <c r="F1584" s="102"/>
      <c r="G1584" s="102"/>
      <c r="I1584" s="93"/>
      <c r="J1584" s="93"/>
    </row>
    <row r="1585" spans="6:10" s="65" customFormat="1" ht="14" x14ac:dyDescent="0.35">
      <c r="F1585" s="102"/>
      <c r="G1585" s="102"/>
      <c r="I1585" s="93"/>
      <c r="J1585" s="93"/>
    </row>
    <row r="1586" spans="6:10" s="65" customFormat="1" ht="14" x14ac:dyDescent="0.35">
      <c r="F1586" s="102"/>
      <c r="G1586" s="102"/>
      <c r="I1586" s="93"/>
      <c r="J1586" s="93"/>
    </row>
    <row r="1587" spans="6:10" s="65" customFormat="1" ht="14" x14ac:dyDescent="0.35">
      <c r="F1587" s="102"/>
      <c r="G1587" s="102"/>
      <c r="I1587" s="93"/>
      <c r="J1587" s="93"/>
    </row>
    <row r="1588" spans="6:10" s="65" customFormat="1" ht="14" x14ac:dyDescent="0.35">
      <c r="F1588" s="102"/>
      <c r="G1588" s="102"/>
      <c r="I1588" s="93"/>
      <c r="J1588" s="93"/>
    </row>
    <row r="1589" spans="6:10" s="65" customFormat="1" ht="14" x14ac:dyDescent="0.35">
      <c r="F1589" s="102"/>
      <c r="G1589" s="102"/>
      <c r="I1589" s="93"/>
      <c r="J1589" s="93"/>
    </row>
    <row r="1590" spans="6:10" s="65" customFormat="1" ht="14" x14ac:dyDescent="0.35">
      <c r="F1590" s="102"/>
      <c r="G1590" s="102"/>
      <c r="I1590" s="93"/>
      <c r="J1590" s="93"/>
    </row>
    <row r="1591" spans="6:10" s="65" customFormat="1" ht="14" x14ac:dyDescent="0.35">
      <c r="F1591" s="102"/>
      <c r="G1591" s="102"/>
      <c r="I1591" s="93"/>
      <c r="J1591" s="93"/>
    </row>
    <row r="1592" spans="6:10" s="65" customFormat="1" ht="14" x14ac:dyDescent="0.35">
      <c r="F1592" s="102"/>
      <c r="G1592" s="102"/>
      <c r="I1592" s="93"/>
      <c r="J1592" s="93"/>
    </row>
    <row r="1593" spans="6:10" s="65" customFormat="1" ht="14" x14ac:dyDescent="0.35">
      <c r="F1593" s="102"/>
      <c r="G1593" s="102"/>
      <c r="I1593" s="93"/>
      <c r="J1593" s="93"/>
    </row>
    <row r="1594" spans="6:10" s="65" customFormat="1" ht="14" x14ac:dyDescent="0.35">
      <c r="F1594" s="102"/>
      <c r="G1594" s="102"/>
      <c r="I1594" s="93"/>
      <c r="J1594" s="93"/>
    </row>
    <row r="1595" spans="6:10" s="65" customFormat="1" ht="14" x14ac:dyDescent="0.35">
      <c r="F1595" s="102"/>
      <c r="G1595" s="102"/>
      <c r="I1595" s="93"/>
      <c r="J1595" s="93"/>
    </row>
    <row r="1596" spans="6:10" s="65" customFormat="1" ht="14" x14ac:dyDescent="0.35">
      <c r="F1596" s="102"/>
      <c r="G1596" s="102"/>
      <c r="I1596" s="93"/>
      <c r="J1596" s="93"/>
    </row>
    <row r="1597" spans="6:10" s="65" customFormat="1" ht="14" x14ac:dyDescent="0.35">
      <c r="F1597" s="102"/>
      <c r="G1597" s="102"/>
      <c r="I1597" s="93"/>
      <c r="J1597" s="93"/>
    </row>
    <row r="1598" spans="6:10" s="65" customFormat="1" ht="14" x14ac:dyDescent="0.35">
      <c r="F1598" s="102"/>
      <c r="G1598" s="102"/>
      <c r="I1598" s="93"/>
      <c r="J1598" s="93"/>
    </row>
    <row r="1599" spans="6:10" s="65" customFormat="1" ht="14" x14ac:dyDescent="0.35">
      <c r="F1599" s="102"/>
      <c r="G1599" s="102"/>
      <c r="I1599" s="93"/>
      <c r="J1599" s="93"/>
    </row>
    <row r="1600" spans="6:10" s="65" customFormat="1" ht="14" x14ac:dyDescent="0.35">
      <c r="F1600" s="102"/>
      <c r="G1600" s="102"/>
      <c r="I1600" s="93"/>
      <c r="J1600" s="93"/>
    </row>
    <row r="1601" spans="6:10" s="65" customFormat="1" ht="14" x14ac:dyDescent="0.35">
      <c r="F1601" s="102"/>
      <c r="G1601" s="102"/>
      <c r="I1601" s="93"/>
      <c r="J1601" s="93"/>
    </row>
    <row r="1602" spans="6:10" s="65" customFormat="1" ht="14" x14ac:dyDescent="0.35">
      <c r="F1602" s="102"/>
      <c r="G1602" s="102"/>
      <c r="I1602" s="93"/>
      <c r="J1602" s="93"/>
    </row>
    <row r="1603" spans="6:10" s="65" customFormat="1" ht="14" x14ac:dyDescent="0.35">
      <c r="F1603" s="102"/>
      <c r="G1603" s="102"/>
      <c r="I1603" s="93"/>
      <c r="J1603" s="93"/>
    </row>
    <row r="1604" spans="6:10" s="65" customFormat="1" ht="14" x14ac:dyDescent="0.35">
      <c r="F1604" s="102"/>
      <c r="G1604" s="102"/>
      <c r="I1604" s="93"/>
      <c r="J1604" s="93"/>
    </row>
    <row r="1605" spans="6:10" s="65" customFormat="1" ht="14" x14ac:dyDescent="0.35">
      <c r="F1605" s="102"/>
      <c r="G1605" s="102"/>
      <c r="I1605" s="93"/>
      <c r="J1605" s="93"/>
    </row>
    <row r="1606" spans="6:10" s="65" customFormat="1" ht="14" x14ac:dyDescent="0.35">
      <c r="F1606" s="102"/>
      <c r="G1606" s="102"/>
      <c r="I1606" s="93"/>
      <c r="J1606" s="93"/>
    </row>
    <row r="1607" spans="6:10" s="65" customFormat="1" ht="14" x14ac:dyDescent="0.35">
      <c r="F1607" s="102"/>
      <c r="G1607" s="102"/>
      <c r="I1607" s="93"/>
      <c r="J1607" s="93"/>
    </row>
    <row r="1608" spans="6:10" s="65" customFormat="1" ht="14" x14ac:dyDescent="0.35">
      <c r="F1608" s="102"/>
      <c r="G1608" s="102"/>
      <c r="I1608" s="93"/>
      <c r="J1608" s="93"/>
    </row>
    <row r="1609" spans="6:10" s="65" customFormat="1" ht="14" x14ac:dyDescent="0.35">
      <c r="F1609" s="102"/>
      <c r="G1609" s="102"/>
      <c r="I1609" s="93"/>
      <c r="J1609" s="93"/>
    </row>
    <row r="1610" spans="6:10" s="65" customFormat="1" ht="14" x14ac:dyDescent="0.35">
      <c r="F1610" s="102"/>
      <c r="G1610" s="102"/>
      <c r="I1610" s="93"/>
      <c r="J1610" s="93"/>
    </row>
    <row r="1611" spans="6:10" s="65" customFormat="1" ht="14" x14ac:dyDescent="0.35">
      <c r="F1611" s="102"/>
      <c r="G1611" s="102"/>
      <c r="I1611" s="93"/>
      <c r="J1611" s="93"/>
    </row>
    <row r="1612" spans="6:10" s="65" customFormat="1" ht="14" x14ac:dyDescent="0.35">
      <c r="F1612" s="102"/>
      <c r="G1612" s="102"/>
      <c r="I1612" s="93"/>
      <c r="J1612" s="93"/>
    </row>
    <row r="1613" spans="6:10" s="65" customFormat="1" ht="14" x14ac:dyDescent="0.35">
      <c r="F1613" s="102"/>
      <c r="G1613" s="102"/>
      <c r="I1613" s="93"/>
      <c r="J1613" s="93"/>
    </row>
    <row r="1614" spans="6:10" s="65" customFormat="1" ht="14" x14ac:dyDescent="0.35">
      <c r="F1614" s="102"/>
      <c r="G1614" s="102"/>
      <c r="I1614" s="93"/>
      <c r="J1614" s="93"/>
    </row>
    <row r="1615" spans="6:10" s="65" customFormat="1" ht="14" x14ac:dyDescent="0.35">
      <c r="F1615" s="102"/>
      <c r="G1615" s="102"/>
      <c r="I1615" s="93"/>
      <c r="J1615" s="93"/>
    </row>
    <row r="1616" spans="6:10" s="65" customFormat="1" ht="14" x14ac:dyDescent="0.35">
      <c r="F1616" s="102"/>
      <c r="G1616" s="102"/>
      <c r="I1616" s="93"/>
      <c r="J1616" s="93"/>
    </row>
    <row r="1617" spans="6:10" s="65" customFormat="1" ht="14" x14ac:dyDescent="0.35">
      <c r="F1617" s="102"/>
      <c r="G1617" s="102"/>
      <c r="I1617" s="93"/>
      <c r="J1617" s="93"/>
    </row>
    <row r="1618" spans="6:10" s="65" customFormat="1" ht="14" x14ac:dyDescent="0.35">
      <c r="F1618" s="102"/>
      <c r="G1618" s="102"/>
      <c r="I1618" s="93"/>
      <c r="J1618" s="93"/>
    </row>
    <row r="1619" spans="6:10" s="65" customFormat="1" ht="14" x14ac:dyDescent="0.35">
      <c r="F1619" s="102"/>
      <c r="G1619" s="102"/>
      <c r="I1619" s="93"/>
      <c r="J1619" s="93"/>
    </row>
    <row r="1620" spans="6:10" s="65" customFormat="1" ht="14" x14ac:dyDescent="0.35">
      <c r="F1620" s="102"/>
      <c r="G1620" s="102"/>
      <c r="I1620" s="93"/>
      <c r="J1620" s="93"/>
    </row>
    <row r="1621" spans="6:10" s="65" customFormat="1" ht="14" x14ac:dyDescent="0.35">
      <c r="F1621" s="102"/>
      <c r="G1621" s="102"/>
      <c r="I1621" s="93"/>
      <c r="J1621" s="93"/>
    </row>
    <row r="1622" spans="6:10" s="65" customFormat="1" ht="14" x14ac:dyDescent="0.35">
      <c r="F1622" s="102"/>
      <c r="G1622" s="102"/>
      <c r="I1622" s="93"/>
      <c r="J1622" s="93"/>
    </row>
    <row r="1623" spans="6:10" s="65" customFormat="1" ht="14" x14ac:dyDescent="0.35">
      <c r="F1623" s="102"/>
      <c r="G1623" s="102"/>
      <c r="I1623" s="93"/>
      <c r="J1623" s="93"/>
    </row>
    <row r="1624" spans="6:10" s="65" customFormat="1" ht="14" x14ac:dyDescent="0.35">
      <c r="F1624" s="102"/>
      <c r="G1624" s="102"/>
      <c r="I1624" s="93"/>
      <c r="J1624" s="93"/>
    </row>
    <row r="1625" spans="6:10" s="65" customFormat="1" ht="14" x14ac:dyDescent="0.35">
      <c r="F1625" s="102"/>
      <c r="G1625" s="102"/>
      <c r="I1625" s="93"/>
      <c r="J1625" s="93"/>
    </row>
    <row r="1626" spans="6:10" s="65" customFormat="1" ht="14" x14ac:dyDescent="0.35">
      <c r="F1626" s="102"/>
      <c r="G1626" s="102"/>
      <c r="I1626" s="93"/>
      <c r="J1626" s="93"/>
    </row>
    <row r="1627" spans="6:10" s="65" customFormat="1" ht="14" x14ac:dyDescent="0.35">
      <c r="F1627" s="102"/>
      <c r="G1627" s="102"/>
      <c r="I1627" s="93"/>
      <c r="J1627" s="93"/>
    </row>
    <row r="1628" spans="6:10" s="65" customFormat="1" ht="14" x14ac:dyDescent="0.35">
      <c r="F1628" s="102"/>
      <c r="G1628" s="102"/>
      <c r="I1628" s="93"/>
      <c r="J1628" s="93"/>
    </row>
    <row r="1629" spans="6:10" s="65" customFormat="1" ht="14" x14ac:dyDescent="0.35">
      <c r="F1629" s="102"/>
      <c r="G1629" s="102"/>
      <c r="I1629" s="93"/>
      <c r="J1629" s="93"/>
    </row>
    <row r="1630" spans="6:10" s="65" customFormat="1" ht="14" x14ac:dyDescent="0.35">
      <c r="F1630" s="102"/>
      <c r="G1630" s="102"/>
      <c r="I1630" s="93"/>
      <c r="J1630" s="93"/>
    </row>
    <row r="1631" spans="6:10" s="65" customFormat="1" ht="14" x14ac:dyDescent="0.35">
      <c r="F1631" s="102"/>
      <c r="G1631" s="102"/>
      <c r="I1631" s="93"/>
      <c r="J1631" s="93"/>
    </row>
    <row r="1632" spans="6:10" s="65" customFormat="1" ht="14" x14ac:dyDescent="0.35">
      <c r="F1632" s="102"/>
      <c r="G1632" s="102"/>
      <c r="I1632" s="93"/>
      <c r="J1632" s="93"/>
    </row>
    <row r="1633" spans="6:10" s="65" customFormat="1" ht="14" x14ac:dyDescent="0.35">
      <c r="F1633" s="102"/>
      <c r="G1633" s="102"/>
      <c r="I1633" s="93"/>
      <c r="J1633" s="93"/>
    </row>
    <row r="1634" spans="6:10" s="65" customFormat="1" ht="14" x14ac:dyDescent="0.35">
      <c r="F1634" s="102"/>
      <c r="G1634" s="102"/>
      <c r="I1634" s="93"/>
      <c r="J1634" s="93"/>
    </row>
    <row r="1635" spans="6:10" s="65" customFormat="1" ht="14" x14ac:dyDescent="0.35">
      <c r="F1635" s="102"/>
      <c r="G1635" s="102"/>
      <c r="I1635" s="93"/>
      <c r="J1635" s="93"/>
    </row>
    <row r="1636" spans="6:10" s="65" customFormat="1" ht="14" x14ac:dyDescent="0.35">
      <c r="F1636" s="102"/>
      <c r="G1636" s="102"/>
      <c r="I1636" s="93"/>
      <c r="J1636" s="93"/>
    </row>
    <row r="1637" spans="6:10" s="65" customFormat="1" ht="14" x14ac:dyDescent="0.35">
      <c r="F1637" s="102"/>
      <c r="G1637" s="102"/>
      <c r="I1637" s="93"/>
      <c r="J1637" s="93"/>
    </row>
    <row r="1638" spans="6:10" s="65" customFormat="1" ht="14" x14ac:dyDescent="0.35">
      <c r="F1638" s="102"/>
      <c r="G1638" s="102"/>
      <c r="I1638" s="93"/>
      <c r="J1638" s="93"/>
    </row>
    <row r="1639" spans="6:10" s="65" customFormat="1" ht="14" x14ac:dyDescent="0.35">
      <c r="F1639" s="102"/>
      <c r="G1639" s="102"/>
      <c r="I1639" s="93"/>
      <c r="J1639" s="93"/>
    </row>
    <row r="1640" spans="6:10" s="65" customFormat="1" ht="14" x14ac:dyDescent="0.35">
      <c r="F1640" s="102"/>
      <c r="G1640" s="102"/>
      <c r="I1640" s="93"/>
      <c r="J1640" s="93"/>
    </row>
    <row r="1641" spans="6:10" s="65" customFormat="1" ht="14" x14ac:dyDescent="0.35">
      <c r="F1641" s="102"/>
      <c r="G1641" s="102"/>
      <c r="I1641" s="93"/>
      <c r="J1641" s="93"/>
    </row>
    <row r="1642" spans="6:10" s="65" customFormat="1" ht="14" x14ac:dyDescent="0.35">
      <c r="F1642" s="102"/>
      <c r="G1642" s="102"/>
      <c r="I1642" s="93"/>
      <c r="J1642" s="93"/>
    </row>
    <row r="1643" spans="6:10" s="65" customFormat="1" ht="14" x14ac:dyDescent="0.35">
      <c r="F1643" s="102"/>
      <c r="G1643" s="102"/>
      <c r="I1643" s="93"/>
      <c r="J1643" s="93"/>
    </row>
    <row r="1644" spans="6:10" s="65" customFormat="1" ht="14" x14ac:dyDescent="0.35">
      <c r="F1644" s="102"/>
      <c r="G1644" s="102"/>
      <c r="I1644" s="93"/>
      <c r="J1644" s="93"/>
    </row>
    <row r="1645" spans="6:10" s="65" customFormat="1" ht="14" x14ac:dyDescent="0.35">
      <c r="F1645" s="102"/>
      <c r="G1645" s="102"/>
      <c r="I1645" s="93"/>
      <c r="J1645" s="93"/>
    </row>
    <row r="1646" spans="6:10" s="65" customFormat="1" ht="14" x14ac:dyDescent="0.35">
      <c r="F1646" s="102"/>
      <c r="G1646" s="102"/>
      <c r="I1646" s="93"/>
      <c r="J1646" s="93"/>
    </row>
    <row r="1647" spans="6:10" s="65" customFormat="1" ht="14" x14ac:dyDescent="0.35">
      <c r="F1647" s="102"/>
      <c r="G1647" s="102"/>
      <c r="I1647" s="93"/>
      <c r="J1647" s="93"/>
    </row>
    <row r="1648" spans="6:10" s="65" customFormat="1" ht="14" x14ac:dyDescent="0.35">
      <c r="F1648" s="102"/>
      <c r="G1648" s="102"/>
      <c r="I1648" s="93"/>
      <c r="J1648" s="93"/>
    </row>
    <row r="1649" spans="6:10" s="65" customFormat="1" ht="14" x14ac:dyDescent="0.35">
      <c r="F1649" s="102"/>
      <c r="G1649" s="102"/>
      <c r="I1649" s="93"/>
      <c r="J1649" s="93"/>
    </row>
    <row r="1650" spans="6:10" s="65" customFormat="1" ht="14" x14ac:dyDescent="0.35">
      <c r="F1650" s="102"/>
      <c r="G1650" s="102"/>
      <c r="I1650" s="93"/>
      <c r="J1650" s="93"/>
    </row>
    <row r="1651" spans="6:10" s="65" customFormat="1" ht="14" x14ac:dyDescent="0.35">
      <c r="F1651" s="102"/>
      <c r="G1651" s="102"/>
      <c r="I1651" s="93"/>
      <c r="J1651" s="93"/>
    </row>
    <row r="1652" spans="6:10" s="65" customFormat="1" ht="14" x14ac:dyDescent="0.35">
      <c r="F1652" s="102"/>
      <c r="G1652" s="102"/>
      <c r="I1652" s="93"/>
      <c r="J1652" s="93"/>
    </row>
    <row r="1653" spans="6:10" s="65" customFormat="1" ht="14" x14ac:dyDescent="0.35">
      <c r="F1653" s="102"/>
      <c r="G1653" s="102"/>
      <c r="I1653" s="93"/>
      <c r="J1653" s="93"/>
    </row>
    <row r="1654" spans="6:10" s="65" customFormat="1" ht="14" x14ac:dyDescent="0.35">
      <c r="F1654" s="102"/>
      <c r="G1654" s="102"/>
      <c r="I1654" s="93"/>
      <c r="J1654" s="93"/>
    </row>
    <row r="1655" spans="6:10" s="65" customFormat="1" ht="14" x14ac:dyDescent="0.35">
      <c r="F1655" s="102"/>
      <c r="G1655" s="102"/>
      <c r="I1655" s="93"/>
      <c r="J1655" s="93"/>
    </row>
    <row r="1656" spans="6:10" s="65" customFormat="1" ht="14" x14ac:dyDescent="0.35">
      <c r="F1656" s="102"/>
      <c r="G1656" s="102"/>
      <c r="I1656" s="93"/>
      <c r="J1656" s="93"/>
    </row>
    <row r="1657" spans="6:10" s="65" customFormat="1" ht="14" x14ac:dyDescent="0.35">
      <c r="F1657" s="102"/>
      <c r="G1657" s="102"/>
      <c r="I1657" s="93"/>
      <c r="J1657" s="93"/>
    </row>
    <row r="1658" spans="6:10" s="65" customFormat="1" ht="14" x14ac:dyDescent="0.35">
      <c r="F1658" s="102"/>
      <c r="G1658" s="102"/>
      <c r="I1658" s="93"/>
      <c r="J1658" s="93"/>
    </row>
    <row r="1659" spans="6:10" s="65" customFormat="1" ht="14" x14ac:dyDescent="0.35">
      <c r="F1659" s="102"/>
      <c r="G1659" s="102"/>
      <c r="I1659" s="93"/>
      <c r="J1659" s="93"/>
    </row>
    <row r="1660" spans="6:10" s="65" customFormat="1" ht="14" x14ac:dyDescent="0.35">
      <c r="F1660" s="102"/>
      <c r="G1660" s="102"/>
      <c r="I1660" s="93"/>
      <c r="J1660" s="93"/>
    </row>
    <row r="1661" spans="6:10" s="65" customFormat="1" ht="14" x14ac:dyDescent="0.35">
      <c r="F1661" s="102"/>
      <c r="G1661" s="102"/>
      <c r="I1661" s="93"/>
      <c r="J1661" s="93"/>
    </row>
    <row r="1662" spans="6:10" s="65" customFormat="1" ht="14" x14ac:dyDescent="0.35">
      <c r="F1662" s="102"/>
      <c r="G1662" s="102"/>
      <c r="I1662" s="93"/>
      <c r="J1662" s="93"/>
    </row>
    <row r="1663" spans="6:10" s="65" customFormat="1" ht="14" x14ac:dyDescent="0.35">
      <c r="F1663" s="102"/>
      <c r="G1663" s="102"/>
      <c r="I1663" s="93"/>
      <c r="J1663" s="93"/>
    </row>
    <row r="1664" spans="6:10" s="65" customFormat="1" ht="14" x14ac:dyDescent="0.35">
      <c r="F1664" s="102"/>
      <c r="G1664" s="102"/>
      <c r="I1664" s="93"/>
      <c r="J1664" s="93"/>
    </row>
    <row r="1665" spans="6:10" s="65" customFormat="1" ht="14" x14ac:dyDescent="0.35">
      <c r="F1665" s="102"/>
      <c r="G1665" s="102"/>
      <c r="I1665" s="93"/>
      <c r="J1665" s="93"/>
    </row>
    <row r="1666" spans="6:10" s="65" customFormat="1" ht="14" x14ac:dyDescent="0.35">
      <c r="F1666" s="102"/>
      <c r="G1666" s="102"/>
      <c r="I1666" s="93"/>
      <c r="J1666" s="93"/>
    </row>
    <row r="1667" spans="6:10" s="65" customFormat="1" ht="14" x14ac:dyDescent="0.35">
      <c r="F1667" s="102"/>
      <c r="G1667" s="102"/>
      <c r="I1667" s="93"/>
      <c r="J1667" s="93"/>
    </row>
    <row r="1668" spans="6:10" s="65" customFormat="1" ht="14" x14ac:dyDescent="0.35">
      <c r="F1668" s="102"/>
      <c r="G1668" s="102"/>
      <c r="I1668" s="93"/>
      <c r="J1668" s="93"/>
    </row>
    <row r="1669" spans="6:10" s="65" customFormat="1" ht="14" x14ac:dyDescent="0.35">
      <c r="F1669" s="102"/>
      <c r="G1669" s="102"/>
      <c r="I1669" s="93"/>
      <c r="J1669" s="93"/>
    </row>
    <row r="1670" spans="6:10" s="65" customFormat="1" ht="14" x14ac:dyDescent="0.35">
      <c r="F1670" s="102"/>
      <c r="G1670" s="102"/>
      <c r="I1670" s="93"/>
      <c r="J1670" s="93"/>
    </row>
    <row r="1671" spans="6:10" s="65" customFormat="1" ht="14" x14ac:dyDescent="0.35">
      <c r="F1671" s="102"/>
      <c r="G1671" s="102"/>
      <c r="I1671" s="93"/>
      <c r="J1671" s="93"/>
    </row>
    <row r="1672" spans="6:10" s="65" customFormat="1" ht="14" x14ac:dyDescent="0.35">
      <c r="F1672" s="102"/>
      <c r="G1672" s="102"/>
      <c r="I1672" s="93"/>
      <c r="J1672" s="93"/>
    </row>
    <row r="1673" spans="6:10" s="65" customFormat="1" ht="14" x14ac:dyDescent="0.35">
      <c r="F1673" s="102"/>
      <c r="G1673" s="102"/>
      <c r="I1673" s="93"/>
      <c r="J1673" s="93"/>
    </row>
    <row r="1674" spans="6:10" s="65" customFormat="1" ht="14" x14ac:dyDescent="0.35">
      <c r="F1674" s="102"/>
      <c r="G1674" s="102"/>
      <c r="I1674" s="93"/>
      <c r="J1674" s="93"/>
    </row>
    <row r="1675" spans="6:10" s="65" customFormat="1" ht="14" x14ac:dyDescent="0.35">
      <c r="F1675" s="102"/>
      <c r="G1675" s="102"/>
      <c r="I1675" s="93"/>
      <c r="J1675" s="93"/>
    </row>
    <row r="1676" spans="6:10" s="65" customFormat="1" ht="14" x14ac:dyDescent="0.35">
      <c r="F1676" s="102"/>
      <c r="G1676" s="102"/>
      <c r="I1676" s="93"/>
      <c r="J1676" s="93"/>
    </row>
    <row r="1677" spans="6:10" s="65" customFormat="1" ht="14" x14ac:dyDescent="0.35">
      <c r="F1677" s="102"/>
      <c r="G1677" s="102"/>
      <c r="I1677" s="93"/>
      <c r="J1677" s="93"/>
    </row>
    <row r="1678" spans="6:10" s="65" customFormat="1" ht="14" x14ac:dyDescent="0.35">
      <c r="F1678" s="102"/>
      <c r="G1678" s="102"/>
      <c r="I1678" s="93"/>
      <c r="J1678" s="93"/>
    </row>
    <row r="1679" spans="6:10" s="65" customFormat="1" ht="14" x14ac:dyDescent="0.35">
      <c r="F1679" s="102"/>
      <c r="G1679" s="102"/>
      <c r="I1679" s="93"/>
      <c r="J1679" s="93"/>
    </row>
    <row r="1680" spans="6:10" s="65" customFormat="1" ht="14" x14ac:dyDescent="0.35">
      <c r="F1680" s="102"/>
      <c r="G1680" s="102"/>
      <c r="I1680" s="93"/>
      <c r="J1680" s="93"/>
    </row>
    <row r="1681" spans="6:10" s="65" customFormat="1" ht="14" x14ac:dyDescent="0.35">
      <c r="F1681" s="102"/>
      <c r="G1681" s="102"/>
      <c r="I1681" s="93"/>
      <c r="J1681" s="93"/>
    </row>
    <row r="1682" spans="6:10" s="65" customFormat="1" ht="14" x14ac:dyDescent="0.35">
      <c r="F1682" s="102"/>
      <c r="G1682" s="102"/>
      <c r="I1682" s="93"/>
      <c r="J1682" s="93"/>
    </row>
    <row r="1683" spans="6:10" s="65" customFormat="1" ht="14" x14ac:dyDescent="0.35">
      <c r="F1683" s="102"/>
      <c r="G1683" s="102"/>
      <c r="I1683" s="93"/>
      <c r="J1683" s="93"/>
    </row>
    <row r="1684" spans="6:10" s="65" customFormat="1" ht="14" x14ac:dyDescent="0.35">
      <c r="F1684" s="102"/>
      <c r="G1684" s="102"/>
      <c r="I1684" s="93"/>
      <c r="J1684" s="93"/>
    </row>
    <row r="1685" spans="6:10" s="65" customFormat="1" ht="14" x14ac:dyDescent="0.35">
      <c r="F1685" s="102"/>
      <c r="G1685" s="102"/>
      <c r="I1685" s="93"/>
      <c r="J1685" s="93"/>
    </row>
    <row r="1686" spans="6:10" s="65" customFormat="1" ht="14" x14ac:dyDescent="0.35">
      <c r="F1686" s="102"/>
      <c r="G1686" s="102"/>
      <c r="I1686" s="93"/>
      <c r="J1686" s="93"/>
    </row>
    <row r="1687" spans="6:10" s="65" customFormat="1" ht="14" x14ac:dyDescent="0.35">
      <c r="F1687" s="102"/>
      <c r="G1687" s="102"/>
      <c r="I1687" s="93"/>
      <c r="J1687" s="93"/>
    </row>
    <row r="1688" spans="6:10" s="65" customFormat="1" ht="14" x14ac:dyDescent="0.35">
      <c r="F1688" s="102"/>
      <c r="G1688" s="102"/>
      <c r="I1688" s="93"/>
      <c r="J1688" s="93"/>
    </row>
    <row r="1689" spans="6:10" s="65" customFormat="1" ht="14" x14ac:dyDescent="0.35">
      <c r="F1689" s="102"/>
      <c r="G1689" s="102"/>
      <c r="I1689" s="93"/>
      <c r="J1689" s="93"/>
    </row>
    <row r="1690" spans="6:10" s="65" customFormat="1" ht="14" x14ac:dyDescent="0.35">
      <c r="F1690" s="102"/>
      <c r="G1690" s="102"/>
      <c r="I1690" s="93"/>
      <c r="J1690" s="93"/>
    </row>
    <row r="1691" spans="6:10" s="65" customFormat="1" ht="14" x14ac:dyDescent="0.35">
      <c r="F1691" s="102"/>
      <c r="G1691" s="102"/>
      <c r="I1691" s="93"/>
      <c r="J1691" s="93"/>
    </row>
    <row r="1692" spans="6:10" s="65" customFormat="1" ht="14" x14ac:dyDescent="0.35">
      <c r="F1692" s="102"/>
      <c r="G1692" s="102"/>
      <c r="I1692" s="93"/>
      <c r="J1692" s="93"/>
    </row>
    <row r="1693" spans="6:10" s="65" customFormat="1" ht="14" x14ac:dyDescent="0.35">
      <c r="F1693" s="102"/>
      <c r="G1693" s="102"/>
      <c r="I1693" s="93"/>
      <c r="J1693" s="93"/>
    </row>
    <row r="1694" spans="6:10" s="65" customFormat="1" ht="14" x14ac:dyDescent="0.35">
      <c r="F1694" s="102"/>
      <c r="G1694" s="102"/>
      <c r="I1694" s="93"/>
      <c r="J1694" s="93"/>
    </row>
    <row r="1695" spans="6:10" s="65" customFormat="1" ht="14" x14ac:dyDescent="0.35">
      <c r="F1695" s="102"/>
      <c r="G1695" s="102"/>
      <c r="I1695" s="93"/>
      <c r="J1695" s="93"/>
    </row>
    <row r="1696" spans="6:10" s="65" customFormat="1" ht="14" x14ac:dyDescent="0.35">
      <c r="F1696" s="102"/>
      <c r="G1696" s="102"/>
      <c r="I1696" s="93"/>
      <c r="J1696" s="93"/>
    </row>
    <row r="1697" spans="6:10" s="65" customFormat="1" ht="14" x14ac:dyDescent="0.35">
      <c r="F1697" s="102"/>
      <c r="G1697" s="102"/>
      <c r="I1697" s="93"/>
      <c r="J1697" s="93"/>
    </row>
    <row r="1698" spans="6:10" s="65" customFormat="1" ht="14" x14ac:dyDescent="0.35">
      <c r="F1698" s="102"/>
      <c r="G1698" s="102"/>
      <c r="I1698" s="93"/>
      <c r="J1698" s="93"/>
    </row>
    <row r="1699" spans="6:10" s="65" customFormat="1" ht="14" x14ac:dyDescent="0.35">
      <c r="F1699" s="102"/>
      <c r="G1699" s="102"/>
      <c r="I1699" s="93"/>
      <c r="J1699" s="93"/>
    </row>
    <row r="1700" spans="6:10" s="65" customFormat="1" ht="14" x14ac:dyDescent="0.35">
      <c r="F1700" s="102"/>
      <c r="G1700" s="102"/>
      <c r="I1700" s="93"/>
      <c r="J1700" s="93"/>
    </row>
    <row r="1701" spans="6:10" s="65" customFormat="1" ht="14" x14ac:dyDescent="0.35">
      <c r="F1701" s="102"/>
      <c r="G1701" s="102"/>
      <c r="I1701" s="93"/>
      <c r="J1701" s="93"/>
    </row>
    <row r="1702" spans="6:10" s="65" customFormat="1" ht="14" x14ac:dyDescent="0.35">
      <c r="F1702" s="102"/>
      <c r="G1702" s="102"/>
      <c r="I1702" s="93"/>
      <c r="J1702" s="93"/>
    </row>
    <row r="1703" spans="6:10" s="65" customFormat="1" ht="14" x14ac:dyDescent="0.35">
      <c r="F1703" s="102"/>
      <c r="G1703" s="102"/>
      <c r="I1703" s="93"/>
      <c r="J1703" s="93"/>
    </row>
    <row r="1704" spans="6:10" s="65" customFormat="1" ht="14" x14ac:dyDescent="0.35">
      <c r="F1704" s="102"/>
      <c r="G1704" s="102"/>
      <c r="I1704" s="93"/>
      <c r="J1704" s="93"/>
    </row>
    <row r="1705" spans="6:10" s="65" customFormat="1" ht="14" x14ac:dyDescent="0.35">
      <c r="F1705" s="102"/>
      <c r="G1705" s="102"/>
      <c r="I1705" s="93"/>
      <c r="J1705" s="93"/>
    </row>
    <row r="1706" spans="6:10" s="65" customFormat="1" ht="14" x14ac:dyDescent="0.35">
      <c r="F1706" s="102"/>
      <c r="G1706" s="102"/>
      <c r="I1706" s="93"/>
      <c r="J1706" s="93"/>
    </row>
    <row r="1707" spans="6:10" s="65" customFormat="1" ht="14" x14ac:dyDescent="0.35">
      <c r="F1707" s="102"/>
      <c r="G1707" s="102"/>
      <c r="I1707" s="93"/>
      <c r="J1707" s="93"/>
    </row>
    <row r="1708" spans="6:10" s="65" customFormat="1" ht="14" x14ac:dyDescent="0.35">
      <c r="F1708" s="102"/>
      <c r="G1708" s="102"/>
      <c r="I1708" s="93"/>
      <c r="J1708" s="93"/>
    </row>
    <row r="1709" spans="6:10" s="65" customFormat="1" ht="14" x14ac:dyDescent="0.35">
      <c r="F1709" s="102"/>
      <c r="G1709" s="102"/>
      <c r="I1709" s="93"/>
      <c r="J1709" s="93"/>
    </row>
    <row r="1710" spans="6:10" s="65" customFormat="1" ht="14" x14ac:dyDescent="0.35">
      <c r="F1710" s="102"/>
      <c r="G1710" s="102"/>
      <c r="I1710" s="93"/>
      <c r="J1710" s="93"/>
    </row>
    <row r="1711" spans="6:10" s="65" customFormat="1" ht="14" x14ac:dyDescent="0.35">
      <c r="F1711" s="102"/>
      <c r="G1711" s="102"/>
      <c r="I1711" s="93"/>
      <c r="J1711" s="93"/>
    </row>
    <row r="1712" spans="6:10" s="65" customFormat="1" ht="14" x14ac:dyDescent="0.35">
      <c r="F1712" s="102"/>
      <c r="G1712" s="102"/>
      <c r="I1712" s="93"/>
      <c r="J1712" s="93"/>
    </row>
    <row r="1713" spans="6:10" s="65" customFormat="1" ht="14" x14ac:dyDescent="0.35">
      <c r="F1713" s="102"/>
      <c r="G1713" s="102"/>
      <c r="I1713" s="93"/>
      <c r="J1713" s="93"/>
    </row>
    <row r="1714" spans="6:10" s="65" customFormat="1" ht="14" x14ac:dyDescent="0.35">
      <c r="F1714" s="102"/>
      <c r="G1714" s="102"/>
      <c r="I1714" s="93"/>
      <c r="J1714" s="93"/>
    </row>
    <row r="1715" spans="6:10" s="65" customFormat="1" ht="14" x14ac:dyDescent="0.35">
      <c r="F1715" s="102"/>
      <c r="G1715" s="102"/>
      <c r="I1715" s="93"/>
      <c r="J1715" s="93"/>
    </row>
    <row r="1716" spans="6:10" s="65" customFormat="1" ht="14" x14ac:dyDescent="0.35">
      <c r="F1716" s="102"/>
      <c r="G1716" s="102"/>
      <c r="I1716" s="93"/>
      <c r="J1716" s="93"/>
    </row>
    <row r="1717" spans="6:10" s="65" customFormat="1" ht="14" x14ac:dyDescent="0.35">
      <c r="F1717" s="102"/>
      <c r="G1717" s="102"/>
      <c r="I1717" s="93"/>
      <c r="J1717" s="93"/>
    </row>
    <row r="1718" spans="6:10" s="65" customFormat="1" ht="14" x14ac:dyDescent="0.35">
      <c r="F1718" s="102"/>
      <c r="G1718" s="102"/>
      <c r="I1718" s="93"/>
      <c r="J1718" s="93"/>
    </row>
    <row r="1719" spans="6:10" s="65" customFormat="1" ht="14" x14ac:dyDescent="0.35">
      <c r="F1719" s="102"/>
      <c r="G1719" s="102"/>
      <c r="I1719" s="93"/>
      <c r="J1719" s="93"/>
    </row>
    <row r="1720" spans="6:10" s="65" customFormat="1" ht="14" x14ac:dyDescent="0.35">
      <c r="F1720" s="102"/>
      <c r="G1720" s="102"/>
      <c r="I1720" s="93"/>
      <c r="J1720" s="93"/>
    </row>
    <row r="1721" spans="6:10" s="65" customFormat="1" ht="14" x14ac:dyDescent="0.35">
      <c r="F1721" s="102"/>
      <c r="G1721" s="102"/>
      <c r="I1721" s="93"/>
      <c r="J1721" s="93"/>
    </row>
    <row r="1722" spans="6:10" s="65" customFormat="1" ht="14" x14ac:dyDescent="0.35">
      <c r="F1722" s="102"/>
      <c r="G1722" s="102"/>
      <c r="I1722" s="93"/>
      <c r="J1722" s="93"/>
    </row>
    <row r="1723" spans="6:10" s="65" customFormat="1" ht="14" x14ac:dyDescent="0.35">
      <c r="F1723" s="102"/>
      <c r="G1723" s="102"/>
      <c r="I1723" s="93"/>
      <c r="J1723" s="93"/>
    </row>
    <row r="1724" spans="6:10" s="65" customFormat="1" ht="14" x14ac:dyDescent="0.35">
      <c r="F1724" s="102"/>
      <c r="G1724" s="102"/>
      <c r="I1724" s="93"/>
      <c r="J1724" s="93"/>
    </row>
    <row r="1725" spans="6:10" s="65" customFormat="1" ht="14" x14ac:dyDescent="0.35">
      <c r="F1725" s="102"/>
      <c r="G1725" s="102"/>
      <c r="I1725" s="93"/>
      <c r="J1725" s="93"/>
    </row>
    <row r="1726" spans="6:10" s="65" customFormat="1" ht="14" x14ac:dyDescent="0.35">
      <c r="F1726" s="102"/>
      <c r="G1726" s="102"/>
      <c r="I1726" s="93"/>
      <c r="J1726" s="93"/>
    </row>
    <row r="1727" spans="6:10" s="65" customFormat="1" ht="14" x14ac:dyDescent="0.35">
      <c r="F1727" s="102"/>
      <c r="G1727" s="102"/>
      <c r="I1727" s="93"/>
      <c r="J1727" s="93"/>
    </row>
    <row r="1728" spans="6:10" s="65" customFormat="1" ht="14" x14ac:dyDescent="0.35">
      <c r="F1728" s="102"/>
      <c r="G1728" s="102"/>
      <c r="I1728" s="93"/>
      <c r="J1728" s="93"/>
    </row>
    <row r="1729" spans="6:10" s="65" customFormat="1" ht="14" x14ac:dyDescent="0.35">
      <c r="F1729" s="102"/>
      <c r="G1729" s="102"/>
      <c r="I1729" s="93"/>
      <c r="J1729" s="93"/>
    </row>
    <row r="1730" spans="6:10" s="65" customFormat="1" ht="14" x14ac:dyDescent="0.35">
      <c r="F1730" s="102"/>
      <c r="G1730" s="102"/>
      <c r="I1730" s="93"/>
      <c r="J1730" s="93"/>
    </row>
    <row r="1731" spans="6:10" s="65" customFormat="1" ht="14" x14ac:dyDescent="0.35">
      <c r="F1731" s="102"/>
      <c r="G1731" s="102"/>
      <c r="I1731" s="93"/>
      <c r="J1731" s="93"/>
    </row>
    <row r="1732" spans="6:10" s="65" customFormat="1" ht="14" x14ac:dyDescent="0.35">
      <c r="F1732" s="102"/>
      <c r="G1732" s="102"/>
      <c r="I1732" s="93"/>
      <c r="J1732" s="93"/>
    </row>
    <row r="1733" spans="6:10" s="65" customFormat="1" ht="14" x14ac:dyDescent="0.35">
      <c r="F1733" s="102"/>
      <c r="G1733" s="102"/>
      <c r="I1733" s="93"/>
      <c r="J1733" s="93"/>
    </row>
    <row r="1734" spans="6:10" s="65" customFormat="1" ht="14" x14ac:dyDescent="0.35">
      <c r="F1734" s="102"/>
      <c r="G1734" s="102"/>
      <c r="I1734" s="93"/>
      <c r="J1734" s="93"/>
    </row>
    <row r="1735" spans="6:10" s="65" customFormat="1" ht="14" x14ac:dyDescent="0.35">
      <c r="F1735" s="102"/>
      <c r="G1735" s="102"/>
      <c r="I1735" s="93"/>
      <c r="J1735" s="93"/>
    </row>
    <row r="1736" spans="6:10" s="65" customFormat="1" ht="14" x14ac:dyDescent="0.35">
      <c r="F1736" s="102"/>
      <c r="G1736" s="102"/>
      <c r="I1736" s="93"/>
      <c r="J1736" s="93"/>
    </row>
    <row r="1737" spans="6:10" s="65" customFormat="1" ht="14" x14ac:dyDescent="0.35">
      <c r="F1737" s="102"/>
      <c r="G1737" s="102"/>
      <c r="I1737" s="93"/>
      <c r="J1737" s="93"/>
    </row>
    <row r="1738" spans="6:10" s="65" customFormat="1" ht="14" x14ac:dyDescent="0.35">
      <c r="F1738" s="102"/>
      <c r="G1738" s="102"/>
      <c r="I1738" s="93"/>
      <c r="J1738" s="93"/>
    </row>
    <row r="1739" spans="6:10" s="65" customFormat="1" ht="14" x14ac:dyDescent="0.35">
      <c r="F1739" s="102"/>
      <c r="G1739" s="102"/>
      <c r="I1739" s="93"/>
      <c r="J1739" s="93"/>
    </row>
    <row r="1740" spans="6:10" s="65" customFormat="1" ht="14" x14ac:dyDescent="0.35">
      <c r="F1740" s="102"/>
      <c r="G1740" s="102"/>
      <c r="I1740" s="93"/>
      <c r="J1740" s="93"/>
    </row>
    <row r="1741" spans="6:10" s="65" customFormat="1" ht="14" x14ac:dyDescent="0.35">
      <c r="F1741" s="102"/>
      <c r="G1741" s="102"/>
      <c r="I1741" s="93"/>
      <c r="J1741" s="93"/>
    </row>
    <row r="1742" spans="6:10" s="65" customFormat="1" ht="14" x14ac:dyDescent="0.35">
      <c r="F1742" s="102"/>
      <c r="G1742" s="102"/>
      <c r="I1742" s="93"/>
      <c r="J1742" s="93"/>
    </row>
    <row r="1743" spans="6:10" s="65" customFormat="1" ht="14" x14ac:dyDescent="0.35">
      <c r="F1743" s="102"/>
      <c r="G1743" s="102"/>
      <c r="I1743" s="93"/>
      <c r="J1743" s="93"/>
    </row>
    <row r="1744" spans="6:10" s="65" customFormat="1" ht="14" x14ac:dyDescent="0.35">
      <c r="F1744" s="102"/>
      <c r="G1744" s="102"/>
      <c r="I1744" s="93"/>
      <c r="J1744" s="93"/>
    </row>
    <row r="1745" spans="6:10" s="65" customFormat="1" ht="14" x14ac:dyDescent="0.35">
      <c r="F1745" s="102"/>
      <c r="G1745" s="102"/>
      <c r="I1745" s="93"/>
      <c r="J1745" s="93"/>
    </row>
    <row r="1746" spans="6:10" s="65" customFormat="1" ht="14" x14ac:dyDescent="0.35">
      <c r="F1746" s="102"/>
      <c r="G1746" s="102"/>
      <c r="I1746" s="93"/>
      <c r="J1746" s="93"/>
    </row>
    <row r="1747" spans="6:10" s="65" customFormat="1" ht="14" x14ac:dyDescent="0.35">
      <c r="F1747" s="102"/>
      <c r="G1747" s="102"/>
      <c r="I1747" s="93"/>
      <c r="J1747" s="93"/>
    </row>
    <row r="1748" spans="6:10" s="65" customFormat="1" ht="14" x14ac:dyDescent="0.35">
      <c r="F1748" s="102"/>
      <c r="G1748" s="102"/>
      <c r="I1748" s="93"/>
      <c r="J1748" s="93"/>
    </row>
    <row r="1749" spans="6:10" s="65" customFormat="1" ht="14" x14ac:dyDescent="0.35">
      <c r="F1749" s="102"/>
      <c r="G1749" s="102"/>
      <c r="I1749" s="93"/>
      <c r="J1749" s="93"/>
    </row>
    <row r="1750" spans="6:10" s="65" customFormat="1" ht="14" x14ac:dyDescent="0.35">
      <c r="F1750" s="102"/>
      <c r="G1750" s="102"/>
      <c r="I1750" s="93"/>
      <c r="J1750" s="93"/>
    </row>
    <row r="1751" spans="6:10" s="65" customFormat="1" ht="14" x14ac:dyDescent="0.35">
      <c r="F1751" s="102"/>
      <c r="G1751" s="102"/>
      <c r="I1751" s="93"/>
      <c r="J1751" s="93"/>
    </row>
    <row r="1752" spans="6:10" s="65" customFormat="1" ht="14" x14ac:dyDescent="0.35">
      <c r="F1752" s="102"/>
      <c r="G1752" s="102"/>
      <c r="I1752" s="93"/>
      <c r="J1752" s="93"/>
    </row>
    <row r="1753" spans="6:10" s="65" customFormat="1" ht="14" x14ac:dyDescent="0.35">
      <c r="F1753" s="102"/>
      <c r="G1753" s="102"/>
      <c r="I1753" s="93"/>
      <c r="J1753" s="93"/>
    </row>
    <row r="1754" spans="6:10" s="65" customFormat="1" ht="14" x14ac:dyDescent="0.35">
      <c r="F1754" s="102"/>
      <c r="G1754" s="102"/>
      <c r="I1754" s="93"/>
      <c r="J1754" s="93"/>
    </row>
    <row r="1755" spans="6:10" s="65" customFormat="1" ht="14" x14ac:dyDescent="0.35">
      <c r="F1755" s="102"/>
      <c r="G1755" s="102"/>
      <c r="I1755" s="93"/>
      <c r="J1755" s="93"/>
    </row>
    <row r="1756" spans="6:10" s="65" customFormat="1" ht="14" x14ac:dyDescent="0.35">
      <c r="F1756" s="102"/>
      <c r="G1756" s="102"/>
      <c r="I1756" s="93"/>
      <c r="J1756" s="93"/>
    </row>
    <row r="1757" spans="6:10" s="65" customFormat="1" ht="14" x14ac:dyDescent="0.35">
      <c r="F1757" s="102"/>
      <c r="G1757" s="102"/>
      <c r="I1757" s="93"/>
      <c r="J1757" s="93"/>
    </row>
    <row r="1758" spans="6:10" s="65" customFormat="1" ht="14" x14ac:dyDescent="0.35">
      <c r="F1758" s="102"/>
      <c r="G1758" s="102"/>
      <c r="I1758" s="93"/>
      <c r="J1758" s="93"/>
    </row>
    <row r="1759" spans="6:10" s="65" customFormat="1" ht="14" x14ac:dyDescent="0.35">
      <c r="F1759" s="102"/>
      <c r="G1759" s="102"/>
      <c r="I1759" s="93"/>
      <c r="J1759" s="93"/>
    </row>
    <row r="1760" spans="6:10" s="65" customFormat="1" ht="14" x14ac:dyDescent="0.35">
      <c r="F1760" s="102"/>
      <c r="G1760" s="102"/>
      <c r="I1760" s="93"/>
      <c r="J1760" s="93"/>
    </row>
    <row r="1761" spans="6:10" s="65" customFormat="1" ht="14" x14ac:dyDescent="0.35">
      <c r="F1761" s="102"/>
      <c r="G1761" s="102"/>
      <c r="I1761" s="93"/>
      <c r="J1761" s="93"/>
    </row>
    <row r="1762" spans="6:10" s="65" customFormat="1" ht="14" x14ac:dyDescent="0.35">
      <c r="F1762" s="102"/>
      <c r="G1762" s="102"/>
      <c r="I1762" s="93"/>
      <c r="J1762" s="93"/>
    </row>
    <row r="1763" spans="6:10" s="65" customFormat="1" ht="14" x14ac:dyDescent="0.35">
      <c r="F1763" s="102"/>
      <c r="G1763" s="102"/>
      <c r="I1763" s="93"/>
      <c r="J1763" s="93"/>
    </row>
    <row r="1764" spans="6:10" s="65" customFormat="1" ht="14" x14ac:dyDescent="0.35">
      <c r="F1764" s="102"/>
      <c r="G1764" s="102"/>
      <c r="I1764" s="93"/>
      <c r="J1764" s="93"/>
    </row>
    <row r="1765" spans="6:10" s="65" customFormat="1" ht="14" x14ac:dyDescent="0.35">
      <c r="F1765" s="102"/>
      <c r="G1765" s="102"/>
      <c r="I1765" s="93"/>
      <c r="J1765" s="93"/>
    </row>
    <row r="1766" spans="6:10" s="65" customFormat="1" ht="14" x14ac:dyDescent="0.35">
      <c r="F1766" s="102"/>
      <c r="G1766" s="102"/>
      <c r="I1766" s="93"/>
      <c r="J1766" s="93"/>
    </row>
    <row r="1767" spans="6:10" s="65" customFormat="1" ht="14" x14ac:dyDescent="0.35">
      <c r="F1767" s="102"/>
      <c r="G1767" s="102"/>
      <c r="I1767" s="93"/>
      <c r="J1767" s="93"/>
    </row>
    <row r="1768" spans="6:10" s="65" customFormat="1" ht="14" x14ac:dyDescent="0.35">
      <c r="F1768" s="102"/>
      <c r="G1768" s="102"/>
      <c r="I1768" s="93"/>
      <c r="J1768" s="93"/>
    </row>
    <row r="1769" spans="6:10" s="65" customFormat="1" ht="14" x14ac:dyDescent="0.35">
      <c r="F1769" s="102"/>
      <c r="G1769" s="102"/>
      <c r="I1769" s="93"/>
      <c r="J1769" s="93"/>
    </row>
    <row r="1770" spans="6:10" s="65" customFormat="1" ht="14" x14ac:dyDescent="0.35">
      <c r="F1770" s="102"/>
      <c r="G1770" s="102"/>
      <c r="I1770" s="93"/>
      <c r="J1770" s="93"/>
    </row>
    <row r="1771" spans="6:10" s="65" customFormat="1" ht="14" x14ac:dyDescent="0.35">
      <c r="F1771" s="102"/>
      <c r="G1771" s="102"/>
      <c r="I1771" s="93"/>
      <c r="J1771" s="93"/>
    </row>
    <row r="1772" spans="6:10" s="65" customFormat="1" ht="14" x14ac:dyDescent="0.35">
      <c r="F1772" s="102"/>
      <c r="G1772" s="102"/>
      <c r="I1772" s="93"/>
      <c r="J1772" s="93"/>
    </row>
    <row r="1773" spans="6:10" s="65" customFormat="1" ht="14" x14ac:dyDescent="0.35">
      <c r="F1773" s="102"/>
      <c r="G1773" s="102"/>
      <c r="I1773" s="93"/>
      <c r="J1773" s="93"/>
    </row>
    <row r="1774" spans="6:10" s="65" customFormat="1" ht="14" x14ac:dyDescent="0.35">
      <c r="F1774" s="102"/>
      <c r="G1774" s="102"/>
      <c r="I1774" s="93"/>
      <c r="J1774" s="93"/>
    </row>
    <row r="1775" spans="6:10" s="65" customFormat="1" ht="14" x14ac:dyDescent="0.35">
      <c r="F1775" s="102"/>
      <c r="G1775" s="102"/>
      <c r="I1775" s="93"/>
      <c r="J1775" s="93"/>
    </row>
    <row r="1776" spans="6:10" s="65" customFormat="1" ht="14" x14ac:dyDescent="0.35">
      <c r="F1776" s="102"/>
      <c r="G1776" s="102"/>
      <c r="I1776" s="93"/>
      <c r="J1776" s="93"/>
    </row>
    <row r="1777" spans="6:10" s="65" customFormat="1" ht="14" x14ac:dyDescent="0.35">
      <c r="F1777" s="102"/>
      <c r="G1777" s="102"/>
      <c r="I1777" s="93"/>
      <c r="J1777" s="93"/>
    </row>
    <row r="1778" spans="6:10" s="65" customFormat="1" ht="14" x14ac:dyDescent="0.35">
      <c r="F1778" s="102"/>
      <c r="G1778" s="102"/>
      <c r="I1778" s="93"/>
      <c r="J1778" s="93"/>
    </row>
    <row r="1779" spans="6:10" s="65" customFormat="1" ht="14" x14ac:dyDescent="0.35">
      <c r="F1779" s="102"/>
      <c r="G1779" s="102"/>
      <c r="I1779" s="93"/>
      <c r="J1779" s="93"/>
    </row>
    <row r="1780" spans="6:10" s="65" customFormat="1" ht="14" x14ac:dyDescent="0.35">
      <c r="F1780" s="102"/>
      <c r="G1780" s="102"/>
      <c r="I1780" s="93"/>
      <c r="J1780" s="93"/>
    </row>
    <row r="1781" spans="6:10" s="65" customFormat="1" ht="14" x14ac:dyDescent="0.35">
      <c r="F1781" s="102"/>
      <c r="G1781" s="102"/>
      <c r="I1781" s="93"/>
      <c r="J1781" s="93"/>
    </row>
    <row r="1782" spans="6:10" s="65" customFormat="1" ht="14" x14ac:dyDescent="0.35">
      <c r="F1782" s="102"/>
      <c r="G1782" s="102"/>
      <c r="I1782" s="93"/>
      <c r="J1782" s="93"/>
    </row>
    <row r="1783" spans="6:10" s="65" customFormat="1" ht="14" x14ac:dyDescent="0.35">
      <c r="F1783" s="102"/>
      <c r="G1783" s="102"/>
      <c r="I1783" s="93"/>
      <c r="J1783" s="93"/>
    </row>
    <row r="1784" spans="6:10" s="65" customFormat="1" ht="14" x14ac:dyDescent="0.35">
      <c r="F1784" s="102"/>
      <c r="G1784" s="102"/>
      <c r="I1784" s="93"/>
      <c r="J1784" s="93"/>
    </row>
    <row r="1785" spans="6:10" s="65" customFormat="1" ht="14" x14ac:dyDescent="0.35">
      <c r="F1785" s="102"/>
      <c r="G1785" s="102"/>
      <c r="I1785" s="93"/>
      <c r="J1785" s="93"/>
    </row>
    <row r="1786" spans="6:10" s="65" customFormat="1" ht="14" x14ac:dyDescent="0.35">
      <c r="F1786" s="102"/>
      <c r="G1786" s="102"/>
      <c r="I1786" s="93"/>
      <c r="J1786" s="93"/>
    </row>
    <row r="1787" spans="6:10" s="65" customFormat="1" ht="14" x14ac:dyDescent="0.35">
      <c r="F1787" s="102"/>
      <c r="G1787" s="102"/>
      <c r="I1787" s="93"/>
      <c r="J1787" s="93"/>
    </row>
    <row r="1788" spans="6:10" s="65" customFormat="1" ht="14" x14ac:dyDescent="0.35">
      <c r="F1788" s="102"/>
      <c r="G1788" s="102"/>
      <c r="I1788" s="93"/>
      <c r="J1788" s="93"/>
    </row>
    <row r="1789" spans="6:10" s="65" customFormat="1" ht="14" x14ac:dyDescent="0.35">
      <c r="F1789" s="102"/>
      <c r="G1789" s="102"/>
      <c r="I1789" s="93"/>
      <c r="J1789" s="93"/>
    </row>
    <row r="1790" spans="6:10" s="65" customFormat="1" ht="14" x14ac:dyDescent="0.35">
      <c r="F1790" s="102"/>
      <c r="G1790" s="102"/>
      <c r="I1790" s="93"/>
      <c r="J1790" s="93"/>
    </row>
    <row r="1791" spans="6:10" s="65" customFormat="1" ht="14" x14ac:dyDescent="0.35">
      <c r="F1791" s="102"/>
      <c r="G1791" s="102"/>
      <c r="I1791" s="93"/>
      <c r="J1791" s="93"/>
    </row>
    <row r="1792" spans="6:10" s="65" customFormat="1" ht="14" x14ac:dyDescent="0.35">
      <c r="F1792" s="102"/>
      <c r="G1792" s="102"/>
      <c r="I1792" s="93"/>
      <c r="J1792" s="93"/>
    </row>
    <row r="1793" spans="6:10" s="65" customFormat="1" ht="14" x14ac:dyDescent="0.35">
      <c r="F1793" s="102"/>
      <c r="G1793" s="102"/>
      <c r="I1793" s="93"/>
      <c r="J1793" s="93"/>
    </row>
    <row r="1794" spans="6:10" s="65" customFormat="1" ht="14" x14ac:dyDescent="0.35">
      <c r="F1794" s="102"/>
      <c r="G1794" s="102"/>
      <c r="I1794" s="93"/>
      <c r="J1794" s="93"/>
    </row>
    <row r="1795" spans="6:10" s="65" customFormat="1" ht="14" x14ac:dyDescent="0.35">
      <c r="F1795" s="102"/>
      <c r="G1795" s="102"/>
      <c r="I1795" s="93"/>
      <c r="J1795" s="93"/>
    </row>
    <row r="1796" spans="6:10" s="65" customFormat="1" ht="14" x14ac:dyDescent="0.35">
      <c r="F1796" s="102"/>
      <c r="G1796" s="102"/>
      <c r="I1796" s="93"/>
      <c r="J1796" s="93"/>
    </row>
    <row r="1797" spans="6:10" s="65" customFormat="1" ht="14" x14ac:dyDescent="0.35">
      <c r="F1797" s="102"/>
      <c r="G1797" s="102"/>
      <c r="I1797" s="93"/>
      <c r="J1797" s="93"/>
    </row>
    <row r="1798" spans="6:10" s="65" customFormat="1" ht="14" x14ac:dyDescent="0.35">
      <c r="F1798" s="102"/>
      <c r="G1798" s="102"/>
      <c r="I1798" s="93"/>
      <c r="J1798" s="93"/>
    </row>
    <row r="1799" spans="6:10" s="65" customFormat="1" ht="14" x14ac:dyDescent="0.35">
      <c r="F1799" s="102"/>
      <c r="G1799" s="102"/>
      <c r="I1799" s="93"/>
      <c r="J1799" s="93"/>
    </row>
    <row r="1800" spans="6:10" s="65" customFormat="1" ht="14" x14ac:dyDescent="0.35">
      <c r="F1800" s="102"/>
      <c r="G1800" s="102"/>
      <c r="I1800" s="93"/>
      <c r="J1800" s="93"/>
    </row>
    <row r="1801" spans="6:10" s="65" customFormat="1" ht="14" x14ac:dyDescent="0.35">
      <c r="F1801" s="102"/>
      <c r="G1801" s="102"/>
      <c r="I1801" s="93"/>
      <c r="J1801" s="93"/>
    </row>
    <row r="1802" spans="6:10" s="65" customFormat="1" ht="14" x14ac:dyDescent="0.35">
      <c r="F1802" s="102"/>
      <c r="G1802" s="102"/>
      <c r="I1802" s="93"/>
      <c r="J1802" s="93"/>
    </row>
    <row r="1803" spans="6:10" s="65" customFormat="1" ht="14" x14ac:dyDescent="0.35">
      <c r="F1803" s="102"/>
      <c r="G1803" s="102"/>
      <c r="I1803" s="93"/>
      <c r="J1803" s="93"/>
    </row>
    <row r="1804" spans="6:10" s="65" customFormat="1" ht="14" x14ac:dyDescent="0.35">
      <c r="F1804" s="102"/>
      <c r="G1804" s="102"/>
      <c r="I1804" s="93"/>
      <c r="J1804" s="93"/>
    </row>
    <row r="1805" spans="6:10" s="65" customFormat="1" ht="14" x14ac:dyDescent="0.35">
      <c r="F1805" s="102"/>
      <c r="G1805" s="102"/>
      <c r="I1805" s="93"/>
      <c r="J1805" s="93"/>
    </row>
    <row r="1806" spans="6:10" s="65" customFormat="1" ht="14" x14ac:dyDescent="0.35">
      <c r="F1806" s="102"/>
      <c r="G1806" s="102"/>
      <c r="I1806" s="93"/>
      <c r="J1806" s="93"/>
    </row>
    <row r="1807" spans="6:10" s="65" customFormat="1" ht="14" x14ac:dyDescent="0.35">
      <c r="F1807" s="102"/>
      <c r="G1807" s="102"/>
      <c r="I1807" s="93"/>
      <c r="J1807" s="93"/>
    </row>
    <row r="1808" spans="6:10" s="65" customFormat="1" ht="14" x14ac:dyDescent="0.35">
      <c r="F1808" s="102"/>
      <c r="G1808" s="102"/>
      <c r="I1808" s="93"/>
      <c r="J1808" s="93"/>
    </row>
    <row r="1809" spans="6:10" s="65" customFormat="1" ht="14" x14ac:dyDescent="0.35">
      <c r="F1809" s="102"/>
      <c r="G1809" s="102"/>
      <c r="I1809" s="93"/>
      <c r="J1809" s="93"/>
    </row>
    <row r="1810" spans="6:10" s="65" customFormat="1" ht="14" x14ac:dyDescent="0.35">
      <c r="F1810" s="102"/>
      <c r="G1810" s="102"/>
      <c r="I1810" s="93"/>
      <c r="J1810" s="93"/>
    </row>
    <row r="1811" spans="6:10" s="65" customFormat="1" ht="14" x14ac:dyDescent="0.35">
      <c r="F1811" s="102"/>
      <c r="G1811" s="102"/>
      <c r="I1811" s="93"/>
      <c r="J1811" s="93"/>
    </row>
    <row r="1812" spans="6:10" s="65" customFormat="1" ht="14" x14ac:dyDescent="0.35">
      <c r="F1812" s="102"/>
      <c r="G1812" s="102"/>
      <c r="I1812" s="93"/>
      <c r="J1812" s="93"/>
    </row>
    <row r="1813" spans="6:10" s="65" customFormat="1" ht="14" x14ac:dyDescent="0.35">
      <c r="F1813" s="102"/>
      <c r="G1813" s="102"/>
      <c r="I1813" s="93"/>
      <c r="J1813" s="93"/>
    </row>
    <row r="1814" spans="6:10" s="65" customFormat="1" ht="14" x14ac:dyDescent="0.35">
      <c r="F1814" s="102"/>
      <c r="G1814" s="102"/>
      <c r="I1814" s="93"/>
      <c r="J1814" s="93"/>
    </row>
    <row r="1815" spans="6:10" s="65" customFormat="1" ht="14" x14ac:dyDescent="0.35">
      <c r="F1815" s="102"/>
      <c r="G1815" s="102"/>
      <c r="I1815" s="93"/>
      <c r="J1815" s="93"/>
    </row>
    <row r="1816" spans="6:10" s="65" customFormat="1" ht="14" x14ac:dyDescent="0.35">
      <c r="F1816" s="102"/>
      <c r="G1816" s="102"/>
      <c r="I1816" s="93"/>
      <c r="J1816" s="93"/>
    </row>
    <row r="1817" spans="6:10" s="65" customFormat="1" ht="14" x14ac:dyDescent="0.35">
      <c r="F1817" s="102"/>
      <c r="G1817" s="102"/>
      <c r="I1817" s="93"/>
      <c r="J1817" s="93"/>
    </row>
    <row r="1818" spans="6:10" s="65" customFormat="1" ht="14" x14ac:dyDescent="0.35">
      <c r="F1818" s="102"/>
      <c r="G1818" s="102"/>
      <c r="I1818" s="93"/>
      <c r="J1818" s="93"/>
    </row>
    <row r="1819" spans="6:10" s="65" customFormat="1" ht="14" x14ac:dyDescent="0.35">
      <c r="F1819" s="102"/>
      <c r="G1819" s="102"/>
      <c r="I1819" s="93"/>
      <c r="J1819" s="93"/>
    </row>
    <row r="1820" spans="6:10" s="65" customFormat="1" ht="14" x14ac:dyDescent="0.35">
      <c r="F1820" s="102"/>
      <c r="G1820" s="102"/>
      <c r="I1820" s="93"/>
      <c r="J1820" s="93"/>
    </row>
    <row r="1821" spans="6:10" s="65" customFormat="1" ht="14" x14ac:dyDescent="0.35">
      <c r="F1821" s="102"/>
      <c r="G1821" s="102"/>
      <c r="I1821" s="93"/>
      <c r="J1821" s="93"/>
    </row>
    <row r="1822" spans="6:10" s="65" customFormat="1" ht="14" x14ac:dyDescent="0.35">
      <c r="F1822" s="102"/>
      <c r="G1822" s="102"/>
      <c r="I1822" s="93"/>
      <c r="J1822" s="93"/>
    </row>
    <row r="1823" spans="6:10" s="65" customFormat="1" ht="14" x14ac:dyDescent="0.35">
      <c r="F1823" s="102"/>
      <c r="G1823" s="102"/>
      <c r="I1823" s="93"/>
      <c r="J1823" s="93"/>
    </row>
    <row r="1824" spans="6:10" s="65" customFormat="1" ht="14" x14ac:dyDescent="0.35">
      <c r="F1824" s="102"/>
      <c r="G1824" s="102"/>
      <c r="I1824" s="93"/>
      <c r="J1824" s="93"/>
    </row>
    <row r="1825" spans="6:10" s="65" customFormat="1" ht="14" x14ac:dyDescent="0.35">
      <c r="F1825" s="102"/>
      <c r="G1825" s="102"/>
      <c r="I1825" s="93"/>
      <c r="J1825" s="93"/>
    </row>
    <row r="1826" spans="6:10" s="65" customFormat="1" ht="14" x14ac:dyDescent="0.35">
      <c r="F1826" s="102"/>
      <c r="G1826" s="102"/>
      <c r="I1826" s="93"/>
      <c r="J1826" s="93"/>
    </row>
    <row r="1827" spans="6:10" s="65" customFormat="1" ht="14" x14ac:dyDescent="0.35">
      <c r="F1827" s="102"/>
      <c r="G1827" s="102"/>
      <c r="I1827" s="93"/>
      <c r="J1827" s="93"/>
    </row>
    <row r="1828" spans="6:10" s="65" customFormat="1" ht="14" x14ac:dyDescent="0.35">
      <c r="F1828" s="102"/>
      <c r="G1828" s="102"/>
      <c r="I1828" s="93"/>
      <c r="J1828" s="93"/>
    </row>
    <row r="1829" spans="6:10" s="65" customFormat="1" ht="14" x14ac:dyDescent="0.35">
      <c r="F1829" s="102"/>
      <c r="G1829" s="102"/>
      <c r="I1829" s="93"/>
      <c r="J1829" s="93"/>
    </row>
    <row r="1830" spans="6:10" s="65" customFormat="1" ht="14" x14ac:dyDescent="0.35">
      <c r="F1830" s="102"/>
      <c r="G1830" s="102"/>
      <c r="I1830" s="93"/>
      <c r="J1830" s="93"/>
    </row>
    <row r="1831" spans="6:10" s="65" customFormat="1" ht="14" x14ac:dyDescent="0.35">
      <c r="F1831" s="102"/>
      <c r="G1831" s="102"/>
      <c r="I1831" s="93"/>
      <c r="J1831" s="93"/>
    </row>
    <row r="1832" spans="6:10" s="65" customFormat="1" ht="14" x14ac:dyDescent="0.35">
      <c r="F1832" s="102"/>
      <c r="G1832" s="102"/>
      <c r="I1832" s="93"/>
      <c r="J1832" s="93"/>
    </row>
    <row r="1833" spans="6:10" s="65" customFormat="1" ht="14" x14ac:dyDescent="0.35">
      <c r="F1833" s="102"/>
      <c r="G1833" s="102"/>
      <c r="I1833" s="93"/>
      <c r="J1833" s="93"/>
    </row>
    <row r="1834" spans="6:10" s="65" customFormat="1" ht="14" x14ac:dyDescent="0.35">
      <c r="F1834" s="102"/>
      <c r="G1834" s="102"/>
      <c r="I1834" s="93"/>
      <c r="J1834" s="93"/>
    </row>
    <row r="1835" spans="6:10" s="65" customFormat="1" ht="14" x14ac:dyDescent="0.35">
      <c r="F1835" s="102"/>
      <c r="G1835" s="102"/>
      <c r="I1835" s="93"/>
      <c r="J1835" s="93"/>
    </row>
    <row r="1836" spans="6:10" s="65" customFormat="1" ht="14" x14ac:dyDescent="0.35">
      <c r="F1836" s="102"/>
      <c r="G1836" s="102"/>
      <c r="I1836" s="93"/>
      <c r="J1836" s="93"/>
    </row>
    <row r="1837" spans="6:10" s="65" customFormat="1" ht="14" x14ac:dyDescent="0.35">
      <c r="F1837" s="102"/>
      <c r="G1837" s="102"/>
      <c r="I1837" s="93"/>
      <c r="J1837" s="93"/>
    </row>
    <row r="1838" spans="6:10" s="65" customFormat="1" ht="14" x14ac:dyDescent="0.35">
      <c r="F1838" s="102"/>
      <c r="G1838" s="102"/>
      <c r="I1838" s="93"/>
      <c r="J1838" s="93"/>
    </row>
    <row r="1839" spans="6:10" s="65" customFormat="1" ht="14" x14ac:dyDescent="0.35">
      <c r="F1839" s="102"/>
      <c r="G1839" s="102"/>
      <c r="I1839" s="93"/>
      <c r="J1839" s="93"/>
    </row>
    <row r="1840" spans="6:10" s="65" customFormat="1" ht="14" x14ac:dyDescent="0.35">
      <c r="F1840" s="102"/>
      <c r="G1840" s="102"/>
      <c r="I1840" s="93"/>
      <c r="J1840" s="93"/>
    </row>
    <row r="1841" spans="6:10" s="65" customFormat="1" ht="14" x14ac:dyDescent="0.35">
      <c r="F1841" s="102"/>
      <c r="G1841" s="102"/>
      <c r="I1841" s="93"/>
      <c r="J1841" s="93"/>
    </row>
    <row r="1842" spans="6:10" s="65" customFormat="1" ht="14" x14ac:dyDescent="0.35">
      <c r="F1842" s="102"/>
      <c r="G1842" s="102"/>
      <c r="I1842" s="93"/>
      <c r="J1842" s="93"/>
    </row>
    <row r="1843" spans="6:10" s="65" customFormat="1" ht="14" x14ac:dyDescent="0.35">
      <c r="F1843" s="102"/>
      <c r="G1843" s="102"/>
      <c r="I1843" s="93"/>
      <c r="J1843" s="93"/>
    </row>
    <row r="1844" spans="6:10" s="65" customFormat="1" ht="14" x14ac:dyDescent="0.35">
      <c r="F1844" s="102"/>
      <c r="G1844" s="102"/>
      <c r="I1844" s="93"/>
      <c r="J1844" s="93"/>
    </row>
    <row r="1845" spans="6:10" s="65" customFormat="1" ht="14" x14ac:dyDescent="0.35">
      <c r="F1845" s="102"/>
      <c r="G1845" s="102"/>
      <c r="I1845" s="93"/>
      <c r="J1845" s="93"/>
    </row>
    <row r="1846" spans="6:10" s="65" customFormat="1" ht="14" x14ac:dyDescent="0.35">
      <c r="F1846" s="102"/>
      <c r="G1846" s="102"/>
      <c r="I1846" s="93"/>
      <c r="J1846" s="93"/>
    </row>
    <row r="1847" spans="6:10" s="65" customFormat="1" ht="14" x14ac:dyDescent="0.35">
      <c r="F1847" s="102"/>
      <c r="G1847" s="102"/>
      <c r="I1847" s="93"/>
      <c r="J1847" s="93"/>
    </row>
    <row r="1848" spans="6:10" s="65" customFormat="1" ht="14" x14ac:dyDescent="0.35">
      <c r="F1848" s="102"/>
      <c r="G1848" s="102"/>
      <c r="I1848" s="93"/>
      <c r="J1848" s="93"/>
    </row>
    <row r="1849" spans="6:10" s="65" customFormat="1" ht="14" x14ac:dyDescent="0.35">
      <c r="F1849" s="102"/>
      <c r="G1849" s="102"/>
      <c r="I1849" s="93"/>
      <c r="J1849" s="93"/>
    </row>
    <row r="1850" spans="6:10" s="65" customFormat="1" ht="14" x14ac:dyDescent="0.35">
      <c r="F1850" s="102"/>
      <c r="G1850" s="102"/>
      <c r="I1850" s="93"/>
      <c r="J1850" s="93"/>
    </row>
    <row r="1851" spans="6:10" s="65" customFormat="1" ht="14" x14ac:dyDescent="0.35">
      <c r="F1851" s="102"/>
      <c r="G1851" s="102"/>
      <c r="I1851" s="93"/>
      <c r="J1851" s="93"/>
    </row>
    <row r="1852" spans="6:10" s="65" customFormat="1" ht="14" x14ac:dyDescent="0.35">
      <c r="F1852" s="102"/>
      <c r="G1852" s="102"/>
      <c r="I1852" s="93"/>
      <c r="J1852" s="93"/>
    </row>
    <row r="1853" spans="6:10" s="65" customFormat="1" ht="14" x14ac:dyDescent="0.35">
      <c r="F1853" s="102"/>
      <c r="G1853" s="102"/>
      <c r="I1853" s="93"/>
      <c r="J1853" s="93"/>
    </row>
    <row r="1854" spans="6:10" s="65" customFormat="1" ht="14" x14ac:dyDescent="0.35">
      <c r="F1854" s="102"/>
      <c r="G1854" s="102"/>
      <c r="I1854" s="93"/>
      <c r="J1854" s="93"/>
    </row>
    <row r="1855" spans="6:10" s="65" customFormat="1" ht="14" x14ac:dyDescent="0.35">
      <c r="F1855" s="102"/>
      <c r="G1855" s="102"/>
      <c r="I1855" s="93"/>
      <c r="J1855" s="93"/>
    </row>
    <row r="1856" spans="6:10" s="65" customFormat="1" ht="14" x14ac:dyDescent="0.35">
      <c r="F1856" s="102"/>
      <c r="G1856" s="102"/>
      <c r="I1856" s="93"/>
      <c r="J1856" s="93"/>
    </row>
    <row r="1857" spans="6:10" s="65" customFormat="1" ht="14" x14ac:dyDescent="0.35">
      <c r="F1857" s="102"/>
      <c r="G1857" s="102"/>
      <c r="I1857" s="93"/>
      <c r="J1857" s="93"/>
    </row>
    <row r="1858" spans="6:10" s="65" customFormat="1" ht="14" x14ac:dyDescent="0.35">
      <c r="F1858" s="102"/>
      <c r="G1858" s="102"/>
      <c r="I1858" s="93"/>
      <c r="J1858" s="93"/>
    </row>
    <row r="1859" spans="6:10" s="65" customFormat="1" ht="14" x14ac:dyDescent="0.35">
      <c r="F1859" s="102"/>
      <c r="G1859" s="102"/>
      <c r="I1859" s="93"/>
      <c r="J1859" s="93"/>
    </row>
    <row r="1860" spans="6:10" s="65" customFormat="1" ht="14" x14ac:dyDescent="0.35">
      <c r="F1860" s="102"/>
      <c r="G1860" s="102"/>
      <c r="I1860" s="93"/>
      <c r="J1860" s="93"/>
    </row>
    <row r="1861" spans="6:10" s="65" customFormat="1" ht="14" x14ac:dyDescent="0.35">
      <c r="F1861" s="102"/>
      <c r="G1861" s="102"/>
      <c r="I1861" s="93"/>
      <c r="J1861" s="93"/>
    </row>
    <row r="1862" spans="6:10" s="65" customFormat="1" ht="14" x14ac:dyDescent="0.35">
      <c r="F1862" s="102"/>
      <c r="G1862" s="102"/>
      <c r="I1862" s="93"/>
      <c r="J1862" s="93"/>
    </row>
    <row r="1863" spans="6:10" s="65" customFormat="1" ht="14" x14ac:dyDescent="0.35">
      <c r="F1863" s="102"/>
      <c r="G1863" s="102"/>
      <c r="I1863" s="93"/>
      <c r="J1863" s="93"/>
    </row>
    <row r="1864" spans="6:10" s="65" customFormat="1" ht="14" x14ac:dyDescent="0.35">
      <c r="F1864" s="102"/>
      <c r="G1864" s="102"/>
      <c r="I1864" s="93"/>
      <c r="J1864" s="93"/>
    </row>
    <row r="1865" spans="6:10" s="65" customFormat="1" ht="14" x14ac:dyDescent="0.35">
      <c r="F1865" s="102"/>
      <c r="G1865" s="102"/>
      <c r="I1865" s="93"/>
      <c r="J1865" s="93"/>
    </row>
    <row r="1866" spans="6:10" s="65" customFormat="1" ht="14" x14ac:dyDescent="0.35">
      <c r="F1866" s="102"/>
      <c r="G1866" s="102"/>
      <c r="I1866" s="93"/>
      <c r="J1866" s="93"/>
    </row>
    <row r="1867" spans="6:10" s="65" customFormat="1" ht="14" x14ac:dyDescent="0.35">
      <c r="F1867" s="102"/>
      <c r="G1867" s="102"/>
      <c r="I1867" s="93"/>
      <c r="J1867" s="93"/>
    </row>
    <row r="1868" spans="6:10" s="65" customFormat="1" ht="14" x14ac:dyDescent="0.35">
      <c r="F1868" s="102"/>
      <c r="G1868" s="102"/>
      <c r="I1868" s="93"/>
      <c r="J1868" s="93"/>
    </row>
    <row r="1869" spans="6:10" s="65" customFormat="1" ht="14" x14ac:dyDescent="0.35">
      <c r="F1869" s="102"/>
      <c r="G1869" s="102"/>
      <c r="I1869" s="93"/>
      <c r="J1869" s="93"/>
    </row>
    <row r="1870" spans="6:10" s="65" customFormat="1" ht="14" x14ac:dyDescent="0.35">
      <c r="F1870" s="102"/>
      <c r="G1870" s="102"/>
      <c r="I1870" s="93"/>
      <c r="J1870" s="93"/>
    </row>
    <row r="1871" spans="6:10" s="65" customFormat="1" ht="14" x14ac:dyDescent="0.35">
      <c r="F1871" s="102"/>
      <c r="G1871" s="102"/>
      <c r="I1871" s="93"/>
      <c r="J1871" s="93"/>
    </row>
    <row r="1872" spans="6:10" s="65" customFormat="1" ht="14" x14ac:dyDescent="0.35">
      <c r="F1872" s="102"/>
      <c r="G1872" s="102"/>
      <c r="I1872" s="93"/>
      <c r="J1872" s="93"/>
    </row>
    <row r="1873" spans="6:10" s="65" customFormat="1" ht="14" x14ac:dyDescent="0.35">
      <c r="F1873" s="102"/>
      <c r="G1873" s="102"/>
      <c r="I1873" s="93"/>
      <c r="J1873" s="93"/>
    </row>
    <row r="1874" spans="6:10" s="65" customFormat="1" ht="14" x14ac:dyDescent="0.35">
      <c r="F1874" s="102"/>
      <c r="G1874" s="102"/>
      <c r="I1874" s="93"/>
      <c r="J1874" s="93"/>
    </row>
    <row r="1875" spans="6:10" s="65" customFormat="1" ht="14" x14ac:dyDescent="0.35">
      <c r="F1875" s="102"/>
      <c r="G1875" s="102"/>
      <c r="I1875" s="93"/>
      <c r="J1875" s="93"/>
    </row>
    <row r="1876" spans="6:10" s="65" customFormat="1" ht="14" x14ac:dyDescent="0.35">
      <c r="F1876" s="102"/>
      <c r="G1876" s="102"/>
      <c r="I1876" s="93"/>
      <c r="J1876" s="93"/>
    </row>
    <row r="1877" spans="6:10" s="65" customFormat="1" ht="14" x14ac:dyDescent="0.35">
      <c r="F1877" s="102"/>
      <c r="G1877" s="102"/>
      <c r="I1877" s="93"/>
      <c r="J1877" s="93"/>
    </row>
    <row r="1878" spans="6:10" s="65" customFormat="1" ht="14" x14ac:dyDescent="0.35">
      <c r="F1878" s="102"/>
      <c r="G1878" s="102"/>
      <c r="I1878" s="93"/>
      <c r="J1878" s="93"/>
    </row>
    <row r="1879" spans="6:10" s="65" customFormat="1" ht="14" x14ac:dyDescent="0.35">
      <c r="F1879" s="102"/>
      <c r="G1879" s="102"/>
      <c r="I1879" s="93"/>
      <c r="J1879" s="93"/>
    </row>
    <row r="1880" spans="6:10" s="65" customFormat="1" ht="14" x14ac:dyDescent="0.35">
      <c r="F1880" s="102"/>
      <c r="G1880" s="102"/>
      <c r="I1880" s="93"/>
      <c r="J1880" s="93"/>
    </row>
    <row r="1881" spans="6:10" s="65" customFormat="1" ht="14" x14ac:dyDescent="0.35">
      <c r="F1881" s="102"/>
      <c r="G1881" s="102"/>
      <c r="I1881" s="93"/>
      <c r="J1881" s="93"/>
    </row>
    <row r="1882" spans="6:10" s="65" customFormat="1" ht="14" x14ac:dyDescent="0.35">
      <c r="F1882" s="102"/>
      <c r="G1882" s="102"/>
      <c r="I1882" s="93"/>
      <c r="J1882" s="93"/>
    </row>
    <row r="1883" spans="6:10" s="65" customFormat="1" ht="14" x14ac:dyDescent="0.35">
      <c r="F1883" s="102"/>
      <c r="G1883" s="102"/>
      <c r="I1883" s="93"/>
      <c r="J1883" s="93"/>
    </row>
    <row r="1884" spans="6:10" s="65" customFormat="1" ht="14" x14ac:dyDescent="0.35">
      <c r="F1884" s="102"/>
      <c r="G1884" s="102"/>
      <c r="I1884" s="93"/>
      <c r="J1884" s="93"/>
    </row>
    <row r="1885" spans="6:10" s="65" customFormat="1" ht="14" x14ac:dyDescent="0.35">
      <c r="F1885" s="102"/>
      <c r="G1885" s="102"/>
      <c r="I1885" s="93"/>
      <c r="J1885" s="93"/>
    </row>
    <row r="1886" spans="6:10" s="65" customFormat="1" ht="14" x14ac:dyDescent="0.35">
      <c r="F1886" s="102"/>
      <c r="G1886" s="102"/>
      <c r="I1886" s="93"/>
      <c r="J1886" s="93"/>
    </row>
    <row r="1887" spans="6:10" s="65" customFormat="1" ht="14" x14ac:dyDescent="0.35">
      <c r="F1887" s="102"/>
      <c r="G1887" s="102"/>
      <c r="I1887" s="93"/>
      <c r="J1887" s="93"/>
    </row>
    <row r="1888" spans="6:10" s="65" customFormat="1" ht="14" x14ac:dyDescent="0.35">
      <c r="F1888" s="102"/>
      <c r="G1888" s="102"/>
      <c r="I1888" s="93"/>
      <c r="J1888" s="93"/>
    </row>
    <row r="1889" spans="6:10" s="65" customFormat="1" ht="14" x14ac:dyDescent="0.35">
      <c r="F1889" s="102"/>
      <c r="G1889" s="102"/>
      <c r="I1889" s="93"/>
      <c r="J1889" s="93"/>
    </row>
    <row r="1890" spans="6:10" s="65" customFormat="1" ht="14" x14ac:dyDescent="0.35">
      <c r="F1890" s="102"/>
      <c r="G1890" s="102"/>
      <c r="I1890" s="93"/>
      <c r="J1890" s="93"/>
    </row>
    <row r="1891" spans="6:10" s="65" customFormat="1" ht="14" x14ac:dyDescent="0.35">
      <c r="F1891" s="102"/>
      <c r="G1891" s="102"/>
      <c r="I1891" s="93"/>
      <c r="J1891" s="93"/>
    </row>
    <row r="1892" spans="6:10" s="65" customFormat="1" ht="14" x14ac:dyDescent="0.35">
      <c r="F1892" s="102"/>
      <c r="G1892" s="102"/>
      <c r="I1892" s="93"/>
      <c r="J1892" s="93"/>
    </row>
    <row r="1893" spans="6:10" s="65" customFormat="1" ht="14" x14ac:dyDescent="0.35">
      <c r="F1893" s="102"/>
      <c r="G1893" s="102"/>
      <c r="I1893" s="93"/>
      <c r="J1893" s="93"/>
    </row>
    <row r="1894" spans="6:10" s="65" customFormat="1" ht="14" x14ac:dyDescent="0.35">
      <c r="F1894" s="102"/>
      <c r="G1894" s="102"/>
      <c r="I1894" s="93"/>
      <c r="J1894" s="93"/>
    </row>
    <row r="1895" spans="6:10" s="65" customFormat="1" ht="14" x14ac:dyDescent="0.35">
      <c r="F1895" s="102"/>
      <c r="G1895" s="102"/>
      <c r="I1895" s="93"/>
      <c r="J1895" s="93"/>
    </row>
    <row r="1896" spans="6:10" s="65" customFormat="1" ht="14" x14ac:dyDescent="0.35">
      <c r="F1896" s="102"/>
      <c r="G1896" s="102"/>
      <c r="I1896" s="93"/>
      <c r="J1896" s="93"/>
    </row>
    <row r="1897" spans="6:10" s="65" customFormat="1" ht="14" x14ac:dyDescent="0.35">
      <c r="F1897" s="102"/>
      <c r="G1897" s="102"/>
      <c r="I1897" s="93"/>
      <c r="J1897" s="93"/>
    </row>
    <row r="1898" spans="6:10" s="65" customFormat="1" ht="14" x14ac:dyDescent="0.35">
      <c r="F1898" s="102"/>
      <c r="G1898" s="102"/>
      <c r="I1898" s="93"/>
      <c r="J1898" s="93"/>
    </row>
    <row r="1899" spans="6:10" s="65" customFormat="1" ht="14" x14ac:dyDescent="0.35">
      <c r="F1899" s="102"/>
      <c r="G1899" s="102"/>
      <c r="I1899" s="93"/>
      <c r="J1899" s="93"/>
    </row>
    <row r="1900" spans="6:10" s="65" customFormat="1" ht="14" x14ac:dyDescent="0.35">
      <c r="F1900" s="102"/>
      <c r="G1900" s="102"/>
      <c r="I1900" s="93"/>
      <c r="J1900" s="93"/>
    </row>
    <row r="1901" spans="6:10" s="65" customFormat="1" ht="14" x14ac:dyDescent="0.35">
      <c r="F1901" s="102"/>
      <c r="G1901" s="102"/>
      <c r="I1901" s="93"/>
      <c r="J1901" s="93"/>
    </row>
    <row r="1902" spans="6:10" s="65" customFormat="1" ht="14" x14ac:dyDescent="0.35">
      <c r="F1902" s="102"/>
      <c r="G1902" s="102"/>
      <c r="I1902" s="93"/>
      <c r="J1902" s="93"/>
    </row>
    <row r="1903" spans="6:10" s="65" customFormat="1" ht="14" x14ac:dyDescent="0.35">
      <c r="F1903" s="102"/>
      <c r="G1903" s="102"/>
      <c r="I1903" s="93"/>
      <c r="J1903" s="93"/>
    </row>
    <row r="1904" spans="6:10" s="65" customFormat="1" ht="14" x14ac:dyDescent="0.35">
      <c r="F1904" s="102"/>
      <c r="G1904" s="102"/>
      <c r="I1904" s="93"/>
      <c r="J1904" s="93"/>
    </row>
    <row r="1905" spans="6:10" s="65" customFormat="1" ht="14" x14ac:dyDescent="0.35">
      <c r="F1905" s="102"/>
      <c r="G1905" s="102"/>
      <c r="I1905" s="93"/>
      <c r="J1905" s="93"/>
    </row>
    <row r="1906" spans="6:10" s="65" customFormat="1" ht="14" x14ac:dyDescent="0.35">
      <c r="F1906" s="102"/>
      <c r="G1906" s="102"/>
      <c r="I1906" s="93"/>
      <c r="J1906" s="93"/>
    </row>
    <row r="1907" spans="6:10" s="65" customFormat="1" ht="14" x14ac:dyDescent="0.35">
      <c r="F1907" s="102"/>
      <c r="G1907" s="102"/>
      <c r="I1907" s="93"/>
      <c r="J1907" s="93"/>
    </row>
    <row r="1908" spans="6:10" s="65" customFormat="1" ht="14" x14ac:dyDescent="0.35">
      <c r="F1908" s="102"/>
      <c r="G1908" s="102"/>
      <c r="I1908" s="93"/>
      <c r="J1908" s="93"/>
    </row>
    <row r="1909" spans="6:10" s="65" customFormat="1" ht="14" x14ac:dyDescent="0.35">
      <c r="F1909" s="102"/>
      <c r="G1909" s="102"/>
      <c r="I1909" s="93"/>
      <c r="J1909" s="93"/>
    </row>
    <row r="1910" spans="6:10" s="65" customFormat="1" ht="14" x14ac:dyDescent="0.35">
      <c r="F1910" s="102"/>
      <c r="G1910" s="102"/>
      <c r="I1910" s="93"/>
      <c r="J1910" s="93"/>
    </row>
    <row r="1911" spans="6:10" s="65" customFormat="1" ht="14" x14ac:dyDescent="0.35">
      <c r="F1911" s="102"/>
      <c r="G1911" s="102"/>
      <c r="I1911" s="93"/>
      <c r="J1911" s="93"/>
    </row>
    <row r="1912" spans="6:10" s="65" customFormat="1" ht="14" x14ac:dyDescent="0.35">
      <c r="F1912" s="102"/>
      <c r="G1912" s="102"/>
      <c r="I1912" s="93"/>
      <c r="J1912" s="93"/>
    </row>
    <row r="1913" spans="6:10" s="65" customFormat="1" ht="14" x14ac:dyDescent="0.35">
      <c r="F1913" s="102"/>
      <c r="G1913" s="102"/>
      <c r="I1913" s="93"/>
      <c r="J1913" s="93"/>
    </row>
    <row r="1914" spans="6:10" s="65" customFormat="1" ht="14" x14ac:dyDescent="0.35">
      <c r="F1914" s="102"/>
      <c r="G1914" s="102"/>
      <c r="I1914" s="93"/>
      <c r="J1914" s="93"/>
    </row>
    <row r="1915" spans="6:10" s="65" customFormat="1" ht="14" x14ac:dyDescent="0.35">
      <c r="F1915" s="102"/>
      <c r="G1915" s="102"/>
      <c r="I1915" s="93"/>
      <c r="J1915" s="93"/>
    </row>
    <row r="1916" spans="6:10" s="65" customFormat="1" ht="14" x14ac:dyDescent="0.35">
      <c r="F1916" s="102"/>
      <c r="G1916" s="102"/>
      <c r="I1916" s="93"/>
      <c r="J1916" s="93"/>
    </row>
    <row r="1917" spans="6:10" s="65" customFormat="1" ht="14" x14ac:dyDescent="0.35">
      <c r="F1917" s="102"/>
      <c r="G1917" s="102"/>
      <c r="I1917" s="93"/>
      <c r="J1917" s="93"/>
    </row>
    <row r="1918" spans="6:10" s="65" customFormat="1" ht="14" x14ac:dyDescent="0.35">
      <c r="F1918" s="102"/>
      <c r="G1918" s="102"/>
      <c r="I1918" s="93"/>
      <c r="J1918" s="93"/>
    </row>
    <row r="1919" spans="6:10" s="65" customFormat="1" ht="14" x14ac:dyDescent="0.35">
      <c r="F1919" s="102"/>
      <c r="G1919" s="102"/>
      <c r="I1919" s="93"/>
      <c r="J1919" s="93"/>
    </row>
    <row r="1920" spans="6:10" s="65" customFormat="1" ht="14" x14ac:dyDescent="0.35">
      <c r="F1920" s="102"/>
      <c r="G1920" s="102"/>
      <c r="I1920" s="93"/>
      <c r="J1920" s="93"/>
    </row>
    <row r="1921" spans="6:10" s="65" customFormat="1" ht="14" x14ac:dyDescent="0.35">
      <c r="F1921" s="102"/>
      <c r="G1921" s="102"/>
      <c r="I1921" s="93"/>
      <c r="J1921" s="93"/>
    </row>
    <row r="1922" spans="6:10" s="65" customFormat="1" ht="14" x14ac:dyDescent="0.35">
      <c r="F1922" s="102"/>
      <c r="G1922" s="102"/>
      <c r="I1922" s="93"/>
      <c r="J1922" s="93"/>
    </row>
    <row r="1923" spans="6:10" s="65" customFormat="1" ht="14" x14ac:dyDescent="0.35">
      <c r="F1923" s="102"/>
      <c r="G1923" s="102"/>
      <c r="I1923" s="93"/>
      <c r="J1923" s="93"/>
    </row>
    <row r="1924" spans="6:10" s="65" customFormat="1" ht="14" x14ac:dyDescent="0.35">
      <c r="F1924" s="102"/>
      <c r="G1924" s="102"/>
      <c r="I1924" s="93"/>
      <c r="J1924" s="93"/>
    </row>
    <row r="1925" spans="6:10" s="65" customFormat="1" ht="14" x14ac:dyDescent="0.35">
      <c r="F1925" s="102"/>
      <c r="G1925" s="102"/>
      <c r="I1925" s="93"/>
      <c r="J1925" s="93"/>
    </row>
    <row r="1926" spans="6:10" s="65" customFormat="1" ht="14" x14ac:dyDescent="0.35">
      <c r="F1926" s="102"/>
      <c r="G1926" s="102"/>
      <c r="I1926" s="93"/>
      <c r="J1926" s="93"/>
    </row>
    <row r="1927" spans="6:10" s="65" customFormat="1" ht="14" x14ac:dyDescent="0.35">
      <c r="F1927" s="102"/>
      <c r="G1927" s="102"/>
      <c r="I1927" s="93"/>
      <c r="J1927" s="93"/>
    </row>
    <row r="1928" spans="6:10" s="65" customFormat="1" ht="14" x14ac:dyDescent="0.35">
      <c r="F1928" s="102"/>
      <c r="G1928" s="102"/>
      <c r="I1928" s="93"/>
      <c r="J1928" s="93"/>
    </row>
    <row r="1929" spans="6:10" s="65" customFormat="1" ht="14" x14ac:dyDescent="0.35">
      <c r="F1929" s="102"/>
      <c r="G1929" s="102"/>
      <c r="I1929" s="93"/>
      <c r="J1929" s="93"/>
    </row>
    <row r="1930" spans="6:10" s="65" customFormat="1" ht="14" x14ac:dyDescent="0.35">
      <c r="F1930" s="102"/>
      <c r="G1930" s="102"/>
      <c r="I1930" s="93"/>
      <c r="J1930" s="93"/>
    </row>
    <row r="1931" spans="6:10" s="65" customFormat="1" ht="14" x14ac:dyDescent="0.35">
      <c r="F1931" s="102"/>
      <c r="G1931" s="102"/>
      <c r="I1931" s="93"/>
      <c r="J1931" s="93"/>
    </row>
    <row r="1932" spans="6:10" s="65" customFormat="1" ht="14" x14ac:dyDescent="0.35">
      <c r="F1932" s="102"/>
      <c r="G1932" s="102"/>
      <c r="I1932" s="93"/>
      <c r="J1932" s="93"/>
    </row>
    <row r="1933" spans="6:10" s="65" customFormat="1" ht="14" x14ac:dyDescent="0.35">
      <c r="F1933" s="102"/>
      <c r="G1933" s="102"/>
      <c r="I1933" s="93"/>
      <c r="J1933" s="93"/>
    </row>
    <row r="1934" spans="6:10" s="65" customFormat="1" ht="14" x14ac:dyDescent="0.35">
      <c r="F1934" s="102"/>
      <c r="G1934" s="102"/>
      <c r="I1934" s="93"/>
      <c r="J1934" s="93"/>
    </row>
    <row r="1935" spans="6:10" s="65" customFormat="1" ht="14" x14ac:dyDescent="0.35">
      <c r="F1935" s="102"/>
      <c r="G1935" s="102"/>
      <c r="I1935" s="93"/>
      <c r="J1935" s="93"/>
    </row>
    <row r="1936" spans="6:10" s="65" customFormat="1" ht="14" x14ac:dyDescent="0.35">
      <c r="F1936" s="102"/>
      <c r="G1936" s="102"/>
      <c r="I1936" s="93"/>
      <c r="J1936" s="93"/>
    </row>
    <row r="1937" spans="6:10" s="65" customFormat="1" ht="14" x14ac:dyDescent="0.35">
      <c r="F1937" s="102"/>
      <c r="G1937" s="102"/>
      <c r="I1937" s="93"/>
      <c r="J1937" s="93"/>
    </row>
    <row r="1938" spans="6:10" s="65" customFormat="1" ht="14" x14ac:dyDescent="0.35">
      <c r="F1938" s="102"/>
      <c r="G1938" s="102"/>
      <c r="I1938" s="93"/>
      <c r="J1938" s="93"/>
    </row>
    <row r="1939" spans="6:10" s="65" customFormat="1" ht="14" x14ac:dyDescent="0.35">
      <c r="F1939" s="102"/>
      <c r="G1939" s="102"/>
      <c r="I1939" s="93"/>
      <c r="J1939" s="93"/>
    </row>
    <row r="1940" spans="6:10" s="65" customFormat="1" ht="14" x14ac:dyDescent="0.35">
      <c r="F1940" s="102"/>
      <c r="G1940" s="102"/>
      <c r="I1940" s="93"/>
      <c r="J1940" s="93"/>
    </row>
    <row r="1941" spans="6:10" s="65" customFormat="1" ht="14" x14ac:dyDescent="0.35">
      <c r="F1941" s="102"/>
      <c r="G1941" s="102"/>
      <c r="I1941" s="93"/>
      <c r="J1941" s="93"/>
    </row>
    <row r="1942" spans="6:10" s="65" customFormat="1" ht="14" x14ac:dyDescent="0.35">
      <c r="F1942" s="102"/>
      <c r="G1942" s="102"/>
      <c r="I1942" s="93"/>
      <c r="J1942" s="93"/>
    </row>
    <row r="1943" spans="6:10" s="65" customFormat="1" ht="14" x14ac:dyDescent="0.35">
      <c r="F1943" s="102"/>
      <c r="G1943" s="102"/>
      <c r="I1943" s="93"/>
      <c r="J1943" s="93"/>
    </row>
    <row r="1944" spans="6:10" s="65" customFormat="1" ht="14" x14ac:dyDescent="0.35">
      <c r="F1944" s="102"/>
      <c r="G1944" s="102"/>
      <c r="I1944" s="93"/>
      <c r="J1944" s="93"/>
    </row>
    <row r="1945" spans="6:10" s="65" customFormat="1" ht="14" x14ac:dyDescent="0.35">
      <c r="F1945" s="102"/>
      <c r="G1945" s="102"/>
      <c r="I1945" s="93"/>
      <c r="J1945" s="93"/>
    </row>
    <row r="1946" spans="6:10" s="65" customFormat="1" ht="14" x14ac:dyDescent="0.35">
      <c r="F1946" s="102"/>
      <c r="G1946" s="102"/>
      <c r="I1946" s="93"/>
      <c r="J1946" s="93"/>
    </row>
    <row r="1947" spans="6:10" s="65" customFormat="1" ht="14" x14ac:dyDescent="0.35">
      <c r="F1947" s="102"/>
      <c r="G1947" s="102"/>
      <c r="I1947" s="93"/>
      <c r="J1947" s="93"/>
    </row>
    <row r="1948" spans="6:10" s="65" customFormat="1" ht="14" x14ac:dyDescent="0.35">
      <c r="F1948" s="102"/>
      <c r="G1948" s="102"/>
      <c r="I1948" s="93"/>
      <c r="J1948" s="93"/>
    </row>
    <row r="1949" spans="6:10" s="65" customFormat="1" ht="14" x14ac:dyDescent="0.35">
      <c r="F1949" s="102"/>
      <c r="G1949" s="102"/>
      <c r="I1949" s="93"/>
      <c r="J1949" s="93"/>
    </row>
    <row r="1950" spans="6:10" s="65" customFormat="1" ht="14" x14ac:dyDescent="0.35">
      <c r="F1950" s="102"/>
      <c r="G1950" s="102"/>
      <c r="I1950" s="93"/>
      <c r="J1950" s="93"/>
    </row>
    <row r="1951" spans="6:10" s="65" customFormat="1" ht="14" x14ac:dyDescent="0.35">
      <c r="F1951" s="102"/>
      <c r="G1951" s="102"/>
      <c r="I1951" s="93"/>
      <c r="J1951" s="93"/>
    </row>
    <row r="1952" spans="6:10" s="65" customFormat="1" ht="14" x14ac:dyDescent="0.35">
      <c r="F1952" s="102"/>
      <c r="G1952" s="102"/>
      <c r="I1952" s="93"/>
      <c r="J1952" s="93"/>
    </row>
    <row r="1953" spans="6:10" s="65" customFormat="1" ht="14" x14ac:dyDescent="0.35">
      <c r="F1953" s="102"/>
      <c r="G1953" s="102"/>
      <c r="I1953" s="93"/>
      <c r="J1953" s="93"/>
    </row>
    <row r="1954" spans="6:10" s="65" customFormat="1" ht="14" x14ac:dyDescent="0.35">
      <c r="F1954" s="102"/>
      <c r="G1954" s="102"/>
      <c r="I1954" s="93"/>
      <c r="J1954" s="93"/>
    </row>
    <row r="1955" spans="6:10" s="65" customFormat="1" ht="14" x14ac:dyDescent="0.35">
      <c r="F1955" s="102"/>
      <c r="G1955" s="102"/>
      <c r="I1955" s="93"/>
      <c r="J1955" s="93"/>
    </row>
    <row r="1956" spans="6:10" s="65" customFormat="1" ht="14" x14ac:dyDescent="0.35">
      <c r="F1956" s="102"/>
      <c r="G1956" s="102"/>
      <c r="I1956" s="93"/>
      <c r="J1956" s="93"/>
    </row>
    <row r="1957" spans="6:10" s="65" customFormat="1" ht="14" x14ac:dyDescent="0.35">
      <c r="F1957" s="102"/>
      <c r="G1957" s="102"/>
      <c r="I1957" s="93"/>
      <c r="J1957" s="93"/>
    </row>
    <row r="1958" spans="6:10" s="65" customFormat="1" ht="14" x14ac:dyDescent="0.35">
      <c r="F1958" s="102"/>
      <c r="G1958" s="102"/>
      <c r="I1958" s="93"/>
      <c r="J1958" s="93"/>
    </row>
    <row r="1959" spans="6:10" s="65" customFormat="1" ht="14" x14ac:dyDescent="0.35">
      <c r="F1959" s="102"/>
      <c r="G1959" s="102"/>
      <c r="I1959" s="93"/>
      <c r="J1959" s="93"/>
    </row>
    <row r="1960" spans="6:10" s="65" customFormat="1" ht="14" x14ac:dyDescent="0.35">
      <c r="F1960" s="102"/>
      <c r="G1960" s="102"/>
      <c r="I1960" s="93"/>
      <c r="J1960" s="93"/>
    </row>
    <row r="1961" spans="6:10" s="65" customFormat="1" ht="14" x14ac:dyDescent="0.35">
      <c r="F1961" s="102"/>
      <c r="G1961" s="102"/>
      <c r="I1961" s="93"/>
      <c r="J1961" s="93"/>
    </row>
    <row r="1962" spans="6:10" s="65" customFormat="1" ht="14" x14ac:dyDescent="0.35">
      <c r="F1962" s="102"/>
      <c r="G1962" s="102"/>
      <c r="I1962" s="93"/>
      <c r="J1962" s="93"/>
    </row>
    <row r="1963" spans="6:10" s="65" customFormat="1" ht="14" x14ac:dyDescent="0.35">
      <c r="F1963" s="102"/>
      <c r="G1963" s="102"/>
      <c r="I1963" s="93"/>
      <c r="J1963" s="93"/>
    </row>
    <row r="1964" spans="6:10" s="65" customFormat="1" ht="14" x14ac:dyDescent="0.35">
      <c r="F1964" s="102"/>
      <c r="G1964" s="102"/>
      <c r="I1964" s="93"/>
      <c r="J1964" s="93"/>
    </row>
    <row r="1965" spans="6:10" s="65" customFormat="1" ht="14" x14ac:dyDescent="0.35">
      <c r="F1965" s="102"/>
      <c r="G1965" s="102"/>
      <c r="I1965" s="93"/>
      <c r="J1965" s="93"/>
    </row>
    <row r="1966" spans="6:10" s="65" customFormat="1" ht="14" x14ac:dyDescent="0.35">
      <c r="F1966" s="102"/>
      <c r="G1966" s="102"/>
      <c r="I1966" s="93"/>
      <c r="J1966" s="93"/>
    </row>
    <row r="1967" spans="6:10" s="65" customFormat="1" ht="14" x14ac:dyDescent="0.35">
      <c r="F1967" s="102"/>
      <c r="G1967" s="102"/>
      <c r="I1967" s="93"/>
      <c r="J1967" s="93"/>
    </row>
    <row r="1968" spans="6:10" s="65" customFormat="1" ht="14" x14ac:dyDescent="0.35">
      <c r="F1968" s="102"/>
      <c r="G1968" s="102"/>
      <c r="I1968" s="93"/>
      <c r="J1968" s="93"/>
    </row>
    <row r="1969" spans="6:10" s="65" customFormat="1" ht="14" x14ac:dyDescent="0.35">
      <c r="F1969" s="102"/>
      <c r="G1969" s="102"/>
      <c r="I1969" s="93"/>
      <c r="J1969" s="93"/>
    </row>
    <row r="1970" spans="6:10" s="65" customFormat="1" ht="14" x14ac:dyDescent="0.35">
      <c r="F1970" s="102"/>
      <c r="G1970" s="102"/>
      <c r="I1970" s="93"/>
      <c r="J1970" s="93"/>
    </row>
    <row r="1971" spans="6:10" s="65" customFormat="1" ht="14" x14ac:dyDescent="0.35">
      <c r="F1971" s="102"/>
      <c r="G1971" s="102"/>
      <c r="I1971" s="93"/>
      <c r="J1971" s="93"/>
    </row>
    <row r="1972" spans="6:10" s="65" customFormat="1" ht="14" x14ac:dyDescent="0.35">
      <c r="F1972" s="102"/>
      <c r="G1972" s="102"/>
      <c r="I1972" s="93"/>
      <c r="J1972" s="93"/>
    </row>
    <row r="1973" spans="6:10" s="65" customFormat="1" ht="14" x14ac:dyDescent="0.35">
      <c r="F1973" s="102"/>
      <c r="G1973" s="102"/>
      <c r="I1973" s="93"/>
      <c r="J1973" s="93"/>
    </row>
    <row r="1974" spans="6:10" s="65" customFormat="1" ht="14" x14ac:dyDescent="0.35">
      <c r="F1974" s="102"/>
      <c r="G1974" s="102"/>
      <c r="I1974" s="93"/>
      <c r="J1974" s="93"/>
    </row>
    <row r="1975" spans="6:10" s="65" customFormat="1" ht="14" x14ac:dyDescent="0.35">
      <c r="F1975" s="102"/>
      <c r="G1975" s="102"/>
      <c r="I1975" s="93"/>
      <c r="J1975" s="93"/>
    </row>
    <row r="1976" spans="6:10" s="65" customFormat="1" ht="14" x14ac:dyDescent="0.35">
      <c r="F1976" s="102"/>
      <c r="G1976" s="102"/>
      <c r="I1976" s="93"/>
      <c r="J1976" s="93"/>
    </row>
    <row r="1977" spans="6:10" s="65" customFormat="1" ht="14" x14ac:dyDescent="0.35">
      <c r="F1977" s="102"/>
      <c r="G1977" s="102"/>
      <c r="I1977" s="93"/>
      <c r="J1977" s="93"/>
    </row>
    <row r="1978" spans="6:10" s="65" customFormat="1" ht="14" x14ac:dyDescent="0.35">
      <c r="F1978" s="102"/>
      <c r="G1978" s="102"/>
      <c r="I1978" s="93"/>
      <c r="J1978" s="93"/>
    </row>
    <row r="1979" spans="6:10" s="65" customFormat="1" ht="14" x14ac:dyDescent="0.35">
      <c r="F1979" s="102"/>
      <c r="G1979" s="102"/>
      <c r="I1979" s="93"/>
      <c r="J1979" s="93"/>
    </row>
    <row r="1980" spans="6:10" s="65" customFormat="1" ht="14" x14ac:dyDescent="0.35">
      <c r="F1980" s="102"/>
      <c r="G1980" s="102"/>
      <c r="I1980" s="93"/>
      <c r="J1980" s="93"/>
    </row>
    <row r="1981" spans="6:10" s="65" customFormat="1" ht="14" x14ac:dyDescent="0.35">
      <c r="F1981" s="102"/>
      <c r="G1981" s="102"/>
      <c r="I1981" s="93"/>
      <c r="J1981" s="93"/>
    </row>
    <row r="1982" spans="6:10" s="65" customFormat="1" ht="14" x14ac:dyDescent="0.35">
      <c r="F1982" s="102"/>
      <c r="G1982" s="102"/>
      <c r="I1982" s="93"/>
      <c r="J1982" s="93"/>
    </row>
    <row r="1983" spans="6:10" s="65" customFormat="1" ht="14" x14ac:dyDescent="0.35">
      <c r="F1983" s="102"/>
      <c r="G1983" s="102"/>
      <c r="I1983" s="93"/>
      <c r="J1983" s="93"/>
    </row>
    <row r="1984" spans="6:10" s="65" customFormat="1" ht="14" x14ac:dyDescent="0.35">
      <c r="F1984" s="102"/>
      <c r="G1984" s="102"/>
      <c r="I1984" s="93"/>
      <c r="J1984" s="93"/>
    </row>
    <row r="1985" spans="6:10" s="65" customFormat="1" ht="14" x14ac:dyDescent="0.35">
      <c r="F1985" s="102"/>
      <c r="G1985" s="102"/>
      <c r="I1985" s="93"/>
      <c r="J1985" s="93"/>
    </row>
    <row r="1986" spans="6:10" s="65" customFormat="1" ht="14" x14ac:dyDescent="0.35">
      <c r="F1986" s="102"/>
      <c r="G1986" s="102"/>
      <c r="I1986" s="93"/>
      <c r="J1986" s="93"/>
    </row>
    <row r="1987" spans="6:10" s="65" customFormat="1" ht="14" x14ac:dyDescent="0.35">
      <c r="F1987" s="102"/>
      <c r="G1987" s="102"/>
      <c r="I1987" s="93"/>
      <c r="J1987" s="93"/>
    </row>
    <row r="1988" spans="6:10" s="65" customFormat="1" ht="14" x14ac:dyDescent="0.35">
      <c r="F1988" s="102"/>
      <c r="G1988" s="102"/>
      <c r="I1988" s="93"/>
      <c r="J1988" s="93"/>
    </row>
    <row r="1989" spans="6:10" s="65" customFormat="1" ht="14" x14ac:dyDescent="0.35">
      <c r="F1989" s="102"/>
      <c r="G1989" s="102"/>
      <c r="I1989" s="93"/>
      <c r="J1989" s="93"/>
    </row>
    <row r="1990" spans="6:10" s="65" customFormat="1" ht="14" x14ac:dyDescent="0.35">
      <c r="F1990" s="102"/>
      <c r="G1990" s="102"/>
      <c r="I1990" s="93"/>
      <c r="J1990" s="93"/>
    </row>
    <row r="1991" spans="6:10" s="65" customFormat="1" ht="14" x14ac:dyDescent="0.35">
      <c r="F1991" s="102"/>
      <c r="G1991" s="102"/>
      <c r="I1991" s="93"/>
      <c r="J1991" s="93"/>
    </row>
    <row r="1992" spans="6:10" s="65" customFormat="1" ht="14" x14ac:dyDescent="0.35">
      <c r="F1992" s="102"/>
      <c r="G1992" s="102"/>
      <c r="I1992" s="93"/>
      <c r="J1992" s="93"/>
    </row>
    <row r="1993" spans="6:10" s="65" customFormat="1" ht="14" x14ac:dyDescent="0.35">
      <c r="F1993" s="102"/>
      <c r="G1993" s="102"/>
      <c r="I1993" s="93"/>
      <c r="J1993" s="93"/>
    </row>
    <row r="1994" spans="6:10" s="65" customFormat="1" ht="14" x14ac:dyDescent="0.35">
      <c r="F1994" s="102"/>
      <c r="G1994" s="102"/>
      <c r="I1994" s="93"/>
      <c r="J1994" s="93"/>
    </row>
    <row r="1995" spans="6:10" s="65" customFormat="1" ht="14" x14ac:dyDescent="0.35">
      <c r="F1995" s="102"/>
      <c r="G1995" s="102"/>
      <c r="I1995" s="93"/>
      <c r="J1995" s="93"/>
    </row>
    <row r="1996" spans="6:10" s="65" customFormat="1" ht="14" x14ac:dyDescent="0.35">
      <c r="F1996" s="102"/>
      <c r="G1996" s="102"/>
      <c r="I1996" s="93"/>
      <c r="J1996" s="93"/>
    </row>
    <row r="1997" spans="6:10" s="65" customFormat="1" ht="14" x14ac:dyDescent="0.35">
      <c r="F1997" s="102"/>
      <c r="G1997" s="102"/>
      <c r="I1997" s="93"/>
      <c r="J1997" s="93"/>
    </row>
    <row r="1998" spans="6:10" s="65" customFormat="1" ht="14" x14ac:dyDescent="0.35">
      <c r="F1998" s="102"/>
      <c r="G1998" s="102"/>
      <c r="I1998" s="93"/>
      <c r="J1998" s="93"/>
    </row>
    <row r="1999" spans="6:10" s="65" customFormat="1" ht="14" x14ac:dyDescent="0.35">
      <c r="F1999" s="102"/>
      <c r="G1999" s="102"/>
      <c r="I1999" s="93"/>
      <c r="J1999" s="93"/>
    </row>
    <row r="2000" spans="6:10" s="65" customFormat="1" ht="14" x14ac:dyDescent="0.35">
      <c r="F2000" s="102"/>
      <c r="G2000" s="102"/>
      <c r="I2000" s="93"/>
      <c r="J2000" s="93"/>
    </row>
    <row r="2001" spans="6:10" s="65" customFormat="1" ht="14" x14ac:dyDescent="0.35">
      <c r="F2001" s="102"/>
      <c r="G2001" s="102"/>
      <c r="I2001" s="93"/>
      <c r="J2001" s="93"/>
    </row>
    <row r="2002" spans="6:10" s="65" customFormat="1" ht="14" x14ac:dyDescent="0.35">
      <c r="F2002" s="102"/>
      <c r="G2002" s="102"/>
      <c r="I2002" s="93"/>
      <c r="J2002" s="93"/>
    </row>
    <row r="2003" spans="6:10" s="65" customFormat="1" ht="14" x14ac:dyDescent="0.35">
      <c r="F2003" s="102"/>
      <c r="G2003" s="102"/>
      <c r="I2003" s="93"/>
      <c r="J2003" s="93"/>
    </row>
    <row r="2004" spans="6:10" s="65" customFormat="1" ht="14" x14ac:dyDescent="0.35">
      <c r="F2004" s="102"/>
      <c r="G2004" s="102"/>
      <c r="I2004" s="93"/>
      <c r="J2004" s="93"/>
    </row>
    <row r="2005" spans="6:10" s="65" customFormat="1" ht="14" x14ac:dyDescent="0.35">
      <c r="F2005" s="102"/>
      <c r="G2005" s="102"/>
      <c r="I2005" s="93"/>
      <c r="J2005" s="93"/>
    </row>
    <row r="2006" spans="6:10" s="65" customFormat="1" ht="14" x14ac:dyDescent="0.35">
      <c r="F2006" s="102"/>
      <c r="G2006" s="102"/>
      <c r="I2006" s="93"/>
      <c r="J2006" s="93"/>
    </row>
    <row r="2007" spans="6:10" s="65" customFormat="1" ht="14" x14ac:dyDescent="0.35">
      <c r="F2007" s="102"/>
      <c r="G2007" s="102"/>
      <c r="I2007" s="93"/>
      <c r="J2007" s="93"/>
    </row>
    <row r="2008" spans="6:10" s="65" customFormat="1" ht="14" x14ac:dyDescent="0.35">
      <c r="F2008" s="102"/>
      <c r="G2008" s="102"/>
      <c r="I2008" s="93"/>
      <c r="J2008" s="93"/>
    </row>
    <row r="2009" spans="6:10" s="65" customFormat="1" ht="14" x14ac:dyDescent="0.35">
      <c r="F2009" s="102"/>
      <c r="G2009" s="102"/>
      <c r="I2009" s="93"/>
      <c r="J2009" s="93"/>
    </row>
    <row r="2010" spans="6:10" s="65" customFormat="1" ht="14" x14ac:dyDescent="0.35">
      <c r="F2010" s="102"/>
      <c r="G2010" s="102"/>
      <c r="I2010" s="93"/>
      <c r="J2010" s="93"/>
    </row>
    <row r="2011" spans="6:10" s="65" customFormat="1" ht="14" x14ac:dyDescent="0.35">
      <c r="F2011" s="102"/>
      <c r="G2011" s="102"/>
      <c r="I2011" s="93"/>
      <c r="J2011" s="93"/>
    </row>
    <row r="2012" spans="6:10" s="65" customFormat="1" ht="14" x14ac:dyDescent="0.35">
      <c r="F2012" s="102"/>
      <c r="G2012" s="102"/>
      <c r="I2012" s="93"/>
      <c r="J2012" s="93"/>
    </row>
    <row r="2013" spans="6:10" s="65" customFormat="1" ht="14" x14ac:dyDescent="0.35">
      <c r="F2013" s="102"/>
      <c r="G2013" s="102"/>
      <c r="I2013" s="93"/>
      <c r="J2013" s="93"/>
    </row>
    <row r="2014" spans="6:10" s="65" customFormat="1" ht="14" x14ac:dyDescent="0.35">
      <c r="F2014" s="102"/>
      <c r="G2014" s="102"/>
      <c r="I2014" s="93"/>
      <c r="J2014" s="93"/>
    </row>
    <row r="2015" spans="6:10" s="65" customFormat="1" ht="14" x14ac:dyDescent="0.35">
      <c r="F2015" s="102"/>
      <c r="G2015" s="102"/>
      <c r="I2015" s="93"/>
      <c r="J2015" s="93"/>
    </row>
    <row r="2016" spans="6:10" s="65" customFormat="1" ht="14" x14ac:dyDescent="0.35">
      <c r="F2016" s="102"/>
      <c r="G2016" s="102"/>
      <c r="I2016" s="93"/>
      <c r="J2016" s="93"/>
    </row>
    <row r="2017" spans="6:10" s="65" customFormat="1" ht="14" x14ac:dyDescent="0.35">
      <c r="F2017" s="102"/>
      <c r="G2017" s="102"/>
      <c r="I2017" s="93"/>
      <c r="J2017" s="93"/>
    </row>
    <row r="2018" spans="6:10" s="65" customFormat="1" ht="14" x14ac:dyDescent="0.35">
      <c r="F2018" s="102"/>
      <c r="G2018" s="102"/>
      <c r="I2018" s="93"/>
      <c r="J2018" s="93"/>
    </row>
    <row r="2019" spans="6:10" s="65" customFormat="1" ht="14" x14ac:dyDescent="0.35">
      <c r="F2019" s="102"/>
      <c r="G2019" s="102"/>
      <c r="I2019" s="93"/>
      <c r="J2019" s="93"/>
    </row>
    <row r="2020" spans="6:10" s="65" customFormat="1" ht="14" x14ac:dyDescent="0.35">
      <c r="F2020" s="102"/>
      <c r="G2020" s="102"/>
      <c r="I2020" s="93"/>
      <c r="J2020" s="93"/>
    </row>
    <row r="2021" spans="6:10" s="65" customFormat="1" ht="14" x14ac:dyDescent="0.35">
      <c r="F2021" s="102"/>
      <c r="G2021" s="102"/>
      <c r="I2021" s="93"/>
      <c r="J2021" s="93"/>
    </row>
    <row r="2022" spans="6:10" s="65" customFormat="1" ht="14" x14ac:dyDescent="0.35">
      <c r="F2022" s="102"/>
      <c r="G2022" s="102"/>
      <c r="I2022" s="93"/>
      <c r="J2022" s="93"/>
    </row>
    <row r="2023" spans="6:10" s="65" customFormat="1" ht="14" x14ac:dyDescent="0.35">
      <c r="F2023" s="102"/>
      <c r="G2023" s="102"/>
      <c r="I2023" s="93"/>
      <c r="J2023" s="93"/>
    </row>
    <row r="2024" spans="6:10" s="65" customFormat="1" ht="14" x14ac:dyDescent="0.35">
      <c r="F2024" s="102"/>
      <c r="G2024" s="102"/>
      <c r="I2024" s="93"/>
      <c r="J2024" s="93"/>
    </row>
    <row r="2025" spans="6:10" s="65" customFormat="1" ht="14" x14ac:dyDescent="0.35">
      <c r="F2025" s="102"/>
      <c r="G2025" s="102"/>
      <c r="I2025" s="93"/>
      <c r="J2025" s="93"/>
    </row>
    <row r="2026" spans="6:10" s="65" customFormat="1" ht="14" x14ac:dyDescent="0.35">
      <c r="F2026" s="102"/>
      <c r="G2026" s="102"/>
      <c r="I2026" s="93"/>
      <c r="J2026" s="93"/>
    </row>
    <row r="2027" spans="6:10" s="65" customFormat="1" ht="14" x14ac:dyDescent="0.35">
      <c r="F2027" s="102"/>
      <c r="G2027" s="102"/>
      <c r="I2027" s="93"/>
      <c r="J2027" s="93"/>
    </row>
    <row r="2028" spans="6:10" s="65" customFormat="1" ht="14" x14ac:dyDescent="0.35">
      <c r="F2028" s="102"/>
      <c r="G2028" s="102"/>
      <c r="I2028" s="93"/>
      <c r="J2028" s="93"/>
    </row>
    <row r="2029" spans="6:10" s="65" customFormat="1" ht="14" x14ac:dyDescent="0.35">
      <c r="F2029" s="102"/>
      <c r="G2029" s="102"/>
      <c r="I2029" s="93"/>
      <c r="J2029" s="93"/>
    </row>
    <row r="2030" spans="6:10" s="65" customFormat="1" ht="14" x14ac:dyDescent="0.35">
      <c r="F2030" s="102"/>
      <c r="G2030" s="102"/>
      <c r="I2030" s="93"/>
      <c r="J2030" s="93"/>
    </row>
    <row r="2031" spans="6:10" s="65" customFormat="1" ht="14" x14ac:dyDescent="0.35">
      <c r="F2031" s="102"/>
      <c r="G2031" s="102"/>
      <c r="I2031" s="93"/>
      <c r="J2031" s="93"/>
    </row>
    <row r="2032" spans="6:10" s="65" customFormat="1" ht="14" x14ac:dyDescent="0.35">
      <c r="F2032" s="102"/>
      <c r="G2032" s="102"/>
      <c r="I2032" s="93"/>
      <c r="J2032" s="93"/>
    </row>
    <row r="2033" spans="6:10" s="65" customFormat="1" ht="14" x14ac:dyDescent="0.35">
      <c r="F2033" s="102"/>
      <c r="G2033" s="102"/>
      <c r="I2033" s="93"/>
      <c r="J2033" s="93"/>
    </row>
    <row r="2034" spans="6:10" s="65" customFormat="1" ht="14" x14ac:dyDescent="0.35">
      <c r="F2034" s="102"/>
      <c r="G2034" s="102"/>
      <c r="I2034" s="93"/>
      <c r="J2034" s="93"/>
    </row>
    <row r="2035" spans="6:10" s="65" customFormat="1" ht="14" x14ac:dyDescent="0.35">
      <c r="F2035" s="102"/>
      <c r="G2035" s="102"/>
      <c r="I2035" s="93"/>
      <c r="J2035" s="93"/>
    </row>
    <row r="2036" spans="6:10" s="65" customFormat="1" ht="14" x14ac:dyDescent="0.35">
      <c r="F2036" s="102"/>
      <c r="G2036" s="102"/>
      <c r="I2036" s="93"/>
      <c r="J2036" s="93"/>
    </row>
    <row r="2037" spans="6:10" s="65" customFormat="1" ht="14" x14ac:dyDescent="0.35">
      <c r="F2037" s="102"/>
      <c r="G2037" s="102"/>
      <c r="I2037" s="93"/>
      <c r="J2037" s="93"/>
    </row>
    <row r="2038" spans="6:10" s="65" customFormat="1" ht="14" x14ac:dyDescent="0.35">
      <c r="F2038" s="102"/>
      <c r="G2038" s="102"/>
      <c r="I2038" s="93"/>
      <c r="J2038" s="93"/>
    </row>
    <row r="2039" spans="6:10" s="65" customFormat="1" ht="14" x14ac:dyDescent="0.35">
      <c r="F2039" s="102"/>
      <c r="G2039" s="102"/>
      <c r="I2039" s="93"/>
      <c r="J2039" s="93"/>
    </row>
    <row r="2040" spans="6:10" s="65" customFormat="1" ht="14" x14ac:dyDescent="0.35">
      <c r="F2040" s="102"/>
      <c r="G2040" s="102"/>
      <c r="I2040" s="93"/>
      <c r="J2040" s="93"/>
    </row>
    <row r="2041" spans="6:10" s="65" customFormat="1" ht="14" x14ac:dyDescent="0.35">
      <c r="F2041" s="102"/>
      <c r="G2041" s="102"/>
      <c r="I2041" s="93"/>
      <c r="J2041" s="93"/>
    </row>
    <row r="2042" spans="6:10" s="65" customFormat="1" ht="14" x14ac:dyDescent="0.35">
      <c r="F2042" s="102"/>
      <c r="G2042" s="102"/>
      <c r="I2042" s="93"/>
      <c r="J2042" s="93"/>
    </row>
    <row r="2043" spans="6:10" s="65" customFormat="1" ht="14" x14ac:dyDescent="0.35">
      <c r="F2043" s="102"/>
      <c r="G2043" s="102"/>
      <c r="I2043" s="93"/>
      <c r="J2043" s="93"/>
    </row>
    <row r="2044" spans="6:10" s="65" customFormat="1" ht="14" x14ac:dyDescent="0.35">
      <c r="F2044" s="102"/>
      <c r="G2044" s="102"/>
      <c r="I2044" s="93"/>
      <c r="J2044" s="93"/>
    </row>
    <row r="2045" spans="6:10" s="65" customFormat="1" ht="14" x14ac:dyDescent="0.35">
      <c r="F2045" s="102"/>
      <c r="G2045" s="102"/>
      <c r="I2045" s="93"/>
      <c r="J2045" s="93"/>
    </row>
    <row r="2046" spans="6:10" s="65" customFormat="1" ht="14" x14ac:dyDescent="0.35">
      <c r="F2046" s="102"/>
      <c r="G2046" s="102"/>
      <c r="I2046" s="93"/>
      <c r="J2046" s="93"/>
    </row>
    <row r="2047" spans="6:10" s="65" customFormat="1" ht="14" x14ac:dyDescent="0.35">
      <c r="F2047" s="102"/>
      <c r="G2047" s="102"/>
      <c r="I2047" s="93"/>
      <c r="J2047" s="93"/>
    </row>
    <row r="2048" spans="6:10" s="65" customFormat="1" ht="14" x14ac:dyDescent="0.35">
      <c r="F2048" s="102"/>
      <c r="G2048" s="102"/>
      <c r="I2048" s="93"/>
      <c r="J2048" s="93"/>
    </row>
    <row r="2049" spans="6:10" s="65" customFormat="1" ht="14" x14ac:dyDescent="0.35">
      <c r="F2049" s="102"/>
      <c r="G2049" s="102"/>
      <c r="I2049" s="93"/>
      <c r="J2049" s="93"/>
    </row>
    <row r="2050" spans="6:10" s="65" customFormat="1" ht="14" x14ac:dyDescent="0.35">
      <c r="F2050" s="102"/>
      <c r="G2050" s="102"/>
      <c r="I2050" s="93"/>
      <c r="J2050" s="93"/>
    </row>
    <row r="2051" spans="6:10" s="65" customFormat="1" ht="14" x14ac:dyDescent="0.35">
      <c r="F2051" s="102"/>
      <c r="G2051" s="102"/>
      <c r="I2051" s="93"/>
      <c r="J2051" s="93"/>
    </row>
    <row r="2052" spans="6:10" s="65" customFormat="1" ht="14" x14ac:dyDescent="0.35">
      <c r="F2052" s="102"/>
      <c r="G2052" s="102"/>
      <c r="I2052" s="93"/>
      <c r="J2052" s="93"/>
    </row>
    <row r="2053" spans="6:10" s="65" customFormat="1" ht="14" x14ac:dyDescent="0.35">
      <c r="F2053" s="102"/>
      <c r="G2053" s="102"/>
      <c r="I2053" s="93"/>
      <c r="J2053" s="93"/>
    </row>
    <row r="2054" spans="6:10" s="65" customFormat="1" ht="14" x14ac:dyDescent="0.35">
      <c r="F2054" s="102"/>
      <c r="G2054" s="102"/>
      <c r="I2054" s="93"/>
      <c r="J2054" s="93"/>
    </row>
    <row r="2055" spans="6:10" s="65" customFormat="1" ht="14" x14ac:dyDescent="0.35">
      <c r="F2055" s="102"/>
      <c r="G2055" s="102"/>
      <c r="I2055" s="93"/>
      <c r="J2055" s="93"/>
    </row>
    <row r="2056" spans="6:10" s="65" customFormat="1" ht="14" x14ac:dyDescent="0.35">
      <c r="F2056" s="102"/>
      <c r="G2056" s="102"/>
      <c r="I2056" s="93"/>
      <c r="J2056" s="93"/>
    </row>
    <row r="2057" spans="6:10" s="65" customFormat="1" ht="14" x14ac:dyDescent="0.35">
      <c r="F2057" s="102"/>
      <c r="G2057" s="102"/>
      <c r="I2057" s="93"/>
      <c r="J2057" s="93"/>
    </row>
    <row r="2058" spans="6:10" s="65" customFormat="1" ht="14" x14ac:dyDescent="0.35">
      <c r="F2058" s="102"/>
      <c r="G2058" s="102"/>
      <c r="I2058" s="93"/>
      <c r="J2058" s="93"/>
    </row>
    <row r="2059" spans="6:10" s="65" customFormat="1" ht="14" x14ac:dyDescent="0.35">
      <c r="F2059" s="102"/>
      <c r="G2059" s="102"/>
      <c r="I2059" s="93"/>
      <c r="J2059" s="93"/>
    </row>
    <row r="2060" spans="6:10" s="65" customFormat="1" ht="14" x14ac:dyDescent="0.35">
      <c r="F2060" s="102"/>
      <c r="G2060" s="102"/>
      <c r="I2060" s="93"/>
      <c r="J2060" s="93"/>
    </row>
    <row r="2061" spans="6:10" s="65" customFormat="1" ht="14" x14ac:dyDescent="0.35">
      <c r="F2061" s="102"/>
      <c r="G2061" s="102"/>
      <c r="I2061" s="93"/>
      <c r="J2061" s="93"/>
    </row>
    <row r="2062" spans="6:10" s="65" customFormat="1" ht="14" x14ac:dyDescent="0.35">
      <c r="F2062" s="102"/>
      <c r="G2062" s="102"/>
      <c r="I2062" s="93"/>
      <c r="J2062" s="93"/>
    </row>
    <row r="2063" spans="6:10" s="65" customFormat="1" ht="14" x14ac:dyDescent="0.35">
      <c r="F2063" s="102"/>
      <c r="G2063" s="102"/>
      <c r="I2063" s="93"/>
      <c r="J2063" s="93"/>
    </row>
    <row r="2064" spans="6:10" s="65" customFormat="1" ht="14" x14ac:dyDescent="0.35">
      <c r="F2064" s="102"/>
      <c r="G2064" s="102"/>
      <c r="I2064" s="93"/>
      <c r="J2064" s="93"/>
    </row>
    <row r="2065" spans="6:10" s="65" customFormat="1" ht="14" x14ac:dyDescent="0.35">
      <c r="F2065" s="102"/>
      <c r="G2065" s="102"/>
      <c r="I2065" s="93"/>
      <c r="J2065" s="93"/>
    </row>
    <row r="2066" spans="6:10" s="65" customFormat="1" ht="14" x14ac:dyDescent="0.35">
      <c r="F2066" s="102"/>
      <c r="G2066" s="102"/>
      <c r="I2066" s="93"/>
      <c r="J2066" s="93"/>
    </row>
    <row r="2067" spans="6:10" s="65" customFormat="1" ht="14" x14ac:dyDescent="0.35">
      <c r="F2067" s="102"/>
      <c r="G2067" s="102"/>
      <c r="I2067" s="93"/>
      <c r="J2067" s="93"/>
    </row>
    <row r="2068" spans="6:10" s="65" customFormat="1" ht="14" x14ac:dyDescent="0.35">
      <c r="F2068" s="102"/>
      <c r="G2068" s="102"/>
      <c r="I2068" s="93"/>
      <c r="J2068" s="93"/>
    </row>
    <row r="2069" spans="6:10" s="65" customFormat="1" ht="14" x14ac:dyDescent="0.35">
      <c r="F2069" s="102"/>
      <c r="G2069" s="102"/>
      <c r="I2069" s="93"/>
      <c r="J2069" s="93"/>
    </row>
    <row r="2070" spans="6:10" s="65" customFormat="1" ht="14" x14ac:dyDescent="0.35">
      <c r="F2070" s="102"/>
      <c r="G2070" s="102"/>
      <c r="I2070" s="93"/>
      <c r="J2070" s="93"/>
    </row>
    <row r="2071" spans="6:10" s="65" customFormat="1" ht="14" x14ac:dyDescent="0.35">
      <c r="F2071" s="102"/>
      <c r="G2071" s="102"/>
      <c r="I2071" s="93"/>
      <c r="J2071" s="93"/>
    </row>
    <row r="2072" spans="6:10" s="65" customFormat="1" ht="14" x14ac:dyDescent="0.35">
      <c r="F2072" s="102"/>
      <c r="G2072" s="102"/>
      <c r="I2072" s="93"/>
      <c r="J2072" s="93"/>
    </row>
    <row r="2073" spans="6:10" s="65" customFormat="1" ht="14" x14ac:dyDescent="0.35">
      <c r="F2073" s="102"/>
      <c r="G2073" s="102"/>
      <c r="I2073" s="93"/>
      <c r="J2073" s="93"/>
    </row>
    <row r="2074" spans="6:10" s="65" customFormat="1" ht="14" x14ac:dyDescent="0.35">
      <c r="F2074" s="102"/>
      <c r="G2074" s="102"/>
      <c r="I2074" s="93"/>
      <c r="J2074" s="93"/>
    </row>
    <row r="2075" spans="6:10" s="65" customFormat="1" ht="14" x14ac:dyDescent="0.35">
      <c r="F2075" s="102"/>
      <c r="G2075" s="102"/>
      <c r="I2075" s="93"/>
      <c r="J2075" s="93"/>
    </row>
    <row r="2076" spans="6:10" s="65" customFormat="1" ht="14" x14ac:dyDescent="0.35">
      <c r="F2076" s="102"/>
      <c r="G2076" s="102"/>
      <c r="I2076" s="93"/>
      <c r="J2076" s="93"/>
    </row>
    <row r="2077" spans="6:10" s="65" customFormat="1" ht="14" x14ac:dyDescent="0.35">
      <c r="F2077" s="102"/>
      <c r="G2077" s="102"/>
      <c r="I2077" s="93"/>
      <c r="J2077" s="93"/>
    </row>
    <row r="2078" spans="6:10" s="65" customFormat="1" ht="14" x14ac:dyDescent="0.35">
      <c r="F2078" s="102"/>
      <c r="G2078" s="102"/>
      <c r="I2078" s="93"/>
      <c r="J2078" s="93"/>
    </row>
    <row r="2079" spans="6:10" s="65" customFormat="1" ht="14" x14ac:dyDescent="0.35">
      <c r="F2079" s="102"/>
      <c r="G2079" s="102"/>
      <c r="I2079" s="93"/>
      <c r="J2079" s="93"/>
    </row>
    <row r="2080" spans="6:10" s="65" customFormat="1" ht="14" x14ac:dyDescent="0.35">
      <c r="F2080" s="102"/>
      <c r="G2080" s="102"/>
      <c r="I2080" s="93"/>
      <c r="J2080" s="93"/>
    </row>
    <row r="2081" spans="6:10" s="65" customFormat="1" ht="14" x14ac:dyDescent="0.35">
      <c r="F2081" s="102"/>
      <c r="G2081" s="102"/>
      <c r="I2081" s="93"/>
      <c r="J2081" s="93"/>
    </row>
    <row r="2082" spans="6:10" s="65" customFormat="1" ht="14" x14ac:dyDescent="0.35">
      <c r="F2082" s="102"/>
      <c r="G2082" s="102"/>
      <c r="I2082" s="93"/>
      <c r="J2082" s="93"/>
    </row>
    <row r="2083" spans="6:10" s="65" customFormat="1" ht="14" x14ac:dyDescent="0.35">
      <c r="F2083" s="102"/>
      <c r="G2083" s="102"/>
      <c r="I2083" s="93"/>
      <c r="J2083" s="93"/>
    </row>
    <row r="2084" spans="6:10" s="65" customFormat="1" ht="14" x14ac:dyDescent="0.35">
      <c r="F2084" s="102"/>
      <c r="G2084" s="102"/>
      <c r="I2084" s="93"/>
      <c r="J2084" s="93"/>
    </row>
    <row r="2085" spans="6:10" s="65" customFormat="1" ht="14" x14ac:dyDescent="0.35">
      <c r="F2085" s="102"/>
      <c r="G2085" s="102"/>
      <c r="I2085" s="93"/>
      <c r="J2085" s="93"/>
    </row>
    <row r="2086" spans="6:10" s="65" customFormat="1" ht="14" x14ac:dyDescent="0.35">
      <c r="F2086" s="102"/>
      <c r="G2086" s="102"/>
      <c r="I2086" s="93"/>
      <c r="J2086" s="93"/>
    </row>
    <row r="2087" spans="6:10" s="65" customFormat="1" ht="14" x14ac:dyDescent="0.35">
      <c r="F2087" s="102"/>
      <c r="G2087" s="102"/>
      <c r="I2087" s="93"/>
      <c r="J2087" s="93"/>
    </row>
    <row r="2088" spans="6:10" s="65" customFormat="1" ht="14" x14ac:dyDescent="0.35">
      <c r="F2088" s="102"/>
      <c r="G2088" s="102"/>
      <c r="I2088" s="93"/>
      <c r="J2088" s="93"/>
    </row>
    <row r="2089" spans="6:10" s="65" customFormat="1" ht="14" x14ac:dyDescent="0.35">
      <c r="F2089" s="102"/>
      <c r="G2089" s="102"/>
      <c r="I2089" s="93"/>
      <c r="J2089" s="93"/>
    </row>
    <row r="2090" spans="6:10" s="65" customFormat="1" ht="14" x14ac:dyDescent="0.35">
      <c r="F2090" s="102"/>
      <c r="G2090" s="102"/>
      <c r="I2090" s="93"/>
      <c r="J2090" s="93"/>
    </row>
    <row r="2091" spans="6:10" s="65" customFormat="1" ht="14" x14ac:dyDescent="0.35">
      <c r="F2091" s="102"/>
      <c r="G2091" s="102"/>
      <c r="I2091" s="93"/>
      <c r="J2091" s="93"/>
    </row>
    <row r="2092" spans="6:10" s="65" customFormat="1" ht="14" x14ac:dyDescent="0.35">
      <c r="F2092" s="102"/>
      <c r="G2092" s="102"/>
      <c r="I2092" s="93"/>
      <c r="J2092" s="93"/>
    </row>
    <row r="2093" spans="6:10" s="65" customFormat="1" ht="14" x14ac:dyDescent="0.35">
      <c r="F2093" s="102"/>
      <c r="G2093" s="102"/>
      <c r="I2093" s="93"/>
      <c r="J2093" s="93"/>
    </row>
    <row r="2094" spans="6:10" s="65" customFormat="1" ht="14" x14ac:dyDescent="0.35">
      <c r="F2094" s="102"/>
      <c r="G2094" s="102"/>
      <c r="I2094" s="93"/>
      <c r="J2094" s="93"/>
    </row>
    <row r="2095" spans="6:10" s="65" customFormat="1" ht="14" x14ac:dyDescent="0.35">
      <c r="F2095" s="102"/>
      <c r="G2095" s="102"/>
      <c r="I2095" s="93"/>
      <c r="J2095" s="93"/>
    </row>
    <row r="2096" spans="6:10" s="65" customFormat="1" ht="14" x14ac:dyDescent="0.35">
      <c r="F2096" s="102"/>
      <c r="G2096" s="102"/>
      <c r="I2096" s="93"/>
      <c r="J2096" s="93"/>
    </row>
    <row r="2097" spans="6:10" s="65" customFormat="1" ht="14" x14ac:dyDescent="0.35">
      <c r="F2097" s="102"/>
      <c r="G2097" s="102"/>
      <c r="I2097" s="93"/>
      <c r="J2097" s="93"/>
    </row>
    <row r="2098" spans="6:10" s="65" customFormat="1" ht="14" x14ac:dyDescent="0.35">
      <c r="F2098" s="102"/>
      <c r="G2098" s="102"/>
      <c r="I2098" s="93"/>
      <c r="J2098" s="93"/>
    </row>
    <row r="2099" spans="6:10" s="65" customFormat="1" ht="14" x14ac:dyDescent="0.35">
      <c r="F2099" s="102"/>
      <c r="G2099" s="102"/>
      <c r="I2099" s="93"/>
      <c r="J2099" s="93"/>
    </row>
    <row r="2100" spans="6:10" s="65" customFormat="1" ht="14" x14ac:dyDescent="0.35">
      <c r="F2100" s="102"/>
      <c r="G2100" s="102"/>
      <c r="I2100" s="93"/>
      <c r="J2100" s="93"/>
    </row>
    <row r="2101" spans="6:10" s="65" customFormat="1" ht="14" x14ac:dyDescent="0.35">
      <c r="F2101" s="102"/>
      <c r="G2101" s="102"/>
      <c r="I2101" s="93"/>
      <c r="J2101" s="93"/>
    </row>
    <row r="2102" spans="6:10" s="65" customFormat="1" ht="14" x14ac:dyDescent="0.35">
      <c r="F2102" s="102"/>
      <c r="G2102" s="102"/>
      <c r="I2102" s="93"/>
      <c r="J2102" s="93"/>
    </row>
    <row r="2103" spans="6:10" s="65" customFormat="1" ht="14" x14ac:dyDescent="0.35">
      <c r="F2103" s="102"/>
      <c r="G2103" s="102"/>
      <c r="I2103" s="93"/>
      <c r="J2103" s="93"/>
    </row>
    <row r="2104" spans="6:10" s="65" customFormat="1" ht="14" x14ac:dyDescent="0.35">
      <c r="F2104" s="102"/>
      <c r="G2104" s="102"/>
      <c r="I2104" s="93"/>
      <c r="J2104" s="93"/>
    </row>
    <row r="2105" spans="6:10" s="65" customFormat="1" ht="14" x14ac:dyDescent="0.35">
      <c r="F2105" s="102"/>
      <c r="G2105" s="102"/>
      <c r="I2105" s="93"/>
      <c r="J2105" s="93"/>
    </row>
    <row r="2106" spans="6:10" s="65" customFormat="1" ht="14" x14ac:dyDescent="0.35">
      <c r="F2106" s="102"/>
      <c r="G2106" s="102"/>
      <c r="I2106" s="93"/>
      <c r="J2106" s="93"/>
    </row>
    <row r="2107" spans="6:10" s="65" customFormat="1" ht="14" x14ac:dyDescent="0.35">
      <c r="F2107" s="102"/>
      <c r="G2107" s="102"/>
      <c r="I2107" s="93"/>
      <c r="J2107" s="93"/>
    </row>
    <row r="2108" spans="6:10" s="65" customFormat="1" ht="14" x14ac:dyDescent="0.35">
      <c r="F2108" s="102"/>
      <c r="G2108" s="102"/>
      <c r="I2108" s="93"/>
      <c r="J2108" s="93"/>
    </row>
    <row r="2109" spans="6:10" s="65" customFormat="1" ht="14" x14ac:dyDescent="0.35">
      <c r="F2109" s="102"/>
      <c r="G2109" s="102"/>
      <c r="I2109" s="93"/>
      <c r="J2109" s="93"/>
    </row>
    <row r="2110" spans="6:10" s="65" customFormat="1" ht="14" x14ac:dyDescent="0.35">
      <c r="F2110" s="102"/>
      <c r="G2110" s="102"/>
      <c r="I2110" s="93"/>
      <c r="J2110" s="93"/>
    </row>
    <row r="2111" spans="6:10" s="65" customFormat="1" ht="14" x14ac:dyDescent="0.35">
      <c r="F2111" s="102"/>
      <c r="G2111" s="102"/>
      <c r="I2111" s="93"/>
      <c r="J2111" s="93"/>
    </row>
    <row r="2112" spans="6:10" s="65" customFormat="1" ht="14" x14ac:dyDescent="0.35">
      <c r="F2112" s="102"/>
      <c r="G2112" s="102"/>
      <c r="I2112" s="93"/>
      <c r="J2112" s="93"/>
    </row>
    <row r="2113" spans="6:10" s="65" customFormat="1" ht="14" x14ac:dyDescent="0.35">
      <c r="F2113" s="102"/>
      <c r="G2113" s="102"/>
      <c r="I2113" s="93"/>
      <c r="J2113" s="93"/>
    </row>
    <row r="2114" spans="6:10" s="65" customFormat="1" ht="14" x14ac:dyDescent="0.35">
      <c r="F2114" s="102"/>
      <c r="G2114" s="102"/>
      <c r="I2114" s="93"/>
      <c r="J2114" s="93"/>
    </row>
    <row r="2115" spans="6:10" s="65" customFormat="1" ht="14" x14ac:dyDescent="0.35">
      <c r="F2115" s="102"/>
      <c r="G2115" s="102"/>
      <c r="I2115" s="93"/>
      <c r="J2115" s="93"/>
    </row>
    <row r="2116" spans="6:10" s="65" customFormat="1" ht="14" x14ac:dyDescent="0.35">
      <c r="F2116" s="102"/>
      <c r="G2116" s="102"/>
      <c r="I2116" s="93"/>
      <c r="J2116" s="93"/>
    </row>
    <row r="2117" spans="6:10" s="65" customFormat="1" ht="14" x14ac:dyDescent="0.35">
      <c r="F2117" s="102"/>
      <c r="G2117" s="102"/>
      <c r="I2117" s="93"/>
      <c r="J2117" s="93"/>
    </row>
    <row r="2118" spans="6:10" s="65" customFormat="1" ht="14" x14ac:dyDescent="0.35">
      <c r="F2118" s="102"/>
      <c r="G2118" s="102"/>
      <c r="I2118" s="93"/>
      <c r="J2118" s="93"/>
    </row>
    <row r="2119" spans="6:10" s="65" customFormat="1" ht="14" x14ac:dyDescent="0.35">
      <c r="F2119" s="102"/>
      <c r="G2119" s="102"/>
      <c r="I2119" s="93"/>
      <c r="J2119" s="93"/>
    </row>
    <row r="2120" spans="6:10" s="65" customFormat="1" ht="14" x14ac:dyDescent="0.35">
      <c r="F2120" s="102"/>
      <c r="G2120" s="102"/>
      <c r="I2120" s="93"/>
      <c r="J2120" s="93"/>
    </row>
    <row r="2121" spans="6:10" s="65" customFormat="1" ht="14" x14ac:dyDescent="0.35">
      <c r="F2121" s="102"/>
      <c r="G2121" s="102"/>
      <c r="I2121" s="93"/>
      <c r="J2121" s="93"/>
    </row>
    <row r="2122" spans="6:10" s="65" customFormat="1" ht="14" x14ac:dyDescent="0.35">
      <c r="F2122" s="102"/>
      <c r="G2122" s="102"/>
      <c r="I2122" s="93"/>
      <c r="J2122" s="93"/>
    </row>
    <row r="2123" spans="6:10" s="65" customFormat="1" ht="14" x14ac:dyDescent="0.35">
      <c r="F2123" s="102"/>
      <c r="G2123" s="102"/>
      <c r="I2123" s="93"/>
      <c r="J2123" s="93"/>
    </row>
    <row r="2124" spans="6:10" s="65" customFormat="1" ht="14" x14ac:dyDescent="0.35">
      <c r="F2124" s="102"/>
      <c r="G2124" s="102"/>
      <c r="I2124" s="93"/>
      <c r="J2124" s="93"/>
    </row>
    <row r="2125" spans="6:10" s="65" customFormat="1" ht="14" x14ac:dyDescent="0.35">
      <c r="F2125" s="102"/>
      <c r="G2125" s="102"/>
      <c r="I2125" s="93"/>
      <c r="J2125" s="93"/>
    </row>
    <row r="2126" spans="6:10" s="65" customFormat="1" ht="14" x14ac:dyDescent="0.35">
      <c r="F2126" s="102"/>
      <c r="G2126" s="102"/>
      <c r="I2126" s="93"/>
      <c r="J2126" s="93"/>
    </row>
    <row r="2127" spans="6:10" s="65" customFormat="1" ht="14" x14ac:dyDescent="0.35">
      <c r="F2127" s="102"/>
      <c r="G2127" s="102"/>
      <c r="I2127" s="93"/>
      <c r="J2127" s="93"/>
    </row>
    <row r="2128" spans="6:10" s="65" customFormat="1" ht="14" x14ac:dyDescent="0.35">
      <c r="F2128" s="102"/>
      <c r="G2128" s="102"/>
      <c r="I2128" s="93"/>
      <c r="J2128" s="93"/>
    </row>
    <row r="2129" spans="6:10" s="65" customFormat="1" ht="14" x14ac:dyDescent="0.35">
      <c r="F2129" s="102"/>
      <c r="G2129" s="102"/>
      <c r="I2129" s="93"/>
      <c r="J2129" s="93"/>
    </row>
    <row r="2130" spans="6:10" s="65" customFormat="1" ht="14" x14ac:dyDescent="0.35">
      <c r="F2130" s="102"/>
      <c r="G2130" s="102"/>
      <c r="I2130" s="93"/>
      <c r="J2130" s="93"/>
    </row>
    <row r="2131" spans="6:10" s="65" customFormat="1" ht="14" x14ac:dyDescent="0.35">
      <c r="F2131" s="102"/>
      <c r="G2131" s="102"/>
      <c r="I2131" s="93"/>
      <c r="J2131" s="93"/>
    </row>
    <row r="2132" spans="6:10" s="65" customFormat="1" ht="14" x14ac:dyDescent="0.35">
      <c r="F2132" s="102"/>
      <c r="G2132" s="102"/>
      <c r="I2132" s="93"/>
      <c r="J2132" s="93"/>
    </row>
    <row r="2133" spans="6:10" s="65" customFormat="1" ht="14" x14ac:dyDescent="0.35">
      <c r="F2133" s="102"/>
      <c r="G2133" s="102"/>
      <c r="I2133" s="93"/>
      <c r="J2133" s="93"/>
    </row>
    <row r="2134" spans="6:10" s="65" customFormat="1" ht="14" x14ac:dyDescent="0.35">
      <c r="F2134" s="102"/>
      <c r="G2134" s="102"/>
      <c r="I2134" s="93"/>
      <c r="J2134" s="93"/>
    </row>
    <row r="2135" spans="6:10" s="65" customFormat="1" ht="14" x14ac:dyDescent="0.35">
      <c r="F2135" s="102"/>
      <c r="G2135" s="102"/>
      <c r="I2135" s="93"/>
      <c r="J2135" s="93"/>
    </row>
    <row r="2136" spans="6:10" s="65" customFormat="1" ht="14" x14ac:dyDescent="0.35">
      <c r="F2136" s="102"/>
      <c r="G2136" s="102"/>
      <c r="I2136" s="93"/>
      <c r="J2136" s="93"/>
    </row>
    <row r="2137" spans="6:10" s="65" customFormat="1" ht="14" x14ac:dyDescent="0.35">
      <c r="F2137" s="102"/>
      <c r="G2137" s="102"/>
      <c r="I2137" s="93"/>
      <c r="J2137" s="93"/>
    </row>
    <row r="2138" spans="6:10" s="65" customFormat="1" ht="14" x14ac:dyDescent="0.35">
      <c r="F2138" s="102"/>
      <c r="G2138" s="102"/>
      <c r="I2138" s="93"/>
      <c r="J2138" s="93"/>
    </row>
    <row r="2139" spans="6:10" s="65" customFormat="1" ht="14" x14ac:dyDescent="0.35">
      <c r="F2139" s="102"/>
      <c r="G2139" s="102"/>
      <c r="I2139" s="93"/>
      <c r="J2139" s="93"/>
    </row>
    <row r="2140" spans="6:10" s="65" customFormat="1" ht="14" x14ac:dyDescent="0.35">
      <c r="F2140" s="102"/>
      <c r="G2140" s="102"/>
      <c r="I2140" s="93"/>
      <c r="J2140" s="93"/>
    </row>
    <row r="2141" spans="6:10" s="65" customFormat="1" ht="14" x14ac:dyDescent="0.35">
      <c r="F2141" s="102"/>
      <c r="G2141" s="102"/>
      <c r="I2141" s="93"/>
      <c r="J2141" s="93"/>
    </row>
    <row r="2142" spans="6:10" s="65" customFormat="1" ht="14" x14ac:dyDescent="0.35">
      <c r="F2142" s="102"/>
      <c r="G2142" s="102"/>
      <c r="I2142" s="93"/>
      <c r="J2142" s="93"/>
    </row>
    <row r="2143" spans="6:10" s="65" customFormat="1" ht="14" x14ac:dyDescent="0.35">
      <c r="F2143" s="102"/>
      <c r="G2143" s="102"/>
      <c r="I2143" s="93"/>
      <c r="J2143" s="93"/>
    </row>
    <row r="2144" spans="6:10" s="65" customFormat="1" ht="14" x14ac:dyDescent="0.35">
      <c r="F2144" s="102"/>
      <c r="G2144" s="102"/>
      <c r="I2144" s="93"/>
      <c r="J2144" s="93"/>
    </row>
    <row r="2145" spans="6:10" s="65" customFormat="1" ht="14" x14ac:dyDescent="0.35">
      <c r="F2145" s="102"/>
      <c r="G2145" s="102"/>
      <c r="I2145" s="93"/>
      <c r="J2145" s="93"/>
    </row>
    <row r="2146" spans="6:10" s="65" customFormat="1" ht="14" x14ac:dyDescent="0.35">
      <c r="F2146" s="102"/>
      <c r="G2146" s="102"/>
      <c r="I2146" s="93"/>
      <c r="J2146" s="93"/>
    </row>
    <row r="2147" spans="6:10" s="65" customFormat="1" ht="14" x14ac:dyDescent="0.35">
      <c r="F2147" s="102"/>
      <c r="G2147" s="102"/>
      <c r="I2147" s="93"/>
      <c r="J2147" s="93"/>
    </row>
    <row r="2148" spans="6:10" s="65" customFormat="1" ht="14" x14ac:dyDescent="0.35">
      <c r="F2148" s="102"/>
      <c r="G2148" s="102"/>
      <c r="I2148" s="93"/>
      <c r="J2148" s="93"/>
    </row>
    <row r="2149" spans="6:10" s="65" customFormat="1" ht="14" x14ac:dyDescent="0.35">
      <c r="F2149" s="102"/>
      <c r="G2149" s="102"/>
      <c r="I2149" s="93"/>
      <c r="J2149" s="93"/>
    </row>
    <row r="2150" spans="6:10" s="65" customFormat="1" ht="14" x14ac:dyDescent="0.35">
      <c r="F2150" s="102"/>
      <c r="G2150" s="102"/>
      <c r="I2150" s="93"/>
      <c r="J2150" s="93"/>
    </row>
    <row r="2151" spans="6:10" s="65" customFormat="1" ht="14" x14ac:dyDescent="0.35">
      <c r="F2151" s="102"/>
      <c r="G2151" s="102"/>
      <c r="I2151" s="93"/>
      <c r="J2151" s="93"/>
    </row>
    <row r="2152" spans="6:10" s="65" customFormat="1" ht="14" x14ac:dyDescent="0.35">
      <c r="F2152" s="102"/>
      <c r="G2152" s="102"/>
      <c r="I2152" s="93"/>
      <c r="J2152" s="93"/>
    </row>
    <row r="2153" spans="6:10" s="65" customFormat="1" ht="14" x14ac:dyDescent="0.35">
      <c r="F2153" s="102"/>
      <c r="G2153" s="102"/>
      <c r="I2153" s="93"/>
      <c r="J2153" s="93"/>
    </row>
    <row r="2154" spans="6:10" s="65" customFormat="1" ht="14" x14ac:dyDescent="0.35">
      <c r="F2154" s="102"/>
      <c r="G2154" s="102"/>
      <c r="I2154" s="93"/>
      <c r="J2154" s="93"/>
    </row>
    <row r="2155" spans="6:10" s="65" customFormat="1" ht="14" x14ac:dyDescent="0.35">
      <c r="F2155" s="102"/>
      <c r="G2155" s="102"/>
      <c r="I2155" s="93"/>
      <c r="J2155" s="93"/>
    </row>
    <row r="2156" spans="6:10" s="65" customFormat="1" ht="14" x14ac:dyDescent="0.35">
      <c r="F2156" s="102"/>
      <c r="G2156" s="102"/>
      <c r="I2156" s="93"/>
      <c r="J2156" s="93"/>
    </row>
    <row r="2157" spans="6:10" s="65" customFormat="1" ht="14" x14ac:dyDescent="0.35">
      <c r="F2157" s="102"/>
      <c r="G2157" s="102"/>
      <c r="I2157" s="93"/>
      <c r="J2157" s="93"/>
    </row>
    <row r="2158" spans="6:10" s="65" customFormat="1" ht="14" x14ac:dyDescent="0.35">
      <c r="F2158" s="102"/>
      <c r="G2158" s="102"/>
      <c r="I2158" s="93"/>
      <c r="J2158" s="93"/>
    </row>
    <row r="2159" spans="6:10" s="65" customFormat="1" ht="14" x14ac:dyDescent="0.35">
      <c r="F2159" s="102"/>
      <c r="G2159" s="102"/>
      <c r="I2159" s="93"/>
      <c r="J2159" s="93"/>
    </row>
    <row r="2160" spans="6:10" s="65" customFormat="1" ht="14" x14ac:dyDescent="0.35">
      <c r="F2160" s="102"/>
      <c r="G2160" s="102"/>
      <c r="I2160" s="93"/>
      <c r="J2160" s="93"/>
    </row>
    <row r="2161" spans="6:10" s="65" customFormat="1" ht="14" x14ac:dyDescent="0.35">
      <c r="F2161" s="102"/>
      <c r="G2161" s="102"/>
      <c r="I2161" s="93"/>
      <c r="J2161" s="93"/>
    </row>
    <row r="2162" spans="6:10" s="65" customFormat="1" ht="14" x14ac:dyDescent="0.35">
      <c r="F2162" s="102"/>
      <c r="G2162" s="102"/>
      <c r="I2162" s="93"/>
      <c r="J2162" s="93"/>
    </row>
    <row r="2163" spans="6:10" s="65" customFormat="1" ht="14" x14ac:dyDescent="0.35">
      <c r="F2163" s="102"/>
      <c r="G2163" s="102"/>
      <c r="I2163" s="93"/>
      <c r="J2163" s="93"/>
    </row>
    <row r="2164" spans="6:10" s="65" customFormat="1" ht="14" x14ac:dyDescent="0.35">
      <c r="F2164" s="102"/>
      <c r="G2164" s="102"/>
      <c r="I2164" s="93"/>
      <c r="J2164" s="93"/>
    </row>
    <row r="2165" spans="6:10" s="65" customFormat="1" ht="14" x14ac:dyDescent="0.35">
      <c r="F2165" s="102"/>
      <c r="G2165" s="102"/>
      <c r="I2165" s="93"/>
      <c r="J2165" s="93"/>
    </row>
    <row r="2166" spans="6:10" s="65" customFormat="1" ht="14" x14ac:dyDescent="0.35">
      <c r="F2166" s="102"/>
      <c r="G2166" s="102"/>
      <c r="I2166" s="93"/>
      <c r="J2166" s="93"/>
    </row>
    <row r="2167" spans="6:10" s="65" customFormat="1" ht="14" x14ac:dyDescent="0.35">
      <c r="F2167" s="102"/>
      <c r="G2167" s="102"/>
      <c r="I2167" s="93"/>
      <c r="J2167" s="93"/>
    </row>
    <row r="2168" spans="6:10" s="65" customFormat="1" ht="14" x14ac:dyDescent="0.35">
      <c r="F2168" s="102"/>
      <c r="G2168" s="102"/>
      <c r="I2168" s="93"/>
      <c r="J2168" s="93"/>
    </row>
    <row r="2169" spans="6:10" s="65" customFormat="1" ht="14" x14ac:dyDescent="0.35">
      <c r="F2169" s="102"/>
      <c r="G2169" s="102"/>
      <c r="I2169" s="93"/>
      <c r="J2169" s="93"/>
    </row>
    <row r="2170" spans="6:10" s="65" customFormat="1" ht="14" x14ac:dyDescent="0.35">
      <c r="F2170" s="102"/>
      <c r="G2170" s="102"/>
      <c r="I2170" s="93"/>
      <c r="J2170" s="93"/>
    </row>
    <row r="2171" spans="6:10" s="65" customFormat="1" ht="14" x14ac:dyDescent="0.35">
      <c r="F2171" s="102"/>
      <c r="G2171" s="102"/>
      <c r="I2171" s="93"/>
      <c r="J2171" s="93"/>
    </row>
    <row r="2172" spans="6:10" s="65" customFormat="1" ht="14" x14ac:dyDescent="0.35">
      <c r="F2172" s="102"/>
      <c r="G2172" s="102"/>
      <c r="I2172" s="93"/>
      <c r="J2172" s="93"/>
    </row>
    <row r="2173" spans="6:10" s="65" customFormat="1" ht="14" x14ac:dyDescent="0.35">
      <c r="F2173" s="102"/>
      <c r="G2173" s="102"/>
      <c r="I2173" s="93"/>
      <c r="J2173" s="93"/>
    </row>
    <row r="2174" spans="6:10" s="65" customFormat="1" ht="14" x14ac:dyDescent="0.35">
      <c r="F2174" s="102"/>
      <c r="G2174" s="102"/>
      <c r="I2174" s="93"/>
      <c r="J2174" s="93"/>
    </row>
    <row r="2175" spans="6:10" s="65" customFormat="1" ht="14" x14ac:dyDescent="0.35">
      <c r="F2175" s="102"/>
      <c r="G2175" s="102"/>
      <c r="I2175" s="93"/>
      <c r="J2175" s="93"/>
    </row>
    <row r="2176" spans="6:10" s="65" customFormat="1" ht="14" x14ac:dyDescent="0.35">
      <c r="F2176" s="102"/>
      <c r="G2176" s="102"/>
      <c r="I2176" s="93"/>
      <c r="J2176" s="93"/>
    </row>
    <row r="2177" spans="6:10" s="65" customFormat="1" ht="14" x14ac:dyDescent="0.35">
      <c r="F2177" s="102"/>
      <c r="G2177" s="102"/>
      <c r="I2177" s="93"/>
      <c r="J2177" s="93"/>
    </row>
    <row r="2178" spans="6:10" s="65" customFormat="1" ht="14" x14ac:dyDescent="0.35">
      <c r="F2178" s="102"/>
      <c r="G2178" s="102"/>
      <c r="I2178" s="93"/>
      <c r="J2178" s="93"/>
    </row>
    <row r="2179" spans="6:10" s="65" customFormat="1" ht="14" x14ac:dyDescent="0.35">
      <c r="F2179" s="102"/>
      <c r="G2179" s="102"/>
      <c r="I2179" s="93"/>
      <c r="J2179" s="93"/>
    </row>
    <row r="2180" spans="6:10" s="65" customFormat="1" ht="14" x14ac:dyDescent="0.35">
      <c r="F2180" s="102"/>
      <c r="G2180" s="102"/>
      <c r="I2180" s="93"/>
      <c r="J2180" s="93"/>
    </row>
    <row r="2181" spans="6:10" s="65" customFormat="1" ht="14" x14ac:dyDescent="0.35">
      <c r="F2181" s="102"/>
      <c r="G2181" s="102"/>
      <c r="I2181" s="93"/>
      <c r="J2181" s="93"/>
    </row>
    <row r="2182" spans="6:10" s="65" customFormat="1" ht="14" x14ac:dyDescent="0.35">
      <c r="F2182" s="102"/>
      <c r="G2182" s="102"/>
      <c r="I2182" s="93"/>
      <c r="J2182" s="93"/>
    </row>
    <row r="2183" spans="6:10" s="65" customFormat="1" ht="14" x14ac:dyDescent="0.35">
      <c r="F2183" s="102"/>
      <c r="G2183" s="102"/>
      <c r="I2183" s="93"/>
      <c r="J2183" s="93"/>
    </row>
    <row r="2184" spans="6:10" s="65" customFormat="1" ht="14" x14ac:dyDescent="0.35">
      <c r="F2184" s="102"/>
      <c r="G2184" s="102"/>
      <c r="I2184" s="93"/>
      <c r="J2184" s="93"/>
    </row>
    <row r="2185" spans="6:10" s="65" customFormat="1" ht="14" x14ac:dyDescent="0.35">
      <c r="F2185" s="102"/>
      <c r="G2185" s="102"/>
      <c r="I2185" s="93"/>
      <c r="J2185" s="93"/>
    </row>
    <row r="2186" spans="6:10" s="65" customFormat="1" ht="14" x14ac:dyDescent="0.35">
      <c r="F2186" s="102"/>
      <c r="G2186" s="102"/>
      <c r="I2186" s="93"/>
      <c r="J2186" s="93"/>
    </row>
    <row r="2187" spans="6:10" s="65" customFormat="1" ht="14" x14ac:dyDescent="0.35">
      <c r="F2187" s="102"/>
      <c r="G2187" s="102"/>
      <c r="I2187" s="93"/>
      <c r="J2187" s="93"/>
    </row>
    <row r="2188" spans="6:10" s="65" customFormat="1" ht="14" x14ac:dyDescent="0.35">
      <c r="F2188" s="102"/>
      <c r="G2188" s="102"/>
      <c r="I2188" s="93"/>
      <c r="J2188" s="93"/>
    </row>
    <row r="2189" spans="6:10" s="65" customFormat="1" ht="14" x14ac:dyDescent="0.35">
      <c r="F2189" s="102"/>
      <c r="G2189" s="102"/>
      <c r="I2189" s="93"/>
      <c r="J2189" s="93"/>
    </row>
    <row r="2190" spans="6:10" s="65" customFormat="1" ht="14" x14ac:dyDescent="0.35">
      <c r="F2190" s="102"/>
      <c r="G2190" s="102"/>
      <c r="I2190" s="93"/>
      <c r="J2190" s="93"/>
    </row>
    <row r="2191" spans="6:10" s="65" customFormat="1" ht="14" x14ac:dyDescent="0.35">
      <c r="F2191" s="102"/>
      <c r="G2191" s="102"/>
      <c r="I2191" s="93"/>
      <c r="J2191" s="93"/>
    </row>
    <row r="2192" spans="6:10" s="65" customFormat="1" ht="14" x14ac:dyDescent="0.35">
      <c r="F2192" s="102"/>
      <c r="G2192" s="102"/>
      <c r="I2192" s="93"/>
      <c r="J2192" s="93"/>
    </row>
    <row r="2193" spans="6:10" s="65" customFormat="1" ht="14" x14ac:dyDescent="0.35">
      <c r="F2193" s="102"/>
      <c r="G2193" s="102"/>
      <c r="I2193" s="93"/>
      <c r="J2193" s="93"/>
    </row>
    <row r="2194" spans="6:10" s="65" customFormat="1" ht="14" x14ac:dyDescent="0.35">
      <c r="F2194" s="102"/>
      <c r="G2194" s="102"/>
      <c r="I2194" s="93"/>
      <c r="J2194" s="93"/>
    </row>
    <row r="2195" spans="6:10" s="65" customFormat="1" ht="14" x14ac:dyDescent="0.35">
      <c r="F2195" s="102"/>
      <c r="G2195" s="102"/>
      <c r="I2195" s="93"/>
      <c r="J2195" s="93"/>
    </row>
    <row r="2196" spans="6:10" s="65" customFormat="1" ht="14" x14ac:dyDescent="0.35">
      <c r="F2196" s="102"/>
      <c r="G2196" s="102"/>
      <c r="I2196" s="93"/>
      <c r="J2196" s="93"/>
    </row>
    <row r="2197" spans="6:10" s="65" customFormat="1" ht="14" x14ac:dyDescent="0.35">
      <c r="F2197" s="102"/>
      <c r="G2197" s="102"/>
      <c r="I2197" s="93"/>
      <c r="J2197" s="93"/>
    </row>
    <row r="2198" spans="6:10" s="65" customFormat="1" ht="14" x14ac:dyDescent="0.35">
      <c r="F2198" s="102"/>
      <c r="G2198" s="102"/>
      <c r="I2198" s="93"/>
      <c r="J2198" s="93"/>
    </row>
    <row r="2199" spans="6:10" s="65" customFormat="1" ht="14" x14ac:dyDescent="0.35">
      <c r="F2199" s="102"/>
      <c r="G2199" s="102"/>
      <c r="I2199" s="93"/>
      <c r="J2199" s="93"/>
    </row>
    <row r="2200" spans="6:10" s="65" customFormat="1" ht="14" x14ac:dyDescent="0.35">
      <c r="F2200" s="102"/>
      <c r="G2200" s="102"/>
      <c r="I2200" s="93"/>
      <c r="J2200" s="93"/>
    </row>
    <row r="2201" spans="6:10" s="65" customFormat="1" ht="14" x14ac:dyDescent="0.35">
      <c r="F2201" s="102"/>
      <c r="G2201" s="102"/>
      <c r="I2201" s="93"/>
      <c r="J2201" s="93"/>
    </row>
    <row r="2202" spans="6:10" s="65" customFormat="1" ht="14" x14ac:dyDescent="0.35">
      <c r="F2202" s="102"/>
      <c r="G2202" s="102"/>
      <c r="I2202" s="93"/>
      <c r="J2202" s="93"/>
    </row>
    <row r="2203" spans="6:10" s="65" customFormat="1" ht="14" x14ac:dyDescent="0.35">
      <c r="F2203" s="102"/>
      <c r="G2203" s="102"/>
      <c r="I2203" s="93"/>
      <c r="J2203" s="93"/>
    </row>
    <row r="2204" spans="6:10" s="65" customFormat="1" ht="14" x14ac:dyDescent="0.35">
      <c r="F2204" s="102"/>
      <c r="G2204" s="102"/>
      <c r="I2204" s="93"/>
      <c r="J2204" s="93"/>
    </row>
    <row r="2205" spans="6:10" s="65" customFormat="1" ht="14" x14ac:dyDescent="0.35">
      <c r="F2205" s="102"/>
      <c r="G2205" s="102"/>
      <c r="I2205" s="93"/>
      <c r="J2205" s="93"/>
    </row>
    <row r="2206" spans="6:10" s="65" customFormat="1" ht="14" x14ac:dyDescent="0.35">
      <c r="F2206" s="102"/>
      <c r="G2206" s="102"/>
      <c r="I2206" s="93"/>
      <c r="J2206" s="93"/>
    </row>
    <row r="2207" spans="6:10" s="65" customFormat="1" ht="14" x14ac:dyDescent="0.35">
      <c r="F2207" s="102"/>
      <c r="G2207" s="102"/>
      <c r="I2207" s="93"/>
      <c r="J2207" s="93"/>
    </row>
    <row r="2208" spans="6:10" s="65" customFormat="1" ht="14" x14ac:dyDescent="0.35">
      <c r="F2208" s="102"/>
      <c r="G2208" s="102"/>
      <c r="I2208" s="93"/>
      <c r="J2208" s="93"/>
    </row>
    <row r="2209" spans="6:10" s="65" customFormat="1" ht="14" x14ac:dyDescent="0.35">
      <c r="F2209" s="102"/>
      <c r="G2209" s="102"/>
      <c r="I2209" s="93"/>
      <c r="J2209" s="93"/>
    </row>
    <row r="2210" spans="6:10" s="65" customFormat="1" ht="14" x14ac:dyDescent="0.35">
      <c r="F2210" s="102"/>
      <c r="G2210" s="102"/>
      <c r="I2210" s="93"/>
      <c r="J2210" s="93"/>
    </row>
    <row r="2211" spans="6:10" s="65" customFormat="1" ht="14" x14ac:dyDescent="0.35">
      <c r="F2211" s="102"/>
      <c r="G2211" s="102"/>
      <c r="I2211" s="93"/>
      <c r="J2211" s="93"/>
    </row>
    <row r="2212" spans="6:10" s="65" customFormat="1" ht="14" x14ac:dyDescent="0.35">
      <c r="F2212" s="102"/>
      <c r="G2212" s="102"/>
      <c r="I2212" s="93"/>
      <c r="J2212" s="93"/>
    </row>
    <row r="2213" spans="6:10" s="65" customFormat="1" ht="14" x14ac:dyDescent="0.35">
      <c r="F2213" s="102"/>
      <c r="G2213" s="102"/>
      <c r="I2213" s="93"/>
      <c r="J2213" s="93"/>
    </row>
    <row r="2214" spans="6:10" s="65" customFormat="1" ht="14" x14ac:dyDescent="0.35">
      <c r="F2214" s="102"/>
      <c r="G2214" s="102"/>
      <c r="I2214" s="93"/>
      <c r="J2214" s="93"/>
    </row>
    <row r="2215" spans="6:10" s="65" customFormat="1" ht="14" x14ac:dyDescent="0.35">
      <c r="F2215" s="102"/>
      <c r="G2215" s="102"/>
      <c r="I2215" s="93"/>
      <c r="J2215" s="93"/>
    </row>
    <row r="2216" spans="6:10" s="65" customFormat="1" ht="14" x14ac:dyDescent="0.35">
      <c r="F2216" s="102"/>
      <c r="G2216" s="102"/>
      <c r="I2216" s="93"/>
      <c r="J2216" s="93"/>
    </row>
    <row r="2217" spans="6:10" s="65" customFormat="1" ht="14" x14ac:dyDescent="0.35">
      <c r="F2217" s="102"/>
      <c r="G2217" s="102"/>
      <c r="I2217" s="93"/>
      <c r="J2217" s="93"/>
    </row>
    <row r="2218" spans="6:10" s="65" customFormat="1" ht="14" x14ac:dyDescent="0.35">
      <c r="F2218" s="102"/>
      <c r="G2218" s="102"/>
      <c r="I2218" s="93"/>
      <c r="J2218" s="93"/>
    </row>
    <row r="2219" spans="6:10" s="65" customFormat="1" ht="14" x14ac:dyDescent="0.35">
      <c r="F2219" s="102"/>
      <c r="G2219" s="102"/>
      <c r="I2219" s="93"/>
      <c r="J2219" s="93"/>
    </row>
    <row r="2220" spans="6:10" s="65" customFormat="1" ht="14" x14ac:dyDescent="0.35">
      <c r="F2220" s="102"/>
      <c r="G2220" s="102"/>
      <c r="I2220" s="93"/>
      <c r="J2220" s="93"/>
    </row>
    <row r="2221" spans="6:10" s="65" customFormat="1" ht="14" x14ac:dyDescent="0.35">
      <c r="F2221" s="102"/>
      <c r="G2221" s="102"/>
      <c r="I2221" s="93"/>
      <c r="J2221" s="93"/>
    </row>
    <row r="2222" spans="6:10" s="65" customFormat="1" ht="14" x14ac:dyDescent="0.35">
      <c r="F2222" s="102"/>
      <c r="G2222" s="102"/>
      <c r="I2222" s="93"/>
      <c r="J2222" s="93"/>
    </row>
    <row r="2223" spans="6:10" s="65" customFormat="1" ht="14" x14ac:dyDescent="0.35">
      <c r="F2223" s="102"/>
      <c r="G2223" s="102"/>
      <c r="I2223" s="93"/>
      <c r="J2223" s="93"/>
    </row>
    <row r="2224" spans="6:10" s="65" customFormat="1" ht="14" x14ac:dyDescent="0.35">
      <c r="F2224" s="102"/>
      <c r="G2224" s="102"/>
      <c r="I2224" s="93"/>
      <c r="J2224" s="93"/>
    </row>
    <row r="2225" spans="6:10" s="65" customFormat="1" ht="14" x14ac:dyDescent="0.35">
      <c r="F2225" s="102"/>
      <c r="G2225" s="102"/>
      <c r="I2225" s="93"/>
      <c r="J2225" s="93"/>
    </row>
    <row r="2226" spans="6:10" s="65" customFormat="1" ht="14" x14ac:dyDescent="0.35">
      <c r="F2226" s="102"/>
      <c r="G2226" s="102"/>
      <c r="I2226" s="93"/>
      <c r="J2226" s="93"/>
    </row>
    <row r="2227" spans="6:10" s="65" customFormat="1" ht="14" x14ac:dyDescent="0.35">
      <c r="F2227" s="102"/>
      <c r="G2227" s="102"/>
      <c r="I2227" s="93"/>
      <c r="J2227" s="93"/>
    </row>
    <row r="2228" spans="6:10" s="65" customFormat="1" ht="14" x14ac:dyDescent="0.35">
      <c r="F2228" s="102"/>
      <c r="G2228" s="102"/>
      <c r="I2228" s="93"/>
      <c r="J2228" s="93"/>
    </row>
    <row r="2229" spans="6:10" s="65" customFormat="1" ht="14" x14ac:dyDescent="0.35">
      <c r="F2229" s="102"/>
      <c r="G2229" s="102"/>
      <c r="I2229" s="93"/>
      <c r="J2229" s="93"/>
    </row>
    <row r="2230" spans="6:10" s="65" customFormat="1" ht="14" x14ac:dyDescent="0.35">
      <c r="F2230" s="102"/>
      <c r="G2230" s="102"/>
      <c r="I2230" s="93"/>
      <c r="J2230" s="93"/>
    </row>
    <row r="2231" spans="6:10" s="65" customFormat="1" ht="14" x14ac:dyDescent="0.35">
      <c r="F2231" s="102"/>
      <c r="G2231" s="102"/>
      <c r="I2231" s="93"/>
      <c r="J2231" s="93"/>
    </row>
    <row r="2232" spans="6:10" s="65" customFormat="1" ht="14" x14ac:dyDescent="0.35">
      <c r="F2232" s="102"/>
      <c r="G2232" s="102"/>
      <c r="I2232" s="93"/>
      <c r="J2232" s="93"/>
    </row>
    <row r="2233" spans="6:10" s="65" customFormat="1" ht="14" x14ac:dyDescent="0.35">
      <c r="F2233" s="102"/>
      <c r="G2233" s="102"/>
      <c r="I2233" s="93"/>
      <c r="J2233" s="93"/>
    </row>
    <row r="2234" spans="6:10" s="65" customFormat="1" ht="14" x14ac:dyDescent="0.35">
      <c r="F2234" s="102"/>
      <c r="G2234" s="102"/>
      <c r="I2234" s="93"/>
      <c r="J2234" s="93"/>
    </row>
    <row r="2235" spans="6:10" s="65" customFormat="1" ht="14" x14ac:dyDescent="0.35">
      <c r="F2235" s="102"/>
      <c r="G2235" s="102"/>
      <c r="I2235" s="93"/>
      <c r="J2235" s="93"/>
    </row>
    <row r="2236" spans="6:10" s="65" customFormat="1" ht="14" x14ac:dyDescent="0.35">
      <c r="F2236" s="102"/>
      <c r="G2236" s="102"/>
      <c r="I2236" s="93"/>
      <c r="J2236" s="93"/>
    </row>
    <row r="2237" spans="6:10" s="65" customFormat="1" ht="14" x14ac:dyDescent="0.35">
      <c r="F2237" s="102"/>
      <c r="G2237" s="102"/>
      <c r="I2237" s="93"/>
      <c r="J2237" s="93"/>
    </row>
    <row r="2238" spans="6:10" s="65" customFormat="1" ht="14" x14ac:dyDescent="0.35">
      <c r="F2238" s="102"/>
      <c r="G2238" s="102"/>
      <c r="I2238" s="93"/>
      <c r="J2238" s="93"/>
    </row>
    <row r="2239" spans="6:10" s="65" customFormat="1" ht="14" x14ac:dyDescent="0.35">
      <c r="F2239" s="102"/>
      <c r="G2239" s="102"/>
      <c r="I2239" s="93"/>
      <c r="J2239" s="93"/>
    </row>
    <row r="2240" spans="6:10" s="65" customFormat="1" ht="14" x14ac:dyDescent="0.35">
      <c r="F2240" s="102"/>
      <c r="G2240" s="102"/>
      <c r="I2240" s="93"/>
      <c r="J2240" s="93"/>
    </row>
    <row r="2241" spans="6:10" s="65" customFormat="1" ht="14" x14ac:dyDescent="0.35">
      <c r="F2241" s="102"/>
      <c r="G2241" s="102"/>
      <c r="I2241" s="93"/>
      <c r="J2241" s="93"/>
    </row>
    <row r="2242" spans="6:10" s="65" customFormat="1" ht="14" x14ac:dyDescent="0.35">
      <c r="F2242" s="102"/>
      <c r="G2242" s="102"/>
      <c r="I2242" s="93"/>
      <c r="J2242" s="93"/>
    </row>
    <row r="2243" spans="6:10" s="65" customFormat="1" ht="14" x14ac:dyDescent="0.35">
      <c r="F2243" s="102"/>
      <c r="G2243" s="102"/>
      <c r="I2243" s="93"/>
      <c r="J2243" s="93"/>
    </row>
    <row r="2244" spans="6:10" s="65" customFormat="1" ht="14" x14ac:dyDescent="0.35">
      <c r="F2244" s="102"/>
      <c r="G2244" s="102"/>
      <c r="I2244" s="93"/>
      <c r="J2244" s="93"/>
    </row>
    <row r="2245" spans="6:10" s="65" customFormat="1" ht="14" x14ac:dyDescent="0.35">
      <c r="F2245" s="102"/>
      <c r="G2245" s="102"/>
      <c r="I2245" s="93"/>
      <c r="J2245" s="93"/>
    </row>
    <row r="2246" spans="6:10" s="65" customFormat="1" ht="14" x14ac:dyDescent="0.35">
      <c r="F2246" s="102"/>
      <c r="G2246" s="102"/>
      <c r="I2246" s="93"/>
      <c r="J2246" s="93"/>
    </row>
    <row r="2247" spans="6:10" s="65" customFormat="1" ht="14" x14ac:dyDescent="0.35">
      <c r="F2247" s="102"/>
      <c r="G2247" s="102"/>
      <c r="I2247" s="93"/>
      <c r="J2247" s="93"/>
    </row>
    <row r="2248" spans="6:10" s="65" customFormat="1" ht="14" x14ac:dyDescent="0.35">
      <c r="F2248" s="102"/>
      <c r="G2248" s="102"/>
      <c r="I2248" s="93"/>
      <c r="J2248" s="93"/>
    </row>
    <row r="2249" spans="6:10" s="65" customFormat="1" ht="14" x14ac:dyDescent="0.35">
      <c r="F2249" s="102"/>
      <c r="G2249" s="102"/>
      <c r="I2249" s="93"/>
      <c r="J2249" s="93"/>
    </row>
    <row r="2250" spans="6:10" s="65" customFormat="1" ht="14" x14ac:dyDescent="0.35">
      <c r="F2250" s="102"/>
      <c r="G2250" s="102"/>
      <c r="I2250" s="93"/>
      <c r="J2250" s="93"/>
    </row>
    <row r="2251" spans="6:10" s="65" customFormat="1" ht="14" x14ac:dyDescent="0.35">
      <c r="F2251" s="102"/>
      <c r="G2251" s="102"/>
      <c r="I2251" s="93"/>
      <c r="J2251" s="93"/>
    </row>
    <row r="2252" spans="6:10" s="65" customFormat="1" ht="14" x14ac:dyDescent="0.35">
      <c r="F2252" s="102"/>
      <c r="G2252" s="102"/>
      <c r="I2252" s="93"/>
      <c r="J2252" s="93"/>
    </row>
    <row r="2253" spans="6:10" s="65" customFormat="1" ht="14" x14ac:dyDescent="0.35">
      <c r="F2253" s="102"/>
      <c r="G2253" s="102"/>
      <c r="I2253" s="93"/>
      <c r="J2253" s="93"/>
    </row>
    <row r="2254" spans="6:10" s="65" customFormat="1" ht="14" x14ac:dyDescent="0.35">
      <c r="F2254" s="102"/>
      <c r="G2254" s="102"/>
      <c r="I2254" s="93"/>
      <c r="J2254" s="93"/>
    </row>
    <row r="2255" spans="6:10" s="65" customFormat="1" ht="14" x14ac:dyDescent="0.35">
      <c r="F2255" s="102"/>
      <c r="G2255" s="102"/>
      <c r="I2255" s="93"/>
      <c r="J2255" s="93"/>
    </row>
    <row r="2256" spans="6:10" s="65" customFormat="1" ht="14" x14ac:dyDescent="0.35">
      <c r="F2256" s="102"/>
      <c r="G2256" s="102"/>
      <c r="I2256" s="93"/>
      <c r="J2256" s="93"/>
    </row>
    <row r="2257" spans="6:10" s="65" customFormat="1" ht="14" x14ac:dyDescent="0.35">
      <c r="F2257" s="102"/>
      <c r="G2257" s="102"/>
      <c r="I2257" s="93"/>
      <c r="J2257" s="93"/>
    </row>
    <row r="2258" spans="6:10" s="65" customFormat="1" ht="14" x14ac:dyDescent="0.35">
      <c r="F2258" s="102"/>
      <c r="G2258" s="102"/>
      <c r="I2258" s="93"/>
      <c r="J2258" s="93"/>
    </row>
    <row r="2259" spans="6:10" s="65" customFormat="1" ht="14" x14ac:dyDescent="0.35">
      <c r="F2259" s="102"/>
      <c r="G2259" s="102"/>
      <c r="I2259" s="93"/>
      <c r="J2259" s="93"/>
    </row>
    <row r="2260" spans="6:10" s="65" customFormat="1" ht="14" x14ac:dyDescent="0.35">
      <c r="F2260" s="102"/>
      <c r="G2260" s="102"/>
      <c r="I2260" s="93"/>
      <c r="J2260" s="93"/>
    </row>
    <row r="2261" spans="6:10" s="65" customFormat="1" ht="14" x14ac:dyDescent="0.35">
      <c r="F2261" s="102"/>
      <c r="G2261" s="102"/>
      <c r="I2261" s="93"/>
      <c r="J2261" s="93"/>
    </row>
    <row r="2262" spans="6:10" s="65" customFormat="1" ht="14" x14ac:dyDescent="0.35">
      <c r="F2262" s="102"/>
      <c r="G2262" s="102"/>
      <c r="I2262" s="93"/>
      <c r="J2262" s="93"/>
    </row>
    <row r="2263" spans="6:10" s="65" customFormat="1" ht="14" x14ac:dyDescent="0.35">
      <c r="F2263" s="102"/>
      <c r="G2263" s="102"/>
      <c r="I2263" s="93"/>
      <c r="J2263" s="93"/>
    </row>
    <row r="2264" spans="6:10" s="65" customFormat="1" ht="14" x14ac:dyDescent="0.35">
      <c r="F2264" s="102"/>
      <c r="G2264" s="102"/>
      <c r="I2264" s="93"/>
      <c r="J2264" s="93"/>
    </row>
    <row r="2265" spans="6:10" s="65" customFormat="1" ht="14" x14ac:dyDescent="0.35">
      <c r="F2265" s="102"/>
      <c r="G2265" s="102"/>
      <c r="I2265" s="93"/>
      <c r="J2265" s="93"/>
    </row>
    <row r="2266" spans="6:10" s="65" customFormat="1" ht="14" x14ac:dyDescent="0.35">
      <c r="F2266" s="102"/>
      <c r="G2266" s="102"/>
      <c r="I2266" s="93"/>
      <c r="J2266" s="93"/>
    </row>
    <row r="2267" spans="6:10" s="65" customFormat="1" ht="14" x14ac:dyDescent="0.35">
      <c r="F2267" s="102"/>
      <c r="G2267" s="102"/>
      <c r="I2267" s="93"/>
      <c r="J2267" s="93"/>
    </row>
    <row r="2268" spans="6:10" s="65" customFormat="1" ht="14" x14ac:dyDescent="0.35">
      <c r="F2268" s="102"/>
      <c r="G2268" s="102"/>
      <c r="I2268" s="93"/>
      <c r="J2268" s="93"/>
    </row>
    <row r="2269" spans="6:10" s="65" customFormat="1" ht="14" x14ac:dyDescent="0.35">
      <c r="F2269" s="102"/>
      <c r="G2269" s="102"/>
      <c r="I2269" s="93"/>
      <c r="J2269" s="93"/>
    </row>
    <row r="2270" spans="6:10" s="65" customFormat="1" ht="14" x14ac:dyDescent="0.35">
      <c r="F2270" s="102"/>
      <c r="G2270" s="102"/>
      <c r="I2270" s="93"/>
      <c r="J2270" s="93"/>
    </row>
    <row r="2271" spans="6:10" s="65" customFormat="1" ht="14" x14ac:dyDescent="0.35">
      <c r="F2271" s="102"/>
      <c r="G2271" s="102"/>
      <c r="I2271" s="93"/>
      <c r="J2271" s="93"/>
    </row>
    <row r="2272" spans="6:10" s="65" customFormat="1" ht="14" x14ac:dyDescent="0.35">
      <c r="F2272" s="102"/>
      <c r="G2272" s="102"/>
      <c r="I2272" s="93"/>
      <c r="J2272" s="93"/>
    </row>
    <row r="2273" spans="6:10" s="65" customFormat="1" ht="14" x14ac:dyDescent="0.35">
      <c r="F2273" s="102"/>
      <c r="G2273" s="102"/>
      <c r="I2273" s="93"/>
      <c r="J2273" s="93"/>
    </row>
    <row r="2274" spans="6:10" s="65" customFormat="1" ht="14" x14ac:dyDescent="0.35">
      <c r="F2274" s="102"/>
      <c r="G2274" s="102"/>
      <c r="I2274" s="93"/>
      <c r="J2274" s="93"/>
    </row>
    <row r="2275" spans="6:10" s="65" customFormat="1" ht="14" x14ac:dyDescent="0.35">
      <c r="F2275" s="102"/>
      <c r="G2275" s="102"/>
      <c r="I2275" s="93"/>
      <c r="J2275" s="93"/>
    </row>
    <row r="2276" spans="6:10" s="65" customFormat="1" ht="14" x14ac:dyDescent="0.35">
      <c r="F2276" s="102"/>
      <c r="G2276" s="102"/>
      <c r="I2276" s="93"/>
      <c r="J2276" s="93"/>
    </row>
    <row r="2277" spans="6:10" s="65" customFormat="1" ht="14" x14ac:dyDescent="0.35">
      <c r="F2277" s="102"/>
      <c r="G2277" s="102"/>
      <c r="I2277" s="93"/>
      <c r="J2277" s="93"/>
    </row>
    <row r="2278" spans="6:10" s="65" customFormat="1" ht="14" x14ac:dyDescent="0.35">
      <c r="F2278" s="102"/>
      <c r="G2278" s="102"/>
      <c r="I2278" s="93"/>
      <c r="J2278" s="93"/>
    </row>
    <row r="2279" spans="6:10" s="65" customFormat="1" ht="14" x14ac:dyDescent="0.35">
      <c r="F2279" s="102"/>
      <c r="G2279" s="102"/>
      <c r="I2279" s="93"/>
      <c r="J2279" s="93"/>
    </row>
    <row r="2280" spans="6:10" s="65" customFormat="1" ht="14" x14ac:dyDescent="0.35">
      <c r="F2280" s="102"/>
      <c r="G2280" s="102"/>
      <c r="I2280" s="93"/>
      <c r="J2280" s="93"/>
    </row>
    <row r="2281" spans="6:10" s="65" customFormat="1" ht="14" x14ac:dyDescent="0.35">
      <c r="F2281" s="102"/>
      <c r="G2281" s="102"/>
      <c r="I2281" s="93"/>
      <c r="J2281" s="93"/>
    </row>
    <row r="2282" spans="6:10" s="65" customFormat="1" ht="14" x14ac:dyDescent="0.35">
      <c r="F2282" s="102"/>
      <c r="G2282" s="102"/>
      <c r="I2282" s="93"/>
      <c r="J2282" s="93"/>
    </row>
    <row r="2283" spans="6:10" s="65" customFormat="1" ht="14" x14ac:dyDescent="0.35">
      <c r="F2283" s="102"/>
      <c r="G2283" s="102"/>
      <c r="I2283" s="93"/>
      <c r="J2283" s="93"/>
    </row>
    <row r="2284" spans="6:10" s="65" customFormat="1" ht="14" x14ac:dyDescent="0.35">
      <c r="F2284" s="102"/>
      <c r="G2284" s="102"/>
      <c r="I2284" s="93"/>
      <c r="J2284" s="93"/>
    </row>
    <row r="2285" spans="6:10" s="65" customFormat="1" ht="14" x14ac:dyDescent="0.35">
      <c r="F2285" s="102"/>
      <c r="G2285" s="102"/>
      <c r="I2285" s="93"/>
      <c r="J2285" s="93"/>
    </row>
    <row r="2286" spans="6:10" s="65" customFormat="1" ht="14" x14ac:dyDescent="0.35">
      <c r="F2286" s="102"/>
      <c r="G2286" s="102"/>
      <c r="I2286" s="93"/>
      <c r="J2286" s="93"/>
    </row>
    <row r="2287" spans="6:10" s="65" customFormat="1" ht="14" x14ac:dyDescent="0.35">
      <c r="F2287" s="102"/>
      <c r="G2287" s="102"/>
      <c r="I2287" s="93"/>
      <c r="J2287" s="93"/>
    </row>
    <row r="2288" spans="6:10" s="65" customFormat="1" ht="14" x14ac:dyDescent="0.35">
      <c r="F2288" s="102"/>
      <c r="G2288" s="102"/>
      <c r="I2288" s="93"/>
      <c r="J2288" s="93"/>
    </row>
    <row r="2289" spans="6:10" s="65" customFormat="1" ht="14" x14ac:dyDescent="0.35">
      <c r="F2289" s="102"/>
      <c r="G2289" s="102"/>
      <c r="I2289" s="93"/>
      <c r="J2289" s="93"/>
    </row>
    <row r="2290" spans="6:10" s="65" customFormat="1" ht="14" x14ac:dyDescent="0.35">
      <c r="F2290" s="102"/>
      <c r="G2290" s="102"/>
      <c r="I2290" s="93"/>
      <c r="J2290" s="93"/>
    </row>
    <row r="2291" spans="6:10" s="65" customFormat="1" ht="14" x14ac:dyDescent="0.35">
      <c r="F2291" s="102"/>
      <c r="G2291" s="102"/>
      <c r="I2291" s="93"/>
      <c r="J2291" s="93"/>
    </row>
    <row r="2292" spans="6:10" s="65" customFormat="1" ht="14" x14ac:dyDescent="0.35">
      <c r="F2292" s="102"/>
      <c r="G2292" s="102"/>
      <c r="I2292" s="93"/>
      <c r="J2292" s="93"/>
    </row>
    <row r="2293" spans="6:10" s="65" customFormat="1" ht="14" x14ac:dyDescent="0.35">
      <c r="F2293" s="102"/>
      <c r="G2293" s="102"/>
      <c r="I2293" s="93"/>
      <c r="J2293" s="93"/>
    </row>
    <row r="2294" spans="6:10" s="65" customFormat="1" ht="14" x14ac:dyDescent="0.35">
      <c r="F2294" s="102"/>
      <c r="G2294" s="102"/>
      <c r="I2294" s="93"/>
      <c r="J2294" s="93"/>
    </row>
    <row r="2295" spans="6:10" s="65" customFormat="1" ht="14" x14ac:dyDescent="0.35">
      <c r="F2295" s="102"/>
      <c r="G2295" s="102"/>
      <c r="I2295" s="93"/>
      <c r="J2295" s="93"/>
    </row>
    <row r="2296" spans="6:10" s="65" customFormat="1" ht="14" x14ac:dyDescent="0.35">
      <c r="F2296" s="102"/>
      <c r="G2296" s="102"/>
      <c r="I2296" s="93"/>
      <c r="J2296" s="93"/>
    </row>
    <row r="2297" spans="6:10" s="65" customFormat="1" ht="14" x14ac:dyDescent="0.35">
      <c r="F2297" s="102"/>
      <c r="G2297" s="102"/>
      <c r="I2297" s="93"/>
      <c r="J2297" s="93"/>
    </row>
    <row r="2298" spans="6:10" s="65" customFormat="1" ht="14" x14ac:dyDescent="0.35">
      <c r="F2298" s="102"/>
      <c r="G2298" s="102"/>
      <c r="I2298" s="93"/>
      <c r="J2298" s="93"/>
    </row>
    <row r="2299" spans="6:10" s="65" customFormat="1" ht="14" x14ac:dyDescent="0.35">
      <c r="F2299" s="102"/>
      <c r="G2299" s="102"/>
      <c r="I2299" s="93"/>
      <c r="J2299" s="93"/>
    </row>
    <row r="2300" spans="6:10" s="65" customFormat="1" ht="14" x14ac:dyDescent="0.35">
      <c r="F2300" s="102"/>
      <c r="G2300" s="102"/>
      <c r="I2300" s="93"/>
      <c r="J2300" s="93"/>
    </row>
    <row r="2301" spans="6:10" s="65" customFormat="1" ht="14" x14ac:dyDescent="0.35">
      <c r="F2301" s="102"/>
      <c r="G2301" s="102"/>
      <c r="I2301" s="93"/>
      <c r="J2301" s="93"/>
    </row>
    <row r="2302" spans="6:10" s="65" customFormat="1" ht="14" x14ac:dyDescent="0.35">
      <c r="F2302" s="102"/>
      <c r="G2302" s="102"/>
      <c r="I2302" s="93"/>
      <c r="J2302" s="93"/>
    </row>
    <row r="2303" spans="6:10" s="65" customFormat="1" ht="14" x14ac:dyDescent="0.35">
      <c r="F2303" s="102"/>
      <c r="G2303" s="102"/>
      <c r="I2303" s="93"/>
      <c r="J2303" s="93"/>
    </row>
    <row r="2304" spans="6:10" s="65" customFormat="1" ht="14" x14ac:dyDescent="0.35">
      <c r="F2304" s="102"/>
      <c r="G2304" s="102"/>
      <c r="I2304" s="93"/>
      <c r="J2304" s="93"/>
    </row>
    <row r="2305" spans="6:10" s="65" customFormat="1" ht="14" x14ac:dyDescent="0.35">
      <c r="F2305" s="102"/>
      <c r="G2305" s="102"/>
      <c r="I2305" s="93"/>
      <c r="J2305" s="93"/>
    </row>
    <row r="2306" spans="6:10" s="65" customFormat="1" ht="14" x14ac:dyDescent="0.35">
      <c r="F2306" s="102"/>
      <c r="G2306" s="102"/>
      <c r="I2306" s="93"/>
      <c r="J2306" s="93"/>
    </row>
    <row r="2307" spans="6:10" s="65" customFormat="1" ht="14" x14ac:dyDescent="0.35">
      <c r="F2307" s="102"/>
      <c r="G2307" s="102"/>
      <c r="I2307" s="93"/>
      <c r="J2307" s="93"/>
    </row>
    <row r="2308" spans="6:10" s="65" customFormat="1" ht="14" x14ac:dyDescent="0.35">
      <c r="F2308" s="102"/>
      <c r="G2308" s="102"/>
      <c r="I2308" s="93"/>
      <c r="J2308" s="93"/>
    </row>
    <row r="2309" spans="6:10" s="65" customFormat="1" ht="14" x14ac:dyDescent="0.35">
      <c r="F2309" s="102"/>
      <c r="G2309" s="102"/>
      <c r="I2309" s="93"/>
      <c r="J2309" s="93"/>
    </row>
    <row r="2310" spans="6:10" s="65" customFormat="1" ht="14" x14ac:dyDescent="0.35">
      <c r="F2310" s="102"/>
      <c r="G2310" s="102"/>
      <c r="I2310" s="93"/>
      <c r="J2310" s="93"/>
    </row>
    <row r="2311" spans="6:10" s="65" customFormat="1" ht="14" x14ac:dyDescent="0.35">
      <c r="F2311" s="102"/>
      <c r="G2311" s="102"/>
      <c r="I2311" s="93"/>
      <c r="J2311" s="93"/>
    </row>
    <row r="2312" spans="6:10" s="65" customFormat="1" ht="14" x14ac:dyDescent="0.35">
      <c r="F2312" s="102"/>
      <c r="G2312" s="102"/>
      <c r="I2312" s="93"/>
      <c r="J2312" s="93"/>
    </row>
    <row r="2313" spans="6:10" s="65" customFormat="1" ht="14" x14ac:dyDescent="0.35">
      <c r="F2313" s="102"/>
      <c r="G2313" s="102"/>
      <c r="I2313" s="93"/>
      <c r="J2313" s="93"/>
    </row>
    <row r="2314" spans="6:10" s="65" customFormat="1" ht="14" x14ac:dyDescent="0.35">
      <c r="F2314" s="102"/>
      <c r="G2314" s="102"/>
      <c r="I2314" s="93"/>
      <c r="J2314" s="93"/>
    </row>
    <row r="2315" spans="6:10" s="65" customFormat="1" ht="14" x14ac:dyDescent="0.35">
      <c r="F2315" s="102"/>
      <c r="G2315" s="102"/>
      <c r="I2315" s="93"/>
      <c r="J2315" s="93"/>
    </row>
    <row r="2316" spans="6:10" s="65" customFormat="1" ht="14" x14ac:dyDescent="0.35">
      <c r="F2316" s="102"/>
      <c r="G2316" s="102"/>
      <c r="I2316" s="93"/>
      <c r="J2316" s="93"/>
    </row>
    <row r="2317" spans="6:10" s="65" customFormat="1" ht="14" x14ac:dyDescent="0.35">
      <c r="F2317" s="102"/>
      <c r="G2317" s="102"/>
      <c r="I2317" s="93"/>
      <c r="J2317" s="93"/>
    </row>
    <row r="2318" spans="6:10" s="65" customFormat="1" ht="14" x14ac:dyDescent="0.35">
      <c r="F2318" s="102"/>
      <c r="G2318" s="102"/>
      <c r="I2318" s="93"/>
      <c r="J2318" s="93"/>
    </row>
    <row r="2319" spans="6:10" s="65" customFormat="1" ht="14" x14ac:dyDescent="0.35">
      <c r="F2319" s="102"/>
      <c r="G2319" s="102"/>
      <c r="I2319" s="93"/>
      <c r="J2319" s="93"/>
    </row>
    <row r="2320" spans="6:10" s="65" customFormat="1" ht="14" x14ac:dyDescent="0.35">
      <c r="F2320" s="102"/>
      <c r="G2320" s="102"/>
      <c r="I2320" s="93"/>
      <c r="J2320" s="93"/>
    </row>
    <row r="2321" spans="6:10" s="65" customFormat="1" ht="14" x14ac:dyDescent="0.35">
      <c r="F2321" s="102"/>
      <c r="G2321" s="102"/>
      <c r="I2321" s="93"/>
      <c r="J2321" s="93"/>
    </row>
    <row r="2322" spans="6:10" s="65" customFormat="1" ht="14" x14ac:dyDescent="0.35">
      <c r="F2322" s="102"/>
      <c r="G2322" s="102"/>
      <c r="I2322" s="93"/>
      <c r="J2322" s="93"/>
    </row>
    <row r="2323" spans="6:10" s="65" customFormat="1" ht="14" x14ac:dyDescent="0.35">
      <c r="F2323" s="102"/>
      <c r="G2323" s="102"/>
      <c r="I2323" s="93"/>
      <c r="J2323" s="93"/>
    </row>
    <row r="2324" spans="6:10" s="65" customFormat="1" ht="14" x14ac:dyDescent="0.35">
      <c r="F2324" s="102"/>
      <c r="G2324" s="102"/>
      <c r="I2324" s="93"/>
      <c r="J2324" s="93"/>
    </row>
    <row r="2325" spans="6:10" s="65" customFormat="1" ht="14" x14ac:dyDescent="0.35">
      <c r="F2325" s="102"/>
      <c r="G2325" s="102"/>
      <c r="I2325" s="93"/>
      <c r="J2325" s="93"/>
    </row>
    <row r="2326" spans="6:10" s="65" customFormat="1" ht="14" x14ac:dyDescent="0.35">
      <c r="F2326" s="102"/>
      <c r="G2326" s="102"/>
      <c r="I2326" s="93"/>
      <c r="J2326" s="93"/>
    </row>
    <row r="2327" spans="6:10" s="65" customFormat="1" ht="14" x14ac:dyDescent="0.35">
      <c r="F2327" s="102"/>
      <c r="G2327" s="102"/>
      <c r="I2327" s="93"/>
      <c r="J2327" s="93"/>
    </row>
    <row r="2328" spans="6:10" s="65" customFormat="1" ht="14" x14ac:dyDescent="0.35">
      <c r="F2328" s="102"/>
      <c r="G2328" s="102"/>
      <c r="I2328" s="93"/>
      <c r="J2328" s="93"/>
    </row>
    <row r="2329" spans="6:10" s="65" customFormat="1" ht="14" x14ac:dyDescent="0.35">
      <c r="F2329" s="102"/>
      <c r="G2329" s="102"/>
      <c r="I2329" s="93"/>
      <c r="J2329" s="93"/>
    </row>
    <row r="2330" spans="6:10" s="65" customFormat="1" ht="14" x14ac:dyDescent="0.35">
      <c r="F2330" s="102"/>
      <c r="G2330" s="102"/>
      <c r="I2330" s="93"/>
      <c r="J2330" s="93"/>
    </row>
    <row r="2331" spans="6:10" s="65" customFormat="1" ht="14" x14ac:dyDescent="0.35">
      <c r="F2331" s="102"/>
      <c r="G2331" s="102"/>
      <c r="I2331" s="93"/>
      <c r="J2331" s="93"/>
    </row>
    <row r="2332" spans="6:10" s="65" customFormat="1" ht="14" x14ac:dyDescent="0.35">
      <c r="F2332" s="102"/>
      <c r="G2332" s="102"/>
      <c r="I2332" s="93"/>
      <c r="J2332" s="93"/>
    </row>
    <row r="2333" spans="6:10" s="65" customFormat="1" ht="14" x14ac:dyDescent="0.35">
      <c r="F2333" s="102"/>
      <c r="G2333" s="102"/>
      <c r="I2333" s="93"/>
      <c r="J2333" s="93"/>
    </row>
    <row r="2334" spans="6:10" s="65" customFormat="1" ht="14" x14ac:dyDescent="0.35">
      <c r="F2334" s="102"/>
      <c r="G2334" s="102"/>
      <c r="I2334" s="93"/>
      <c r="J2334" s="93"/>
    </row>
    <row r="2335" spans="6:10" s="65" customFormat="1" ht="14" x14ac:dyDescent="0.35">
      <c r="F2335" s="102"/>
      <c r="G2335" s="102"/>
      <c r="I2335" s="93"/>
      <c r="J2335" s="93"/>
    </row>
    <row r="2336" spans="6:10" s="65" customFormat="1" ht="14" x14ac:dyDescent="0.35">
      <c r="F2336" s="102"/>
      <c r="G2336" s="102"/>
      <c r="I2336" s="93"/>
      <c r="J2336" s="93"/>
    </row>
    <row r="2337" spans="6:10" s="65" customFormat="1" ht="14" x14ac:dyDescent="0.35">
      <c r="F2337" s="102"/>
      <c r="G2337" s="102"/>
      <c r="I2337" s="93"/>
      <c r="J2337" s="93"/>
    </row>
    <row r="2338" spans="6:10" s="65" customFormat="1" ht="14" x14ac:dyDescent="0.35">
      <c r="F2338" s="102"/>
      <c r="G2338" s="102"/>
      <c r="I2338" s="93"/>
      <c r="J2338" s="93"/>
    </row>
    <row r="2339" spans="6:10" s="65" customFormat="1" ht="14" x14ac:dyDescent="0.35">
      <c r="F2339" s="102"/>
      <c r="G2339" s="102"/>
      <c r="I2339" s="93"/>
      <c r="J2339" s="93"/>
    </row>
    <row r="2340" spans="6:10" s="65" customFormat="1" ht="14" x14ac:dyDescent="0.35">
      <c r="F2340" s="102"/>
      <c r="G2340" s="102"/>
      <c r="I2340" s="93"/>
      <c r="J2340" s="93"/>
    </row>
    <row r="2341" spans="6:10" s="65" customFormat="1" ht="14" x14ac:dyDescent="0.35">
      <c r="F2341" s="102"/>
      <c r="G2341" s="102"/>
      <c r="I2341" s="93"/>
      <c r="J2341" s="93"/>
    </row>
    <row r="2342" spans="6:10" s="65" customFormat="1" ht="14" x14ac:dyDescent="0.35">
      <c r="F2342" s="102"/>
      <c r="G2342" s="102"/>
      <c r="I2342" s="93"/>
      <c r="J2342" s="93"/>
    </row>
    <row r="2343" spans="6:10" s="65" customFormat="1" ht="14" x14ac:dyDescent="0.35">
      <c r="F2343" s="102"/>
      <c r="G2343" s="102"/>
      <c r="I2343" s="93"/>
      <c r="J2343" s="93"/>
    </row>
    <row r="2344" spans="6:10" s="65" customFormat="1" ht="14" x14ac:dyDescent="0.35">
      <c r="F2344" s="102"/>
      <c r="G2344" s="102"/>
      <c r="I2344" s="93"/>
      <c r="J2344" s="93"/>
    </row>
    <row r="2345" spans="6:10" s="65" customFormat="1" ht="14" x14ac:dyDescent="0.35">
      <c r="F2345" s="102"/>
      <c r="G2345" s="102"/>
      <c r="I2345" s="93"/>
      <c r="J2345" s="93"/>
    </row>
    <row r="2346" spans="6:10" s="65" customFormat="1" ht="14" x14ac:dyDescent="0.35">
      <c r="F2346" s="102"/>
      <c r="G2346" s="102"/>
      <c r="I2346" s="93"/>
      <c r="J2346" s="93"/>
    </row>
    <row r="2347" spans="6:10" s="65" customFormat="1" ht="14" x14ac:dyDescent="0.35">
      <c r="F2347" s="102"/>
      <c r="G2347" s="102"/>
      <c r="I2347" s="93"/>
      <c r="J2347" s="93"/>
    </row>
    <row r="2348" spans="6:10" s="65" customFormat="1" ht="14" x14ac:dyDescent="0.35">
      <c r="F2348" s="102"/>
      <c r="G2348" s="102"/>
      <c r="I2348" s="93"/>
      <c r="J2348" s="93"/>
    </row>
    <row r="2349" spans="6:10" s="65" customFormat="1" ht="14" x14ac:dyDescent="0.35">
      <c r="F2349" s="102"/>
      <c r="G2349" s="102"/>
      <c r="I2349" s="93"/>
      <c r="J2349" s="93"/>
    </row>
    <row r="2350" spans="6:10" s="65" customFormat="1" ht="14" x14ac:dyDescent="0.35">
      <c r="F2350" s="102"/>
      <c r="G2350" s="102"/>
      <c r="I2350" s="93"/>
      <c r="J2350" s="93"/>
    </row>
    <row r="2351" spans="6:10" s="65" customFormat="1" ht="14" x14ac:dyDescent="0.35">
      <c r="F2351" s="102"/>
      <c r="G2351" s="102"/>
      <c r="I2351" s="93"/>
      <c r="J2351" s="93"/>
    </row>
    <row r="2352" spans="6:10" s="65" customFormat="1" ht="14" x14ac:dyDescent="0.35">
      <c r="F2352" s="102"/>
      <c r="G2352" s="102"/>
      <c r="I2352" s="93"/>
      <c r="J2352" s="93"/>
    </row>
    <row r="2353" spans="6:10" s="65" customFormat="1" ht="14" x14ac:dyDescent="0.35">
      <c r="F2353" s="102"/>
      <c r="G2353" s="102"/>
      <c r="I2353" s="93"/>
      <c r="J2353" s="93"/>
    </row>
    <row r="2354" spans="6:10" s="65" customFormat="1" ht="14" x14ac:dyDescent="0.35">
      <c r="F2354" s="102"/>
      <c r="G2354" s="102"/>
      <c r="I2354" s="93"/>
      <c r="J2354" s="93"/>
    </row>
    <row r="2355" spans="6:10" s="65" customFormat="1" ht="14" x14ac:dyDescent="0.35">
      <c r="F2355" s="102"/>
      <c r="G2355" s="102"/>
      <c r="I2355" s="93"/>
      <c r="J2355" s="93"/>
    </row>
    <row r="2356" spans="6:10" s="65" customFormat="1" ht="14" x14ac:dyDescent="0.35">
      <c r="F2356" s="102"/>
      <c r="G2356" s="102"/>
      <c r="I2356" s="93"/>
      <c r="J2356" s="93"/>
    </row>
    <row r="2357" spans="6:10" s="65" customFormat="1" ht="14" x14ac:dyDescent="0.35">
      <c r="F2357" s="102"/>
      <c r="G2357" s="102"/>
      <c r="I2357" s="93"/>
      <c r="J2357" s="93"/>
    </row>
    <row r="2358" spans="6:10" s="65" customFormat="1" ht="14" x14ac:dyDescent="0.35">
      <c r="F2358" s="102"/>
      <c r="G2358" s="102"/>
      <c r="I2358" s="93"/>
      <c r="J2358" s="93"/>
    </row>
    <row r="2359" spans="6:10" s="65" customFormat="1" ht="14" x14ac:dyDescent="0.35">
      <c r="F2359" s="102"/>
      <c r="G2359" s="102"/>
      <c r="I2359" s="93"/>
      <c r="J2359" s="93"/>
    </row>
    <row r="2360" spans="6:10" s="65" customFormat="1" ht="14" x14ac:dyDescent="0.35">
      <c r="F2360" s="102"/>
      <c r="G2360" s="102"/>
      <c r="I2360" s="93"/>
      <c r="J2360" s="93"/>
    </row>
    <row r="2361" spans="6:10" s="65" customFormat="1" ht="14" x14ac:dyDescent="0.35">
      <c r="F2361" s="102"/>
      <c r="G2361" s="102"/>
      <c r="I2361" s="93"/>
      <c r="J2361" s="93"/>
    </row>
    <row r="2362" spans="6:10" s="65" customFormat="1" ht="14" x14ac:dyDescent="0.35">
      <c r="F2362" s="102"/>
      <c r="G2362" s="102"/>
      <c r="I2362" s="93"/>
      <c r="J2362" s="93"/>
    </row>
    <row r="2363" spans="6:10" s="65" customFormat="1" ht="14" x14ac:dyDescent="0.35">
      <c r="F2363" s="102"/>
      <c r="G2363" s="102"/>
      <c r="I2363" s="93"/>
      <c r="J2363" s="93"/>
    </row>
    <row r="2364" spans="6:10" s="65" customFormat="1" ht="14" x14ac:dyDescent="0.35">
      <c r="F2364" s="102"/>
      <c r="G2364" s="102"/>
      <c r="I2364" s="93"/>
      <c r="J2364" s="93"/>
    </row>
    <row r="2365" spans="6:10" s="65" customFormat="1" ht="14" x14ac:dyDescent="0.35">
      <c r="F2365" s="102"/>
      <c r="G2365" s="102"/>
      <c r="I2365" s="93"/>
      <c r="J2365" s="93"/>
    </row>
    <row r="2366" spans="6:10" s="65" customFormat="1" ht="14" x14ac:dyDescent="0.35">
      <c r="F2366" s="102"/>
      <c r="G2366" s="102"/>
      <c r="I2366" s="93"/>
      <c r="J2366" s="93"/>
    </row>
    <row r="2367" spans="6:10" s="65" customFormat="1" ht="14" x14ac:dyDescent="0.35">
      <c r="F2367" s="102"/>
      <c r="G2367" s="102"/>
      <c r="I2367" s="93"/>
      <c r="J2367" s="93"/>
    </row>
    <row r="2368" spans="6:10" s="65" customFormat="1" ht="14" x14ac:dyDescent="0.35">
      <c r="F2368" s="102"/>
      <c r="G2368" s="102"/>
      <c r="I2368" s="93"/>
      <c r="J2368" s="93"/>
    </row>
    <row r="2369" spans="6:10" s="65" customFormat="1" ht="14" x14ac:dyDescent="0.35">
      <c r="F2369" s="102"/>
      <c r="G2369" s="102"/>
      <c r="I2369" s="93"/>
      <c r="J2369" s="93"/>
    </row>
    <row r="2370" spans="6:10" s="65" customFormat="1" ht="14" x14ac:dyDescent="0.35">
      <c r="F2370" s="102"/>
      <c r="G2370" s="102"/>
      <c r="I2370" s="93"/>
      <c r="J2370" s="93"/>
    </row>
    <row r="2371" spans="6:10" s="65" customFormat="1" ht="14" x14ac:dyDescent="0.35">
      <c r="F2371" s="102"/>
      <c r="G2371" s="102"/>
      <c r="I2371" s="93"/>
      <c r="J2371" s="93"/>
    </row>
    <row r="2372" spans="6:10" s="65" customFormat="1" ht="14" x14ac:dyDescent="0.35">
      <c r="F2372" s="102"/>
      <c r="G2372" s="102"/>
      <c r="I2372" s="93"/>
      <c r="J2372" s="93"/>
    </row>
    <row r="2373" spans="6:10" s="65" customFormat="1" ht="14" x14ac:dyDescent="0.35">
      <c r="F2373" s="102"/>
      <c r="G2373" s="102"/>
      <c r="I2373" s="93"/>
      <c r="J2373" s="93"/>
    </row>
    <row r="2374" spans="6:10" s="65" customFormat="1" ht="14" x14ac:dyDescent="0.35">
      <c r="F2374" s="102"/>
      <c r="G2374" s="102"/>
      <c r="I2374" s="93"/>
      <c r="J2374" s="93"/>
    </row>
    <row r="2375" spans="6:10" s="65" customFormat="1" ht="14" x14ac:dyDescent="0.35">
      <c r="F2375" s="102"/>
      <c r="G2375" s="102"/>
      <c r="I2375" s="93"/>
      <c r="J2375" s="93"/>
    </row>
    <row r="2376" spans="6:10" s="65" customFormat="1" ht="14" x14ac:dyDescent="0.35">
      <c r="F2376" s="102"/>
      <c r="G2376" s="102"/>
      <c r="I2376" s="93"/>
      <c r="J2376" s="93"/>
    </row>
    <row r="2377" spans="6:10" s="65" customFormat="1" ht="14" x14ac:dyDescent="0.35">
      <c r="F2377" s="102"/>
      <c r="G2377" s="102"/>
      <c r="I2377" s="93"/>
      <c r="J2377" s="93"/>
    </row>
    <row r="2378" spans="6:10" s="65" customFormat="1" ht="14" x14ac:dyDescent="0.35">
      <c r="F2378" s="102"/>
      <c r="G2378" s="102"/>
      <c r="I2378" s="93"/>
      <c r="J2378" s="93"/>
    </row>
    <row r="2379" spans="6:10" s="65" customFormat="1" ht="14" x14ac:dyDescent="0.35">
      <c r="F2379" s="102"/>
      <c r="G2379" s="102"/>
      <c r="I2379" s="93"/>
      <c r="J2379" s="93"/>
    </row>
    <row r="2380" spans="6:10" s="65" customFormat="1" ht="14" x14ac:dyDescent="0.35">
      <c r="F2380" s="102"/>
      <c r="G2380" s="102"/>
      <c r="I2380" s="93"/>
      <c r="J2380" s="93"/>
    </row>
    <row r="2381" spans="6:10" s="65" customFormat="1" ht="14" x14ac:dyDescent="0.35">
      <c r="F2381" s="102"/>
      <c r="G2381" s="102"/>
      <c r="I2381" s="93"/>
      <c r="J2381" s="93"/>
    </row>
    <row r="2382" spans="6:10" s="65" customFormat="1" ht="14" x14ac:dyDescent="0.35">
      <c r="F2382" s="102"/>
      <c r="G2382" s="102"/>
      <c r="I2382" s="93"/>
      <c r="J2382" s="93"/>
    </row>
    <row r="2383" spans="6:10" s="65" customFormat="1" ht="14" x14ac:dyDescent="0.35">
      <c r="F2383" s="102"/>
      <c r="G2383" s="102"/>
      <c r="I2383" s="93"/>
      <c r="J2383" s="93"/>
    </row>
    <row r="2384" spans="6:10" s="65" customFormat="1" ht="14" x14ac:dyDescent="0.35">
      <c r="F2384" s="102"/>
      <c r="G2384" s="102"/>
      <c r="I2384" s="93"/>
      <c r="J2384" s="93"/>
    </row>
    <row r="2385" spans="6:10" s="65" customFormat="1" ht="14" x14ac:dyDescent="0.35">
      <c r="F2385" s="102"/>
      <c r="G2385" s="102"/>
      <c r="I2385" s="93"/>
      <c r="J2385" s="93"/>
    </row>
    <row r="2386" spans="6:10" s="65" customFormat="1" ht="14" x14ac:dyDescent="0.35">
      <c r="F2386" s="102"/>
      <c r="G2386" s="102"/>
      <c r="I2386" s="93"/>
      <c r="J2386" s="93"/>
    </row>
    <row r="2387" spans="6:10" s="65" customFormat="1" ht="14" x14ac:dyDescent="0.35">
      <c r="F2387" s="102"/>
      <c r="G2387" s="102"/>
      <c r="I2387" s="93"/>
      <c r="J2387" s="93"/>
    </row>
    <row r="2388" spans="6:10" s="65" customFormat="1" ht="14" x14ac:dyDescent="0.35">
      <c r="F2388" s="102"/>
      <c r="G2388" s="102"/>
      <c r="I2388" s="93"/>
      <c r="J2388" s="93"/>
    </row>
    <row r="2389" spans="6:10" s="65" customFormat="1" ht="14" x14ac:dyDescent="0.35">
      <c r="F2389" s="102"/>
      <c r="G2389" s="102"/>
      <c r="I2389" s="93"/>
      <c r="J2389" s="93"/>
    </row>
    <row r="2390" spans="6:10" s="65" customFormat="1" ht="14" x14ac:dyDescent="0.35">
      <c r="F2390" s="102"/>
      <c r="G2390" s="102"/>
      <c r="I2390" s="93"/>
      <c r="J2390" s="93"/>
    </row>
    <row r="2391" spans="6:10" s="65" customFormat="1" ht="14" x14ac:dyDescent="0.35">
      <c r="F2391" s="102"/>
      <c r="G2391" s="102"/>
      <c r="I2391" s="93"/>
      <c r="J2391" s="93"/>
    </row>
    <row r="2392" spans="6:10" s="65" customFormat="1" ht="14" x14ac:dyDescent="0.35">
      <c r="F2392" s="102"/>
      <c r="G2392" s="102"/>
      <c r="I2392" s="93"/>
      <c r="J2392" s="93"/>
    </row>
    <row r="2393" spans="6:10" s="65" customFormat="1" ht="14" x14ac:dyDescent="0.35">
      <c r="F2393" s="102"/>
      <c r="G2393" s="102"/>
      <c r="I2393" s="93"/>
      <c r="J2393" s="93"/>
    </row>
    <row r="2394" spans="6:10" s="65" customFormat="1" ht="14" x14ac:dyDescent="0.35">
      <c r="F2394" s="102"/>
      <c r="G2394" s="102"/>
      <c r="I2394" s="93"/>
      <c r="J2394" s="93"/>
    </row>
    <row r="2395" spans="6:10" s="65" customFormat="1" ht="14" x14ac:dyDescent="0.35">
      <c r="F2395" s="102"/>
      <c r="G2395" s="102"/>
      <c r="I2395" s="93"/>
      <c r="J2395" s="93"/>
    </row>
    <row r="2396" spans="6:10" s="65" customFormat="1" ht="14" x14ac:dyDescent="0.35">
      <c r="F2396" s="102"/>
      <c r="G2396" s="102"/>
      <c r="I2396" s="93"/>
      <c r="J2396" s="93"/>
    </row>
    <row r="2397" spans="6:10" s="65" customFormat="1" ht="14" x14ac:dyDescent="0.35">
      <c r="F2397" s="102"/>
      <c r="G2397" s="102"/>
      <c r="I2397" s="93"/>
      <c r="J2397" s="93"/>
    </row>
    <row r="2398" spans="6:10" s="65" customFormat="1" ht="14" x14ac:dyDescent="0.35">
      <c r="F2398" s="102"/>
      <c r="G2398" s="102"/>
      <c r="I2398" s="93"/>
      <c r="J2398" s="93"/>
    </row>
    <row r="2399" spans="6:10" s="65" customFormat="1" ht="14" x14ac:dyDescent="0.35">
      <c r="F2399" s="102"/>
      <c r="G2399" s="102"/>
      <c r="I2399" s="93"/>
      <c r="J2399" s="93"/>
    </row>
    <row r="2400" spans="6:10" s="65" customFormat="1" ht="14" x14ac:dyDescent="0.35">
      <c r="F2400" s="102"/>
      <c r="G2400" s="102"/>
      <c r="I2400" s="93"/>
      <c r="J2400" s="93"/>
    </row>
    <row r="2401" spans="6:10" s="65" customFormat="1" ht="14" x14ac:dyDescent="0.35">
      <c r="F2401" s="102"/>
      <c r="G2401" s="102"/>
      <c r="I2401" s="93"/>
      <c r="J2401" s="93"/>
    </row>
    <row r="2402" spans="6:10" s="65" customFormat="1" ht="14" x14ac:dyDescent="0.35">
      <c r="F2402" s="102"/>
      <c r="G2402" s="102"/>
      <c r="I2402" s="93"/>
      <c r="J2402" s="93"/>
    </row>
    <row r="2403" spans="6:10" s="65" customFormat="1" ht="14" x14ac:dyDescent="0.35">
      <c r="F2403" s="102"/>
      <c r="G2403" s="102"/>
      <c r="I2403" s="93"/>
      <c r="J2403" s="93"/>
    </row>
    <row r="2404" spans="6:10" s="65" customFormat="1" ht="14" x14ac:dyDescent="0.35">
      <c r="F2404" s="102"/>
      <c r="G2404" s="102"/>
      <c r="I2404" s="93"/>
      <c r="J2404" s="93"/>
    </row>
    <row r="2405" spans="6:10" s="65" customFormat="1" ht="14" x14ac:dyDescent="0.35">
      <c r="F2405" s="102"/>
      <c r="G2405" s="102"/>
      <c r="I2405" s="93"/>
      <c r="J2405" s="93"/>
    </row>
    <row r="2406" spans="6:10" s="65" customFormat="1" ht="14" x14ac:dyDescent="0.35">
      <c r="F2406" s="102"/>
      <c r="G2406" s="102"/>
      <c r="I2406" s="93"/>
      <c r="J2406" s="93"/>
    </row>
    <row r="2407" spans="6:10" s="65" customFormat="1" ht="14" x14ac:dyDescent="0.35">
      <c r="F2407" s="102"/>
      <c r="G2407" s="102"/>
      <c r="I2407" s="93"/>
      <c r="J2407" s="93"/>
    </row>
    <row r="2408" spans="6:10" s="65" customFormat="1" ht="14" x14ac:dyDescent="0.35">
      <c r="F2408" s="102"/>
      <c r="G2408" s="102"/>
      <c r="I2408" s="93"/>
      <c r="J2408" s="93"/>
    </row>
    <row r="2409" spans="6:10" s="65" customFormat="1" ht="14" x14ac:dyDescent="0.35">
      <c r="F2409" s="102"/>
      <c r="G2409" s="102"/>
      <c r="I2409" s="93"/>
      <c r="J2409" s="93"/>
    </row>
    <row r="2410" spans="6:10" s="65" customFormat="1" ht="14" x14ac:dyDescent="0.35">
      <c r="F2410" s="102"/>
      <c r="G2410" s="102"/>
      <c r="I2410" s="93"/>
      <c r="J2410" s="93"/>
    </row>
    <row r="2411" spans="6:10" s="65" customFormat="1" ht="14" x14ac:dyDescent="0.35">
      <c r="F2411" s="102"/>
      <c r="G2411" s="102"/>
      <c r="I2411" s="93"/>
      <c r="J2411" s="93"/>
    </row>
    <row r="2412" spans="6:10" s="65" customFormat="1" ht="14" x14ac:dyDescent="0.35">
      <c r="F2412" s="102"/>
      <c r="G2412" s="102"/>
      <c r="I2412" s="93"/>
      <c r="J2412" s="93"/>
    </row>
    <row r="2413" spans="6:10" s="65" customFormat="1" ht="14" x14ac:dyDescent="0.35">
      <c r="F2413" s="102"/>
      <c r="G2413" s="102"/>
      <c r="I2413" s="93"/>
      <c r="J2413" s="93"/>
    </row>
    <row r="2414" spans="6:10" s="65" customFormat="1" ht="14" x14ac:dyDescent="0.35">
      <c r="F2414" s="102"/>
      <c r="G2414" s="102"/>
      <c r="I2414" s="93"/>
      <c r="J2414" s="93"/>
    </row>
    <row r="2415" spans="6:10" s="65" customFormat="1" ht="14" x14ac:dyDescent="0.35">
      <c r="F2415" s="102"/>
      <c r="G2415" s="102"/>
      <c r="I2415" s="93"/>
      <c r="J2415" s="93"/>
    </row>
    <row r="2416" spans="6:10" s="65" customFormat="1" ht="14" x14ac:dyDescent="0.35">
      <c r="F2416" s="102"/>
      <c r="G2416" s="102"/>
      <c r="I2416" s="93"/>
      <c r="J2416" s="93"/>
    </row>
    <row r="2417" spans="6:10" s="65" customFormat="1" ht="14" x14ac:dyDescent="0.35">
      <c r="F2417" s="102"/>
      <c r="G2417" s="102"/>
      <c r="I2417" s="93"/>
      <c r="J2417" s="93"/>
    </row>
    <row r="2418" spans="6:10" s="65" customFormat="1" ht="14" x14ac:dyDescent="0.35">
      <c r="F2418" s="102"/>
      <c r="G2418" s="102"/>
      <c r="I2418" s="93"/>
      <c r="J2418" s="93"/>
    </row>
    <row r="2419" spans="6:10" s="65" customFormat="1" ht="14" x14ac:dyDescent="0.35">
      <c r="F2419" s="102"/>
      <c r="G2419" s="102"/>
      <c r="I2419" s="93"/>
      <c r="J2419" s="93"/>
    </row>
    <row r="2420" spans="6:10" s="65" customFormat="1" ht="14" x14ac:dyDescent="0.35">
      <c r="F2420" s="102"/>
      <c r="G2420" s="102"/>
      <c r="I2420" s="93"/>
      <c r="J2420" s="93"/>
    </row>
    <row r="2421" spans="6:10" s="65" customFormat="1" ht="14" x14ac:dyDescent="0.35">
      <c r="F2421" s="102"/>
      <c r="G2421" s="102"/>
      <c r="I2421" s="93"/>
      <c r="J2421" s="93"/>
    </row>
    <row r="2422" spans="6:10" s="65" customFormat="1" ht="14" x14ac:dyDescent="0.35">
      <c r="F2422" s="102"/>
      <c r="G2422" s="102"/>
      <c r="I2422" s="93"/>
      <c r="J2422" s="93"/>
    </row>
    <row r="2423" spans="6:10" s="65" customFormat="1" ht="14" x14ac:dyDescent="0.35">
      <c r="F2423" s="102"/>
      <c r="G2423" s="102"/>
      <c r="I2423" s="93"/>
      <c r="J2423" s="93"/>
    </row>
    <row r="2424" spans="6:10" s="65" customFormat="1" ht="14" x14ac:dyDescent="0.35">
      <c r="F2424" s="102"/>
      <c r="G2424" s="102"/>
      <c r="I2424" s="93"/>
      <c r="J2424" s="93"/>
    </row>
    <row r="2425" spans="6:10" s="65" customFormat="1" ht="14" x14ac:dyDescent="0.35">
      <c r="F2425" s="102"/>
      <c r="G2425" s="102"/>
      <c r="I2425" s="93"/>
      <c r="J2425" s="93"/>
    </row>
    <row r="2426" spans="6:10" s="65" customFormat="1" ht="14" x14ac:dyDescent="0.35">
      <c r="F2426" s="102"/>
      <c r="G2426" s="102"/>
      <c r="I2426" s="93"/>
      <c r="J2426" s="93"/>
    </row>
    <row r="2427" spans="6:10" s="65" customFormat="1" ht="14" x14ac:dyDescent="0.35">
      <c r="F2427" s="102"/>
      <c r="G2427" s="102"/>
      <c r="I2427" s="93"/>
      <c r="J2427" s="93"/>
    </row>
    <row r="2428" spans="6:10" s="65" customFormat="1" ht="14" x14ac:dyDescent="0.35">
      <c r="F2428" s="102"/>
      <c r="G2428" s="102"/>
      <c r="I2428" s="93"/>
      <c r="J2428" s="93"/>
    </row>
    <row r="2429" spans="6:10" s="65" customFormat="1" ht="14" x14ac:dyDescent="0.35">
      <c r="F2429" s="102"/>
      <c r="G2429" s="102"/>
      <c r="I2429" s="93"/>
      <c r="J2429" s="93"/>
    </row>
    <row r="2430" spans="6:10" s="65" customFormat="1" ht="14" x14ac:dyDescent="0.35">
      <c r="F2430" s="102"/>
      <c r="G2430" s="102"/>
      <c r="I2430" s="93"/>
      <c r="J2430" s="93"/>
    </row>
    <row r="2431" spans="6:10" s="65" customFormat="1" ht="14" x14ac:dyDescent="0.35">
      <c r="F2431" s="102"/>
      <c r="G2431" s="102"/>
      <c r="I2431" s="93"/>
      <c r="J2431" s="93"/>
    </row>
    <row r="2432" spans="6:10" s="65" customFormat="1" ht="14" x14ac:dyDescent="0.35">
      <c r="F2432" s="102"/>
      <c r="G2432" s="102"/>
      <c r="I2432" s="93"/>
      <c r="J2432" s="93"/>
    </row>
    <row r="2433" spans="6:10" s="65" customFormat="1" ht="14" x14ac:dyDescent="0.35">
      <c r="F2433" s="102"/>
      <c r="G2433" s="102"/>
      <c r="I2433" s="93"/>
      <c r="J2433" s="93"/>
    </row>
    <row r="2434" spans="6:10" s="65" customFormat="1" ht="14" x14ac:dyDescent="0.35">
      <c r="F2434" s="102"/>
      <c r="G2434" s="102"/>
      <c r="I2434" s="93"/>
      <c r="J2434" s="93"/>
    </row>
    <row r="2435" spans="6:10" s="65" customFormat="1" ht="14" x14ac:dyDescent="0.35">
      <c r="F2435" s="102"/>
      <c r="G2435" s="102"/>
      <c r="I2435" s="93"/>
      <c r="J2435" s="93"/>
    </row>
    <row r="2436" spans="6:10" s="65" customFormat="1" ht="14" x14ac:dyDescent="0.35">
      <c r="F2436" s="102"/>
      <c r="G2436" s="102"/>
      <c r="I2436" s="93"/>
      <c r="J2436" s="93"/>
    </row>
    <row r="2437" spans="6:10" s="65" customFormat="1" ht="14" x14ac:dyDescent="0.35">
      <c r="F2437" s="102"/>
      <c r="G2437" s="102"/>
      <c r="I2437" s="93"/>
      <c r="J2437" s="93"/>
    </row>
    <row r="2438" spans="6:10" s="65" customFormat="1" ht="14" x14ac:dyDescent="0.35">
      <c r="F2438" s="102"/>
      <c r="G2438" s="102"/>
      <c r="I2438" s="93"/>
      <c r="J2438" s="93"/>
    </row>
    <row r="2439" spans="6:10" s="65" customFormat="1" ht="14" x14ac:dyDescent="0.35">
      <c r="F2439" s="102"/>
      <c r="G2439" s="102"/>
      <c r="I2439" s="93"/>
      <c r="J2439" s="93"/>
    </row>
    <row r="2440" spans="6:10" s="65" customFormat="1" ht="14" x14ac:dyDescent="0.35">
      <c r="F2440" s="102"/>
      <c r="G2440" s="102"/>
      <c r="I2440" s="93"/>
      <c r="J2440" s="93"/>
    </row>
    <row r="2441" spans="6:10" s="65" customFormat="1" ht="14" x14ac:dyDescent="0.35">
      <c r="F2441" s="102"/>
      <c r="G2441" s="102"/>
      <c r="I2441" s="93"/>
      <c r="J2441" s="93"/>
    </row>
    <row r="2442" spans="6:10" s="65" customFormat="1" ht="14" x14ac:dyDescent="0.35">
      <c r="F2442" s="102"/>
      <c r="G2442" s="102"/>
      <c r="I2442" s="93"/>
      <c r="J2442" s="93"/>
    </row>
    <row r="2443" spans="6:10" s="65" customFormat="1" ht="14" x14ac:dyDescent="0.35">
      <c r="F2443" s="102"/>
      <c r="G2443" s="102"/>
      <c r="I2443" s="93"/>
      <c r="J2443" s="93"/>
    </row>
    <row r="2444" spans="6:10" s="65" customFormat="1" ht="14" x14ac:dyDescent="0.35">
      <c r="F2444" s="102"/>
      <c r="G2444" s="102"/>
      <c r="I2444" s="93"/>
      <c r="J2444" s="93"/>
    </row>
    <row r="2445" spans="6:10" s="65" customFormat="1" ht="14" x14ac:dyDescent="0.35">
      <c r="F2445" s="102"/>
      <c r="G2445" s="102"/>
      <c r="I2445" s="93"/>
      <c r="J2445" s="93"/>
    </row>
    <row r="2446" spans="6:10" s="65" customFormat="1" ht="14" x14ac:dyDescent="0.35">
      <c r="F2446" s="102"/>
      <c r="G2446" s="102"/>
      <c r="I2446" s="93"/>
      <c r="J2446" s="93"/>
    </row>
    <row r="2447" spans="6:10" s="65" customFormat="1" ht="14" x14ac:dyDescent="0.35">
      <c r="F2447" s="102"/>
      <c r="G2447" s="102"/>
      <c r="I2447" s="93"/>
      <c r="J2447" s="93"/>
    </row>
    <row r="2448" spans="6:10" s="65" customFormat="1" ht="14" x14ac:dyDescent="0.35">
      <c r="F2448" s="102"/>
      <c r="G2448" s="102"/>
      <c r="I2448" s="93"/>
      <c r="J2448" s="93"/>
    </row>
    <row r="2449" spans="6:10" s="65" customFormat="1" ht="14" x14ac:dyDescent="0.35">
      <c r="F2449" s="102"/>
      <c r="G2449" s="102"/>
      <c r="I2449" s="93"/>
      <c r="J2449" s="93"/>
    </row>
    <row r="2450" spans="6:10" s="65" customFormat="1" ht="14" x14ac:dyDescent="0.35">
      <c r="F2450" s="102"/>
      <c r="G2450" s="102"/>
      <c r="I2450" s="93"/>
      <c r="J2450" s="93"/>
    </row>
    <row r="2451" spans="6:10" s="65" customFormat="1" ht="14" x14ac:dyDescent="0.35">
      <c r="F2451" s="102"/>
      <c r="G2451" s="102"/>
      <c r="I2451" s="93"/>
      <c r="J2451" s="93"/>
    </row>
    <row r="2452" spans="6:10" s="65" customFormat="1" ht="14" x14ac:dyDescent="0.35">
      <c r="F2452" s="102"/>
      <c r="G2452" s="102"/>
      <c r="I2452" s="93"/>
      <c r="J2452" s="93"/>
    </row>
    <row r="2453" spans="6:10" s="65" customFormat="1" ht="14" x14ac:dyDescent="0.35">
      <c r="F2453" s="102"/>
      <c r="G2453" s="102"/>
      <c r="I2453" s="93"/>
      <c r="J2453" s="93"/>
    </row>
    <row r="2454" spans="6:10" s="65" customFormat="1" ht="14" x14ac:dyDescent="0.35">
      <c r="F2454" s="102"/>
      <c r="G2454" s="102"/>
      <c r="I2454" s="93"/>
      <c r="J2454" s="93"/>
    </row>
    <row r="2455" spans="6:10" s="65" customFormat="1" ht="14" x14ac:dyDescent="0.35">
      <c r="F2455" s="102"/>
      <c r="G2455" s="102"/>
      <c r="I2455" s="93"/>
      <c r="J2455" s="93"/>
    </row>
    <row r="2456" spans="6:10" s="65" customFormat="1" ht="14" x14ac:dyDescent="0.35">
      <c r="F2456" s="102"/>
      <c r="G2456" s="102"/>
      <c r="I2456" s="93"/>
      <c r="J2456" s="93"/>
    </row>
    <row r="2457" spans="6:10" s="65" customFormat="1" ht="14" x14ac:dyDescent="0.35">
      <c r="F2457" s="102"/>
      <c r="G2457" s="102"/>
      <c r="I2457" s="93"/>
      <c r="J2457" s="93"/>
    </row>
    <row r="2458" spans="6:10" s="65" customFormat="1" ht="14" x14ac:dyDescent="0.35">
      <c r="F2458" s="102"/>
      <c r="G2458" s="102"/>
      <c r="I2458" s="93"/>
      <c r="J2458" s="93"/>
    </row>
    <row r="2459" spans="6:10" s="65" customFormat="1" ht="14" x14ac:dyDescent="0.35">
      <c r="F2459" s="102"/>
      <c r="G2459" s="102"/>
      <c r="I2459" s="93"/>
      <c r="J2459" s="93"/>
    </row>
    <row r="2460" spans="6:10" s="65" customFormat="1" ht="14" x14ac:dyDescent="0.35">
      <c r="F2460" s="102"/>
      <c r="G2460" s="102"/>
      <c r="I2460" s="93"/>
      <c r="J2460" s="93"/>
    </row>
    <row r="2461" spans="6:10" s="65" customFormat="1" ht="14" x14ac:dyDescent="0.35">
      <c r="F2461" s="102"/>
      <c r="G2461" s="102"/>
      <c r="I2461" s="93"/>
      <c r="J2461" s="93"/>
    </row>
    <row r="2462" spans="6:10" s="65" customFormat="1" ht="14" x14ac:dyDescent="0.35">
      <c r="F2462" s="102"/>
      <c r="G2462" s="102"/>
      <c r="I2462" s="93"/>
      <c r="J2462" s="93"/>
    </row>
    <row r="2463" spans="6:10" s="65" customFormat="1" ht="14" x14ac:dyDescent="0.35">
      <c r="F2463" s="102"/>
      <c r="G2463" s="102"/>
      <c r="I2463" s="93"/>
      <c r="J2463" s="93"/>
    </row>
    <row r="2464" spans="6:10" s="65" customFormat="1" ht="14" x14ac:dyDescent="0.35">
      <c r="F2464" s="102"/>
      <c r="G2464" s="102"/>
      <c r="I2464" s="93"/>
      <c r="J2464" s="93"/>
    </row>
    <row r="2465" spans="6:10" s="65" customFormat="1" ht="14" x14ac:dyDescent="0.35">
      <c r="F2465" s="102"/>
      <c r="G2465" s="102"/>
      <c r="I2465" s="93"/>
      <c r="J2465" s="93"/>
    </row>
    <row r="2466" spans="6:10" s="65" customFormat="1" ht="14" x14ac:dyDescent="0.35">
      <c r="F2466" s="102"/>
      <c r="G2466" s="102"/>
      <c r="I2466" s="93"/>
      <c r="J2466" s="93"/>
    </row>
    <row r="2467" spans="6:10" s="65" customFormat="1" ht="14" x14ac:dyDescent="0.35">
      <c r="F2467" s="102"/>
      <c r="G2467" s="102"/>
      <c r="I2467" s="93"/>
      <c r="J2467" s="93"/>
    </row>
    <row r="2468" spans="6:10" s="65" customFormat="1" ht="14" x14ac:dyDescent="0.35">
      <c r="F2468" s="102"/>
      <c r="G2468" s="102"/>
      <c r="I2468" s="93"/>
      <c r="J2468" s="93"/>
    </row>
    <row r="2469" spans="6:10" s="65" customFormat="1" ht="14" x14ac:dyDescent="0.35">
      <c r="F2469" s="102"/>
      <c r="G2469" s="102"/>
      <c r="I2469" s="93"/>
      <c r="J2469" s="93"/>
    </row>
    <row r="2470" spans="6:10" s="65" customFormat="1" ht="14" x14ac:dyDescent="0.35">
      <c r="F2470" s="102"/>
      <c r="G2470" s="102"/>
      <c r="I2470" s="93"/>
      <c r="J2470" s="93"/>
    </row>
    <row r="2471" spans="6:10" s="65" customFormat="1" ht="14" x14ac:dyDescent="0.35">
      <c r="F2471" s="102"/>
      <c r="G2471" s="102"/>
      <c r="I2471" s="93"/>
      <c r="J2471" s="93"/>
    </row>
    <row r="2472" spans="6:10" s="65" customFormat="1" ht="14" x14ac:dyDescent="0.35">
      <c r="F2472" s="102"/>
      <c r="G2472" s="102"/>
      <c r="I2472" s="93"/>
      <c r="J2472" s="93"/>
    </row>
    <row r="2473" spans="6:10" s="65" customFormat="1" ht="14" x14ac:dyDescent="0.35">
      <c r="F2473" s="102"/>
      <c r="G2473" s="102"/>
      <c r="I2473" s="93"/>
      <c r="J2473" s="93"/>
    </row>
    <row r="2474" spans="6:10" s="65" customFormat="1" ht="14" x14ac:dyDescent="0.35">
      <c r="F2474" s="102"/>
      <c r="G2474" s="102"/>
      <c r="I2474" s="93"/>
      <c r="J2474" s="93"/>
    </row>
    <row r="2475" spans="6:10" s="65" customFormat="1" ht="14" x14ac:dyDescent="0.35">
      <c r="F2475" s="102"/>
      <c r="G2475" s="102"/>
      <c r="I2475" s="93"/>
      <c r="J2475" s="93"/>
    </row>
    <row r="2476" spans="6:10" s="65" customFormat="1" ht="14" x14ac:dyDescent="0.35">
      <c r="F2476" s="102"/>
      <c r="G2476" s="102"/>
      <c r="I2476" s="93"/>
      <c r="J2476" s="93"/>
    </row>
    <row r="2477" spans="6:10" s="65" customFormat="1" ht="14" x14ac:dyDescent="0.35">
      <c r="F2477" s="102"/>
      <c r="G2477" s="102"/>
      <c r="I2477" s="93"/>
      <c r="J2477" s="93"/>
    </row>
    <row r="2478" spans="6:10" s="65" customFormat="1" ht="14" x14ac:dyDescent="0.35">
      <c r="F2478" s="102"/>
      <c r="G2478" s="102"/>
      <c r="I2478" s="93"/>
      <c r="J2478" s="93"/>
    </row>
    <row r="2479" spans="6:10" s="65" customFormat="1" ht="14" x14ac:dyDescent="0.35">
      <c r="F2479" s="102"/>
      <c r="G2479" s="102"/>
      <c r="I2479" s="93"/>
      <c r="J2479" s="93"/>
    </row>
    <row r="2480" spans="6:10" s="65" customFormat="1" ht="14" x14ac:dyDescent="0.35">
      <c r="F2480" s="102"/>
      <c r="G2480" s="102"/>
      <c r="I2480" s="93"/>
      <c r="J2480" s="93"/>
    </row>
    <row r="2481" spans="6:10" s="65" customFormat="1" ht="14" x14ac:dyDescent="0.35">
      <c r="F2481" s="102"/>
      <c r="G2481" s="102"/>
      <c r="I2481" s="93"/>
      <c r="J2481" s="93"/>
    </row>
    <row r="2482" spans="6:10" s="65" customFormat="1" ht="14" x14ac:dyDescent="0.35">
      <c r="F2482" s="102"/>
      <c r="G2482" s="102"/>
      <c r="I2482" s="93"/>
      <c r="J2482" s="93"/>
    </row>
    <row r="2483" spans="6:10" s="65" customFormat="1" ht="14" x14ac:dyDescent="0.35">
      <c r="F2483" s="102"/>
      <c r="G2483" s="102"/>
      <c r="I2483" s="93"/>
      <c r="J2483" s="93"/>
    </row>
    <row r="2484" spans="6:10" s="65" customFormat="1" ht="14" x14ac:dyDescent="0.35">
      <c r="F2484" s="102"/>
      <c r="G2484" s="102"/>
      <c r="I2484" s="93"/>
      <c r="J2484" s="93"/>
    </row>
    <row r="2485" spans="6:10" s="65" customFormat="1" ht="14" x14ac:dyDescent="0.35">
      <c r="F2485" s="102"/>
      <c r="G2485" s="102"/>
      <c r="I2485" s="93"/>
      <c r="J2485" s="93"/>
    </row>
    <row r="2486" spans="6:10" s="65" customFormat="1" ht="14" x14ac:dyDescent="0.35">
      <c r="F2486" s="102"/>
      <c r="G2486" s="102"/>
      <c r="I2486" s="93"/>
      <c r="J2486" s="93"/>
    </row>
    <row r="2487" spans="6:10" s="65" customFormat="1" ht="14" x14ac:dyDescent="0.35">
      <c r="F2487" s="102"/>
      <c r="G2487" s="102"/>
      <c r="I2487" s="93"/>
      <c r="J2487" s="93"/>
    </row>
    <row r="2488" spans="6:10" s="65" customFormat="1" ht="14" x14ac:dyDescent="0.35">
      <c r="F2488" s="102"/>
      <c r="G2488" s="102"/>
      <c r="I2488" s="93"/>
      <c r="J2488" s="93"/>
    </row>
    <row r="2489" spans="6:10" s="65" customFormat="1" ht="14" x14ac:dyDescent="0.35">
      <c r="F2489" s="102"/>
      <c r="G2489" s="102"/>
      <c r="I2489" s="93"/>
      <c r="J2489" s="93"/>
    </row>
    <row r="2490" spans="6:10" s="65" customFormat="1" ht="14" x14ac:dyDescent="0.35">
      <c r="F2490" s="102"/>
      <c r="G2490" s="102"/>
      <c r="I2490" s="93"/>
      <c r="J2490" s="93"/>
    </row>
    <row r="2491" spans="6:10" s="65" customFormat="1" ht="14" x14ac:dyDescent="0.35">
      <c r="F2491" s="102"/>
      <c r="G2491" s="102"/>
      <c r="I2491" s="93"/>
      <c r="J2491" s="93"/>
    </row>
    <row r="2492" spans="6:10" s="65" customFormat="1" ht="14" x14ac:dyDescent="0.35">
      <c r="F2492" s="102"/>
      <c r="G2492" s="102"/>
      <c r="I2492" s="93"/>
      <c r="J2492" s="93"/>
    </row>
    <row r="2493" spans="6:10" s="65" customFormat="1" ht="14" x14ac:dyDescent="0.35">
      <c r="F2493" s="102"/>
      <c r="G2493" s="102"/>
      <c r="I2493" s="93"/>
      <c r="J2493" s="93"/>
    </row>
    <row r="2494" spans="6:10" s="65" customFormat="1" ht="14" x14ac:dyDescent="0.35">
      <c r="F2494" s="102"/>
      <c r="G2494" s="102"/>
      <c r="I2494" s="93"/>
      <c r="J2494" s="93"/>
    </row>
    <row r="2495" spans="6:10" s="65" customFormat="1" ht="14" x14ac:dyDescent="0.35">
      <c r="F2495" s="102"/>
      <c r="G2495" s="102"/>
      <c r="I2495" s="93"/>
      <c r="J2495" s="93"/>
    </row>
    <row r="2496" spans="6:10" s="65" customFormat="1" ht="14" x14ac:dyDescent="0.35">
      <c r="F2496" s="102"/>
      <c r="G2496" s="102"/>
      <c r="I2496" s="93"/>
      <c r="J2496" s="93"/>
    </row>
    <row r="2497" spans="6:10" s="65" customFormat="1" ht="14" x14ac:dyDescent="0.35">
      <c r="F2497" s="102"/>
      <c r="G2497" s="102"/>
      <c r="I2497" s="93"/>
      <c r="J2497" s="93"/>
    </row>
    <row r="2498" spans="6:10" s="65" customFormat="1" ht="14" x14ac:dyDescent="0.35">
      <c r="F2498" s="102"/>
      <c r="G2498" s="102"/>
      <c r="I2498" s="93"/>
      <c r="J2498" s="93"/>
    </row>
    <row r="2499" spans="6:10" s="65" customFormat="1" ht="14" x14ac:dyDescent="0.35">
      <c r="F2499" s="102"/>
      <c r="G2499" s="102"/>
      <c r="I2499" s="93"/>
      <c r="J2499" s="93"/>
    </row>
    <row r="2500" spans="6:10" s="65" customFormat="1" ht="14" x14ac:dyDescent="0.35">
      <c r="F2500" s="102"/>
      <c r="G2500" s="102"/>
      <c r="I2500" s="93"/>
      <c r="J2500" s="93"/>
    </row>
    <row r="2501" spans="6:10" s="65" customFormat="1" ht="14" x14ac:dyDescent="0.35">
      <c r="F2501" s="102"/>
      <c r="G2501" s="102"/>
      <c r="I2501" s="93"/>
      <c r="J2501" s="93"/>
    </row>
    <row r="2502" spans="6:10" s="65" customFormat="1" ht="14" x14ac:dyDescent="0.35">
      <c r="F2502" s="102"/>
      <c r="G2502" s="102"/>
      <c r="I2502" s="93"/>
      <c r="J2502" s="93"/>
    </row>
    <row r="2503" spans="6:10" s="65" customFormat="1" ht="14" x14ac:dyDescent="0.35">
      <c r="F2503" s="102"/>
      <c r="G2503" s="102"/>
      <c r="I2503" s="93"/>
      <c r="J2503" s="93"/>
    </row>
    <row r="2504" spans="6:10" s="65" customFormat="1" ht="14" x14ac:dyDescent="0.35">
      <c r="F2504" s="102"/>
      <c r="G2504" s="102"/>
      <c r="I2504" s="93"/>
      <c r="J2504" s="93"/>
    </row>
    <row r="2505" spans="6:10" s="65" customFormat="1" ht="14" x14ac:dyDescent="0.35">
      <c r="F2505" s="102"/>
      <c r="G2505" s="102"/>
      <c r="I2505" s="93"/>
      <c r="J2505" s="93"/>
    </row>
    <row r="2506" spans="6:10" s="65" customFormat="1" ht="14" x14ac:dyDescent="0.35">
      <c r="F2506" s="102"/>
      <c r="G2506" s="102"/>
      <c r="I2506" s="93"/>
      <c r="J2506" s="93"/>
    </row>
    <row r="2507" spans="6:10" s="65" customFormat="1" ht="14" x14ac:dyDescent="0.35">
      <c r="F2507" s="102"/>
      <c r="G2507" s="102"/>
      <c r="I2507" s="93"/>
      <c r="J2507" s="93"/>
    </row>
    <row r="2508" spans="6:10" s="65" customFormat="1" ht="14" x14ac:dyDescent="0.35">
      <c r="F2508" s="102"/>
      <c r="G2508" s="102"/>
      <c r="I2508" s="93"/>
      <c r="J2508" s="93"/>
    </row>
    <row r="2509" spans="6:10" s="65" customFormat="1" ht="14" x14ac:dyDescent="0.35">
      <c r="F2509" s="102"/>
      <c r="G2509" s="102"/>
      <c r="I2509" s="93"/>
      <c r="J2509" s="93"/>
    </row>
    <row r="2510" spans="6:10" s="65" customFormat="1" ht="14" x14ac:dyDescent="0.35">
      <c r="F2510" s="102"/>
      <c r="G2510" s="102"/>
      <c r="I2510" s="93"/>
      <c r="J2510" s="93"/>
    </row>
    <row r="2511" spans="6:10" s="65" customFormat="1" ht="14" x14ac:dyDescent="0.35">
      <c r="F2511" s="102"/>
      <c r="G2511" s="102"/>
      <c r="I2511" s="93"/>
      <c r="J2511" s="93"/>
    </row>
    <row r="2512" spans="6:10" s="65" customFormat="1" ht="14" x14ac:dyDescent="0.35">
      <c r="F2512" s="102"/>
      <c r="G2512" s="102"/>
      <c r="I2512" s="93"/>
      <c r="J2512" s="93"/>
    </row>
    <row r="2513" spans="6:10" s="65" customFormat="1" ht="14" x14ac:dyDescent="0.35">
      <c r="F2513" s="102"/>
      <c r="G2513" s="102"/>
      <c r="I2513" s="93"/>
      <c r="J2513" s="93"/>
    </row>
    <row r="2514" spans="6:10" s="65" customFormat="1" ht="14" x14ac:dyDescent="0.35">
      <c r="F2514" s="102"/>
      <c r="G2514" s="102"/>
      <c r="I2514" s="93"/>
      <c r="J2514" s="93"/>
    </row>
    <row r="2515" spans="6:10" s="65" customFormat="1" ht="14" x14ac:dyDescent="0.35">
      <c r="F2515" s="102"/>
      <c r="G2515" s="102"/>
      <c r="I2515" s="93"/>
      <c r="J2515" s="93"/>
    </row>
    <row r="2516" spans="6:10" s="65" customFormat="1" ht="14" x14ac:dyDescent="0.35">
      <c r="F2516" s="102"/>
      <c r="G2516" s="102"/>
      <c r="I2516" s="93"/>
      <c r="J2516" s="93"/>
    </row>
    <row r="2517" spans="6:10" s="65" customFormat="1" ht="14" x14ac:dyDescent="0.35">
      <c r="F2517" s="102"/>
      <c r="G2517" s="102"/>
      <c r="I2517" s="93"/>
      <c r="J2517" s="93"/>
    </row>
    <row r="2518" spans="6:10" s="65" customFormat="1" ht="14" x14ac:dyDescent="0.35">
      <c r="F2518" s="102"/>
      <c r="G2518" s="102"/>
      <c r="I2518" s="93"/>
      <c r="J2518" s="93"/>
    </row>
    <row r="2519" spans="6:10" s="65" customFormat="1" ht="14" x14ac:dyDescent="0.35">
      <c r="F2519" s="102"/>
      <c r="G2519" s="102"/>
      <c r="I2519" s="93"/>
      <c r="J2519" s="93"/>
    </row>
    <row r="2520" spans="6:10" s="65" customFormat="1" ht="14" x14ac:dyDescent="0.35">
      <c r="F2520" s="102"/>
      <c r="G2520" s="102"/>
      <c r="I2520" s="93"/>
      <c r="J2520" s="93"/>
    </row>
    <row r="2521" spans="6:10" s="65" customFormat="1" ht="14" x14ac:dyDescent="0.35">
      <c r="F2521" s="102"/>
      <c r="G2521" s="102"/>
      <c r="I2521" s="93"/>
      <c r="J2521" s="93"/>
    </row>
    <row r="2522" spans="6:10" s="65" customFormat="1" ht="14" x14ac:dyDescent="0.35">
      <c r="F2522" s="102"/>
      <c r="G2522" s="102"/>
      <c r="I2522" s="93"/>
      <c r="J2522" s="93"/>
    </row>
    <row r="2523" spans="6:10" s="65" customFormat="1" ht="14" x14ac:dyDescent="0.35">
      <c r="F2523" s="102"/>
      <c r="G2523" s="102"/>
      <c r="I2523" s="93"/>
      <c r="J2523" s="93"/>
    </row>
    <row r="2524" spans="6:10" s="65" customFormat="1" ht="14" x14ac:dyDescent="0.35">
      <c r="F2524" s="102"/>
      <c r="G2524" s="102"/>
      <c r="I2524" s="93"/>
      <c r="J2524" s="93"/>
    </row>
    <row r="2525" spans="6:10" s="65" customFormat="1" ht="14" x14ac:dyDescent="0.35">
      <c r="F2525" s="102"/>
      <c r="G2525" s="102"/>
      <c r="I2525" s="93"/>
      <c r="J2525" s="93"/>
    </row>
    <row r="2526" spans="6:10" s="65" customFormat="1" ht="14" x14ac:dyDescent="0.35">
      <c r="F2526" s="102"/>
      <c r="G2526" s="102"/>
      <c r="I2526" s="93"/>
      <c r="J2526" s="93"/>
    </row>
    <row r="2527" spans="6:10" s="65" customFormat="1" ht="14" x14ac:dyDescent="0.35">
      <c r="F2527" s="102"/>
      <c r="G2527" s="102"/>
      <c r="I2527" s="93"/>
      <c r="J2527" s="93"/>
    </row>
    <row r="2528" spans="6:10" s="65" customFormat="1" ht="14" x14ac:dyDescent="0.35">
      <c r="F2528" s="102"/>
      <c r="G2528" s="102"/>
      <c r="I2528" s="93"/>
      <c r="J2528" s="93"/>
    </row>
    <row r="2529" spans="6:10" s="65" customFormat="1" ht="14" x14ac:dyDescent="0.35">
      <c r="F2529" s="102"/>
      <c r="G2529" s="102"/>
      <c r="I2529" s="93"/>
      <c r="J2529" s="93"/>
    </row>
    <row r="2530" spans="6:10" s="65" customFormat="1" ht="14" x14ac:dyDescent="0.35">
      <c r="F2530" s="102"/>
      <c r="G2530" s="102"/>
      <c r="I2530" s="93"/>
      <c r="J2530" s="93"/>
    </row>
    <row r="2531" spans="6:10" s="65" customFormat="1" ht="14" x14ac:dyDescent="0.35">
      <c r="F2531" s="102"/>
      <c r="G2531" s="102"/>
      <c r="I2531" s="93"/>
      <c r="J2531" s="93"/>
    </row>
    <row r="2532" spans="6:10" s="65" customFormat="1" ht="14" x14ac:dyDescent="0.35">
      <c r="F2532" s="102"/>
      <c r="G2532" s="102"/>
      <c r="I2532" s="93"/>
      <c r="J2532" s="93"/>
    </row>
    <row r="2533" spans="6:10" s="65" customFormat="1" ht="14" x14ac:dyDescent="0.35">
      <c r="F2533" s="102"/>
      <c r="G2533" s="102"/>
      <c r="I2533" s="93"/>
      <c r="J2533" s="93"/>
    </row>
    <row r="2534" spans="6:10" s="65" customFormat="1" ht="14" x14ac:dyDescent="0.35">
      <c r="F2534" s="102"/>
      <c r="G2534" s="102"/>
      <c r="I2534" s="93"/>
      <c r="J2534" s="93"/>
    </row>
    <row r="2535" spans="6:10" s="65" customFormat="1" ht="14" x14ac:dyDescent="0.35">
      <c r="F2535" s="102"/>
      <c r="G2535" s="102"/>
      <c r="I2535" s="93"/>
      <c r="J2535" s="93"/>
    </row>
    <row r="2536" spans="6:10" s="65" customFormat="1" ht="14" x14ac:dyDescent="0.35">
      <c r="F2536" s="102"/>
      <c r="G2536" s="102"/>
      <c r="I2536" s="93"/>
      <c r="J2536" s="93"/>
    </row>
    <row r="2537" spans="6:10" s="65" customFormat="1" ht="14" x14ac:dyDescent="0.35">
      <c r="F2537" s="102"/>
      <c r="G2537" s="102"/>
      <c r="I2537" s="93"/>
      <c r="J2537" s="93"/>
    </row>
    <row r="2538" spans="6:10" s="65" customFormat="1" ht="14" x14ac:dyDescent="0.35">
      <c r="F2538" s="102"/>
      <c r="G2538" s="102"/>
      <c r="I2538" s="93"/>
      <c r="J2538" s="93"/>
    </row>
    <row r="2539" spans="6:10" s="65" customFormat="1" ht="14" x14ac:dyDescent="0.35">
      <c r="F2539" s="102"/>
      <c r="G2539" s="102"/>
      <c r="I2539" s="93"/>
      <c r="J2539" s="93"/>
    </row>
    <row r="2540" spans="6:10" s="65" customFormat="1" ht="14" x14ac:dyDescent="0.35">
      <c r="F2540" s="102"/>
      <c r="G2540" s="102"/>
      <c r="I2540" s="93"/>
      <c r="J2540" s="93"/>
    </row>
    <row r="2541" spans="6:10" s="65" customFormat="1" ht="14" x14ac:dyDescent="0.35">
      <c r="F2541" s="102"/>
      <c r="G2541" s="102"/>
      <c r="I2541" s="93"/>
      <c r="J2541" s="93"/>
    </row>
    <row r="2542" spans="6:10" s="65" customFormat="1" ht="14" x14ac:dyDescent="0.35">
      <c r="F2542" s="102"/>
      <c r="G2542" s="102"/>
      <c r="I2542" s="93"/>
      <c r="J2542" s="93"/>
    </row>
    <row r="2543" spans="6:10" s="65" customFormat="1" ht="14" x14ac:dyDescent="0.35">
      <c r="F2543" s="102"/>
      <c r="G2543" s="102"/>
      <c r="I2543" s="93"/>
      <c r="J2543" s="93"/>
    </row>
    <row r="2544" spans="6:10" s="65" customFormat="1" ht="14" x14ac:dyDescent="0.35">
      <c r="F2544" s="102"/>
      <c r="G2544" s="102"/>
      <c r="I2544" s="93"/>
      <c r="J2544" s="93"/>
    </row>
    <row r="2545" spans="6:10" s="65" customFormat="1" ht="14" x14ac:dyDescent="0.35">
      <c r="F2545" s="102"/>
      <c r="G2545" s="102"/>
      <c r="I2545" s="93"/>
      <c r="J2545" s="93"/>
    </row>
    <row r="2546" spans="6:10" s="65" customFormat="1" ht="14" x14ac:dyDescent="0.35">
      <c r="F2546" s="102"/>
      <c r="G2546" s="102"/>
      <c r="I2546" s="93"/>
      <c r="J2546" s="93"/>
    </row>
    <row r="2547" spans="6:10" s="65" customFormat="1" ht="14" x14ac:dyDescent="0.35">
      <c r="F2547" s="102"/>
      <c r="G2547" s="102"/>
      <c r="I2547" s="93"/>
      <c r="J2547" s="93"/>
    </row>
    <row r="2548" spans="6:10" s="65" customFormat="1" ht="14" x14ac:dyDescent="0.35">
      <c r="F2548" s="102"/>
      <c r="G2548" s="102"/>
      <c r="I2548" s="93"/>
      <c r="J2548" s="93"/>
    </row>
    <row r="2549" spans="6:10" s="65" customFormat="1" ht="14" x14ac:dyDescent="0.35">
      <c r="F2549" s="102"/>
      <c r="G2549" s="102"/>
      <c r="I2549" s="93"/>
      <c r="J2549" s="93"/>
    </row>
    <row r="2550" spans="6:10" s="65" customFormat="1" ht="14" x14ac:dyDescent="0.35">
      <c r="F2550" s="102"/>
      <c r="G2550" s="102"/>
      <c r="I2550" s="93"/>
      <c r="J2550" s="93"/>
    </row>
    <row r="2551" spans="6:10" s="65" customFormat="1" ht="14" x14ac:dyDescent="0.35">
      <c r="F2551" s="102"/>
      <c r="G2551" s="102"/>
      <c r="I2551" s="93"/>
      <c r="J2551" s="93"/>
    </row>
    <row r="2552" spans="6:10" s="65" customFormat="1" ht="14" x14ac:dyDescent="0.35">
      <c r="F2552" s="102"/>
      <c r="G2552" s="102"/>
      <c r="I2552" s="93"/>
      <c r="J2552" s="93"/>
    </row>
    <row r="2553" spans="6:10" s="65" customFormat="1" ht="14" x14ac:dyDescent="0.35">
      <c r="F2553" s="102"/>
      <c r="G2553" s="102"/>
      <c r="I2553" s="93"/>
      <c r="J2553" s="93"/>
    </row>
    <row r="2554" spans="6:10" s="65" customFormat="1" ht="14" x14ac:dyDescent="0.35">
      <c r="F2554" s="102"/>
      <c r="G2554" s="102"/>
      <c r="I2554" s="93"/>
      <c r="J2554" s="93"/>
    </row>
    <row r="2555" spans="6:10" s="65" customFormat="1" ht="14" x14ac:dyDescent="0.35">
      <c r="F2555" s="102"/>
      <c r="G2555" s="102"/>
      <c r="I2555" s="93"/>
      <c r="J2555" s="93"/>
    </row>
    <row r="2556" spans="6:10" s="65" customFormat="1" ht="14" x14ac:dyDescent="0.35">
      <c r="F2556" s="102"/>
      <c r="G2556" s="102"/>
      <c r="I2556" s="93"/>
      <c r="J2556" s="93"/>
    </row>
    <row r="2557" spans="6:10" s="65" customFormat="1" ht="14" x14ac:dyDescent="0.35">
      <c r="F2557" s="102"/>
      <c r="G2557" s="102"/>
      <c r="I2557" s="93"/>
      <c r="J2557" s="93"/>
    </row>
    <row r="2558" spans="6:10" s="65" customFormat="1" ht="14" x14ac:dyDescent="0.35">
      <c r="F2558" s="102"/>
      <c r="G2558" s="102"/>
      <c r="I2558" s="93"/>
      <c r="J2558" s="93"/>
    </row>
    <row r="2559" spans="6:10" s="65" customFormat="1" ht="14" x14ac:dyDescent="0.35">
      <c r="F2559" s="102"/>
      <c r="G2559" s="102"/>
      <c r="I2559" s="93"/>
      <c r="J2559" s="93"/>
    </row>
    <row r="2560" spans="6:10" s="65" customFormat="1" ht="14" x14ac:dyDescent="0.35">
      <c r="F2560" s="102"/>
      <c r="G2560" s="102"/>
      <c r="I2560" s="93"/>
      <c r="J2560" s="93"/>
    </row>
    <row r="2561" spans="6:10" s="65" customFormat="1" ht="14" x14ac:dyDescent="0.35">
      <c r="F2561" s="102"/>
      <c r="G2561" s="102"/>
      <c r="I2561" s="93"/>
      <c r="J2561" s="93"/>
    </row>
    <row r="2562" spans="6:10" s="65" customFormat="1" ht="14" x14ac:dyDescent="0.35">
      <c r="F2562" s="102"/>
      <c r="G2562" s="102"/>
      <c r="I2562" s="93"/>
      <c r="J2562" s="93"/>
    </row>
    <row r="2563" spans="6:10" s="65" customFormat="1" ht="14" x14ac:dyDescent="0.35">
      <c r="F2563" s="102"/>
      <c r="G2563" s="102"/>
      <c r="I2563" s="93"/>
      <c r="J2563" s="93"/>
    </row>
    <row r="2564" spans="6:10" s="65" customFormat="1" ht="14" x14ac:dyDescent="0.35">
      <c r="F2564" s="102"/>
      <c r="G2564" s="102"/>
      <c r="I2564" s="93"/>
      <c r="J2564" s="93"/>
    </row>
    <row r="2565" spans="6:10" s="65" customFormat="1" ht="14" x14ac:dyDescent="0.35">
      <c r="F2565" s="102"/>
      <c r="G2565" s="102"/>
      <c r="I2565" s="93"/>
      <c r="J2565" s="93"/>
    </row>
    <row r="2566" spans="6:10" s="65" customFormat="1" ht="14" x14ac:dyDescent="0.35">
      <c r="F2566" s="102"/>
      <c r="G2566" s="102"/>
      <c r="I2566" s="93"/>
      <c r="J2566" s="93"/>
    </row>
    <row r="2567" spans="6:10" s="65" customFormat="1" ht="14" x14ac:dyDescent="0.35">
      <c r="F2567" s="102"/>
      <c r="G2567" s="102"/>
      <c r="I2567" s="93"/>
      <c r="J2567" s="93"/>
    </row>
    <row r="2568" spans="6:10" s="65" customFormat="1" ht="14" x14ac:dyDescent="0.35">
      <c r="F2568" s="102"/>
      <c r="G2568" s="102"/>
      <c r="I2568" s="93"/>
      <c r="J2568" s="93"/>
    </row>
    <row r="2569" spans="6:10" s="65" customFormat="1" ht="14" x14ac:dyDescent="0.35">
      <c r="F2569" s="102"/>
      <c r="G2569" s="102"/>
      <c r="I2569" s="93"/>
      <c r="J2569" s="93"/>
    </row>
    <row r="2570" spans="6:10" s="65" customFormat="1" ht="14" x14ac:dyDescent="0.35">
      <c r="F2570" s="102"/>
      <c r="G2570" s="102"/>
      <c r="I2570" s="93"/>
      <c r="J2570" s="93"/>
    </row>
    <row r="2571" spans="6:10" s="65" customFormat="1" ht="14" x14ac:dyDescent="0.35">
      <c r="F2571" s="102"/>
      <c r="G2571" s="102"/>
      <c r="I2571" s="93"/>
      <c r="J2571" s="93"/>
    </row>
    <row r="2572" spans="6:10" s="65" customFormat="1" ht="14" x14ac:dyDescent="0.35">
      <c r="F2572" s="102"/>
      <c r="G2572" s="102"/>
      <c r="I2572" s="93"/>
      <c r="J2572" s="93"/>
    </row>
    <row r="2573" spans="6:10" s="65" customFormat="1" ht="14" x14ac:dyDescent="0.35">
      <c r="F2573" s="102"/>
      <c r="G2573" s="102"/>
      <c r="I2573" s="93"/>
      <c r="J2573" s="93"/>
    </row>
    <row r="2574" spans="6:10" s="65" customFormat="1" ht="14" x14ac:dyDescent="0.35">
      <c r="F2574" s="102"/>
      <c r="G2574" s="102"/>
      <c r="I2574" s="93"/>
      <c r="J2574" s="93"/>
    </row>
    <row r="2575" spans="6:10" s="65" customFormat="1" ht="14" x14ac:dyDescent="0.35">
      <c r="F2575" s="102"/>
      <c r="G2575" s="102"/>
      <c r="I2575" s="93"/>
      <c r="J2575" s="93"/>
    </row>
    <row r="2576" spans="6:10" s="65" customFormat="1" ht="14" x14ac:dyDescent="0.35">
      <c r="F2576" s="102"/>
      <c r="G2576" s="102"/>
      <c r="I2576" s="93"/>
      <c r="J2576" s="93"/>
    </row>
    <row r="2577" spans="6:10" s="65" customFormat="1" ht="14" x14ac:dyDescent="0.35">
      <c r="F2577" s="102"/>
      <c r="G2577" s="102"/>
      <c r="I2577" s="93"/>
      <c r="J2577" s="93"/>
    </row>
    <row r="2578" spans="6:10" s="65" customFormat="1" ht="14" x14ac:dyDescent="0.35">
      <c r="F2578" s="102"/>
      <c r="G2578" s="102"/>
      <c r="I2578" s="93"/>
      <c r="J2578" s="93"/>
    </row>
    <row r="2579" spans="6:10" s="65" customFormat="1" ht="14" x14ac:dyDescent="0.35">
      <c r="F2579" s="102"/>
      <c r="G2579" s="102"/>
      <c r="I2579" s="93"/>
      <c r="J2579" s="93"/>
    </row>
    <row r="2580" spans="6:10" s="65" customFormat="1" ht="14" x14ac:dyDescent="0.35">
      <c r="F2580" s="102"/>
      <c r="G2580" s="102"/>
      <c r="I2580" s="93"/>
      <c r="J2580" s="93"/>
    </row>
    <row r="2581" spans="6:10" s="65" customFormat="1" ht="14" x14ac:dyDescent="0.35">
      <c r="F2581" s="102"/>
      <c r="G2581" s="102"/>
      <c r="I2581" s="93"/>
      <c r="J2581" s="93"/>
    </row>
    <row r="2582" spans="6:10" s="65" customFormat="1" ht="14" x14ac:dyDescent="0.35">
      <c r="F2582" s="102"/>
      <c r="G2582" s="102"/>
      <c r="I2582" s="93"/>
      <c r="J2582" s="93"/>
    </row>
    <row r="2583" spans="6:10" s="65" customFormat="1" ht="14" x14ac:dyDescent="0.35">
      <c r="F2583" s="102"/>
      <c r="G2583" s="102"/>
      <c r="I2583" s="93"/>
      <c r="J2583" s="93"/>
    </row>
    <row r="2584" spans="6:10" s="65" customFormat="1" ht="14" x14ac:dyDescent="0.35">
      <c r="F2584" s="102"/>
      <c r="G2584" s="102"/>
      <c r="I2584" s="93"/>
      <c r="J2584" s="93"/>
    </row>
    <row r="2585" spans="6:10" s="65" customFormat="1" ht="14" x14ac:dyDescent="0.35">
      <c r="F2585" s="102"/>
      <c r="G2585" s="102"/>
      <c r="I2585" s="93"/>
      <c r="J2585" s="93"/>
    </row>
    <row r="2586" spans="6:10" s="65" customFormat="1" ht="14" x14ac:dyDescent="0.35">
      <c r="F2586" s="102"/>
      <c r="G2586" s="102"/>
      <c r="I2586" s="93"/>
      <c r="J2586" s="93"/>
    </row>
    <row r="2587" spans="6:10" s="65" customFormat="1" ht="14" x14ac:dyDescent="0.35">
      <c r="F2587" s="102"/>
      <c r="G2587" s="102"/>
      <c r="I2587" s="93"/>
      <c r="J2587" s="93"/>
    </row>
    <row r="2588" spans="6:10" s="65" customFormat="1" ht="14" x14ac:dyDescent="0.35">
      <c r="F2588" s="102"/>
      <c r="G2588" s="102"/>
      <c r="I2588" s="93"/>
      <c r="J2588" s="93"/>
    </row>
    <row r="2589" spans="6:10" s="65" customFormat="1" ht="14" x14ac:dyDescent="0.35">
      <c r="F2589" s="102"/>
      <c r="G2589" s="102"/>
      <c r="I2589" s="93"/>
      <c r="J2589" s="93"/>
    </row>
    <row r="2590" spans="6:10" s="65" customFormat="1" ht="14" x14ac:dyDescent="0.35">
      <c r="F2590" s="102"/>
      <c r="G2590" s="102"/>
      <c r="I2590" s="93"/>
      <c r="J2590" s="93"/>
    </row>
    <row r="2591" spans="6:10" s="65" customFormat="1" ht="14" x14ac:dyDescent="0.35">
      <c r="F2591" s="102"/>
      <c r="G2591" s="102"/>
      <c r="I2591" s="93"/>
      <c r="J2591" s="93"/>
    </row>
    <row r="2592" spans="6:10" s="65" customFormat="1" ht="14" x14ac:dyDescent="0.35">
      <c r="F2592" s="102"/>
      <c r="G2592" s="102"/>
      <c r="I2592" s="93"/>
      <c r="J2592" s="93"/>
    </row>
    <row r="2593" spans="6:10" s="65" customFormat="1" ht="14" x14ac:dyDescent="0.35">
      <c r="F2593" s="102"/>
      <c r="G2593" s="102"/>
      <c r="I2593" s="93"/>
      <c r="J2593" s="93"/>
    </row>
    <row r="2594" spans="6:10" s="65" customFormat="1" ht="14" x14ac:dyDescent="0.35">
      <c r="F2594" s="102"/>
      <c r="G2594" s="102"/>
      <c r="I2594" s="93"/>
      <c r="J2594" s="93"/>
    </row>
    <row r="2595" spans="6:10" s="65" customFormat="1" ht="14" x14ac:dyDescent="0.35">
      <c r="F2595" s="102"/>
      <c r="G2595" s="102"/>
      <c r="I2595" s="93"/>
      <c r="J2595" s="93"/>
    </row>
    <row r="2596" spans="6:10" s="65" customFormat="1" ht="14" x14ac:dyDescent="0.35">
      <c r="F2596" s="102"/>
      <c r="G2596" s="102"/>
      <c r="I2596" s="93"/>
      <c r="J2596" s="93"/>
    </row>
    <row r="2597" spans="6:10" s="65" customFormat="1" ht="14" x14ac:dyDescent="0.35">
      <c r="F2597" s="102"/>
      <c r="G2597" s="102"/>
      <c r="I2597" s="93"/>
      <c r="J2597" s="93"/>
    </row>
    <row r="2598" spans="6:10" s="65" customFormat="1" ht="14" x14ac:dyDescent="0.35">
      <c r="F2598" s="102"/>
      <c r="G2598" s="102"/>
      <c r="I2598" s="93"/>
      <c r="J2598" s="93"/>
    </row>
    <row r="2599" spans="6:10" s="65" customFormat="1" ht="14" x14ac:dyDescent="0.35">
      <c r="F2599" s="102"/>
      <c r="G2599" s="102"/>
      <c r="I2599" s="93"/>
      <c r="J2599" s="93"/>
    </row>
    <row r="2600" spans="6:10" s="65" customFormat="1" ht="14" x14ac:dyDescent="0.35">
      <c r="F2600" s="102"/>
      <c r="G2600" s="102"/>
      <c r="I2600" s="93"/>
      <c r="J2600" s="93"/>
    </row>
    <row r="2601" spans="6:10" s="65" customFormat="1" ht="14" x14ac:dyDescent="0.35">
      <c r="F2601" s="102"/>
      <c r="G2601" s="102"/>
      <c r="I2601" s="93"/>
      <c r="J2601" s="93"/>
    </row>
    <row r="2602" spans="6:10" s="65" customFormat="1" ht="14" x14ac:dyDescent="0.35">
      <c r="F2602" s="102"/>
      <c r="G2602" s="102"/>
      <c r="I2602" s="93"/>
      <c r="J2602" s="93"/>
    </row>
    <row r="2603" spans="6:10" s="65" customFormat="1" ht="14" x14ac:dyDescent="0.35">
      <c r="F2603" s="102"/>
      <c r="G2603" s="102"/>
      <c r="I2603" s="93"/>
      <c r="J2603" s="93"/>
    </row>
    <row r="2604" spans="6:10" s="65" customFormat="1" ht="14" x14ac:dyDescent="0.35">
      <c r="F2604" s="102"/>
      <c r="G2604" s="102"/>
      <c r="I2604" s="93"/>
      <c r="J2604" s="93"/>
    </row>
    <row r="2605" spans="6:10" s="65" customFormat="1" ht="14" x14ac:dyDescent="0.35">
      <c r="F2605" s="102"/>
      <c r="G2605" s="102"/>
      <c r="I2605" s="93"/>
      <c r="J2605" s="93"/>
    </row>
    <row r="2606" spans="6:10" s="65" customFormat="1" ht="14" x14ac:dyDescent="0.35">
      <c r="F2606" s="102"/>
      <c r="G2606" s="102"/>
      <c r="I2606" s="93"/>
      <c r="J2606" s="93"/>
    </row>
    <row r="2607" spans="6:10" s="65" customFormat="1" ht="14" x14ac:dyDescent="0.35">
      <c r="F2607" s="102"/>
      <c r="G2607" s="102"/>
      <c r="I2607" s="93"/>
      <c r="J2607" s="93"/>
    </row>
    <row r="2608" spans="6:10" s="65" customFormat="1" ht="14" x14ac:dyDescent="0.35">
      <c r="F2608" s="102"/>
      <c r="G2608" s="102"/>
      <c r="I2608" s="93"/>
      <c r="J2608" s="93"/>
    </row>
    <row r="2609" spans="6:10" s="65" customFormat="1" ht="14" x14ac:dyDescent="0.35">
      <c r="F2609" s="102"/>
      <c r="G2609" s="102"/>
      <c r="I2609" s="93"/>
      <c r="J2609" s="93"/>
    </row>
    <row r="2610" spans="6:10" s="65" customFormat="1" ht="14" x14ac:dyDescent="0.35">
      <c r="F2610" s="102"/>
      <c r="G2610" s="102"/>
      <c r="I2610" s="93"/>
      <c r="J2610" s="93"/>
    </row>
    <row r="2611" spans="6:10" s="65" customFormat="1" ht="14" x14ac:dyDescent="0.35">
      <c r="F2611" s="102"/>
      <c r="G2611" s="102"/>
      <c r="I2611" s="93"/>
      <c r="J2611" s="93"/>
    </row>
    <row r="2612" spans="6:10" s="65" customFormat="1" ht="14" x14ac:dyDescent="0.35">
      <c r="F2612" s="102"/>
      <c r="G2612" s="102"/>
      <c r="I2612" s="93"/>
      <c r="J2612" s="93"/>
    </row>
    <row r="2613" spans="6:10" s="65" customFormat="1" ht="14" x14ac:dyDescent="0.35">
      <c r="F2613" s="102"/>
      <c r="G2613" s="102"/>
      <c r="I2613" s="93"/>
      <c r="J2613" s="93"/>
    </row>
    <row r="2614" spans="6:10" s="65" customFormat="1" ht="14" x14ac:dyDescent="0.35">
      <c r="F2614" s="102"/>
      <c r="G2614" s="102"/>
      <c r="I2614" s="93"/>
      <c r="J2614" s="93"/>
    </row>
    <row r="2615" spans="6:10" s="65" customFormat="1" ht="14" x14ac:dyDescent="0.35">
      <c r="F2615" s="102"/>
      <c r="G2615" s="102"/>
      <c r="I2615" s="93"/>
      <c r="J2615" s="93"/>
    </row>
    <row r="2616" spans="6:10" s="65" customFormat="1" ht="14" x14ac:dyDescent="0.35">
      <c r="F2616" s="102"/>
      <c r="G2616" s="102"/>
      <c r="I2616" s="93"/>
      <c r="J2616" s="93"/>
    </row>
    <row r="2617" spans="6:10" s="65" customFormat="1" ht="14" x14ac:dyDescent="0.35">
      <c r="F2617" s="102"/>
      <c r="G2617" s="102"/>
      <c r="I2617" s="93"/>
      <c r="J2617" s="93"/>
    </row>
    <row r="2618" spans="6:10" s="65" customFormat="1" ht="14" x14ac:dyDescent="0.35">
      <c r="F2618" s="102"/>
      <c r="G2618" s="102"/>
      <c r="I2618" s="93"/>
      <c r="J2618" s="93"/>
    </row>
    <row r="2619" spans="6:10" s="65" customFormat="1" ht="14" x14ac:dyDescent="0.35">
      <c r="F2619" s="102"/>
      <c r="G2619" s="102"/>
      <c r="I2619" s="93"/>
      <c r="J2619" s="93"/>
    </row>
    <row r="2620" spans="6:10" s="65" customFormat="1" ht="14" x14ac:dyDescent="0.35">
      <c r="F2620" s="102"/>
      <c r="G2620" s="102"/>
      <c r="I2620" s="93"/>
      <c r="J2620" s="93"/>
    </row>
    <row r="2621" spans="6:10" s="65" customFormat="1" ht="14" x14ac:dyDescent="0.35">
      <c r="F2621" s="102"/>
      <c r="G2621" s="102"/>
      <c r="I2621" s="93"/>
      <c r="J2621" s="93"/>
    </row>
    <row r="2622" spans="6:10" s="65" customFormat="1" ht="14" x14ac:dyDescent="0.35">
      <c r="F2622" s="102"/>
      <c r="G2622" s="102"/>
      <c r="I2622" s="93"/>
      <c r="J2622" s="93"/>
    </row>
    <row r="2623" spans="6:10" s="65" customFormat="1" ht="14" x14ac:dyDescent="0.35">
      <c r="F2623" s="102"/>
      <c r="G2623" s="102"/>
      <c r="I2623" s="93"/>
      <c r="J2623" s="93"/>
    </row>
    <row r="2624" spans="6:10" s="65" customFormat="1" ht="14" x14ac:dyDescent="0.35">
      <c r="F2624" s="102"/>
      <c r="G2624" s="102"/>
      <c r="I2624" s="93"/>
      <c r="J2624" s="93"/>
    </row>
    <row r="2625" spans="6:10" s="65" customFormat="1" ht="14" x14ac:dyDescent="0.35">
      <c r="F2625" s="102"/>
      <c r="G2625" s="102"/>
      <c r="I2625" s="93"/>
      <c r="J2625" s="93"/>
    </row>
    <row r="2626" spans="6:10" s="65" customFormat="1" ht="14" x14ac:dyDescent="0.35">
      <c r="F2626" s="102"/>
      <c r="G2626" s="102"/>
      <c r="I2626" s="93"/>
      <c r="J2626" s="93"/>
    </row>
    <row r="2627" spans="6:10" s="65" customFormat="1" ht="14" x14ac:dyDescent="0.35">
      <c r="F2627" s="102"/>
      <c r="G2627" s="102"/>
      <c r="I2627" s="93"/>
      <c r="J2627" s="93"/>
    </row>
    <row r="2628" spans="6:10" s="65" customFormat="1" ht="14" x14ac:dyDescent="0.35">
      <c r="F2628" s="102"/>
      <c r="G2628" s="102"/>
      <c r="I2628" s="93"/>
      <c r="J2628" s="93"/>
    </row>
    <row r="2629" spans="6:10" s="65" customFormat="1" ht="14" x14ac:dyDescent="0.35">
      <c r="F2629" s="102"/>
      <c r="G2629" s="102"/>
      <c r="I2629" s="93"/>
      <c r="J2629" s="93"/>
    </row>
    <row r="2630" spans="6:10" s="65" customFormat="1" ht="14" x14ac:dyDescent="0.35">
      <c r="F2630" s="102"/>
      <c r="G2630" s="102"/>
      <c r="I2630" s="93"/>
      <c r="J2630" s="93"/>
    </row>
    <row r="2631" spans="6:10" s="65" customFormat="1" ht="14" x14ac:dyDescent="0.35">
      <c r="F2631" s="102"/>
      <c r="G2631" s="102"/>
      <c r="I2631" s="93"/>
      <c r="J2631" s="93"/>
    </row>
    <row r="2632" spans="6:10" s="65" customFormat="1" ht="14" x14ac:dyDescent="0.35">
      <c r="F2632" s="102"/>
      <c r="G2632" s="102"/>
      <c r="I2632" s="93"/>
      <c r="J2632" s="93"/>
    </row>
    <row r="2633" spans="6:10" s="65" customFormat="1" ht="14" x14ac:dyDescent="0.35">
      <c r="F2633" s="102"/>
      <c r="G2633" s="102"/>
      <c r="I2633" s="93"/>
      <c r="J2633" s="93"/>
    </row>
    <row r="2634" spans="6:10" s="65" customFormat="1" ht="14" x14ac:dyDescent="0.35">
      <c r="F2634" s="102"/>
      <c r="G2634" s="102"/>
      <c r="I2634" s="93"/>
      <c r="J2634" s="93"/>
    </row>
    <row r="2635" spans="6:10" s="65" customFormat="1" ht="14" x14ac:dyDescent="0.35">
      <c r="F2635" s="102"/>
      <c r="G2635" s="102"/>
      <c r="I2635" s="93"/>
      <c r="J2635" s="93"/>
    </row>
    <row r="2636" spans="6:10" s="65" customFormat="1" ht="14" x14ac:dyDescent="0.35">
      <c r="F2636" s="102"/>
      <c r="G2636" s="102"/>
      <c r="I2636" s="93"/>
      <c r="J2636" s="93"/>
    </row>
    <row r="2637" spans="6:10" s="65" customFormat="1" ht="14" x14ac:dyDescent="0.35">
      <c r="F2637" s="102"/>
      <c r="G2637" s="102"/>
      <c r="I2637" s="93"/>
      <c r="J2637" s="93"/>
    </row>
    <row r="2638" spans="6:10" s="65" customFormat="1" ht="14" x14ac:dyDescent="0.35">
      <c r="F2638" s="102"/>
      <c r="G2638" s="102"/>
      <c r="I2638" s="93"/>
      <c r="J2638" s="93"/>
    </row>
    <row r="2639" spans="6:10" s="65" customFormat="1" ht="14" x14ac:dyDescent="0.35">
      <c r="F2639" s="102"/>
      <c r="G2639" s="102"/>
      <c r="I2639" s="93"/>
      <c r="J2639" s="93"/>
    </row>
    <row r="2640" spans="6:10" s="65" customFormat="1" ht="14" x14ac:dyDescent="0.35">
      <c r="F2640" s="102"/>
      <c r="G2640" s="102"/>
      <c r="I2640" s="93"/>
      <c r="J2640" s="93"/>
    </row>
    <row r="2641" spans="6:10" s="65" customFormat="1" ht="14" x14ac:dyDescent="0.35">
      <c r="F2641" s="102"/>
      <c r="G2641" s="102"/>
      <c r="I2641" s="93"/>
      <c r="J2641" s="93"/>
    </row>
    <row r="2642" spans="6:10" s="65" customFormat="1" ht="14" x14ac:dyDescent="0.35">
      <c r="F2642" s="102"/>
      <c r="G2642" s="102"/>
      <c r="I2642" s="93"/>
      <c r="J2642" s="93"/>
    </row>
    <row r="2643" spans="6:10" s="65" customFormat="1" ht="14" x14ac:dyDescent="0.35">
      <c r="F2643" s="102"/>
      <c r="G2643" s="102"/>
      <c r="I2643" s="93"/>
      <c r="J2643" s="93"/>
    </row>
    <row r="2644" spans="6:10" s="65" customFormat="1" ht="14" x14ac:dyDescent="0.35">
      <c r="F2644" s="102"/>
      <c r="G2644" s="102"/>
      <c r="I2644" s="93"/>
      <c r="J2644" s="93"/>
    </row>
    <row r="2645" spans="6:10" s="65" customFormat="1" ht="14" x14ac:dyDescent="0.35">
      <c r="F2645" s="102"/>
      <c r="G2645" s="102"/>
      <c r="I2645" s="93"/>
      <c r="J2645" s="93"/>
    </row>
    <row r="2646" spans="6:10" s="65" customFormat="1" ht="14" x14ac:dyDescent="0.35">
      <c r="F2646" s="102"/>
      <c r="G2646" s="102"/>
      <c r="I2646" s="93"/>
      <c r="J2646" s="93"/>
    </row>
    <row r="2647" spans="6:10" s="65" customFormat="1" ht="14" x14ac:dyDescent="0.35">
      <c r="F2647" s="102"/>
      <c r="G2647" s="102"/>
      <c r="I2647" s="93"/>
      <c r="J2647" s="93"/>
    </row>
    <row r="2648" spans="6:10" s="65" customFormat="1" ht="14" x14ac:dyDescent="0.35">
      <c r="F2648" s="102"/>
      <c r="G2648" s="102"/>
      <c r="I2648" s="93"/>
      <c r="J2648" s="93"/>
    </row>
    <row r="2649" spans="6:10" s="65" customFormat="1" ht="14" x14ac:dyDescent="0.35">
      <c r="F2649" s="102"/>
      <c r="G2649" s="102"/>
      <c r="I2649" s="93"/>
      <c r="J2649" s="93"/>
    </row>
    <row r="2650" spans="6:10" s="65" customFormat="1" ht="14" x14ac:dyDescent="0.35">
      <c r="F2650" s="102"/>
      <c r="G2650" s="102"/>
      <c r="I2650" s="93"/>
      <c r="J2650" s="93"/>
    </row>
    <row r="2651" spans="6:10" s="65" customFormat="1" ht="14" x14ac:dyDescent="0.35">
      <c r="F2651" s="102"/>
      <c r="G2651" s="102"/>
      <c r="I2651" s="93"/>
      <c r="J2651" s="93"/>
    </row>
    <row r="2652" spans="6:10" s="65" customFormat="1" ht="14" x14ac:dyDescent="0.35">
      <c r="F2652" s="102"/>
      <c r="G2652" s="102"/>
      <c r="I2652" s="93"/>
      <c r="J2652" s="93"/>
    </row>
    <row r="2653" spans="6:10" s="65" customFormat="1" ht="14" x14ac:dyDescent="0.35">
      <c r="F2653" s="102"/>
      <c r="G2653" s="102"/>
      <c r="I2653" s="93"/>
      <c r="J2653" s="93"/>
    </row>
    <row r="2654" spans="6:10" s="65" customFormat="1" ht="14" x14ac:dyDescent="0.35">
      <c r="F2654" s="102"/>
      <c r="G2654" s="102"/>
      <c r="I2654" s="93"/>
      <c r="J2654" s="93"/>
    </row>
    <row r="2655" spans="6:10" s="65" customFormat="1" ht="14" x14ac:dyDescent="0.35">
      <c r="F2655" s="102"/>
      <c r="G2655" s="102"/>
      <c r="I2655" s="93"/>
      <c r="J2655" s="93"/>
    </row>
    <row r="2656" spans="6:10" s="65" customFormat="1" ht="14" x14ac:dyDescent="0.35">
      <c r="F2656" s="102"/>
      <c r="G2656" s="102"/>
      <c r="I2656" s="93"/>
      <c r="J2656" s="93"/>
    </row>
    <row r="2657" spans="6:10" s="65" customFormat="1" ht="14" x14ac:dyDescent="0.35">
      <c r="F2657" s="102"/>
      <c r="G2657" s="102"/>
      <c r="I2657" s="93"/>
      <c r="J2657" s="93"/>
    </row>
    <row r="2658" spans="6:10" s="65" customFormat="1" ht="14" x14ac:dyDescent="0.35">
      <c r="F2658" s="102"/>
      <c r="G2658" s="102"/>
      <c r="I2658" s="93"/>
      <c r="J2658" s="93"/>
    </row>
    <row r="2659" spans="6:10" s="65" customFormat="1" ht="14" x14ac:dyDescent="0.35">
      <c r="F2659" s="102"/>
      <c r="G2659" s="102"/>
      <c r="I2659" s="93"/>
      <c r="J2659" s="93"/>
    </row>
    <row r="2660" spans="6:10" s="65" customFormat="1" ht="14" x14ac:dyDescent="0.35">
      <c r="F2660" s="102"/>
      <c r="G2660" s="102"/>
      <c r="I2660" s="93"/>
      <c r="J2660" s="93"/>
    </row>
    <row r="2661" spans="6:10" s="65" customFormat="1" ht="14" x14ac:dyDescent="0.35">
      <c r="F2661" s="102"/>
      <c r="G2661" s="102"/>
      <c r="I2661" s="93"/>
      <c r="J2661" s="93"/>
    </row>
    <row r="2662" spans="6:10" s="65" customFormat="1" ht="14" x14ac:dyDescent="0.35">
      <c r="F2662" s="102"/>
      <c r="G2662" s="102"/>
      <c r="I2662" s="93"/>
      <c r="J2662" s="93"/>
    </row>
    <row r="2663" spans="6:10" s="65" customFormat="1" ht="14" x14ac:dyDescent="0.35">
      <c r="F2663" s="102"/>
      <c r="G2663" s="102"/>
      <c r="I2663" s="93"/>
      <c r="J2663" s="93"/>
    </row>
    <row r="2664" spans="6:10" s="65" customFormat="1" ht="14" x14ac:dyDescent="0.35">
      <c r="F2664" s="102"/>
      <c r="G2664" s="102"/>
      <c r="I2664" s="93"/>
      <c r="J2664" s="93"/>
    </row>
    <row r="2665" spans="6:10" s="65" customFormat="1" ht="14" x14ac:dyDescent="0.35">
      <c r="F2665" s="102"/>
      <c r="G2665" s="102"/>
      <c r="I2665" s="93"/>
      <c r="J2665" s="93"/>
    </row>
    <row r="2666" spans="6:10" s="65" customFormat="1" ht="14" x14ac:dyDescent="0.35">
      <c r="F2666" s="102"/>
      <c r="G2666" s="102"/>
      <c r="I2666" s="93"/>
      <c r="J2666" s="93"/>
    </row>
    <row r="2667" spans="6:10" s="65" customFormat="1" ht="14" x14ac:dyDescent="0.35">
      <c r="F2667" s="102"/>
      <c r="G2667" s="102"/>
      <c r="I2667" s="93"/>
      <c r="J2667" s="93"/>
    </row>
    <row r="2668" spans="6:10" s="65" customFormat="1" ht="14" x14ac:dyDescent="0.35">
      <c r="F2668" s="102"/>
      <c r="G2668" s="102"/>
      <c r="I2668" s="93"/>
      <c r="J2668" s="93"/>
    </row>
    <row r="2669" spans="6:10" s="65" customFormat="1" ht="14" x14ac:dyDescent="0.35">
      <c r="F2669" s="102"/>
      <c r="G2669" s="102"/>
      <c r="I2669" s="93"/>
      <c r="J2669" s="93"/>
    </row>
    <row r="2670" spans="6:10" s="65" customFormat="1" ht="14" x14ac:dyDescent="0.35">
      <c r="F2670" s="102"/>
      <c r="G2670" s="102"/>
      <c r="I2670" s="93"/>
      <c r="J2670" s="93"/>
    </row>
    <row r="2671" spans="6:10" s="65" customFormat="1" ht="14" x14ac:dyDescent="0.35">
      <c r="F2671" s="102"/>
      <c r="G2671" s="102"/>
      <c r="I2671" s="93"/>
      <c r="J2671" s="93"/>
    </row>
    <row r="2672" spans="6:10" s="65" customFormat="1" ht="14" x14ac:dyDescent="0.35">
      <c r="F2672" s="102"/>
      <c r="G2672" s="102"/>
      <c r="I2672" s="93"/>
      <c r="J2672" s="93"/>
    </row>
    <row r="2673" spans="6:10" s="65" customFormat="1" ht="14" x14ac:dyDescent="0.35">
      <c r="F2673" s="102"/>
      <c r="G2673" s="102"/>
      <c r="I2673" s="93"/>
      <c r="J2673" s="93"/>
    </row>
    <row r="2674" spans="6:10" s="65" customFormat="1" ht="14" x14ac:dyDescent="0.35">
      <c r="F2674" s="102"/>
      <c r="G2674" s="102"/>
      <c r="I2674" s="93"/>
      <c r="J2674" s="93"/>
    </row>
    <row r="2675" spans="6:10" s="65" customFormat="1" ht="14" x14ac:dyDescent="0.35">
      <c r="F2675" s="102"/>
      <c r="G2675" s="102"/>
      <c r="I2675" s="93"/>
      <c r="J2675" s="93"/>
    </row>
    <row r="2676" spans="6:10" s="65" customFormat="1" ht="14" x14ac:dyDescent="0.35">
      <c r="F2676" s="102"/>
      <c r="G2676" s="102"/>
      <c r="I2676" s="93"/>
      <c r="J2676" s="93"/>
    </row>
    <row r="2677" spans="6:10" s="65" customFormat="1" ht="14" x14ac:dyDescent="0.35">
      <c r="F2677" s="102"/>
      <c r="G2677" s="102"/>
      <c r="I2677" s="93"/>
      <c r="J2677" s="93"/>
    </row>
    <row r="2678" spans="6:10" s="65" customFormat="1" ht="14" x14ac:dyDescent="0.35">
      <c r="F2678" s="102"/>
      <c r="G2678" s="102"/>
      <c r="I2678" s="93"/>
      <c r="J2678" s="93"/>
    </row>
    <row r="2679" spans="6:10" s="65" customFormat="1" ht="14" x14ac:dyDescent="0.35">
      <c r="F2679" s="102"/>
      <c r="G2679" s="102"/>
      <c r="I2679" s="93"/>
      <c r="J2679" s="93"/>
    </row>
    <row r="2680" spans="6:10" s="65" customFormat="1" ht="14" x14ac:dyDescent="0.35">
      <c r="F2680" s="102"/>
      <c r="G2680" s="102"/>
      <c r="I2680" s="93"/>
      <c r="J2680" s="93"/>
    </row>
    <row r="2681" spans="6:10" s="65" customFormat="1" ht="14" x14ac:dyDescent="0.35">
      <c r="F2681" s="102"/>
      <c r="G2681" s="102"/>
      <c r="I2681" s="93"/>
      <c r="J2681" s="93"/>
    </row>
    <row r="2682" spans="6:10" s="65" customFormat="1" ht="14" x14ac:dyDescent="0.35">
      <c r="F2682" s="102"/>
      <c r="G2682" s="102"/>
      <c r="I2682" s="93"/>
      <c r="J2682" s="93"/>
    </row>
    <row r="2683" spans="6:10" s="65" customFormat="1" ht="14" x14ac:dyDescent="0.35">
      <c r="F2683" s="102"/>
      <c r="G2683" s="102"/>
      <c r="I2683" s="93"/>
      <c r="J2683" s="93"/>
    </row>
    <row r="2684" spans="6:10" s="65" customFormat="1" ht="14" x14ac:dyDescent="0.35">
      <c r="F2684" s="102"/>
      <c r="G2684" s="102"/>
      <c r="I2684" s="93"/>
      <c r="J2684" s="93"/>
    </row>
    <row r="2685" spans="6:10" s="65" customFormat="1" ht="14" x14ac:dyDescent="0.35">
      <c r="F2685" s="102"/>
      <c r="G2685" s="102"/>
      <c r="I2685" s="93"/>
      <c r="J2685" s="93"/>
    </row>
    <row r="2686" spans="6:10" s="65" customFormat="1" ht="14" x14ac:dyDescent="0.35">
      <c r="F2686" s="102"/>
      <c r="G2686" s="102"/>
      <c r="I2686" s="93"/>
      <c r="J2686" s="93"/>
    </row>
    <row r="2687" spans="6:10" s="65" customFormat="1" ht="14" x14ac:dyDescent="0.35">
      <c r="F2687" s="102"/>
      <c r="G2687" s="102"/>
      <c r="I2687" s="93"/>
      <c r="J2687" s="93"/>
    </row>
    <row r="2688" spans="6:10" s="65" customFormat="1" ht="14" x14ac:dyDescent="0.35">
      <c r="F2688" s="102"/>
      <c r="G2688" s="102"/>
      <c r="I2688" s="93"/>
      <c r="J2688" s="93"/>
    </row>
    <row r="2689" spans="6:10" s="65" customFormat="1" ht="14" x14ac:dyDescent="0.35">
      <c r="F2689" s="102"/>
      <c r="G2689" s="102"/>
      <c r="I2689" s="93"/>
      <c r="J2689" s="93"/>
    </row>
    <row r="2690" spans="6:10" s="65" customFormat="1" ht="14" x14ac:dyDescent="0.35">
      <c r="F2690" s="102"/>
      <c r="G2690" s="102"/>
      <c r="I2690" s="93"/>
      <c r="J2690" s="93"/>
    </row>
    <row r="2691" spans="6:10" s="65" customFormat="1" ht="14" x14ac:dyDescent="0.35">
      <c r="F2691" s="102"/>
      <c r="G2691" s="102"/>
      <c r="I2691" s="93"/>
      <c r="J2691" s="93"/>
    </row>
    <row r="2692" spans="6:10" s="65" customFormat="1" ht="14" x14ac:dyDescent="0.35">
      <c r="F2692" s="102"/>
      <c r="G2692" s="102"/>
      <c r="I2692" s="93"/>
      <c r="J2692" s="93"/>
    </row>
    <row r="2693" spans="6:10" s="65" customFormat="1" ht="14" x14ac:dyDescent="0.35">
      <c r="F2693" s="102"/>
      <c r="G2693" s="102"/>
      <c r="I2693" s="93"/>
      <c r="J2693" s="93"/>
    </row>
    <row r="2694" spans="6:10" s="65" customFormat="1" ht="14" x14ac:dyDescent="0.35">
      <c r="F2694" s="102"/>
      <c r="G2694" s="102"/>
      <c r="I2694" s="93"/>
      <c r="J2694" s="93"/>
    </row>
    <row r="2695" spans="6:10" s="65" customFormat="1" ht="14" x14ac:dyDescent="0.35">
      <c r="F2695" s="102"/>
      <c r="G2695" s="102"/>
      <c r="I2695" s="93"/>
      <c r="J2695" s="93"/>
    </row>
    <row r="2696" spans="6:10" s="65" customFormat="1" ht="14" x14ac:dyDescent="0.35">
      <c r="F2696" s="102"/>
      <c r="G2696" s="102"/>
      <c r="I2696" s="93"/>
      <c r="J2696" s="93"/>
    </row>
    <row r="2697" spans="6:10" s="65" customFormat="1" ht="14" x14ac:dyDescent="0.35">
      <c r="F2697" s="102"/>
      <c r="G2697" s="102"/>
      <c r="I2697" s="93"/>
      <c r="J2697" s="93"/>
    </row>
    <row r="2698" spans="6:10" s="65" customFormat="1" ht="14" x14ac:dyDescent="0.35">
      <c r="F2698" s="102"/>
      <c r="G2698" s="102"/>
      <c r="I2698" s="93"/>
      <c r="J2698" s="93"/>
    </row>
    <row r="2699" spans="6:10" s="65" customFormat="1" ht="14" x14ac:dyDescent="0.35">
      <c r="F2699" s="102"/>
      <c r="G2699" s="102"/>
      <c r="I2699" s="93"/>
      <c r="J2699" s="93"/>
    </row>
    <row r="2700" spans="6:10" s="65" customFormat="1" ht="14" x14ac:dyDescent="0.35">
      <c r="F2700" s="102"/>
      <c r="G2700" s="102"/>
      <c r="I2700" s="93"/>
      <c r="J2700" s="93"/>
    </row>
    <row r="2701" spans="6:10" s="65" customFormat="1" ht="14" x14ac:dyDescent="0.35">
      <c r="F2701" s="102"/>
      <c r="G2701" s="102"/>
      <c r="I2701" s="93"/>
      <c r="J2701" s="93"/>
    </row>
    <row r="2702" spans="6:10" s="65" customFormat="1" ht="14" x14ac:dyDescent="0.35">
      <c r="F2702" s="102"/>
      <c r="G2702" s="102"/>
      <c r="I2702" s="93"/>
      <c r="J2702" s="93"/>
    </row>
    <row r="2703" spans="6:10" s="65" customFormat="1" ht="14" x14ac:dyDescent="0.35">
      <c r="F2703" s="102"/>
      <c r="G2703" s="102"/>
      <c r="I2703" s="93"/>
      <c r="J2703" s="93"/>
    </row>
    <row r="2704" spans="6:10" s="65" customFormat="1" ht="14" x14ac:dyDescent="0.35">
      <c r="F2704" s="102"/>
      <c r="G2704" s="102"/>
      <c r="I2704" s="93"/>
      <c r="J2704" s="93"/>
    </row>
    <row r="2705" spans="6:10" s="65" customFormat="1" ht="14" x14ac:dyDescent="0.35">
      <c r="F2705" s="102"/>
      <c r="G2705" s="102"/>
      <c r="I2705" s="93"/>
      <c r="J2705" s="93"/>
    </row>
    <row r="2706" spans="6:10" s="65" customFormat="1" ht="14" x14ac:dyDescent="0.35">
      <c r="F2706" s="102"/>
      <c r="G2706" s="102"/>
      <c r="I2706" s="93"/>
      <c r="J2706" s="93"/>
    </row>
    <row r="2707" spans="6:10" s="65" customFormat="1" ht="14" x14ac:dyDescent="0.35">
      <c r="F2707" s="102"/>
      <c r="G2707" s="102"/>
      <c r="I2707" s="93"/>
      <c r="J2707" s="93"/>
    </row>
    <row r="2708" spans="6:10" s="65" customFormat="1" ht="14" x14ac:dyDescent="0.35">
      <c r="F2708" s="102"/>
      <c r="G2708" s="102"/>
      <c r="I2708" s="93"/>
      <c r="J2708" s="93"/>
    </row>
    <row r="2709" spans="6:10" s="65" customFormat="1" ht="14" x14ac:dyDescent="0.35">
      <c r="F2709" s="102"/>
      <c r="G2709" s="102"/>
      <c r="I2709" s="93"/>
      <c r="J2709" s="93"/>
    </row>
    <row r="2710" spans="6:10" s="65" customFormat="1" ht="14" x14ac:dyDescent="0.35">
      <c r="F2710" s="102"/>
      <c r="G2710" s="102"/>
      <c r="I2710" s="93"/>
      <c r="J2710" s="93"/>
    </row>
    <row r="2711" spans="6:10" s="65" customFormat="1" ht="14" x14ac:dyDescent="0.35">
      <c r="F2711" s="102"/>
      <c r="G2711" s="102"/>
      <c r="I2711" s="93"/>
      <c r="J2711" s="93"/>
    </row>
    <row r="2712" spans="6:10" s="65" customFormat="1" ht="14" x14ac:dyDescent="0.35">
      <c r="F2712" s="102"/>
      <c r="G2712" s="102"/>
      <c r="I2712" s="93"/>
      <c r="J2712" s="93"/>
    </row>
    <row r="2713" spans="6:10" s="65" customFormat="1" ht="14" x14ac:dyDescent="0.35">
      <c r="F2713" s="102"/>
      <c r="G2713" s="102"/>
      <c r="I2713" s="93"/>
      <c r="J2713" s="93"/>
    </row>
    <row r="2714" spans="6:10" s="65" customFormat="1" ht="14" x14ac:dyDescent="0.35">
      <c r="F2714" s="102"/>
      <c r="G2714" s="102"/>
      <c r="I2714" s="93"/>
      <c r="J2714" s="93"/>
    </row>
    <row r="2715" spans="6:10" s="65" customFormat="1" ht="14" x14ac:dyDescent="0.35">
      <c r="F2715" s="102"/>
      <c r="G2715" s="102"/>
      <c r="I2715" s="93"/>
      <c r="J2715" s="93"/>
    </row>
    <row r="2716" spans="6:10" s="65" customFormat="1" ht="14" x14ac:dyDescent="0.35">
      <c r="F2716" s="102"/>
      <c r="G2716" s="102"/>
      <c r="I2716" s="93"/>
      <c r="J2716" s="93"/>
    </row>
    <row r="2717" spans="6:10" s="65" customFormat="1" ht="14" x14ac:dyDescent="0.35">
      <c r="F2717" s="102"/>
      <c r="G2717" s="102"/>
      <c r="I2717" s="93"/>
      <c r="J2717" s="93"/>
    </row>
    <row r="2718" spans="6:10" s="65" customFormat="1" ht="14" x14ac:dyDescent="0.35">
      <c r="F2718" s="102"/>
      <c r="G2718" s="102"/>
      <c r="I2718" s="93"/>
      <c r="J2718" s="93"/>
    </row>
    <row r="2719" spans="6:10" s="65" customFormat="1" ht="14" x14ac:dyDescent="0.35">
      <c r="F2719" s="102"/>
      <c r="G2719" s="102"/>
      <c r="I2719" s="93"/>
      <c r="J2719" s="93"/>
    </row>
    <row r="2720" spans="6:10" s="65" customFormat="1" ht="14" x14ac:dyDescent="0.35">
      <c r="F2720" s="102"/>
      <c r="G2720" s="102"/>
      <c r="I2720" s="93"/>
      <c r="J2720" s="93"/>
    </row>
    <row r="2721" spans="6:10" s="65" customFormat="1" ht="14" x14ac:dyDescent="0.35">
      <c r="F2721" s="102"/>
      <c r="G2721" s="102"/>
      <c r="I2721" s="93"/>
      <c r="J2721" s="93"/>
    </row>
    <row r="2722" spans="6:10" s="65" customFormat="1" ht="14" x14ac:dyDescent="0.35">
      <c r="F2722" s="102"/>
      <c r="G2722" s="102"/>
      <c r="I2722" s="93"/>
      <c r="J2722" s="93"/>
    </row>
    <row r="2723" spans="6:10" s="65" customFormat="1" ht="14" x14ac:dyDescent="0.35">
      <c r="F2723" s="102"/>
      <c r="G2723" s="102"/>
      <c r="I2723" s="93"/>
      <c r="J2723" s="93"/>
    </row>
    <row r="2724" spans="6:10" s="65" customFormat="1" ht="14" x14ac:dyDescent="0.35">
      <c r="F2724" s="102"/>
      <c r="G2724" s="102"/>
      <c r="I2724" s="93"/>
      <c r="J2724" s="93"/>
    </row>
    <row r="2725" spans="6:10" s="65" customFormat="1" ht="14" x14ac:dyDescent="0.35">
      <c r="F2725" s="102"/>
      <c r="G2725" s="102"/>
      <c r="I2725" s="93"/>
      <c r="J2725" s="93"/>
    </row>
    <row r="2726" spans="6:10" s="65" customFormat="1" ht="14" x14ac:dyDescent="0.35">
      <c r="F2726" s="102"/>
      <c r="G2726" s="102"/>
      <c r="I2726" s="93"/>
      <c r="J2726" s="93"/>
    </row>
    <row r="2727" spans="6:10" s="65" customFormat="1" ht="14" x14ac:dyDescent="0.35">
      <c r="F2727" s="102"/>
      <c r="G2727" s="102"/>
      <c r="I2727" s="93"/>
      <c r="J2727" s="93"/>
    </row>
    <row r="2728" spans="6:10" s="65" customFormat="1" ht="14" x14ac:dyDescent="0.35">
      <c r="F2728" s="102"/>
      <c r="G2728" s="102"/>
      <c r="I2728" s="93"/>
      <c r="J2728" s="93"/>
    </row>
    <row r="2729" spans="6:10" s="65" customFormat="1" ht="14" x14ac:dyDescent="0.35">
      <c r="F2729" s="102"/>
      <c r="G2729" s="102"/>
      <c r="I2729" s="93"/>
      <c r="J2729" s="93"/>
    </row>
    <row r="2730" spans="6:10" s="65" customFormat="1" ht="14" x14ac:dyDescent="0.35">
      <c r="F2730" s="102"/>
      <c r="G2730" s="102"/>
      <c r="I2730" s="93"/>
      <c r="J2730" s="93"/>
    </row>
    <row r="2731" spans="6:10" s="65" customFormat="1" ht="14" x14ac:dyDescent="0.35">
      <c r="F2731" s="102"/>
      <c r="G2731" s="102"/>
      <c r="I2731" s="93"/>
      <c r="J2731" s="93"/>
    </row>
    <row r="2732" spans="6:10" s="65" customFormat="1" ht="14" x14ac:dyDescent="0.35">
      <c r="F2732" s="102"/>
      <c r="G2732" s="102"/>
      <c r="I2732" s="93"/>
      <c r="J2732" s="93"/>
    </row>
    <row r="2733" spans="6:10" s="65" customFormat="1" ht="14" x14ac:dyDescent="0.35">
      <c r="F2733" s="102"/>
      <c r="G2733" s="102"/>
      <c r="I2733" s="93"/>
      <c r="J2733" s="93"/>
    </row>
    <row r="2734" spans="6:10" s="65" customFormat="1" ht="14" x14ac:dyDescent="0.35">
      <c r="F2734" s="102"/>
      <c r="G2734" s="102"/>
      <c r="I2734" s="93"/>
      <c r="J2734" s="93"/>
    </row>
    <row r="2735" spans="6:10" s="65" customFormat="1" ht="14" x14ac:dyDescent="0.35">
      <c r="F2735" s="102"/>
      <c r="G2735" s="102"/>
      <c r="I2735" s="93"/>
      <c r="J2735" s="93"/>
    </row>
    <row r="2736" spans="6:10" s="65" customFormat="1" ht="14" x14ac:dyDescent="0.35">
      <c r="F2736" s="102"/>
      <c r="G2736" s="102"/>
      <c r="I2736" s="93"/>
      <c r="J2736" s="93"/>
    </row>
    <row r="2737" spans="6:10" s="65" customFormat="1" ht="14" x14ac:dyDescent="0.35">
      <c r="F2737" s="102"/>
      <c r="G2737" s="102"/>
      <c r="I2737" s="93"/>
      <c r="J2737" s="93"/>
    </row>
    <row r="2738" spans="6:10" s="65" customFormat="1" ht="14" x14ac:dyDescent="0.35">
      <c r="F2738" s="102"/>
      <c r="G2738" s="102"/>
      <c r="I2738" s="93"/>
      <c r="J2738" s="93"/>
    </row>
    <row r="2739" spans="6:10" s="65" customFormat="1" ht="14" x14ac:dyDescent="0.35">
      <c r="F2739" s="102"/>
      <c r="G2739" s="102"/>
      <c r="I2739" s="93"/>
      <c r="J2739" s="93"/>
    </row>
    <row r="2740" spans="6:10" s="65" customFormat="1" ht="14" x14ac:dyDescent="0.35">
      <c r="F2740" s="102"/>
      <c r="G2740" s="102"/>
      <c r="I2740" s="93"/>
      <c r="J2740" s="93"/>
    </row>
    <row r="2741" spans="6:10" s="65" customFormat="1" ht="14" x14ac:dyDescent="0.35">
      <c r="F2741" s="102"/>
      <c r="G2741" s="102"/>
      <c r="I2741" s="93"/>
      <c r="J2741" s="93"/>
    </row>
    <row r="2742" spans="6:10" s="65" customFormat="1" ht="14" x14ac:dyDescent="0.35">
      <c r="F2742" s="102"/>
      <c r="G2742" s="102"/>
      <c r="I2742" s="93"/>
      <c r="J2742" s="93"/>
    </row>
    <row r="2743" spans="6:10" s="65" customFormat="1" ht="14" x14ac:dyDescent="0.35">
      <c r="F2743" s="102"/>
      <c r="G2743" s="102"/>
      <c r="I2743" s="93"/>
      <c r="J2743" s="93"/>
    </row>
    <row r="2744" spans="6:10" s="65" customFormat="1" ht="14" x14ac:dyDescent="0.35">
      <c r="F2744" s="102"/>
      <c r="G2744" s="102"/>
      <c r="I2744" s="93"/>
      <c r="J2744" s="93"/>
    </row>
    <row r="2745" spans="6:10" s="65" customFormat="1" ht="14" x14ac:dyDescent="0.35">
      <c r="F2745" s="102"/>
      <c r="G2745" s="102"/>
      <c r="I2745" s="93"/>
      <c r="J2745" s="93"/>
    </row>
    <row r="2746" spans="6:10" s="65" customFormat="1" ht="14" x14ac:dyDescent="0.35">
      <c r="F2746" s="102"/>
      <c r="G2746" s="102"/>
      <c r="I2746" s="93"/>
      <c r="J2746" s="93"/>
    </row>
    <row r="2747" spans="6:10" s="65" customFormat="1" ht="14" x14ac:dyDescent="0.35">
      <c r="F2747" s="102"/>
      <c r="G2747" s="102"/>
      <c r="I2747" s="93"/>
      <c r="J2747" s="93"/>
    </row>
    <row r="2748" spans="6:10" s="65" customFormat="1" ht="14" x14ac:dyDescent="0.35">
      <c r="F2748" s="102"/>
      <c r="G2748" s="102"/>
      <c r="I2748" s="93"/>
      <c r="J2748" s="93"/>
    </row>
    <row r="2749" spans="6:10" s="65" customFormat="1" ht="14" x14ac:dyDescent="0.35">
      <c r="F2749" s="102"/>
      <c r="G2749" s="102"/>
      <c r="I2749" s="93"/>
      <c r="J2749" s="93"/>
    </row>
    <row r="2750" spans="6:10" s="65" customFormat="1" ht="14" x14ac:dyDescent="0.35">
      <c r="F2750" s="102"/>
      <c r="G2750" s="102"/>
      <c r="I2750" s="93"/>
      <c r="J2750" s="93"/>
    </row>
    <row r="2751" spans="6:10" s="65" customFormat="1" ht="14" x14ac:dyDescent="0.35">
      <c r="F2751" s="102"/>
      <c r="G2751" s="102"/>
      <c r="I2751" s="93"/>
      <c r="J2751" s="93"/>
    </row>
    <row r="2752" spans="6:10" s="65" customFormat="1" ht="14" x14ac:dyDescent="0.35">
      <c r="F2752" s="102"/>
      <c r="G2752" s="102"/>
      <c r="I2752" s="93"/>
      <c r="J2752" s="93"/>
    </row>
    <row r="2753" spans="6:10" s="65" customFormat="1" ht="14" x14ac:dyDescent="0.35">
      <c r="F2753" s="102"/>
      <c r="G2753" s="102"/>
      <c r="I2753" s="93"/>
      <c r="J2753" s="93"/>
    </row>
    <row r="2754" spans="6:10" s="65" customFormat="1" ht="14" x14ac:dyDescent="0.35">
      <c r="F2754" s="102"/>
      <c r="G2754" s="102"/>
      <c r="I2754" s="93"/>
      <c r="J2754" s="93"/>
    </row>
    <row r="2755" spans="6:10" s="65" customFormat="1" ht="14" x14ac:dyDescent="0.35">
      <c r="F2755" s="102"/>
      <c r="G2755" s="102"/>
      <c r="I2755" s="93"/>
      <c r="J2755" s="93"/>
    </row>
    <row r="2756" spans="6:10" s="65" customFormat="1" ht="14" x14ac:dyDescent="0.35">
      <c r="F2756" s="102"/>
      <c r="G2756" s="102"/>
      <c r="I2756" s="93"/>
      <c r="J2756" s="93"/>
    </row>
    <row r="2757" spans="6:10" s="65" customFormat="1" ht="14" x14ac:dyDescent="0.35">
      <c r="F2757" s="102"/>
      <c r="G2757" s="102"/>
      <c r="I2757" s="93"/>
      <c r="J2757" s="93"/>
    </row>
    <row r="2758" spans="6:10" s="65" customFormat="1" ht="14" x14ac:dyDescent="0.35">
      <c r="F2758" s="102"/>
      <c r="G2758" s="102"/>
      <c r="I2758" s="93"/>
      <c r="J2758" s="93"/>
    </row>
    <row r="2759" spans="6:10" s="65" customFormat="1" ht="14" x14ac:dyDescent="0.35">
      <c r="F2759" s="102"/>
      <c r="G2759" s="102"/>
      <c r="I2759" s="93"/>
      <c r="J2759" s="93"/>
    </row>
    <row r="2760" spans="6:10" s="65" customFormat="1" ht="14" x14ac:dyDescent="0.35">
      <c r="F2760" s="102"/>
      <c r="G2760" s="102"/>
      <c r="I2760" s="93"/>
      <c r="J2760" s="93"/>
    </row>
    <row r="2761" spans="6:10" s="65" customFormat="1" ht="14" x14ac:dyDescent="0.35">
      <c r="F2761" s="102"/>
      <c r="G2761" s="102"/>
      <c r="I2761" s="93"/>
      <c r="J2761" s="93"/>
    </row>
    <row r="2762" spans="6:10" s="65" customFormat="1" ht="14" x14ac:dyDescent="0.35">
      <c r="F2762" s="102"/>
      <c r="G2762" s="102"/>
      <c r="I2762" s="93"/>
      <c r="J2762" s="93"/>
    </row>
    <row r="2763" spans="6:10" s="65" customFormat="1" ht="14" x14ac:dyDescent="0.35">
      <c r="F2763" s="102"/>
      <c r="G2763" s="102"/>
      <c r="I2763" s="93"/>
      <c r="J2763" s="93"/>
    </row>
    <row r="2764" spans="6:10" s="65" customFormat="1" ht="14" x14ac:dyDescent="0.35">
      <c r="F2764" s="102"/>
      <c r="G2764" s="102"/>
      <c r="I2764" s="93"/>
      <c r="J2764" s="93"/>
    </row>
    <row r="2765" spans="6:10" s="65" customFormat="1" ht="14" x14ac:dyDescent="0.35">
      <c r="F2765" s="102"/>
      <c r="G2765" s="102"/>
      <c r="I2765" s="93"/>
      <c r="J2765" s="93"/>
    </row>
    <row r="2766" spans="6:10" s="65" customFormat="1" ht="14" x14ac:dyDescent="0.35">
      <c r="F2766" s="102"/>
      <c r="G2766" s="102"/>
      <c r="I2766" s="93"/>
      <c r="J2766" s="93"/>
    </row>
    <row r="2767" spans="6:10" s="65" customFormat="1" ht="14" x14ac:dyDescent="0.35">
      <c r="F2767" s="102"/>
      <c r="G2767" s="102"/>
      <c r="I2767" s="93"/>
      <c r="J2767" s="93"/>
    </row>
    <row r="2768" spans="6:10" s="65" customFormat="1" ht="14" x14ac:dyDescent="0.35">
      <c r="F2768" s="102"/>
      <c r="G2768" s="102"/>
      <c r="I2768" s="93"/>
      <c r="J2768" s="93"/>
    </row>
    <row r="2769" spans="6:10" s="65" customFormat="1" ht="14" x14ac:dyDescent="0.35">
      <c r="F2769" s="102"/>
      <c r="G2769" s="102"/>
      <c r="I2769" s="93"/>
      <c r="J2769" s="93"/>
    </row>
    <row r="2770" spans="6:10" s="65" customFormat="1" ht="14" x14ac:dyDescent="0.35">
      <c r="F2770" s="102"/>
      <c r="G2770" s="102"/>
      <c r="I2770" s="93"/>
      <c r="J2770" s="93"/>
    </row>
    <row r="2771" spans="6:10" s="65" customFormat="1" ht="14" x14ac:dyDescent="0.35">
      <c r="F2771" s="102"/>
      <c r="G2771" s="102"/>
      <c r="I2771" s="93"/>
      <c r="J2771" s="93"/>
    </row>
    <row r="2772" spans="6:10" s="65" customFormat="1" ht="14" x14ac:dyDescent="0.35">
      <c r="F2772" s="102"/>
      <c r="G2772" s="102"/>
      <c r="I2772" s="93"/>
      <c r="J2772" s="93"/>
    </row>
    <row r="2773" spans="6:10" s="65" customFormat="1" ht="14" x14ac:dyDescent="0.35">
      <c r="F2773" s="102"/>
      <c r="G2773" s="102"/>
      <c r="I2773" s="93"/>
      <c r="J2773" s="93"/>
    </row>
    <row r="2774" spans="6:10" s="65" customFormat="1" ht="14" x14ac:dyDescent="0.35">
      <c r="F2774" s="102"/>
      <c r="G2774" s="102"/>
      <c r="I2774" s="93"/>
      <c r="J2774" s="93"/>
    </row>
    <row r="2775" spans="6:10" s="65" customFormat="1" ht="14" x14ac:dyDescent="0.35">
      <c r="F2775" s="102"/>
      <c r="G2775" s="102"/>
      <c r="I2775" s="93"/>
      <c r="J2775" s="93"/>
    </row>
    <row r="2776" spans="6:10" s="65" customFormat="1" ht="14" x14ac:dyDescent="0.35">
      <c r="F2776" s="102"/>
      <c r="G2776" s="102"/>
      <c r="I2776" s="93"/>
      <c r="J2776" s="93"/>
    </row>
    <row r="2777" spans="6:10" s="65" customFormat="1" ht="14" x14ac:dyDescent="0.35">
      <c r="F2777" s="102"/>
      <c r="G2777" s="102"/>
      <c r="I2777" s="93"/>
      <c r="J2777" s="93"/>
    </row>
    <row r="2778" spans="6:10" s="65" customFormat="1" ht="14" x14ac:dyDescent="0.35">
      <c r="F2778" s="102"/>
      <c r="G2778" s="102"/>
      <c r="I2778" s="93"/>
      <c r="J2778" s="93"/>
    </row>
    <row r="2779" spans="6:10" s="65" customFormat="1" ht="14" x14ac:dyDescent="0.35">
      <c r="F2779" s="102"/>
      <c r="G2779" s="102"/>
      <c r="I2779" s="93"/>
      <c r="J2779" s="93"/>
    </row>
    <row r="2780" spans="6:10" s="65" customFormat="1" ht="14" x14ac:dyDescent="0.35">
      <c r="F2780" s="102"/>
      <c r="G2780" s="102"/>
      <c r="I2780" s="93"/>
      <c r="J2780" s="93"/>
    </row>
    <row r="2781" spans="6:10" s="65" customFormat="1" ht="14" x14ac:dyDescent="0.35">
      <c r="F2781" s="102"/>
      <c r="G2781" s="102"/>
      <c r="I2781" s="93"/>
      <c r="J2781" s="93"/>
    </row>
    <row r="2782" spans="6:10" s="65" customFormat="1" ht="14" x14ac:dyDescent="0.35">
      <c r="F2782" s="102"/>
      <c r="G2782" s="102"/>
      <c r="I2782" s="93"/>
      <c r="J2782" s="93"/>
    </row>
    <row r="2783" spans="6:10" s="65" customFormat="1" ht="14" x14ac:dyDescent="0.35">
      <c r="F2783" s="102"/>
      <c r="G2783" s="102"/>
      <c r="I2783" s="93"/>
      <c r="J2783" s="93"/>
    </row>
    <row r="2784" spans="6:10" s="65" customFormat="1" ht="14" x14ac:dyDescent="0.35">
      <c r="F2784" s="102"/>
      <c r="G2784" s="102"/>
      <c r="I2784" s="93"/>
      <c r="J2784" s="93"/>
    </row>
    <row r="2785" spans="6:10" s="65" customFormat="1" ht="14" x14ac:dyDescent="0.35">
      <c r="F2785" s="102"/>
      <c r="G2785" s="102"/>
      <c r="I2785" s="93"/>
      <c r="J2785" s="93"/>
    </row>
    <row r="2786" spans="6:10" s="65" customFormat="1" ht="14" x14ac:dyDescent="0.35">
      <c r="F2786" s="102"/>
      <c r="G2786" s="102"/>
      <c r="I2786" s="93"/>
      <c r="J2786" s="93"/>
    </row>
    <row r="2787" spans="6:10" s="65" customFormat="1" ht="14" x14ac:dyDescent="0.35">
      <c r="F2787" s="102"/>
      <c r="G2787" s="102"/>
      <c r="I2787" s="93"/>
      <c r="J2787" s="93"/>
    </row>
    <row r="2788" spans="6:10" s="65" customFormat="1" ht="14" x14ac:dyDescent="0.35">
      <c r="F2788" s="102"/>
      <c r="G2788" s="102"/>
      <c r="I2788" s="93"/>
      <c r="J2788" s="93"/>
    </row>
    <row r="2789" spans="6:10" s="65" customFormat="1" ht="14" x14ac:dyDescent="0.35">
      <c r="F2789" s="102"/>
      <c r="G2789" s="102"/>
      <c r="I2789" s="93"/>
      <c r="J2789" s="93"/>
    </row>
    <row r="2790" spans="6:10" s="65" customFormat="1" ht="14" x14ac:dyDescent="0.35">
      <c r="F2790" s="102"/>
      <c r="G2790" s="102"/>
      <c r="I2790" s="93"/>
      <c r="J2790" s="93"/>
    </row>
    <row r="2791" spans="6:10" s="65" customFormat="1" ht="14" x14ac:dyDescent="0.35">
      <c r="F2791" s="102"/>
      <c r="G2791" s="102"/>
      <c r="I2791" s="93"/>
      <c r="J2791" s="93"/>
    </row>
    <row r="2792" spans="6:10" s="65" customFormat="1" ht="14" x14ac:dyDescent="0.35">
      <c r="F2792" s="102"/>
      <c r="G2792" s="102"/>
      <c r="I2792" s="93"/>
      <c r="J2792" s="93"/>
    </row>
    <row r="2793" spans="6:10" s="65" customFormat="1" ht="14" x14ac:dyDescent="0.35">
      <c r="F2793" s="102"/>
      <c r="G2793" s="102"/>
      <c r="I2793" s="93"/>
      <c r="J2793" s="93"/>
    </row>
    <row r="2794" spans="6:10" s="65" customFormat="1" ht="14" x14ac:dyDescent="0.35">
      <c r="F2794" s="102"/>
      <c r="G2794" s="102"/>
      <c r="I2794" s="93"/>
      <c r="J2794" s="93"/>
    </row>
    <row r="2795" spans="6:10" s="65" customFormat="1" ht="14" x14ac:dyDescent="0.35">
      <c r="F2795" s="102"/>
      <c r="G2795" s="102"/>
      <c r="I2795" s="93"/>
      <c r="J2795" s="93"/>
    </row>
    <row r="2796" spans="6:10" s="65" customFormat="1" ht="14" x14ac:dyDescent="0.35">
      <c r="F2796" s="102"/>
      <c r="G2796" s="102"/>
      <c r="I2796" s="93"/>
      <c r="J2796" s="93"/>
    </row>
    <row r="2797" spans="6:10" s="65" customFormat="1" ht="14" x14ac:dyDescent="0.35">
      <c r="F2797" s="102"/>
      <c r="G2797" s="102"/>
      <c r="I2797" s="93"/>
      <c r="J2797" s="93"/>
    </row>
    <row r="2798" spans="6:10" s="65" customFormat="1" ht="14" x14ac:dyDescent="0.35">
      <c r="F2798" s="102"/>
      <c r="G2798" s="102"/>
      <c r="I2798" s="93"/>
      <c r="J2798" s="93"/>
    </row>
    <row r="2799" spans="6:10" s="65" customFormat="1" ht="14" x14ac:dyDescent="0.35">
      <c r="F2799" s="102"/>
      <c r="G2799" s="102"/>
      <c r="I2799" s="93"/>
      <c r="J2799" s="93"/>
    </row>
    <row r="2800" spans="6:10" s="65" customFormat="1" ht="14" x14ac:dyDescent="0.35">
      <c r="F2800" s="102"/>
      <c r="G2800" s="102"/>
      <c r="I2800" s="93"/>
      <c r="J2800" s="93"/>
    </row>
    <row r="2801" spans="6:10" s="65" customFormat="1" ht="14" x14ac:dyDescent="0.35">
      <c r="F2801" s="102"/>
      <c r="G2801" s="102"/>
      <c r="I2801" s="93"/>
      <c r="J2801" s="93"/>
    </row>
    <row r="2802" spans="6:10" s="65" customFormat="1" ht="14" x14ac:dyDescent="0.35">
      <c r="F2802" s="102"/>
      <c r="G2802" s="102"/>
      <c r="I2802" s="93"/>
      <c r="J2802" s="93"/>
    </row>
    <row r="2803" spans="6:10" s="65" customFormat="1" ht="14" x14ac:dyDescent="0.35">
      <c r="F2803" s="102"/>
      <c r="G2803" s="102"/>
      <c r="I2803" s="93"/>
      <c r="J2803" s="93"/>
    </row>
    <row r="2804" spans="6:10" s="65" customFormat="1" ht="14" x14ac:dyDescent="0.35">
      <c r="F2804" s="102"/>
      <c r="G2804" s="102"/>
      <c r="I2804" s="93"/>
      <c r="J2804" s="93"/>
    </row>
    <row r="2805" spans="6:10" s="65" customFormat="1" ht="14" x14ac:dyDescent="0.35">
      <c r="F2805" s="102"/>
      <c r="G2805" s="102"/>
      <c r="I2805" s="93"/>
      <c r="J2805" s="93"/>
    </row>
    <row r="2806" spans="6:10" s="65" customFormat="1" ht="14" x14ac:dyDescent="0.35">
      <c r="F2806" s="102"/>
      <c r="G2806" s="102"/>
      <c r="I2806" s="93"/>
      <c r="J2806" s="93"/>
    </row>
    <row r="2807" spans="6:10" s="65" customFormat="1" ht="14" x14ac:dyDescent="0.35">
      <c r="F2807" s="102"/>
      <c r="G2807" s="102"/>
      <c r="I2807" s="93"/>
      <c r="J2807" s="93"/>
    </row>
    <row r="2808" spans="6:10" s="65" customFormat="1" ht="14" x14ac:dyDescent="0.35">
      <c r="F2808" s="102"/>
      <c r="G2808" s="102"/>
      <c r="I2808" s="93"/>
      <c r="J2808" s="93"/>
    </row>
    <row r="2809" spans="6:10" s="65" customFormat="1" ht="14" x14ac:dyDescent="0.35">
      <c r="F2809" s="102"/>
      <c r="G2809" s="102"/>
      <c r="I2809" s="93"/>
      <c r="J2809" s="93"/>
    </row>
    <row r="2810" spans="6:10" s="65" customFormat="1" ht="14" x14ac:dyDescent="0.35">
      <c r="F2810" s="102"/>
      <c r="G2810" s="102"/>
      <c r="I2810" s="93"/>
      <c r="J2810" s="93"/>
    </row>
    <row r="2811" spans="6:10" s="65" customFormat="1" ht="14" x14ac:dyDescent="0.35">
      <c r="F2811" s="102"/>
      <c r="G2811" s="102"/>
      <c r="I2811" s="93"/>
      <c r="J2811" s="93"/>
    </row>
    <row r="2812" spans="6:10" s="65" customFormat="1" ht="14" x14ac:dyDescent="0.35">
      <c r="F2812" s="102"/>
      <c r="G2812" s="102"/>
      <c r="I2812" s="93"/>
      <c r="J2812" s="93"/>
    </row>
    <row r="2813" spans="6:10" s="65" customFormat="1" ht="14" x14ac:dyDescent="0.35">
      <c r="F2813" s="102"/>
      <c r="G2813" s="102"/>
      <c r="I2813" s="93"/>
      <c r="J2813" s="93"/>
    </row>
    <row r="2814" spans="6:10" s="65" customFormat="1" ht="14" x14ac:dyDescent="0.35">
      <c r="F2814" s="102"/>
      <c r="G2814" s="102"/>
      <c r="I2814" s="93"/>
      <c r="J2814" s="93"/>
    </row>
    <row r="2815" spans="6:10" s="65" customFormat="1" ht="14" x14ac:dyDescent="0.35">
      <c r="F2815" s="102"/>
      <c r="G2815" s="102"/>
      <c r="I2815" s="93"/>
      <c r="J2815" s="93"/>
    </row>
    <row r="2816" spans="6:10" s="65" customFormat="1" ht="14" x14ac:dyDescent="0.35">
      <c r="F2816" s="102"/>
      <c r="G2816" s="102"/>
      <c r="I2816" s="93"/>
      <c r="J2816" s="93"/>
    </row>
    <row r="2817" spans="6:10" s="65" customFormat="1" ht="14" x14ac:dyDescent="0.35">
      <c r="F2817" s="102"/>
      <c r="G2817" s="102"/>
      <c r="I2817" s="93"/>
      <c r="J2817" s="93"/>
    </row>
    <row r="2818" spans="6:10" s="65" customFormat="1" ht="14" x14ac:dyDescent="0.35">
      <c r="F2818" s="102"/>
      <c r="G2818" s="102"/>
      <c r="I2818" s="93"/>
      <c r="J2818" s="93"/>
    </row>
    <row r="2819" spans="6:10" s="65" customFormat="1" ht="14" x14ac:dyDescent="0.35">
      <c r="F2819" s="102"/>
      <c r="G2819" s="102"/>
      <c r="I2819" s="93"/>
      <c r="J2819" s="93"/>
    </row>
    <row r="2820" spans="6:10" s="65" customFormat="1" ht="14" x14ac:dyDescent="0.35">
      <c r="F2820" s="102"/>
      <c r="G2820" s="102"/>
      <c r="I2820" s="93"/>
      <c r="J2820" s="93"/>
    </row>
    <row r="2821" spans="6:10" s="65" customFormat="1" ht="14" x14ac:dyDescent="0.35">
      <c r="F2821" s="102"/>
      <c r="G2821" s="102"/>
      <c r="I2821" s="93"/>
      <c r="J2821" s="93"/>
    </row>
    <row r="2822" spans="6:10" s="65" customFormat="1" ht="14" x14ac:dyDescent="0.35">
      <c r="F2822" s="102"/>
      <c r="G2822" s="102"/>
      <c r="I2822" s="93"/>
      <c r="J2822" s="93"/>
    </row>
    <row r="2823" spans="6:10" s="65" customFormat="1" ht="14" x14ac:dyDescent="0.35">
      <c r="F2823" s="102"/>
      <c r="G2823" s="102"/>
      <c r="I2823" s="93"/>
      <c r="J2823" s="93"/>
    </row>
    <row r="2824" spans="6:10" s="65" customFormat="1" ht="14" x14ac:dyDescent="0.35">
      <c r="F2824" s="102"/>
      <c r="G2824" s="102"/>
      <c r="I2824" s="93"/>
      <c r="J2824" s="93"/>
    </row>
    <row r="2825" spans="6:10" s="65" customFormat="1" ht="14" x14ac:dyDescent="0.35">
      <c r="F2825" s="102"/>
      <c r="G2825" s="102"/>
      <c r="I2825" s="93"/>
      <c r="J2825" s="93"/>
    </row>
    <row r="2826" spans="6:10" s="65" customFormat="1" ht="14" x14ac:dyDescent="0.35">
      <c r="F2826" s="102"/>
      <c r="G2826" s="102"/>
      <c r="I2826" s="93"/>
      <c r="J2826" s="93"/>
    </row>
    <row r="2827" spans="6:10" s="65" customFormat="1" ht="14" x14ac:dyDescent="0.35">
      <c r="F2827" s="102"/>
      <c r="G2827" s="102"/>
      <c r="I2827" s="93"/>
      <c r="J2827" s="93"/>
    </row>
    <row r="2828" spans="6:10" s="65" customFormat="1" ht="14" x14ac:dyDescent="0.35">
      <c r="F2828" s="102"/>
      <c r="G2828" s="102"/>
      <c r="I2828" s="93"/>
      <c r="J2828" s="93"/>
    </row>
    <row r="2829" spans="6:10" s="65" customFormat="1" ht="14" x14ac:dyDescent="0.35">
      <c r="F2829" s="102"/>
      <c r="G2829" s="102"/>
      <c r="I2829" s="93"/>
      <c r="J2829" s="93"/>
    </row>
    <row r="2830" spans="6:10" s="65" customFormat="1" ht="14" x14ac:dyDescent="0.35">
      <c r="F2830" s="102"/>
      <c r="G2830" s="102"/>
      <c r="I2830" s="93"/>
      <c r="J2830" s="93"/>
    </row>
    <row r="2831" spans="6:10" s="65" customFormat="1" ht="14" x14ac:dyDescent="0.35">
      <c r="F2831" s="102"/>
      <c r="G2831" s="102"/>
      <c r="I2831" s="93"/>
      <c r="J2831" s="93"/>
    </row>
    <row r="2832" spans="6:10" s="65" customFormat="1" ht="14" x14ac:dyDescent="0.35">
      <c r="F2832" s="102"/>
      <c r="G2832" s="102"/>
      <c r="I2832" s="93"/>
      <c r="J2832" s="93"/>
    </row>
    <row r="2833" spans="6:10" s="65" customFormat="1" ht="14" x14ac:dyDescent="0.35">
      <c r="F2833" s="102"/>
      <c r="G2833" s="102"/>
      <c r="I2833" s="93"/>
      <c r="J2833" s="93"/>
    </row>
    <row r="2834" spans="6:10" s="65" customFormat="1" ht="14" x14ac:dyDescent="0.35">
      <c r="F2834" s="102"/>
      <c r="G2834" s="102"/>
      <c r="I2834" s="93"/>
      <c r="J2834" s="93"/>
    </row>
    <row r="2835" spans="6:10" s="65" customFormat="1" ht="14" x14ac:dyDescent="0.35">
      <c r="F2835" s="102"/>
      <c r="G2835" s="102"/>
      <c r="I2835" s="93"/>
      <c r="J2835" s="93"/>
    </row>
    <row r="2836" spans="6:10" s="65" customFormat="1" ht="14" x14ac:dyDescent="0.35">
      <c r="F2836" s="102"/>
      <c r="G2836" s="102"/>
      <c r="I2836" s="93"/>
      <c r="J2836" s="93"/>
    </row>
    <row r="2837" spans="6:10" s="65" customFormat="1" ht="14" x14ac:dyDescent="0.35">
      <c r="F2837" s="102"/>
      <c r="G2837" s="102"/>
      <c r="I2837" s="93"/>
      <c r="J2837" s="93"/>
    </row>
    <row r="2838" spans="6:10" s="65" customFormat="1" ht="14" x14ac:dyDescent="0.35">
      <c r="F2838" s="102"/>
      <c r="G2838" s="102"/>
      <c r="I2838" s="93"/>
      <c r="J2838" s="93"/>
    </row>
    <row r="2839" spans="6:10" s="65" customFormat="1" ht="14" x14ac:dyDescent="0.35">
      <c r="F2839" s="102"/>
      <c r="G2839" s="102"/>
      <c r="I2839" s="93"/>
      <c r="J2839" s="93"/>
    </row>
    <row r="2840" spans="6:10" s="65" customFormat="1" ht="14" x14ac:dyDescent="0.35">
      <c r="F2840" s="102"/>
      <c r="G2840" s="102"/>
      <c r="I2840" s="93"/>
      <c r="J2840" s="93"/>
    </row>
    <row r="2841" spans="6:10" s="65" customFormat="1" ht="14" x14ac:dyDescent="0.35">
      <c r="F2841" s="102"/>
      <c r="G2841" s="102"/>
      <c r="I2841" s="93"/>
      <c r="J2841" s="93"/>
    </row>
    <row r="2842" spans="6:10" s="65" customFormat="1" ht="14" x14ac:dyDescent="0.35">
      <c r="F2842" s="102"/>
      <c r="G2842" s="102"/>
      <c r="I2842" s="93"/>
      <c r="J2842" s="93"/>
    </row>
    <row r="2843" spans="6:10" s="65" customFormat="1" ht="14" x14ac:dyDescent="0.35">
      <c r="F2843" s="102"/>
      <c r="G2843" s="102"/>
      <c r="I2843" s="93"/>
      <c r="J2843" s="93"/>
    </row>
    <row r="2844" spans="6:10" s="65" customFormat="1" ht="14" x14ac:dyDescent="0.35">
      <c r="F2844" s="102"/>
      <c r="G2844" s="102"/>
      <c r="I2844" s="93"/>
      <c r="J2844" s="93"/>
    </row>
    <row r="2845" spans="6:10" s="65" customFormat="1" ht="14" x14ac:dyDescent="0.35">
      <c r="F2845" s="102"/>
      <c r="G2845" s="102"/>
      <c r="I2845" s="93"/>
      <c r="J2845" s="93"/>
    </row>
    <row r="2846" spans="6:10" s="65" customFormat="1" ht="14" x14ac:dyDescent="0.35">
      <c r="F2846" s="102"/>
      <c r="G2846" s="102"/>
      <c r="I2846" s="93"/>
      <c r="J2846" s="93"/>
    </row>
    <row r="2847" spans="6:10" s="65" customFormat="1" ht="14" x14ac:dyDescent="0.35">
      <c r="F2847" s="102"/>
      <c r="G2847" s="102"/>
      <c r="I2847" s="93"/>
      <c r="J2847" s="93"/>
    </row>
    <row r="2848" spans="6:10" s="65" customFormat="1" ht="14" x14ac:dyDescent="0.35">
      <c r="F2848" s="102"/>
      <c r="G2848" s="102"/>
      <c r="I2848" s="93"/>
      <c r="J2848" s="93"/>
    </row>
    <row r="2849" spans="6:10" s="65" customFormat="1" ht="14" x14ac:dyDescent="0.35">
      <c r="F2849" s="102"/>
      <c r="G2849" s="102"/>
      <c r="I2849" s="93"/>
      <c r="J2849" s="93"/>
    </row>
    <row r="2850" spans="6:10" s="65" customFormat="1" ht="14" x14ac:dyDescent="0.35">
      <c r="F2850" s="102"/>
      <c r="G2850" s="102"/>
      <c r="I2850" s="93"/>
      <c r="J2850" s="93"/>
    </row>
    <row r="2851" spans="6:10" s="65" customFormat="1" ht="14" x14ac:dyDescent="0.35">
      <c r="F2851" s="102"/>
      <c r="G2851" s="102"/>
      <c r="I2851" s="93"/>
      <c r="J2851" s="93"/>
    </row>
    <row r="2852" spans="6:10" s="65" customFormat="1" ht="14" x14ac:dyDescent="0.35">
      <c r="F2852" s="102"/>
      <c r="G2852" s="102"/>
      <c r="I2852" s="93"/>
      <c r="J2852" s="93"/>
    </row>
    <row r="2853" spans="6:10" s="65" customFormat="1" ht="14" x14ac:dyDescent="0.35">
      <c r="F2853" s="102"/>
      <c r="G2853" s="102"/>
      <c r="I2853" s="93"/>
      <c r="J2853" s="93"/>
    </row>
    <row r="2854" spans="6:10" s="65" customFormat="1" ht="14" x14ac:dyDescent="0.35">
      <c r="F2854" s="102"/>
      <c r="G2854" s="102"/>
      <c r="I2854" s="93"/>
      <c r="J2854" s="93"/>
    </row>
    <row r="2855" spans="6:10" s="65" customFormat="1" ht="14" x14ac:dyDescent="0.35">
      <c r="F2855" s="102"/>
      <c r="G2855" s="102"/>
      <c r="I2855" s="93"/>
      <c r="J2855" s="93"/>
    </row>
    <row r="2856" spans="6:10" s="65" customFormat="1" ht="14" x14ac:dyDescent="0.35">
      <c r="F2856" s="102"/>
      <c r="G2856" s="102"/>
      <c r="I2856" s="93"/>
      <c r="J2856" s="93"/>
    </row>
    <row r="2857" spans="6:10" s="65" customFormat="1" ht="14" x14ac:dyDescent="0.35">
      <c r="F2857" s="102"/>
      <c r="G2857" s="102"/>
      <c r="I2857" s="93"/>
      <c r="J2857" s="93"/>
    </row>
    <row r="2858" spans="6:10" s="65" customFormat="1" ht="14" x14ac:dyDescent="0.35">
      <c r="F2858" s="102"/>
      <c r="G2858" s="102"/>
      <c r="I2858" s="93"/>
      <c r="J2858" s="93"/>
    </row>
    <row r="2859" spans="6:10" s="65" customFormat="1" ht="14" x14ac:dyDescent="0.35">
      <c r="F2859" s="102"/>
      <c r="G2859" s="102"/>
      <c r="I2859" s="93"/>
      <c r="J2859" s="93"/>
    </row>
    <row r="2860" spans="6:10" s="65" customFormat="1" ht="14" x14ac:dyDescent="0.35">
      <c r="F2860" s="102"/>
      <c r="G2860" s="102"/>
      <c r="I2860" s="93"/>
      <c r="J2860" s="93"/>
    </row>
    <row r="2861" spans="6:10" s="65" customFormat="1" ht="14" x14ac:dyDescent="0.35">
      <c r="F2861" s="102"/>
      <c r="G2861" s="102"/>
      <c r="I2861" s="93"/>
      <c r="J2861" s="93"/>
    </row>
    <row r="2862" spans="6:10" s="65" customFormat="1" ht="14" x14ac:dyDescent="0.35">
      <c r="F2862" s="102"/>
      <c r="G2862" s="102"/>
      <c r="I2862" s="93"/>
      <c r="J2862" s="93"/>
    </row>
    <row r="2863" spans="6:10" s="65" customFormat="1" ht="14" x14ac:dyDescent="0.35">
      <c r="F2863" s="102"/>
      <c r="G2863" s="102"/>
      <c r="I2863" s="93"/>
      <c r="J2863" s="93"/>
    </row>
    <row r="2864" spans="6:10" s="65" customFormat="1" ht="14" x14ac:dyDescent="0.35">
      <c r="F2864" s="102"/>
      <c r="G2864" s="102"/>
      <c r="I2864" s="93"/>
      <c r="J2864" s="93"/>
    </row>
    <row r="2865" spans="6:10" s="65" customFormat="1" ht="14" x14ac:dyDescent="0.35">
      <c r="F2865" s="102"/>
      <c r="G2865" s="102"/>
      <c r="I2865" s="93"/>
      <c r="J2865" s="93"/>
    </row>
    <row r="2866" spans="6:10" s="65" customFormat="1" ht="14" x14ac:dyDescent="0.35">
      <c r="F2866" s="102"/>
      <c r="G2866" s="102"/>
      <c r="I2866" s="93"/>
      <c r="J2866" s="93"/>
    </row>
    <row r="2867" spans="6:10" s="65" customFormat="1" ht="14" x14ac:dyDescent="0.35">
      <c r="F2867" s="102"/>
      <c r="G2867" s="102"/>
      <c r="I2867" s="93"/>
      <c r="J2867" s="93"/>
    </row>
    <row r="2868" spans="6:10" s="65" customFormat="1" ht="14" x14ac:dyDescent="0.35">
      <c r="F2868" s="102"/>
      <c r="G2868" s="102"/>
      <c r="I2868" s="93"/>
      <c r="J2868" s="93"/>
    </row>
    <row r="2869" spans="6:10" s="65" customFormat="1" ht="14" x14ac:dyDescent="0.35">
      <c r="F2869" s="102"/>
      <c r="G2869" s="102"/>
      <c r="I2869" s="93"/>
      <c r="J2869" s="93"/>
    </row>
    <row r="2870" spans="6:10" s="65" customFormat="1" ht="14" x14ac:dyDescent="0.35">
      <c r="F2870" s="102"/>
      <c r="G2870" s="102"/>
      <c r="I2870" s="93"/>
      <c r="J2870" s="93"/>
    </row>
    <row r="2871" spans="6:10" s="65" customFormat="1" ht="14" x14ac:dyDescent="0.35">
      <c r="F2871" s="102"/>
      <c r="G2871" s="102"/>
      <c r="I2871" s="93"/>
      <c r="J2871" s="93"/>
    </row>
    <row r="2872" spans="6:10" s="65" customFormat="1" ht="14" x14ac:dyDescent="0.35">
      <c r="F2872" s="102"/>
      <c r="G2872" s="102"/>
      <c r="I2872" s="93"/>
      <c r="J2872" s="93"/>
    </row>
    <row r="2873" spans="6:10" s="65" customFormat="1" ht="14" x14ac:dyDescent="0.35">
      <c r="F2873" s="102"/>
      <c r="G2873" s="102"/>
      <c r="I2873" s="93"/>
      <c r="J2873" s="93"/>
    </row>
    <row r="2874" spans="6:10" s="65" customFormat="1" ht="14" x14ac:dyDescent="0.35">
      <c r="F2874" s="102"/>
      <c r="G2874" s="102"/>
      <c r="I2874" s="93"/>
      <c r="J2874" s="93"/>
    </row>
    <row r="2875" spans="6:10" s="65" customFormat="1" ht="14" x14ac:dyDescent="0.35">
      <c r="F2875" s="102"/>
      <c r="G2875" s="102"/>
      <c r="I2875" s="93"/>
      <c r="J2875" s="93"/>
    </row>
    <row r="2876" spans="6:10" s="65" customFormat="1" ht="14" x14ac:dyDescent="0.35">
      <c r="F2876" s="102"/>
      <c r="G2876" s="102"/>
      <c r="I2876" s="93"/>
      <c r="J2876" s="93"/>
    </row>
    <row r="2877" spans="6:10" s="65" customFormat="1" ht="14" x14ac:dyDescent="0.35">
      <c r="F2877" s="102"/>
      <c r="G2877" s="102"/>
      <c r="I2877" s="93"/>
      <c r="J2877" s="93"/>
    </row>
    <row r="2878" spans="6:10" s="65" customFormat="1" ht="14" x14ac:dyDescent="0.35">
      <c r="F2878" s="102"/>
      <c r="G2878" s="102"/>
      <c r="I2878" s="93"/>
      <c r="J2878" s="93"/>
    </row>
    <row r="2879" spans="6:10" s="65" customFormat="1" ht="14" x14ac:dyDescent="0.35">
      <c r="F2879" s="102"/>
      <c r="G2879" s="102"/>
      <c r="I2879" s="93"/>
      <c r="J2879" s="93"/>
    </row>
    <row r="2880" spans="6:10" s="65" customFormat="1" ht="14" x14ac:dyDescent="0.35">
      <c r="F2880" s="102"/>
      <c r="G2880" s="102"/>
      <c r="I2880" s="93"/>
      <c r="J2880" s="93"/>
    </row>
    <row r="2881" spans="6:10" s="65" customFormat="1" ht="14" x14ac:dyDescent="0.35">
      <c r="F2881" s="102"/>
      <c r="G2881" s="102"/>
      <c r="I2881" s="93"/>
      <c r="J2881" s="93"/>
    </row>
    <row r="2882" spans="6:10" s="65" customFormat="1" ht="14" x14ac:dyDescent="0.35">
      <c r="F2882" s="102"/>
      <c r="G2882" s="102"/>
      <c r="I2882" s="93"/>
      <c r="J2882" s="93"/>
    </row>
    <row r="2883" spans="6:10" s="65" customFormat="1" ht="14" x14ac:dyDescent="0.35">
      <c r="F2883" s="102"/>
      <c r="G2883" s="102"/>
      <c r="I2883" s="93"/>
      <c r="J2883" s="93"/>
    </row>
    <row r="2884" spans="6:10" s="65" customFormat="1" ht="14" x14ac:dyDescent="0.35">
      <c r="F2884" s="102"/>
      <c r="G2884" s="102"/>
      <c r="I2884" s="93"/>
      <c r="J2884" s="93"/>
    </row>
    <row r="2885" spans="6:10" s="65" customFormat="1" ht="14" x14ac:dyDescent="0.35">
      <c r="F2885" s="102"/>
      <c r="G2885" s="102"/>
      <c r="I2885" s="93"/>
      <c r="J2885" s="93"/>
    </row>
    <row r="2886" spans="6:10" s="65" customFormat="1" ht="14" x14ac:dyDescent="0.35">
      <c r="F2886" s="102"/>
      <c r="G2886" s="102"/>
      <c r="I2886" s="93"/>
      <c r="J2886" s="93"/>
    </row>
    <row r="2887" spans="6:10" s="65" customFormat="1" ht="14" x14ac:dyDescent="0.35">
      <c r="F2887" s="102"/>
      <c r="G2887" s="102"/>
      <c r="I2887" s="93"/>
      <c r="J2887" s="93"/>
    </row>
    <row r="2888" spans="6:10" s="65" customFormat="1" ht="14" x14ac:dyDescent="0.35">
      <c r="F2888" s="102"/>
      <c r="G2888" s="102"/>
      <c r="I2888" s="93"/>
      <c r="J2888" s="93"/>
    </row>
    <row r="2889" spans="6:10" s="65" customFormat="1" ht="14" x14ac:dyDescent="0.35">
      <c r="F2889" s="102"/>
      <c r="G2889" s="102"/>
      <c r="I2889" s="93"/>
      <c r="J2889" s="93"/>
    </row>
    <row r="2890" spans="6:10" s="65" customFormat="1" ht="14" x14ac:dyDescent="0.35">
      <c r="F2890" s="102"/>
      <c r="G2890" s="102"/>
      <c r="I2890" s="93"/>
      <c r="J2890" s="93"/>
    </row>
    <row r="2891" spans="6:10" s="65" customFormat="1" ht="14" x14ac:dyDescent="0.35">
      <c r="F2891" s="102"/>
      <c r="G2891" s="102"/>
      <c r="I2891" s="93"/>
      <c r="J2891" s="93"/>
    </row>
    <row r="2892" spans="6:10" s="65" customFormat="1" ht="14" x14ac:dyDescent="0.35">
      <c r="F2892" s="102"/>
      <c r="G2892" s="102"/>
      <c r="I2892" s="93"/>
      <c r="J2892" s="93"/>
    </row>
    <row r="2893" spans="6:10" s="65" customFormat="1" ht="14" x14ac:dyDescent="0.35">
      <c r="F2893" s="102"/>
      <c r="G2893" s="102"/>
      <c r="I2893" s="93"/>
      <c r="J2893" s="93"/>
    </row>
    <row r="2894" spans="6:10" s="65" customFormat="1" ht="14" x14ac:dyDescent="0.35">
      <c r="F2894" s="102"/>
      <c r="G2894" s="102"/>
      <c r="I2894" s="93"/>
      <c r="J2894" s="93"/>
    </row>
    <row r="2895" spans="6:10" s="65" customFormat="1" ht="14" x14ac:dyDescent="0.35">
      <c r="F2895" s="102"/>
      <c r="G2895" s="102"/>
      <c r="I2895" s="93"/>
      <c r="J2895" s="93"/>
    </row>
    <row r="2896" spans="6:10" s="65" customFormat="1" ht="14" x14ac:dyDescent="0.35">
      <c r="F2896" s="102"/>
      <c r="G2896" s="102"/>
      <c r="I2896" s="93"/>
      <c r="J2896" s="93"/>
    </row>
    <row r="2897" spans="6:10" s="65" customFormat="1" ht="14" x14ac:dyDescent="0.35">
      <c r="F2897" s="102"/>
      <c r="G2897" s="102"/>
      <c r="I2897" s="93"/>
      <c r="J2897" s="93"/>
    </row>
    <row r="2898" spans="6:10" s="65" customFormat="1" ht="14" x14ac:dyDescent="0.35">
      <c r="F2898" s="102"/>
      <c r="G2898" s="102"/>
      <c r="I2898" s="93"/>
      <c r="J2898" s="93"/>
    </row>
    <row r="2899" spans="6:10" s="65" customFormat="1" ht="14" x14ac:dyDescent="0.35">
      <c r="F2899" s="102"/>
      <c r="G2899" s="102"/>
      <c r="I2899" s="93"/>
      <c r="J2899" s="93"/>
    </row>
    <row r="2900" spans="6:10" s="65" customFormat="1" ht="14" x14ac:dyDescent="0.35">
      <c r="F2900" s="102"/>
      <c r="G2900" s="102"/>
      <c r="I2900" s="93"/>
      <c r="J2900" s="93"/>
    </row>
    <row r="2901" spans="6:10" s="65" customFormat="1" ht="14" x14ac:dyDescent="0.35">
      <c r="F2901" s="102"/>
      <c r="G2901" s="102"/>
      <c r="I2901" s="93"/>
      <c r="J2901" s="93"/>
    </row>
    <row r="2902" spans="6:10" s="65" customFormat="1" ht="14" x14ac:dyDescent="0.35">
      <c r="F2902" s="102"/>
      <c r="G2902" s="102"/>
      <c r="I2902" s="93"/>
      <c r="J2902" s="93"/>
    </row>
    <row r="2903" spans="6:10" s="65" customFormat="1" ht="14" x14ac:dyDescent="0.35">
      <c r="F2903" s="102"/>
      <c r="G2903" s="102"/>
      <c r="I2903" s="93"/>
      <c r="J2903" s="93"/>
    </row>
    <row r="2904" spans="6:10" s="65" customFormat="1" ht="14" x14ac:dyDescent="0.35">
      <c r="F2904" s="102"/>
      <c r="G2904" s="102"/>
      <c r="I2904" s="93"/>
      <c r="J2904" s="93"/>
    </row>
    <row r="2905" spans="6:10" s="65" customFormat="1" ht="14" x14ac:dyDescent="0.35">
      <c r="F2905" s="102"/>
      <c r="G2905" s="102"/>
      <c r="I2905" s="93"/>
      <c r="J2905" s="93"/>
    </row>
    <row r="2906" spans="6:10" s="65" customFormat="1" ht="14" x14ac:dyDescent="0.35">
      <c r="F2906" s="102"/>
      <c r="G2906" s="102"/>
      <c r="I2906" s="93"/>
      <c r="J2906" s="93"/>
    </row>
    <row r="2907" spans="6:10" s="65" customFormat="1" ht="14" x14ac:dyDescent="0.35">
      <c r="F2907" s="102"/>
      <c r="G2907" s="102"/>
      <c r="I2907" s="93"/>
      <c r="J2907" s="93"/>
    </row>
    <row r="2908" spans="6:10" s="65" customFormat="1" ht="14" x14ac:dyDescent="0.35">
      <c r="F2908" s="102"/>
      <c r="G2908" s="102"/>
      <c r="I2908" s="93"/>
      <c r="J2908" s="93"/>
    </row>
    <row r="2909" spans="6:10" s="65" customFormat="1" ht="14" x14ac:dyDescent="0.35">
      <c r="F2909" s="102"/>
      <c r="G2909" s="102"/>
      <c r="I2909" s="93"/>
      <c r="J2909" s="93"/>
    </row>
    <row r="2910" spans="6:10" s="65" customFormat="1" ht="14" x14ac:dyDescent="0.35">
      <c r="F2910" s="102"/>
      <c r="G2910" s="102"/>
      <c r="I2910" s="93"/>
      <c r="J2910" s="93"/>
    </row>
    <row r="2911" spans="6:10" s="65" customFormat="1" ht="14" x14ac:dyDescent="0.35">
      <c r="F2911" s="102"/>
      <c r="G2911" s="102"/>
      <c r="I2911" s="93"/>
      <c r="J2911" s="93"/>
    </row>
    <row r="2912" spans="6:10" s="65" customFormat="1" ht="14" x14ac:dyDescent="0.35">
      <c r="F2912" s="102"/>
      <c r="G2912" s="102"/>
      <c r="I2912" s="93"/>
      <c r="J2912" s="93"/>
    </row>
    <row r="2913" spans="6:10" s="65" customFormat="1" ht="14" x14ac:dyDescent="0.35">
      <c r="F2913" s="102"/>
      <c r="G2913" s="102"/>
      <c r="I2913" s="93"/>
      <c r="J2913" s="93"/>
    </row>
    <row r="2914" spans="6:10" s="65" customFormat="1" ht="14" x14ac:dyDescent="0.35">
      <c r="F2914" s="102"/>
      <c r="G2914" s="102"/>
      <c r="I2914" s="93"/>
      <c r="J2914" s="93"/>
    </row>
    <row r="2915" spans="6:10" s="65" customFormat="1" ht="14" x14ac:dyDescent="0.35">
      <c r="F2915" s="102"/>
      <c r="G2915" s="102"/>
      <c r="I2915" s="93"/>
      <c r="J2915" s="93"/>
    </row>
    <row r="2916" spans="6:10" s="65" customFormat="1" ht="14" x14ac:dyDescent="0.35">
      <c r="F2916" s="102"/>
      <c r="G2916" s="102"/>
      <c r="I2916" s="93"/>
      <c r="J2916" s="93"/>
    </row>
    <row r="2917" spans="6:10" s="65" customFormat="1" ht="14" x14ac:dyDescent="0.35">
      <c r="F2917" s="102"/>
      <c r="G2917" s="102"/>
      <c r="I2917" s="93"/>
      <c r="J2917" s="93"/>
    </row>
    <row r="2918" spans="6:10" s="65" customFormat="1" ht="14" x14ac:dyDescent="0.35">
      <c r="F2918" s="102"/>
      <c r="G2918" s="102"/>
      <c r="I2918" s="93"/>
      <c r="J2918" s="93"/>
    </row>
    <row r="2919" spans="6:10" s="65" customFormat="1" ht="14" x14ac:dyDescent="0.35">
      <c r="F2919" s="102"/>
      <c r="G2919" s="102"/>
      <c r="I2919" s="93"/>
      <c r="J2919" s="93"/>
    </row>
    <row r="2920" spans="6:10" s="65" customFormat="1" ht="14" x14ac:dyDescent="0.35">
      <c r="F2920" s="102"/>
      <c r="G2920" s="102"/>
      <c r="I2920" s="93"/>
      <c r="J2920" s="93"/>
    </row>
    <row r="2921" spans="6:10" s="65" customFormat="1" ht="14" x14ac:dyDescent="0.35">
      <c r="F2921" s="102"/>
      <c r="G2921" s="102"/>
      <c r="I2921" s="93"/>
      <c r="J2921" s="93"/>
    </row>
    <row r="2922" spans="6:10" s="65" customFormat="1" ht="14" x14ac:dyDescent="0.35">
      <c r="F2922" s="102"/>
      <c r="G2922" s="102"/>
      <c r="I2922" s="93"/>
      <c r="J2922" s="93"/>
    </row>
    <row r="2923" spans="6:10" s="65" customFormat="1" ht="14" x14ac:dyDescent="0.35">
      <c r="F2923" s="102"/>
      <c r="G2923" s="102"/>
      <c r="I2923" s="93"/>
      <c r="J2923" s="93"/>
    </row>
    <row r="2924" spans="6:10" s="65" customFormat="1" ht="14" x14ac:dyDescent="0.35">
      <c r="F2924" s="102"/>
      <c r="G2924" s="102"/>
      <c r="I2924" s="93"/>
      <c r="J2924" s="93"/>
    </row>
    <row r="2925" spans="6:10" s="65" customFormat="1" ht="14" x14ac:dyDescent="0.35">
      <c r="F2925" s="102"/>
      <c r="G2925" s="102"/>
      <c r="I2925" s="93"/>
      <c r="J2925" s="93"/>
    </row>
    <row r="2926" spans="6:10" s="65" customFormat="1" ht="14" x14ac:dyDescent="0.35">
      <c r="F2926" s="102"/>
      <c r="G2926" s="102"/>
      <c r="I2926" s="93"/>
      <c r="J2926" s="93"/>
    </row>
    <row r="2927" spans="6:10" s="65" customFormat="1" ht="14" x14ac:dyDescent="0.35">
      <c r="F2927" s="102"/>
      <c r="G2927" s="102"/>
      <c r="I2927" s="93"/>
      <c r="J2927" s="93"/>
    </row>
    <row r="2928" spans="6:10" s="65" customFormat="1" ht="14" x14ac:dyDescent="0.35">
      <c r="F2928" s="102"/>
      <c r="G2928" s="102"/>
      <c r="I2928" s="93"/>
      <c r="J2928" s="93"/>
    </row>
    <row r="2929" spans="6:10" s="65" customFormat="1" ht="14" x14ac:dyDescent="0.35">
      <c r="F2929" s="102"/>
      <c r="G2929" s="102"/>
      <c r="I2929" s="93"/>
      <c r="J2929" s="93"/>
    </row>
    <row r="2930" spans="6:10" s="65" customFormat="1" ht="14" x14ac:dyDescent="0.35">
      <c r="F2930" s="102"/>
      <c r="G2930" s="102"/>
      <c r="I2930" s="93"/>
      <c r="J2930" s="93"/>
    </row>
    <row r="2931" spans="6:10" s="65" customFormat="1" ht="14" x14ac:dyDescent="0.35">
      <c r="F2931" s="102"/>
      <c r="G2931" s="102"/>
      <c r="I2931" s="93"/>
      <c r="J2931" s="93"/>
    </row>
    <row r="2932" spans="6:10" s="65" customFormat="1" ht="14" x14ac:dyDescent="0.35">
      <c r="F2932" s="102"/>
      <c r="G2932" s="102"/>
      <c r="I2932" s="93"/>
      <c r="J2932" s="93"/>
    </row>
    <row r="2933" spans="6:10" s="65" customFormat="1" ht="14" x14ac:dyDescent="0.35">
      <c r="F2933" s="102"/>
      <c r="G2933" s="102"/>
      <c r="I2933" s="93"/>
      <c r="J2933" s="93"/>
    </row>
    <row r="2934" spans="6:10" s="65" customFormat="1" ht="14" x14ac:dyDescent="0.35">
      <c r="F2934" s="102"/>
      <c r="G2934" s="102"/>
      <c r="I2934" s="93"/>
      <c r="J2934" s="93"/>
    </row>
    <row r="2935" spans="6:10" s="65" customFormat="1" ht="14" x14ac:dyDescent="0.35">
      <c r="F2935" s="102"/>
      <c r="G2935" s="102"/>
      <c r="I2935" s="93"/>
      <c r="J2935" s="93"/>
    </row>
    <row r="2936" spans="6:10" s="65" customFormat="1" ht="14" x14ac:dyDescent="0.35">
      <c r="F2936" s="102"/>
      <c r="G2936" s="102"/>
      <c r="I2936" s="93"/>
      <c r="J2936" s="93"/>
    </row>
    <row r="2937" spans="6:10" s="65" customFormat="1" ht="14" x14ac:dyDescent="0.35">
      <c r="F2937" s="102"/>
      <c r="G2937" s="102"/>
      <c r="I2937" s="93"/>
      <c r="J2937" s="93"/>
    </row>
    <row r="2938" spans="6:10" s="65" customFormat="1" ht="14" x14ac:dyDescent="0.35">
      <c r="F2938" s="102"/>
      <c r="G2938" s="102"/>
      <c r="I2938" s="93"/>
      <c r="J2938" s="93"/>
    </row>
    <row r="2939" spans="6:10" s="65" customFormat="1" ht="14" x14ac:dyDescent="0.35">
      <c r="F2939" s="102"/>
      <c r="G2939" s="102"/>
      <c r="I2939" s="93"/>
      <c r="J2939" s="93"/>
    </row>
    <row r="2940" spans="6:10" s="65" customFormat="1" ht="14" x14ac:dyDescent="0.35">
      <c r="F2940" s="102"/>
      <c r="G2940" s="102"/>
      <c r="I2940" s="93"/>
      <c r="J2940" s="93"/>
    </row>
    <row r="2941" spans="6:10" s="65" customFormat="1" ht="14" x14ac:dyDescent="0.35">
      <c r="F2941" s="102"/>
      <c r="G2941" s="102"/>
      <c r="I2941" s="93"/>
      <c r="J2941" s="93"/>
    </row>
    <row r="2942" spans="6:10" s="65" customFormat="1" ht="14" x14ac:dyDescent="0.35">
      <c r="F2942" s="102"/>
      <c r="G2942" s="102"/>
      <c r="I2942" s="93"/>
      <c r="J2942" s="93"/>
    </row>
    <row r="2943" spans="6:10" s="65" customFormat="1" ht="14" x14ac:dyDescent="0.35">
      <c r="F2943" s="102"/>
      <c r="G2943" s="102"/>
      <c r="I2943" s="93"/>
      <c r="J2943" s="93"/>
    </row>
    <row r="2944" spans="6:10" s="65" customFormat="1" ht="14" x14ac:dyDescent="0.35">
      <c r="F2944" s="102"/>
      <c r="G2944" s="102"/>
      <c r="I2944" s="93"/>
      <c r="J2944" s="93"/>
    </row>
    <row r="2945" spans="6:10" s="65" customFormat="1" ht="14" x14ac:dyDescent="0.35">
      <c r="F2945" s="102"/>
      <c r="G2945" s="102"/>
      <c r="I2945" s="93"/>
      <c r="J2945" s="93"/>
    </row>
    <row r="2946" spans="6:10" s="65" customFormat="1" ht="14" x14ac:dyDescent="0.35">
      <c r="F2946" s="102"/>
      <c r="G2946" s="102"/>
      <c r="I2946" s="93"/>
      <c r="J2946" s="93"/>
    </row>
    <row r="2947" spans="6:10" s="65" customFormat="1" ht="14" x14ac:dyDescent="0.35">
      <c r="F2947" s="102"/>
      <c r="G2947" s="102"/>
      <c r="I2947" s="93"/>
      <c r="J2947" s="93"/>
    </row>
    <row r="2948" spans="6:10" s="65" customFormat="1" ht="14" x14ac:dyDescent="0.35">
      <c r="F2948" s="102"/>
      <c r="G2948" s="102"/>
      <c r="I2948" s="93"/>
      <c r="J2948" s="93"/>
    </row>
    <row r="2949" spans="6:10" s="65" customFormat="1" ht="14" x14ac:dyDescent="0.35">
      <c r="F2949" s="102"/>
      <c r="G2949" s="102"/>
      <c r="I2949" s="93"/>
      <c r="J2949" s="93"/>
    </row>
    <row r="2950" spans="6:10" s="65" customFormat="1" ht="14" x14ac:dyDescent="0.35">
      <c r="F2950" s="102"/>
      <c r="G2950" s="102"/>
      <c r="I2950" s="93"/>
      <c r="J2950" s="93"/>
    </row>
    <row r="2951" spans="6:10" s="65" customFormat="1" ht="14" x14ac:dyDescent="0.35">
      <c r="F2951" s="102"/>
      <c r="G2951" s="102"/>
      <c r="I2951" s="93"/>
      <c r="J2951" s="93"/>
    </row>
    <row r="2952" spans="6:10" s="65" customFormat="1" ht="14" x14ac:dyDescent="0.35">
      <c r="F2952" s="102"/>
      <c r="G2952" s="102"/>
      <c r="I2952" s="93"/>
      <c r="J2952" s="93"/>
    </row>
    <row r="2953" spans="6:10" s="65" customFormat="1" ht="14" x14ac:dyDescent="0.35">
      <c r="F2953" s="102"/>
      <c r="G2953" s="102"/>
      <c r="I2953" s="93"/>
      <c r="J2953" s="93"/>
    </row>
    <row r="2954" spans="6:10" s="65" customFormat="1" ht="14" x14ac:dyDescent="0.35">
      <c r="F2954" s="102"/>
      <c r="G2954" s="102"/>
      <c r="I2954" s="93"/>
      <c r="J2954" s="93"/>
    </row>
    <row r="2955" spans="6:10" s="65" customFormat="1" ht="14" x14ac:dyDescent="0.35">
      <c r="F2955" s="102"/>
      <c r="G2955" s="102"/>
      <c r="I2955" s="93"/>
      <c r="J2955" s="93"/>
    </row>
    <row r="2956" spans="6:10" s="65" customFormat="1" ht="14" x14ac:dyDescent="0.35">
      <c r="F2956" s="102"/>
      <c r="G2956" s="102"/>
      <c r="I2956" s="93"/>
      <c r="J2956" s="93"/>
    </row>
    <row r="2957" spans="6:10" s="65" customFormat="1" ht="14" x14ac:dyDescent="0.35">
      <c r="F2957" s="102"/>
      <c r="G2957" s="102"/>
      <c r="I2957" s="93"/>
      <c r="J2957" s="93"/>
    </row>
    <row r="2958" spans="6:10" s="65" customFormat="1" ht="14" x14ac:dyDescent="0.35">
      <c r="F2958" s="102"/>
      <c r="G2958" s="102"/>
      <c r="I2958" s="93"/>
      <c r="J2958" s="93"/>
    </row>
    <row r="2959" spans="6:10" s="65" customFormat="1" ht="14" x14ac:dyDescent="0.35">
      <c r="F2959" s="102"/>
      <c r="G2959" s="102"/>
      <c r="I2959" s="93"/>
      <c r="J2959" s="93"/>
    </row>
    <row r="2960" spans="6:10" s="65" customFormat="1" ht="14" x14ac:dyDescent="0.35">
      <c r="F2960" s="102"/>
      <c r="G2960" s="102"/>
      <c r="I2960" s="93"/>
      <c r="J2960" s="93"/>
    </row>
    <row r="2961" spans="6:10" s="65" customFormat="1" ht="14" x14ac:dyDescent="0.35">
      <c r="F2961" s="102"/>
      <c r="G2961" s="102"/>
      <c r="I2961" s="93"/>
      <c r="J2961" s="93"/>
    </row>
    <row r="2962" spans="6:10" s="65" customFormat="1" ht="14" x14ac:dyDescent="0.35">
      <c r="F2962" s="102"/>
      <c r="G2962" s="102"/>
      <c r="I2962" s="93"/>
      <c r="J2962" s="93"/>
    </row>
    <row r="2963" spans="6:10" s="65" customFormat="1" ht="14" x14ac:dyDescent="0.35">
      <c r="F2963" s="102"/>
      <c r="G2963" s="102"/>
      <c r="I2963" s="93"/>
      <c r="J2963" s="93"/>
    </row>
    <row r="2964" spans="6:10" s="65" customFormat="1" ht="14" x14ac:dyDescent="0.35">
      <c r="F2964" s="102"/>
      <c r="G2964" s="102"/>
      <c r="I2964" s="93"/>
      <c r="J2964" s="93"/>
    </row>
    <row r="2965" spans="6:10" s="65" customFormat="1" ht="14" x14ac:dyDescent="0.35">
      <c r="F2965" s="102"/>
      <c r="G2965" s="102"/>
      <c r="I2965" s="93"/>
      <c r="J2965" s="93"/>
    </row>
    <row r="2966" spans="6:10" s="65" customFormat="1" ht="14" x14ac:dyDescent="0.35">
      <c r="F2966" s="102"/>
      <c r="G2966" s="102"/>
      <c r="I2966" s="93"/>
      <c r="J2966" s="93"/>
    </row>
    <row r="2967" spans="6:10" s="65" customFormat="1" ht="14" x14ac:dyDescent="0.35">
      <c r="F2967" s="102"/>
      <c r="G2967" s="102"/>
      <c r="I2967" s="93"/>
      <c r="J2967" s="93"/>
    </row>
    <row r="2968" spans="6:10" s="65" customFormat="1" ht="14" x14ac:dyDescent="0.35">
      <c r="F2968" s="102"/>
      <c r="G2968" s="102"/>
      <c r="I2968" s="93"/>
      <c r="J2968" s="93"/>
    </row>
    <row r="2969" spans="6:10" s="65" customFormat="1" ht="14" x14ac:dyDescent="0.35">
      <c r="F2969" s="102"/>
      <c r="G2969" s="102"/>
      <c r="I2969" s="93"/>
      <c r="J2969" s="93"/>
    </row>
    <row r="2970" spans="6:10" s="65" customFormat="1" ht="14" x14ac:dyDescent="0.35">
      <c r="F2970" s="102"/>
      <c r="G2970" s="102"/>
      <c r="I2970" s="93"/>
      <c r="J2970" s="93"/>
    </row>
    <row r="2971" spans="6:10" s="65" customFormat="1" ht="14" x14ac:dyDescent="0.35">
      <c r="F2971" s="102"/>
      <c r="G2971" s="102"/>
      <c r="I2971" s="93"/>
      <c r="J2971" s="93"/>
    </row>
    <row r="2972" spans="6:10" s="65" customFormat="1" ht="14" x14ac:dyDescent="0.35">
      <c r="F2972" s="102"/>
      <c r="G2972" s="102"/>
      <c r="I2972" s="93"/>
      <c r="J2972" s="93"/>
    </row>
    <row r="2973" spans="6:10" s="65" customFormat="1" ht="14" x14ac:dyDescent="0.35">
      <c r="F2973" s="102"/>
      <c r="G2973" s="102"/>
      <c r="I2973" s="93"/>
      <c r="J2973" s="93"/>
    </row>
    <row r="2974" spans="6:10" s="65" customFormat="1" ht="14" x14ac:dyDescent="0.35">
      <c r="F2974" s="102"/>
      <c r="G2974" s="102"/>
      <c r="I2974" s="93"/>
      <c r="J2974" s="93"/>
    </row>
    <row r="2975" spans="6:10" s="65" customFormat="1" ht="14" x14ac:dyDescent="0.35">
      <c r="F2975" s="102"/>
      <c r="G2975" s="102"/>
      <c r="I2975" s="93"/>
      <c r="J2975" s="93"/>
    </row>
    <row r="2976" spans="6:10" s="65" customFormat="1" ht="14" x14ac:dyDescent="0.35">
      <c r="F2976" s="102"/>
      <c r="G2976" s="102"/>
      <c r="I2976" s="93"/>
      <c r="J2976" s="93"/>
    </row>
    <row r="2977" spans="6:10" s="65" customFormat="1" ht="14" x14ac:dyDescent="0.35">
      <c r="F2977" s="102"/>
      <c r="G2977" s="102"/>
      <c r="I2977" s="93"/>
      <c r="J2977" s="93"/>
    </row>
    <row r="2978" spans="6:10" s="65" customFormat="1" ht="14" x14ac:dyDescent="0.35">
      <c r="F2978" s="102"/>
      <c r="G2978" s="102"/>
      <c r="I2978" s="93"/>
      <c r="J2978" s="93"/>
    </row>
    <row r="2979" spans="6:10" s="65" customFormat="1" ht="14" x14ac:dyDescent="0.35">
      <c r="F2979" s="102"/>
      <c r="G2979" s="102"/>
      <c r="I2979" s="93"/>
      <c r="J2979" s="93"/>
    </row>
    <row r="2980" spans="6:10" s="65" customFormat="1" ht="14" x14ac:dyDescent="0.35">
      <c r="F2980" s="102"/>
      <c r="G2980" s="102"/>
      <c r="I2980" s="93"/>
      <c r="J2980" s="93"/>
    </row>
    <row r="2981" spans="6:10" s="65" customFormat="1" ht="14" x14ac:dyDescent="0.35">
      <c r="F2981" s="102"/>
      <c r="G2981" s="102"/>
      <c r="I2981" s="93"/>
      <c r="J2981" s="93"/>
    </row>
    <row r="2982" spans="6:10" s="65" customFormat="1" ht="14" x14ac:dyDescent="0.35">
      <c r="F2982" s="102"/>
      <c r="G2982" s="102"/>
      <c r="I2982" s="93"/>
      <c r="J2982" s="93"/>
    </row>
    <row r="2983" spans="6:10" s="65" customFormat="1" ht="14" x14ac:dyDescent="0.35">
      <c r="F2983" s="102"/>
      <c r="G2983" s="102"/>
      <c r="I2983" s="93"/>
      <c r="J2983" s="93"/>
    </row>
    <row r="2984" spans="6:10" s="65" customFormat="1" ht="14" x14ac:dyDescent="0.35">
      <c r="F2984" s="102"/>
      <c r="G2984" s="102"/>
      <c r="I2984" s="93"/>
      <c r="J2984" s="93"/>
    </row>
    <row r="2985" spans="6:10" s="65" customFormat="1" ht="14" x14ac:dyDescent="0.35">
      <c r="F2985" s="102"/>
      <c r="G2985" s="102"/>
      <c r="I2985" s="93"/>
      <c r="J2985" s="93"/>
    </row>
    <row r="2986" spans="6:10" s="65" customFormat="1" ht="14" x14ac:dyDescent="0.35">
      <c r="F2986" s="102"/>
      <c r="G2986" s="102"/>
      <c r="I2986" s="93"/>
      <c r="J2986" s="93"/>
    </row>
    <row r="2987" spans="6:10" s="65" customFormat="1" ht="14" x14ac:dyDescent="0.35">
      <c r="F2987" s="102"/>
      <c r="G2987" s="102"/>
      <c r="I2987" s="93"/>
      <c r="J2987" s="93"/>
    </row>
    <row r="2988" spans="6:10" s="65" customFormat="1" ht="14" x14ac:dyDescent="0.35">
      <c r="F2988" s="102"/>
      <c r="G2988" s="102"/>
      <c r="I2988" s="93"/>
      <c r="J2988" s="93"/>
    </row>
    <row r="2989" spans="6:10" s="65" customFormat="1" ht="14" x14ac:dyDescent="0.35">
      <c r="F2989" s="102"/>
      <c r="G2989" s="102"/>
      <c r="I2989" s="93"/>
      <c r="J2989" s="93"/>
    </row>
    <row r="2990" spans="6:10" s="65" customFormat="1" ht="14" x14ac:dyDescent="0.35">
      <c r="F2990" s="102"/>
      <c r="G2990" s="102"/>
      <c r="I2990" s="93"/>
      <c r="J2990" s="93"/>
    </row>
    <row r="2991" spans="6:10" s="65" customFormat="1" ht="14" x14ac:dyDescent="0.35">
      <c r="F2991" s="102"/>
      <c r="G2991" s="102"/>
      <c r="I2991" s="93"/>
      <c r="J2991" s="93"/>
    </row>
    <row r="2992" spans="6:10" s="65" customFormat="1" ht="14" x14ac:dyDescent="0.35">
      <c r="F2992" s="102"/>
      <c r="G2992" s="102"/>
      <c r="I2992" s="93"/>
      <c r="J2992" s="93"/>
    </row>
    <row r="2993" spans="6:10" s="65" customFormat="1" ht="14" x14ac:dyDescent="0.35">
      <c r="F2993" s="102"/>
      <c r="G2993" s="102"/>
      <c r="I2993" s="93"/>
      <c r="J2993" s="93"/>
    </row>
    <row r="2994" spans="6:10" s="65" customFormat="1" ht="14" x14ac:dyDescent="0.35">
      <c r="F2994" s="102"/>
      <c r="G2994" s="102"/>
      <c r="I2994" s="93"/>
      <c r="J2994" s="93"/>
    </row>
    <row r="2995" spans="6:10" s="65" customFormat="1" ht="14" x14ac:dyDescent="0.35">
      <c r="F2995" s="102"/>
      <c r="G2995" s="102"/>
      <c r="I2995" s="93"/>
      <c r="J2995" s="93"/>
    </row>
    <row r="2996" spans="6:10" s="65" customFormat="1" ht="14" x14ac:dyDescent="0.35">
      <c r="F2996" s="102"/>
      <c r="G2996" s="102"/>
      <c r="I2996" s="93"/>
      <c r="J2996" s="93"/>
    </row>
    <row r="2997" spans="6:10" s="65" customFormat="1" ht="14" x14ac:dyDescent="0.35">
      <c r="F2997" s="102"/>
      <c r="G2997" s="102"/>
      <c r="I2997" s="93"/>
      <c r="J2997" s="93"/>
    </row>
    <row r="2998" spans="6:10" s="65" customFormat="1" ht="14" x14ac:dyDescent="0.35">
      <c r="F2998" s="102"/>
      <c r="G2998" s="102"/>
      <c r="I2998" s="93"/>
      <c r="J2998" s="93"/>
    </row>
    <row r="2999" spans="6:10" s="65" customFormat="1" ht="14" x14ac:dyDescent="0.35">
      <c r="F2999" s="102"/>
      <c r="G2999" s="102"/>
      <c r="I2999" s="93"/>
      <c r="J2999" s="93"/>
    </row>
    <row r="3000" spans="6:10" s="65" customFormat="1" ht="14" x14ac:dyDescent="0.35">
      <c r="F3000" s="102"/>
      <c r="G3000" s="102"/>
      <c r="I3000" s="93"/>
      <c r="J3000" s="93"/>
    </row>
    <row r="3001" spans="6:10" s="65" customFormat="1" ht="14" x14ac:dyDescent="0.35">
      <c r="F3001" s="102"/>
      <c r="G3001" s="102"/>
      <c r="I3001" s="93"/>
      <c r="J3001" s="93"/>
    </row>
    <row r="3002" spans="6:10" s="65" customFormat="1" ht="14" x14ac:dyDescent="0.35">
      <c r="F3002" s="102"/>
      <c r="G3002" s="102"/>
      <c r="I3002" s="93"/>
      <c r="J3002" s="93"/>
    </row>
    <row r="3003" spans="6:10" s="65" customFormat="1" ht="14" x14ac:dyDescent="0.35">
      <c r="F3003" s="102"/>
      <c r="G3003" s="102"/>
      <c r="I3003" s="93"/>
      <c r="J3003" s="93"/>
    </row>
    <row r="3004" spans="6:10" s="65" customFormat="1" ht="14" x14ac:dyDescent="0.35">
      <c r="F3004" s="102"/>
      <c r="G3004" s="102"/>
      <c r="I3004" s="93"/>
      <c r="J3004" s="93"/>
    </row>
    <row r="3005" spans="6:10" s="65" customFormat="1" ht="14" x14ac:dyDescent="0.35">
      <c r="F3005" s="102"/>
      <c r="G3005" s="102"/>
      <c r="I3005" s="93"/>
      <c r="J3005" s="93"/>
    </row>
    <row r="3006" spans="6:10" s="65" customFormat="1" ht="14" x14ac:dyDescent="0.35">
      <c r="F3006" s="102"/>
      <c r="G3006" s="102"/>
      <c r="I3006" s="93"/>
      <c r="J3006" s="93"/>
    </row>
    <row r="3007" spans="6:10" s="65" customFormat="1" ht="14" x14ac:dyDescent="0.35">
      <c r="F3007" s="102"/>
      <c r="G3007" s="102"/>
      <c r="I3007" s="93"/>
      <c r="J3007" s="93"/>
    </row>
    <row r="3008" spans="6:10" s="65" customFormat="1" ht="14" x14ac:dyDescent="0.35">
      <c r="F3008" s="102"/>
      <c r="G3008" s="102"/>
      <c r="I3008" s="93"/>
      <c r="J3008" s="93"/>
    </row>
    <row r="3009" spans="6:10" s="65" customFormat="1" ht="14" x14ac:dyDescent="0.35">
      <c r="F3009" s="102"/>
      <c r="G3009" s="102"/>
      <c r="I3009" s="93"/>
      <c r="J3009" s="93"/>
    </row>
    <row r="3010" spans="6:10" s="65" customFormat="1" ht="14" x14ac:dyDescent="0.35">
      <c r="F3010" s="102"/>
      <c r="G3010" s="102"/>
      <c r="I3010" s="93"/>
      <c r="J3010" s="93"/>
    </row>
    <row r="3011" spans="6:10" s="65" customFormat="1" ht="14" x14ac:dyDescent="0.35">
      <c r="F3011" s="102"/>
      <c r="G3011" s="102"/>
      <c r="I3011" s="93"/>
      <c r="J3011" s="93"/>
    </row>
    <row r="3012" spans="6:10" s="65" customFormat="1" ht="14" x14ac:dyDescent="0.35">
      <c r="F3012" s="102"/>
      <c r="G3012" s="102"/>
      <c r="I3012" s="93"/>
      <c r="J3012" s="93"/>
    </row>
    <row r="3013" spans="6:10" s="65" customFormat="1" ht="14" x14ac:dyDescent="0.35">
      <c r="F3013" s="102"/>
      <c r="G3013" s="102"/>
      <c r="I3013" s="93"/>
      <c r="J3013" s="93"/>
    </row>
    <row r="3014" spans="6:10" s="65" customFormat="1" ht="14" x14ac:dyDescent="0.35">
      <c r="F3014" s="102"/>
      <c r="G3014" s="102"/>
      <c r="I3014" s="93"/>
      <c r="J3014" s="93"/>
    </row>
    <row r="3015" spans="6:10" s="65" customFormat="1" ht="14" x14ac:dyDescent="0.35">
      <c r="F3015" s="102"/>
      <c r="G3015" s="102"/>
      <c r="I3015" s="93"/>
      <c r="J3015" s="93"/>
    </row>
    <row r="3016" spans="6:10" s="65" customFormat="1" ht="14" x14ac:dyDescent="0.35">
      <c r="F3016" s="102"/>
      <c r="G3016" s="102"/>
      <c r="I3016" s="93"/>
      <c r="J3016" s="93"/>
    </row>
    <row r="3017" spans="6:10" s="65" customFormat="1" ht="14" x14ac:dyDescent="0.35">
      <c r="F3017" s="102"/>
      <c r="G3017" s="102"/>
      <c r="I3017" s="93"/>
      <c r="J3017" s="93"/>
    </row>
    <row r="3018" spans="6:10" s="65" customFormat="1" ht="14" x14ac:dyDescent="0.35">
      <c r="F3018" s="102"/>
      <c r="G3018" s="102"/>
      <c r="I3018" s="93"/>
      <c r="J3018" s="93"/>
    </row>
    <row r="3019" spans="6:10" s="65" customFormat="1" ht="14" x14ac:dyDescent="0.35">
      <c r="F3019" s="102"/>
      <c r="G3019" s="102"/>
      <c r="I3019" s="93"/>
      <c r="J3019" s="93"/>
    </row>
    <row r="3020" spans="6:10" s="65" customFormat="1" ht="14" x14ac:dyDescent="0.35">
      <c r="F3020" s="102"/>
      <c r="G3020" s="102"/>
      <c r="I3020" s="93"/>
      <c r="J3020" s="93"/>
    </row>
    <row r="3021" spans="6:10" s="65" customFormat="1" ht="14" x14ac:dyDescent="0.35">
      <c r="F3021" s="102"/>
      <c r="G3021" s="102"/>
      <c r="I3021" s="93"/>
      <c r="J3021" s="93"/>
    </row>
    <row r="3022" spans="6:10" s="65" customFormat="1" ht="14" x14ac:dyDescent="0.35">
      <c r="F3022" s="102"/>
      <c r="G3022" s="102"/>
      <c r="I3022" s="93"/>
      <c r="J3022" s="93"/>
    </row>
    <row r="3023" spans="6:10" s="65" customFormat="1" ht="14" x14ac:dyDescent="0.35">
      <c r="F3023" s="102"/>
      <c r="G3023" s="102"/>
      <c r="I3023" s="93"/>
      <c r="J3023" s="93"/>
    </row>
    <row r="3024" spans="6:10" s="65" customFormat="1" ht="14" x14ac:dyDescent="0.35">
      <c r="F3024" s="102"/>
      <c r="G3024" s="102"/>
      <c r="I3024" s="93"/>
      <c r="J3024" s="93"/>
    </row>
    <row r="3025" spans="6:10" s="65" customFormat="1" ht="14" x14ac:dyDescent="0.35">
      <c r="F3025" s="102"/>
      <c r="G3025" s="102"/>
      <c r="I3025" s="93"/>
      <c r="J3025" s="93"/>
    </row>
    <row r="3026" spans="6:10" s="65" customFormat="1" ht="14" x14ac:dyDescent="0.35">
      <c r="F3026" s="102"/>
      <c r="G3026" s="102"/>
      <c r="I3026" s="93"/>
      <c r="J3026" s="93"/>
    </row>
    <row r="3027" spans="6:10" s="65" customFormat="1" ht="14" x14ac:dyDescent="0.35">
      <c r="F3027" s="102"/>
      <c r="G3027" s="102"/>
      <c r="I3027" s="93"/>
      <c r="J3027" s="93"/>
    </row>
    <row r="3028" spans="6:10" s="65" customFormat="1" ht="14" x14ac:dyDescent="0.35">
      <c r="F3028" s="102"/>
      <c r="G3028" s="102"/>
      <c r="I3028" s="93"/>
      <c r="J3028" s="93"/>
    </row>
    <row r="3029" spans="6:10" s="65" customFormat="1" ht="14" x14ac:dyDescent="0.35">
      <c r="F3029" s="102"/>
      <c r="G3029" s="102"/>
      <c r="I3029" s="93"/>
      <c r="J3029" s="93"/>
    </row>
    <row r="3030" spans="6:10" s="65" customFormat="1" ht="14" x14ac:dyDescent="0.35">
      <c r="F3030" s="102"/>
      <c r="G3030" s="102"/>
      <c r="I3030" s="93"/>
      <c r="J3030" s="93"/>
    </row>
    <row r="3031" spans="6:10" s="65" customFormat="1" ht="14" x14ac:dyDescent="0.35">
      <c r="F3031" s="102"/>
      <c r="G3031" s="102"/>
      <c r="I3031" s="93"/>
      <c r="J3031" s="93"/>
    </row>
    <row r="3032" spans="6:10" s="65" customFormat="1" ht="14" x14ac:dyDescent="0.35">
      <c r="F3032" s="102"/>
      <c r="G3032" s="102"/>
      <c r="I3032" s="93"/>
      <c r="J3032" s="93"/>
    </row>
    <row r="3033" spans="6:10" s="65" customFormat="1" ht="14" x14ac:dyDescent="0.35">
      <c r="F3033" s="102"/>
      <c r="G3033" s="102"/>
      <c r="I3033" s="93"/>
      <c r="J3033" s="93"/>
    </row>
    <row r="3034" spans="6:10" s="65" customFormat="1" ht="14" x14ac:dyDescent="0.35">
      <c r="F3034" s="102"/>
      <c r="G3034" s="102"/>
      <c r="I3034" s="93"/>
      <c r="J3034" s="93"/>
    </row>
    <row r="3035" spans="6:10" s="65" customFormat="1" ht="14" x14ac:dyDescent="0.35">
      <c r="F3035" s="102"/>
      <c r="G3035" s="102"/>
      <c r="I3035" s="93"/>
      <c r="J3035" s="93"/>
    </row>
    <row r="3036" spans="6:10" s="65" customFormat="1" ht="14" x14ac:dyDescent="0.35">
      <c r="F3036" s="102"/>
      <c r="G3036" s="102"/>
      <c r="I3036" s="93"/>
      <c r="J3036" s="93"/>
    </row>
    <row r="3037" spans="6:10" s="65" customFormat="1" ht="14" x14ac:dyDescent="0.35">
      <c r="F3037" s="102"/>
      <c r="G3037" s="102"/>
      <c r="I3037" s="93"/>
      <c r="J3037" s="93"/>
    </row>
    <row r="3038" spans="6:10" s="65" customFormat="1" ht="14" x14ac:dyDescent="0.35">
      <c r="F3038" s="102"/>
      <c r="G3038" s="102"/>
      <c r="I3038" s="93"/>
      <c r="J3038" s="93"/>
    </row>
    <row r="3039" spans="6:10" s="65" customFormat="1" ht="14" x14ac:dyDescent="0.35">
      <c r="F3039" s="102"/>
      <c r="G3039" s="102"/>
      <c r="I3039" s="93"/>
      <c r="J3039" s="93"/>
    </row>
    <row r="3040" spans="6:10" s="65" customFormat="1" ht="14" x14ac:dyDescent="0.35">
      <c r="F3040" s="102"/>
      <c r="G3040" s="102"/>
      <c r="I3040" s="93"/>
      <c r="J3040" s="93"/>
    </row>
    <row r="3041" spans="6:10" s="65" customFormat="1" ht="14" x14ac:dyDescent="0.35">
      <c r="F3041" s="102"/>
      <c r="G3041" s="102"/>
      <c r="I3041" s="93"/>
      <c r="J3041" s="93"/>
    </row>
    <row r="3042" spans="6:10" s="65" customFormat="1" ht="14" x14ac:dyDescent="0.35">
      <c r="F3042" s="102"/>
      <c r="G3042" s="102"/>
      <c r="I3042" s="93"/>
      <c r="J3042" s="93"/>
    </row>
    <row r="3043" spans="6:10" s="65" customFormat="1" ht="14" x14ac:dyDescent="0.35">
      <c r="F3043" s="102"/>
      <c r="G3043" s="102"/>
      <c r="I3043" s="93"/>
      <c r="J3043" s="93"/>
    </row>
    <row r="3044" spans="6:10" s="65" customFormat="1" ht="14" x14ac:dyDescent="0.35">
      <c r="F3044" s="102"/>
      <c r="G3044" s="102"/>
      <c r="I3044" s="93"/>
      <c r="J3044" s="93"/>
    </row>
    <row r="3045" spans="6:10" s="65" customFormat="1" ht="14" x14ac:dyDescent="0.35">
      <c r="F3045" s="102"/>
      <c r="G3045" s="102"/>
      <c r="I3045" s="93"/>
      <c r="J3045" s="93"/>
    </row>
    <row r="3046" spans="6:10" s="65" customFormat="1" ht="14" x14ac:dyDescent="0.35">
      <c r="F3046" s="102"/>
      <c r="G3046" s="102"/>
      <c r="I3046" s="93"/>
      <c r="J3046" s="93"/>
    </row>
    <row r="3047" spans="6:10" s="65" customFormat="1" ht="14" x14ac:dyDescent="0.35">
      <c r="F3047" s="102"/>
      <c r="G3047" s="102"/>
      <c r="I3047" s="93"/>
      <c r="J3047" s="93"/>
    </row>
    <row r="3048" spans="6:10" s="65" customFormat="1" ht="14" x14ac:dyDescent="0.35">
      <c r="F3048" s="102"/>
      <c r="G3048" s="102"/>
      <c r="I3048" s="93"/>
      <c r="J3048" s="93"/>
    </row>
    <row r="3049" spans="6:10" s="65" customFormat="1" ht="14" x14ac:dyDescent="0.35">
      <c r="F3049" s="102"/>
      <c r="G3049" s="102"/>
      <c r="I3049" s="93"/>
      <c r="J3049" s="93"/>
    </row>
    <row r="3050" spans="6:10" s="65" customFormat="1" ht="14" x14ac:dyDescent="0.35">
      <c r="F3050" s="102"/>
      <c r="G3050" s="102"/>
      <c r="I3050" s="93"/>
      <c r="J3050" s="93"/>
    </row>
    <row r="3051" spans="6:10" s="65" customFormat="1" ht="14" x14ac:dyDescent="0.35">
      <c r="F3051" s="102"/>
      <c r="G3051" s="102"/>
      <c r="I3051" s="93"/>
      <c r="J3051" s="93"/>
    </row>
    <row r="3052" spans="6:10" s="65" customFormat="1" ht="14" x14ac:dyDescent="0.35">
      <c r="F3052" s="102"/>
      <c r="G3052" s="102"/>
      <c r="I3052" s="93"/>
      <c r="J3052" s="93"/>
    </row>
    <row r="3053" spans="6:10" s="65" customFormat="1" ht="14" x14ac:dyDescent="0.35">
      <c r="F3053" s="102"/>
      <c r="G3053" s="102"/>
      <c r="I3053" s="93"/>
      <c r="J3053" s="93"/>
    </row>
    <row r="3054" spans="6:10" s="65" customFormat="1" ht="14" x14ac:dyDescent="0.35">
      <c r="F3054" s="102"/>
      <c r="G3054" s="102"/>
      <c r="I3054" s="93"/>
      <c r="J3054" s="93"/>
    </row>
    <row r="3055" spans="6:10" s="65" customFormat="1" ht="14" x14ac:dyDescent="0.35">
      <c r="F3055" s="102"/>
      <c r="G3055" s="102"/>
      <c r="I3055" s="93"/>
      <c r="J3055" s="93"/>
    </row>
    <row r="3056" spans="6:10" s="65" customFormat="1" ht="14" x14ac:dyDescent="0.35">
      <c r="F3056" s="102"/>
      <c r="G3056" s="102"/>
      <c r="I3056" s="93"/>
      <c r="J3056" s="93"/>
    </row>
    <row r="3057" spans="6:10" s="65" customFormat="1" ht="14" x14ac:dyDescent="0.35">
      <c r="F3057" s="102"/>
      <c r="G3057" s="102"/>
      <c r="I3057" s="93"/>
      <c r="J3057" s="93"/>
    </row>
    <row r="3058" spans="6:10" s="65" customFormat="1" ht="14" x14ac:dyDescent="0.35">
      <c r="F3058" s="102"/>
      <c r="G3058" s="102"/>
      <c r="I3058" s="93"/>
      <c r="J3058" s="93"/>
    </row>
    <row r="3059" spans="6:10" s="65" customFormat="1" ht="14" x14ac:dyDescent="0.35">
      <c r="F3059" s="102"/>
      <c r="G3059" s="102"/>
      <c r="I3059" s="93"/>
      <c r="J3059" s="93"/>
    </row>
    <row r="3060" spans="6:10" s="65" customFormat="1" ht="14" x14ac:dyDescent="0.35">
      <c r="F3060" s="102"/>
      <c r="G3060" s="102"/>
      <c r="I3060" s="93"/>
      <c r="J3060" s="93"/>
    </row>
    <row r="3061" spans="6:10" s="65" customFormat="1" ht="14" x14ac:dyDescent="0.35">
      <c r="F3061" s="102"/>
      <c r="G3061" s="102"/>
      <c r="I3061" s="93"/>
      <c r="J3061" s="93"/>
    </row>
    <row r="3062" spans="6:10" s="65" customFormat="1" ht="14" x14ac:dyDescent="0.35">
      <c r="F3062" s="102"/>
      <c r="G3062" s="102"/>
      <c r="I3062" s="93"/>
      <c r="J3062" s="93"/>
    </row>
    <row r="3063" spans="6:10" s="65" customFormat="1" ht="14" x14ac:dyDescent="0.35">
      <c r="F3063" s="102"/>
      <c r="G3063" s="102"/>
      <c r="I3063" s="93"/>
      <c r="J3063" s="93"/>
    </row>
    <row r="3064" spans="6:10" s="65" customFormat="1" ht="14" x14ac:dyDescent="0.35">
      <c r="F3064" s="102"/>
      <c r="G3064" s="102"/>
      <c r="I3064" s="93"/>
      <c r="J3064" s="93"/>
    </row>
    <row r="3065" spans="6:10" s="65" customFormat="1" ht="14" x14ac:dyDescent="0.35">
      <c r="F3065" s="102"/>
      <c r="G3065" s="102"/>
      <c r="I3065" s="93"/>
      <c r="J3065" s="93"/>
    </row>
    <row r="3066" spans="6:10" s="65" customFormat="1" ht="14" x14ac:dyDescent="0.35">
      <c r="F3066" s="102"/>
      <c r="G3066" s="102"/>
      <c r="I3066" s="93"/>
      <c r="J3066" s="93"/>
    </row>
    <row r="3067" spans="6:10" s="65" customFormat="1" ht="14" x14ac:dyDescent="0.35">
      <c r="F3067" s="102"/>
      <c r="G3067" s="102"/>
      <c r="I3067" s="93"/>
      <c r="J3067" s="93"/>
    </row>
    <row r="3068" spans="6:10" s="65" customFormat="1" ht="14" x14ac:dyDescent="0.35">
      <c r="F3068" s="102"/>
      <c r="G3068" s="102"/>
      <c r="I3068" s="93"/>
      <c r="J3068" s="93"/>
    </row>
    <row r="3069" spans="6:10" s="65" customFormat="1" ht="14" x14ac:dyDescent="0.35">
      <c r="F3069" s="102"/>
      <c r="G3069" s="102"/>
      <c r="I3069" s="93"/>
      <c r="J3069" s="93"/>
    </row>
    <row r="3070" spans="6:10" s="65" customFormat="1" ht="14" x14ac:dyDescent="0.35">
      <c r="F3070" s="102"/>
      <c r="G3070" s="102"/>
      <c r="I3070" s="93"/>
      <c r="J3070" s="93"/>
    </row>
    <row r="3071" spans="6:10" s="65" customFormat="1" ht="14" x14ac:dyDescent="0.35">
      <c r="F3071" s="102"/>
      <c r="G3071" s="102"/>
      <c r="I3071" s="93"/>
      <c r="J3071" s="93"/>
    </row>
    <row r="3072" spans="6:10" s="65" customFormat="1" ht="14" x14ac:dyDescent="0.35">
      <c r="F3072" s="102"/>
      <c r="G3072" s="102"/>
      <c r="I3072" s="93"/>
      <c r="J3072" s="93"/>
    </row>
    <row r="3073" spans="6:10" s="65" customFormat="1" ht="14" x14ac:dyDescent="0.35">
      <c r="F3073" s="102"/>
      <c r="G3073" s="102"/>
      <c r="I3073" s="93"/>
      <c r="J3073" s="93"/>
    </row>
    <row r="3074" spans="6:10" s="65" customFormat="1" ht="14" x14ac:dyDescent="0.35">
      <c r="F3074" s="102"/>
      <c r="G3074" s="102"/>
      <c r="I3074" s="93"/>
      <c r="J3074" s="93"/>
    </row>
    <row r="3075" spans="6:10" s="65" customFormat="1" ht="14" x14ac:dyDescent="0.35">
      <c r="F3075" s="102"/>
      <c r="G3075" s="102"/>
      <c r="I3075" s="93"/>
      <c r="J3075" s="93"/>
    </row>
    <row r="3076" spans="6:10" s="65" customFormat="1" ht="14" x14ac:dyDescent="0.35">
      <c r="F3076" s="102"/>
      <c r="G3076" s="102"/>
      <c r="I3076" s="93"/>
      <c r="J3076" s="93"/>
    </row>
    <row r="3077" spans="6:10" s="65" customFormat="1" ht="14" x14ac:dyDescent="0.35">
      <c r="F3077" s="102"/>
      <c r="G3077" s="102"/>
      <c r="I3077" s="93"/>
      <c r="J3077" s="93"/>
    </row>
    <row r="3078" spans="6:10" s="65" customFormat="1" ht="14" x14ac:dyDescent="0.35">
      <c r="F3078" s="102"/>
      <c r="G3078" s="102"/>
      <c r="I3078" s="93"/>
      <c r="J3078" s="93"/>
    </row>
    <row r="3079" spans="6:10" s="65" customFormat="1" ht="14" x14ac:dyDescent="0.35">
      <c r="F3079" s="102"/>
      <c r="G3079" s="102"/>
      <c r="I3079" s="93"/>
      <c r="J3079" s="93"/>
    </row>
    <row r="3080" spans="6:10" s="65" customFormat="1" ht="14" x14ac:dyDescent="0.35">
      <c r="F3080" s="102"/>
      <c r="G3080" s="102"/>
      <c r="I3080" s="93"/>
      <c r="J3080" s="93"/>
    </row>
    <row r="3081" spans="6:10" s="65" customFormat="1" ht="14" x14ac:dyDescent="0.35">
      <c r="F3081" s="102"/>
      <c r="G3081" s="102"/>
      <c r="I3081" s="93"/>
      <c r="J3081" s="93"/>
    </row>
    <row r="3082" spans="6:10" s="65" customFormat="1" ht="14" x14ac:dyDescent="0.35">
      <c r="F3082" s="102"/>
      <c r="G3082" s="102"/>
      <c r="I3082" s="93"/>
      <c r="J3082" s="93"/>
    </row>
    <row r="3083" spans="6:10" s="65" customFormat="1" ht="14" x14ac:dyDescent="0.35">
      <c r="F3083" s="102"/>
      <c r="G3083" s="102"/>
      <c r="I3083" s="93"/>
      <c r="J3083" s="93"/>
    </row>
    <row r="3084" spans="6:10" s="65" customFormat="1" ht="14" x14ac:dyDescent="0.35">
      <c r="F3084" s="102"/>
      <c r="G3084" s="102"/>
      <c r="I3084" s="93"/>
      <c r="J3084" s="93"/>
    </row>
    <row r="3085" spans="6:10" s="65" customFormat="1" ht="14" x14ac:dyDescent="0.35">
      <c r="F3085" s="102"/>
      <c r="G3085" s="102"/>
      <c r="I3085" s="93"/>
      <c r="J3085" s="93"/>
    </row>
    <row r="3086" spans="6:10" s="65" customFormat="1" ht="14" x14ac:dyDescent="0.35">
      <c r="F3086" s="102"/>
      <c r="G3086" s="102"/>
      <c r="I3086" s="93"/>
      <c r="J3086" s="93"/>
    </row>
    <row r="3087" spans="6:10" s="65" customFormat="1" ht="14" x14ac:dyDescent="0.35">
      <c r="F3087" s="102"/>
      <c r="G3087" s="102"/>
      <c r="I3087" s="93"/>
      <c r="J3087" s="93"/>
    </row>
    <row r="3088" spans="6:10" s="65" customFormat="1" ht="14" x14ac:dyDescent="0.35">
      <c r="F3088" s="102"/>
      <c r="G3088" s="102"/>
      <c r="I3088" s="93"/>
      <c r="J3088" s="93"/>
    </row>
    <row r="3089" spans="6:10" s="65" customFormat="1" ht="14" x14ac:dyDescent="0.35">
      <c r="F3089" s="102"/>
      <c r="G3089" s="102"/>
      <c r="I3089" s="93"/>
      <c r="J3089" s="93"/>
    </row>
    <row r="3090" spans="6:10" s="65" customFormat="1" ht="14" x14ac:dyDescent="0.35">
      <c r="F3090" s="102"/>
      <c r="G3090" s="102"/>
      <c r="I3090" s="93"/>
      <c r="J3090" s="93"/>
    </row>
    <row r="3091" spans="6:10" s="65" customFormat="1" ht="14" x14ac:dyDescent="0.35">
      <c r="F3091" s="102"/>
      <c r="G3091" s="102"/>
      <c r="I3091" s="93"/>
      <c r="J3091" s="93"/>
    </row>
    <row r="3092" spans="6:10" s="65" customFormat="1" ht="14" x14ac:dyDescent="0.35">
      <c r="F3092" s="102"/>
      <c r="G3092" s="102"/>
      <c r="I3092" s="93"/>
      <c r="J3092" s="93"/>
    </row>
    <row r="3093" spans="6:10" s="65" customFormat="1" ht="14" x14ac:dyDescent="0.35">
      <c r="F3093" s="102"/>
      <c r="G3093" s="102"/>
      <c r="I3093" s="93"/>
      <c r="J3093" s="93"/>
    </row>
    <row r="3094" spans="6:10" s="65" customFormat="1" ht="14" x14ac:dyDescent="0.35">
      <c r="F3094" s="102"/>
      <c r="G3094" s="102"/>
      <c r="I3094" s="93"/>
      <c r="J3094" s="93"/>
    </row>
    <row r="3095" spans="6:10" s="65" customFormat="1" ht="14" x14ac:dyDescent="0.35">
      <c r="F3095" s="102"/>
      <c r="G3095" s="102"/>
      <c r="I3095" s="93"/>
      <c r="J3095" s="93"/>
    </row>
    <row r="3096" spans="6:10" s="65" customFormat="1" ht="14" x14ac:dyDescent="0.35">
      <c r="F3096" s="102"/>
      <c r="G3096" s="102"/>
      <c r="I3096" s="93"/>
      <c r="J3096" s="93"/>
    </row>
    <row r="3097" spans="6:10" s="65" customFormat="1" ht="14" x14ac:dyDescent="0.35">
      <c r="F3097" s="102"/>
      <c r="G3097" s="102"/>
      <c r="I3097" s="93"/>
      <c r="J3097" s="93"/>
    </row>
    <row r="3098" spans="6:10" s="65" customFormat="1" ht="14" x14ac:dyDescent="0.35">
      <c r="F3098" s="102"/>
      <c r="G3098" s="102"/>
      <c r="I3098" s="93"/>
      <c r="J3098" s="93"/>
    </row>
    <row r="3099" spans="6:10" s="65" customFormat="1" ht="14" x14ac:dyDescent="0.35">
      <c r="F3099" s="102"/>
      <c r="G3099" s="102"/>
      <c r="I3099" s="93"/>
      <c r="J3099" s="93"/>
    </row>
    <row r="3100" spans="6:10" s="65" customFormat="1" ht="14" x14ac:dyDescent="0.35">
      <c r="F3100" s="102"/>
      <c r="G3100" s="102"/>
      <c r="I3100" s="93"/>
      <c r="J3100" s="93"/>
    </row>
    <row r="3101" spans="6:10" s="65" customFormat="1" ht="14" x14ac:dyDescent="0.35">
      <c r="F3101" s="102"/>
      <c r="G3101" s="102"/>
      <c r="I3101" s="93"/>
      <c r="J3101" s="93"/>
    </row>
    <row r="3102" spans="6:10" s="65" customFormat="1" ht="14" x14ac:dyDescent="0.35">
      <c r="F3102" s="102"/>
      <c r="G3102" s="102"/>
      <c r="I3102" s="93"/>
      <c r="J3102" s="93"/>
    </row>
    <row r="3103" spans="6:10" s="65" customFormat="1" ht="14" x14ac:dyDescent="0.35">
      <c r="F3103" s="102"/>
      <c r="G3103" s="102"/>
      <c r="I3103" s="93"/>
      <c r="J3103" s="93"/>
    </row>
    <row r="3104" spans="6:10" s="65" customFormat="1" ht="14" x14ac:dyDescent="0.35">
      <c r="F3104" s="102"/>
      <c r="G3104" s="102"/>
      <c r="I3104" s="93"/>
      <c r="J3104" s="93"/>
    </row>
    <row r="3105" spans="6:10" s="65" customFormat="1" ht="14" x14ac:dyDescent="0.35">
      <c r="F3105" s="102"/>
      <c r="G3105" s="102"/>
      <c r="I3105" s="93"/>
      <c r="J3105" s="93"/>
    </row>
    <row r="3106" spans="6:10" s="65" customFormat="1" ht="14" x14ac:dyDescent="0.35">
      <c r="F3106" s="102"/>
      <c r="G3106" s="102"/>
      <c r="I3106" s="93"/>
      <c r="J3106" s="93"/>
    </row>
    <row r="3107" spans="6:10" s="65" customFormat="1" ht="14" x14ac:dyDescent="0.35">
      <c r="F3107" s="102"/>
      <c r="G3107" s="102"/>
      <c r="I3107" s="93"/>
      <c r="J3107" s="93"/>
    </row>
    <row r="3108" spans="6:10" s="65" customFormat="1" ht="14" x14ac:dyDescent="0.35">
      <c r="F3108" s="102"/>
      <c r="G3108" s="102"/>
      <c r="I3108" s="93"/>
      <c r="J3108" s="93"/>
    </row>
    <row r="3109" spans="6:10" s="65" customFormat="1" ht="14" x14ac:dyDescent="0.35">
      <c r="F3109" s="102"/>
      <c r="G3109" s="102"/>
      <c r="I3109" s="93"/>
      <c r="J3109" s="93"/>
    </row>
    <row r="3110" spans="6:10" s="65" customFormat="1" ht="14" x14ac:dyDescent="0.35">
      <c r="F3110" s="102"/>
      <c r="G3110" s="102"/>
      <c r="I3110" s="93"/>
      <c r="J3110" s="93"/>
    </row>
    <row r="3111" spans="6:10" s="65" customFormat="1" ht="14" x14ac:dyDescent="0.35">
      <c r="F3111" s="102"/>
      <c r="G3111" s="102"/>
      <c r="I3111" s="93"/>
      <c r="J3111" s="93"/>
    </row>
    <row r="3112" spans="6:10" s="65" customFormat="1" ht="14" x14ac:dyDescent="0.35">
      <c r="F3112" s="102"/>
      <c r="G3112" s="102"/>
      <c r="I3112" s="93"/>
      <c r="J3112" s="93"/>
    </row>
    <row r="3113" spans="6:10" s="65" customFormat="1" ht="14" x14ac:dyDescent="0.35">
      <c r="F3113" s="102"/>
      <c r="G3113" s="102"/>
      <c r="I3113" s="93"/>
      <c r="J3113" s="93"/>
    </row>
    <row r="3114" spans="6:10" s="65" customFormat="1" ht="14" x14ac:dyDescent="0.35">
      <c r="F3114" s="102"/>
      <c r="G3114" s="102"/>
      <c r="I3114" s="93"/>
      <c r="J3114" s="93"/>
    </row>
    <row r="3115" spans="6:10" s="65" customFormat="1" ht="14" x14ac:dyDescent="0.35">
      <c r="F3115" s="102"/>
      <c r="G3115" s="102"/>
      <c r="I3115" s="93"/>
      <c r="J3115" s="93"/>
    </row>
    <row r="3116" spans="6:10" s="65" customFormat="1" ht="14" x14ac:dyDescent="0.35">
      <c r="F3116" s="102"/>
      <c r="G3116" s="102"/>
      <c r="I3116" s="93"/>
      <c r="J3116" s="93"/>
    </row>
    <row r="3117" spans="6:10" s="65" customFormat="1" ht="14" x14ac:dyDescent="0.35">
      <c r="F3117" s="102"/>
      <c r="G3117" s="102"/>
      <c r="I3117" s="93"/>
      <c r="J3117" s="93"/>
    </row>
    <row r="3118" spans="6:10" s="65" customFormat="1" ht="14" x14ac:dyDescent="0.35">
      <c r="F3118" s="102"/>
      <c r="G3118" s="102"/>
      <c r="I3118" s="93"/>
      <c r="J3118" s="93"/>
    </row>
    <row r="3119" spans="6:10" s="65" customFormat="1" ht="14" x14ac:dyDescent="0.35">
      <c r="F3119" s="102"/>
      <c r="G3119" s="102"/>
      <c r="I3119" s="93"/>
      <c r="J3119" s="93"/>
    </row>
    <row r="3120" spans="6:10" s="65" customFormat="1" ht="14" x14ac:dyDescent="0.35">
      <c r="F3120" s="102"/>
      <c r="G3120" s="102"/>
      <c r="I3120" s="93"/>
      <c r="J3120" s="93"/>
    </row>
    <row r="3121" spans="6:10" s="65" customFormat="1" ht="14" x14ac:dyDescent="0.35">
      <c r="F3121" s="102"/>
      <c r="G3121" s="102"/>
      <c r="I3121" s="93"/>
      <c r="J3121" s="93"/>
    </row>
    <row r="3122" spans="6:10" s="65" customFormat="1" ht="14" x14ac:dyDescent="0.35">
      <c r="F3122" s="102"/>
      <c r="G3122" s="102"/>
      <c r="I3122" s="93"/>
      <c r="J3122" s="93"/>
    </row>
    <row r="3123" spans="6:10" s="65" customFormat="1" ht="14" x14ac:dyDescent="0.35">
      <c r="F3123" s="102"/>
      <c r="G3123" s="102"/>
      <c r="I3123" s="93"/>
      <c r="J3123" s="93"/>
    </row>
    <row r="3124" spans="6:10" s="65" customFormat="1" ht="14" x14ac:dyDescent="0.35">
      <c r="F3124" s="102"/>
      <c r="G3124" s="102"/>
      <c r="I3124" s="93"/>
      <c r="J3124" s="93"/>
    </row>
    <row r="3125" spans="6:10" s="65" customFormat="1" ht="14" x14ac:dyDescent="0.35">
      <c r="F3125" s="102"/>
      <c r="G3125" s="102"/>
      <c r="I3125" s="93"/>
      <c r="J3125" s="93"/>
    </row>
    <row r="3126" spans="6:10" s="65" customFormat="1" ht="14" x14ac:dyDescent="0.35">
      <c r="F3126" s="102"/>
      <c r="G3126" s="102"/>
      <c r="I3126" s="93"/>
      <c r="J3126" s="93"/>
    </row>
    <row r="3127" spans="6:10" s="65" customFormat="1" ht="14" x14ac:dyDescent="0.35">
      <c r="F3127" s="102"/>
      <c r="G3127" s="102"/>
      <c r="I3127" s="93"/>
      <c r="J3127" s="93"/>
    </row>
    <row r="3128" spans="6:10" s="65" customFormat="1" ht="14" x14ac:dyDescent="0.35">
      <c r="F3128" s="102"/>
      <c r="G3128" s="102"/>
      <c r="I3128" s="93"/>
      <c r="J3128" s="93"/>
    </row>
    <row r="3129" spans="6:10" s="65" customFormat="1" ht="14" x14ac:dyDescent="0.35">
      <c r="F3129" s="102"/>
      <c r="G3129" s="102"/>
      <c r="I3129" s="93"/>
      <c r="J3129" s="93"/>
    </row>
    <row r="3130" spans="6:10" s="65" customFormat="1" ht="14" x14ac:dyDescent="0.35">
      <c r="F3130" s="102"/>
      <c r="G3130" s="102"/>
      <c r="I3130" s="93"/>
      <c r="J3130" s="93"/>
    </row>
    <row r="3131" spans="6:10" s="65" customFormat="1" ht="14" x14ac:dyDescent="0.35">
      <c r="F3131" s="102"/>
      <c r="G3131" s="102"/>
      <c r="I3131" s="93"/>
      <c r="J3131" s="93"/>
    </row>
    <row r="3132" spans="6:10" s="65" customFormat="1" ht="14" x14ac:dyDescent="0.35">
      <c r="F3132" s="102"/>
      <c r="G3132" s="102"/>
      <c r="I3132" s="93"/>
      <c r="J3132" s="93"/>
    </row>
    <row r="3133" spans="6:10" s="65" customFormat="1" ht="14" x14ac:dyDescent="0.35">
      <c r="F3133" s="102"/>
      <c r="G3133" s="102"/>
      <c r="I3133" s="93"/>
      <c r="J3133" s="93"/>
    </row>
    <row r="3134" spans="6:10" s="65" customFormat="1" ht="14" x14ac:dyDescent="0.35">
      <c r="F3134" s="102"/>
      <c r="G3134" s="102"/>
      <c r="I3134" s="93"/>
      <c r="J3134" s="93"/>
    </row>
    <row r="3135" spans="6:10" s="65" customFormat="1" ht="14" x14ac:dyDescent="0.35">
      <c r="F3135" s="102"/>
      <c r="G3135" s="102"/>
      <c r="I3135" s="93"/>
      <c r="J3135" s="93"/>
    </row>
    <row r="3136" spans="6:10" s="65" customFormat="1" ht="14" x14ac:dyDescent="0.35">
      <c r="F3136" s="102"/>
      <c r="G3136" s="102"/>
      <c r="I3136" s="93"/>
      <c r="J3136" s="93"/>
    </row>
    <row r="3137" spans="6:10" s="65" customFormat="1" ht="14" x14ac:dyDescent="0.35">
      <c r="F3137" s="102"/>
      <c r="G3137" s="102"/>
      <c r="I3137" s="93"/>
      <c r="J3137" s="93"/>
    </row>
    <row r="3138" spans="6:10" s="65" customFormat="1" ht="14" x14ac:dyDescent="0.35">
      <c r="F3138" s="102"/>
      <c r="G3138" s="102"/>
      <c r="I3138" s="93"/>
      <c r="J3138" s="93"/>
    </row>
    <row r="3139" spans="6:10" s="65" customFormat="1" ht="14" x14ac:dyDescent="0.35">
      <c r="F3139" s="102"/>
      <c r="G3139" s="102"/>
      <c r="I3139" s="93"/>
      <c r="J3139" s="93"/>
    </row>
    <row r="3140" spans="6:10" s="65" customFormat="1" ht="14" x14ac:dyDescent="0.35">
      <c r="F3140" s="102"/>
      <c r="G3140" s="102"/>
      <c r="I3140" s="93"/>
      <c r="J3140" s="93"/>
    </row>
    <row r="3141" spans="6:10" s="65" customFormat="1" ht="14" x14ac:dyDescent="0.35">
      <c r="F3141" s="102"/>
      <c r="G3141" s="102"/>
      <c r="I3141" s="93"/>
      <c r="J3141" s="93"/>
    </row>
    <row r="3142" spans="6:10" s="65" customFormat="1" ht="14" x14ac:dyDescent="0.35">
      <c r="F3142" s="102"/>
      <c r="G3142" s="102"/>
      <c r="I3142" s="93"/>
      <c r="J3142" s="93"/>
    </row>
    <row r="3143" spans="6:10" s="65" customFormat="1" ht="14" x14ac:dyDescent="0.35">
      <c r="F3143" s="102"/>
      <c r="G3143" s="102"/>
      <c r="I3143" s="93"/>
      <c r="J3143" s="93"/>
    </row>
    <row r="3144" spans="6:10" s="65" customFormat="1" ht="14" x14ac:dyDescent="0.35">
      <c r="F3144" s="102"/>
      <c r="G3144" s="102"/>
      <c r="I3144" s="93"/>
      <c r="J3144" s="93"/>
    </row>
    <row r="3145" spans="6:10" s="65" customFormat="1" ht="14" x14ac:dyDescent="0.35">
      <c r="F3145" s="102"/>
      <c r="G3145" s="102"/>
      <c r="I3145" s="93"/>
      <c r="J3145" s="93"/>
    </row>
    <row r="3146" spans="6:10" s="65" customFormat="1" ht="14" x14ac:dyDescent="0.35">
      <c r="F3146" s="102"/>
      <c r="G3146" s="102"/>
      <c r="I3146" s="93"/>
      <c r="J3146" s="93"/>
    </row>
    <row r="3147" spans="6:10" s="65" customFormat="1" ht="14" x14ac:dyDescent="0.35">
      <c r="F3147" s="102"/>
      <c r="G3147" s="102"/>
      <c r="I3147" s="93"/>
      <c r="J3147" s="93"/>
    </row>
    <row r="3148" spans="6:10" s="65" customFormat="1" ht="14" x14ac:dyDescent="0.35">
      <c r="F3148" s="102"/>
      <c r="G3148" s="102"/>
      <c r="I3148" s="93"/>
      <c r="J3148" s="93"/>
    </row>
    <row r="3149" spans="6:10" s="65" customFormat="1" ht="14" x14ac:dyDescent="0.35">
      <c r="F3149" s="102"/>
      <c r="G3149" s="102"/>
      <c r="I3149" s="93"/>
      <c r="J3149" s="93"/>
    </row>
    <row r="3150" spans="6:10" s="65" customFormat="1" ht="14" x14ac:dyDescent="0.35">
      <c r="F3150" s="102"/>
      <c r="G3150" s="102"/>
      <c r="I3150" s="93"/>
      <c r="J3150" s="93"/>
    </row>
    <row r="3151" spans="6:10" s="65" customFormat="1" ht="14" x14ac:dyDescent="0.35">
      <c r="F3151" s="102"/>
      <c r="G3151" s="102"/>
      <c r="I3151" s="93"/>
      <c r="J3151" s="93"/>
    </row>
    <row r="3152" spans="6:10" s="65" customFormat="1" ht="14" x14ac:dyDescent="0.35">
      <c r="F3152" s="102"/>
      <c r="G3152" s="102"/>
      <c r="I3152" s="93"/>
      <c r="J3152" s="93"/>
    </row>
    <row r="3153" spans="6:10" s="65" customFormat="1" ht="14" x14ac:dyDescent="0.35">
      <c r="F3153" s="102"/>
      <c r="G3153" s="102"/>
      <c r="I3153" s="93"/>
      <c r="J3153" s="93"/>
    </row>
    <row r="3154" spans="6:10" s="65" customFormat="1" ht="14" x14ac:dyDescent="0.35">
      <c r="F3154" s="102"/>
      <c r="G3154" s="102"/>
      <c r="I3154" s="93"/>
      <c r="J3154" s="93"/>
    </row>
    <row r="3155" spans="6:10" s="65" customFormat="1" ht="14" x14ac:dyDescent="0.35">
      <c r="F3155" s="102"/>
      <c r="G3155" s="102"/>
      <c r="I3155" s="93"/>
      <c r="J3155" s="93"/>
    </row>
    <row r="3156" spans="6:10" s="65" customFormat="1" ht="14" x14ac:dyDescent="0.35">
      <c r="F3156" s="102"/>
      <c r="G3156" s="102"/>
      <c r="I3156" s="93"/>
      <c r="J3156" s="93"/>
    </row>
    <row r="3157" spans="6:10" s="65" customFormat="1" ht="14" x14ac:dyDescent="0.35">
      <c r="F3157" s="102"/>
      <c r="G3157" s="102"/>
      <c r="I3157" s="93"/>
      <c r="J3157" s="93"/>
    </row>
    <row r="3158" spans="6:10" s="65" customFormat="1" ht="14" x14ac:dyDescent="0.35">
      <c r="F3158" s="102"/>
      <c r="G3158" s="102"/>
      <c r="I3158" s="93"/>
      <c r="J3158" s="93"/>
    </row>
    <row r="3159" spans="6:10" s="65" customFormat="1" ht="14" x14ac:dyDescent="0.35">
      <c r="F3159" s="102"/>
      <c r="G3159" s="102"/>
      <c r="I3159" s="93"/>
      <c r="J3159" s="93"/>
    </row>
    <row r="3160" spans="6:10" s="65" customFormat="1" ht="14" x14ac:dyDescent="0.35">
      <c r="F3160" s="102"/>
      <c r="G3160" s="102"/>
      <c r="I3160" s="93"/>
      <c r="J3160" s="93"/>
    </row>
    <row r="3161" spans="6:10" s="65" customFormat="1" ht="14" x14ac:dyDescent="0.35">
      <c r="F3161" s="102"/>
      <c r="G3161" s="102"/>
      <c r="I3161" s="93"/>
      <c r="J3161" s="93"/>
    </row>
    <row r="3162" spans="6:10" s="65" customFormat="1" ht="14" x14ac:dyDescent="0.35">
      <c r="F3162" s="102"/>
      <c r="G3162" s="102"/>
      <c r="I3162" s="93"/>
      <c r="J3162" s="93"/>
    </row>
    <row r="3163" spans="6:10" s="65" customFormat="1" ht="14" x14ac:dyDescent="0.35">
      <c r="F3163" s="102"/>
      <c r="G3163" s="102"/>
      <c r="I3163" s="93"/>
      <c r="J3163" s="93"/>
    </row>
    <row r="3164" spans="6:10" s="65" customFormat="1" ht="14" x14ac:dyDescent="0.35">
      <c r="F3164" s="102"/>
      <c r="G3164" s="102"/>
      <c r="I3164" s="93"/>
      <c r="J3164" s="93"/>
    </row>
    <row r="3165" spans="6:10" s="65" customFormat="1" ht="14" x14ac:dyDescent="0.35">
      <c r="F3165" s="102"/>
      <c r="G3165" s="102"/>
      <c r="I3165" s="93"/>
      <c r="J3165" s="93"/>
    </row>
    <row r="3166" spans="6:10" s="65" customFormat="1" ht="14" x14ac:dyDescent="0.35">
      <c r="F3166" s="102"/>
      <c r="G3166" s="102"/>
      <c r="I3166" s="93"/>
      <c r="J3166" s="93"/>
    </row>
    <row r="3167" spans="6:10" s="65" customFormat="1" ht="14" x14ac:dyDescent="0.35">
      <c r="F3167" s="102"/>
      <c r="G3167" s="102"/>
      <c r="I3167" s="93"/>
      <c r="J3167" s="93"/>
    </row>
    <row r="3168" spans="6:10" s="65" customFormat="1" ht="14" x14ac:dyDescent="0.35">
      <c r="F3168" s="102"/>
      <c r="G3168" s="102"/>
      <c r="I3168" s="93"/>
      <c r="J3168" s="93"/>
    </row>
    <row r="3169" spans="6:10" s="65" customFormat="1" ht="14" x14ac:dyDescent="0.35">
      <c r="F3169" s="102"/>
      <c r="G3169" s="102"/>
      <c r="I3169" s="93"/>
      <c r="J3169" s="93"/>
    </row>
    <row r="3170" spans="6:10" s="65" customFormat="1" ht="14" x14ac:dyDescent="0.35">
      <c r="F3170" s="102"/>
      <c r="G3170" s="102"/>
      <c r="I3170" s="93"/>
      <c r="J3170" s="93"/>
    </row>
    <row r="3171" spans="6:10" s="65" customFormat="1" ht="14" x14ac:dyDescent="0.35">
      <c r="F3171" s="102"/>
      <c r="G3171" s="102"/>
      <c r="I3171" s="93"/>
      <c r="J3171" s="93"/>
    </row>
    <row r="3172" spans="6:10" s="65" customFormat="1" ht="14" x14ac:dyDescent="0.35">
      <c r="F3172" s="102"/>
      <c r="G3172" s="102"/>
      <c r="I3172" s="93"/>
      <c r="J3172" s="93"/>
    </row>
    <row r="3173" spans="6:10" s="65" customFormat="1" ht="14" x14ac:dyDescent="0.35">
      <c r="F3173" s="102"/>
      <c r="G3173" s="102"/>
      <c r="I3173" s="93"/>
      <c r="J3173" s="93"/>
    </row>
    <row r="3174" spans="6:10" s="65" customFormat="1" ht="14" x14ac:dyDescent="0.35">
      <c r="F3174" s="102"/>
      <c r="G3174" s="102"/>
      <c r="I3174" s="93"/>
      <c r="J3174" s="93"/>
    </row>
    <row r="3175" spans="6:10" s="65" customFormat="1" ht="14" x14ac:dyDescent="0.35">
      <c r="F3175" s="102"/>
      <c r="G3175" s="102"/>
      <c r="I3175" s="93"/>
      <c r="J3175" s="93"/>
    </row>
    <row r="3176" spans="6:10" s="65" customFormat="1" ht="14" x14ac:dyDescent="0.35">
      <c r="F3176" s="102"/>
      <c r="G3176" s="102"/>
      <c r="I3176" s="93"/>
      <c r="J3176" s="93"/>
    </row>
    <row r="3177" spans="6:10" s="65" customFormat="1" ht="14" x14ac:dyDescent="0.35">
      <c r="F3177" s="102"/>
      <c r="G3177" s="102"/>
      <c r="I3177" s="93"/>
      <c r="J3177" s="93"/>
    </row>
    <row r="3178" spans="6:10" s="65" customFormat="1" ht="14" x14ac:dyDescent="0.35">
      <c r="F3178" s="102"/>
      <c r="G3178" s="102"/>
      <c r="I3178" s="93"/>
      <c r="J3178" s="93"/>
    </row>
    <row r="3179" spans="6:10" s="65" customFormat="1" ht="14" x14ac:dyDescent="0.35">
      <c r="F3179" s="102"/>
      <c r="G3179" s="102"/>
      <c r="I3179" s="93"/>
      <c r="J3179" s="93"/>
    </row>
    <row r="3180" spans="6:10" s="65" customFormat="1" ht="14" x14ac:dyDescent="0.35">
      <c r="F3180" s="102"/>
      <c r="G3180" s="102"/>
      <c r="I3180" s="93"/>
      <c r="J3180" s="93"/>
    </row>
    <row r="3181" spans="6:10" s="65" customFormat="1" ht="14" x14ac:dyDescent="0.35">
      <c r="F3181" s="102"/>
      <c r="G3181" s="102"/>
      <c r="I3181" s="93"/>
      <c r="J3181" s="93"/>
    </row>
    <row r="3182" spans="6:10" s="65" customFormat="1" ht="14" x14ac:dyDescent="0.35">
      <c r="F3182" s="102"/>
      <c r="G3182" s="102"/>
      <c r="I3182" s="93"/>
      <c r="J3182" s="93"/>
    </row>
    <row r="3183" spans="6:10" s="65" customFormat="1" ht="14" x14ac:dyDescent="0.35">
      <c r="F3183" s="102"/>
      <c r="G3183" s="102"/>
      <c r="I3183" s="93"/>
      <c r="J3183" s="93"/>
    </row>
    <row r="3184" spans="6:10" s="65" customFormat="1" ht="14" x14ac:dyDescent="0.35">
      <c r="F3184" s="102"/>
      <c r="G3184" s="102"/>
      <c r="I3184" s="93"/>
      <c r="J3184" s="93"/>
    </row>
    <row r="3185" spans="6:10" s="65" customFormat="1" ht="14" x14ac:dyDescent="0.35">
      <c r="F3185" s="102"/>
      <c r="G3185" s="102"/>
      <c r="I3185" s="93"/>
      <c r="J3185" s="93"/>
    </row>
    <row r="3186" spans="6:10" s="65" customFormat="1" ht="14" x14ac:dyDescent="0.35">
      <c r="F3186" s="102"/>
      <c r="G3186" s="102"/>
      <c r="I3186" s="93"/>
      <c r="J3186" s="93"/>
    </row>
    <row r="3187" spans="6:10" s="65" customFormat="1" ht="14" x14ac:dyDescent="0.35">
      <c r="F3187" s="102"/>
      <c r="G3187" s="102"/>
      <c r="I3187" s="93"/>
      <c r="J3187" s="93"/>
    </row>
    <row r="3188" spans="6:10" s="65" customFormat="1" ht="14" x14ac:dyDescent="0.35">
      <c r="F3188" s="102"/>
      <c r="G3188" s="102"/>
      <c r="I3188" s="93"/>
      <c r="J3188" s="93"/>
    </row>
    <row r="3189" spans="6:10" s="65" customFormat="1" ht="14" x14ac:dyDescent="0.35">
      <c r="F3189" s="102"/>
      <c r="G3189" s="102"/>
      <c r="I3189" s="93"/>
      <c r="J3189" s="93"/>
    </row>
    <row r="3190" spans="6:10" s="65" customFormat="1" ht="14" x14ac:dyDescent="0.35">
      <c r="F3190" s="102"/>
      <c r="G3190" s="102"/>
      <c r="I3190" s="93"/>
      <c r="J3190" s="93"/>
    </row>
    <row r="3191" spans="6:10" s="65" customFormat="1" ht="14" x14ac:dyDescent="0.35">
      <c r="F3191" s="102"/>
      <c r="G3191" s="102"/>
      <c r="I3191" s="93"/>
      <c r="J3191" s="93"/>
    </row>
    <row r="3192" spans="6:10" s="65" customFormat="1" ht="14" x14ac:dyDescent="0.35">
      <c r="F3192" s="102"/>
      <c r="G3192" s="102"/>
      <c r="I3192" s="93"/>
      <c r="J3192" s="93"/>
    </row>
    <row r="3193" spans="6:10" s="65" customFormat="1" ht="14" x14ac:dyDescent="0.35">
      <c r="F3193" s="102"/>
      <c r="G3193" s="102"/>
      <c r="I3193" s="93"/>
      <c r="J3193" s="93"/>
    </row>
    <row r="3194" spans="6:10" s="65" customFormat="1" ht="14" x14ac:dyDescent="0.35">
      <c r="F3194" s="102"/>
      <c r="G3194" s="102"/>
      <c r="I3194" s="93"/>
      <c r="J3194" s="93"/>
    </row>
    <row r="3195" spans="6:10" s="65" customFormat="1" ht="14" x14ac:dyDescent="0.35">
      <c r="F3195" s="102"/>
      <c r="G3195" s="102"/>
      <c r="I3195" s="93"/>
      <c r="J3195" s="93"/>
    </row>
    <row r="3196" spans="6:10" s="65" customFormat="1" ht="14" x14ac:dyDescent="0.35">
      <c r="F3196" s="102"/>
      <c r="G3196" s="102"/>
      <c r="I3196" s="93"/>
      <c r="J3196" s="93"/>
    </row>
    <row r="3197" spans="6:10" s="65" customFormat="1" ht="14" x14ac:dyDescent="0.35">
      <c r="F3197" s="102"/>
      <c r="G3197" s="102"/>
      <c r="I3197" s="93"/>
      <c r="J3197" s="93"/>
    </row>
    <row r="3198" spans="6:10" s="65" customFormat="1" ht="14" x14ac:dyDescent="0.35">
      <c r="F3198" s="102"/>
      <c r="G3198" s="102"/>
      <c r="I3198" s="93"/>
      <c r="J3198" s="93"/>
    </row>
    <row r="3199" spans="6:10" s="65" customFormat="1" ht="14" x14ac:dyDescent="0.35">
      <c r="F3199" s="102"/>
      <c r="G3199" s="102"/>
      <c r="I3199" s="93"/>
      <c r="J3199" s="93"/>
    </row>
    <row r="3200" spans="6:10" s="65" customFormat="1" ht="14" x14ac:dyDescent="0.35">
      <c r="F3200" s="102"/>
      <c r="G3200" s="102"/>
      <c r="I3200" s="93"/>
      <c r="J3200" s="93"/>
    </row>
    <row r="3201" spans="6:10" s="65" customFormat="1" ht="14" x14ac:dyDescent="0.35">
      <c r="F3201" s="102"/>
      <c r="G3201" s="102"/>
      <c r="I3201" s="93"/>
      <c r="J3201" s="93"/>
    </row>
    <row r="3202" spans="6:10" s="65" customFormat="1" ht="14" x14ac:dyDescent="0.35">
      <c r="F3202" s="102"/>
      <c r="G3202" s="102"/>
      <c r="I3202" s="93"/>
      <c r="J3202" s="93"/>
    </row>
    <row r="3203" spans="6:10" s="65" customFormat="1" ht="14" x14ac:dyDescent="0.35">
      <c r="F3203" s="102"/>
      <c r="G3203" s="102"/>
      <c r="I3203" s="93"/>
      <c r="J3203" s="93"/>
    </row>
    <row r="3204" spans="6:10" s="65" customFormat="1" ht="14" x14ac:dyDescent="0.35">
      <c r="F3204" s="102"/>
      <c r="G3204" s="102"/>
      <c r="I3204" s="93"/>
      <c r="J3204" s="93"/>
    </row>
    <row r="3205" spans="6:10" s="65" customFormat="1" ht="14" x14ac:dyDescent="0.35">
      <c r="F3205" s="102"/>
      <c r="G3205" s="102"/>
      <c r="I3205" s="93"/>
      <c r="J3205" s="93"/>
    </row>
    <row r="3206" spans="6:10" s="65" customFormat="1" ht="14" x14ac:dyDescent="0.35">
      <c r="F3206" s="102"/>
      <c r="G3206" s="102"/>
      <c r="I3206" s="93"/>
      <c r="J3206" s="93"/>
    </row>
    <row r="3207" spans="6:10" s="65" customFormat="1" ht="14" x14ac:dyDescent="0.35">
      <c r="F3207" s="102"/>
      <c r="G3207" s="102"/>
      <c r="I3207" s="93"/>
      <c r="J3207" s="93"/>
    </row>
    <row r="3208" spans="6:10" s="65" customFormat="1" ht="14" x14ac:dyDescent="0.35">
      <c r="F3208" s="102"/>
      <c r="G3208" s="102"/>
      <c r="I3208" s="93"/>
      <c r="J3208" s="93"/>
    </row>
    <row r="3209" spans="6:10" s="65" customFormat="1" ht="14" x14ac:dyDescent="0.35">
      <c r="F3209" s="102"/>
      <c r="G3209" s="102"/>
      <c r="I3209" s="93"/>
      <c r="J3209" s="93"/>
    </row>
    <row r="3210" spans="6:10" s="65" customFormat="1" ht="14" x14ac:dyDescent="0.35">
      <c r="F3210" s="102"/>
      <c r="G3210" s="102"/>
      <c r="I3210" s="93"/>
      <c r="J3210" s="93"/>
    </row>
    <row r="3211" spans="6:10" s="65" customFormat="1" ht="14" x14ac:dyDescent="0.35">
      <c r="F3211" s="102"/>
      <c r="G3211" s="102"/>
      <c r="I3211" s="93"/>
      <c r="J3211" s="93"/>
    </row>
    <row r="3212" spans="6:10" s="65" customFormat="1" ht="14" x14ac:dyDescent="0.35">
      <c r="F3212" s="102"/>
      <c r="G3212" s="102"/>
      <c r="I3212" s="93"/>
      <c r="J3212" s="93"/>
    </row>
    <row r="3213" spans="6:10" s="65" customFormat="1" ht="14" x14ac:dyDescent="0.35">
      <c r="F3213" s="102"/>
      <c r="G3213" s="102"/>
      <c r="I3213" s="93"/>
      <c r="J3213" s="93"/>
    </row>
    <row r="3214" spans="6:10" s="65" customFormat="1" ht="14" x14ac:dyDescent="0.35">
      <c r="F3214" s="102"/>
      <c r="G3214" s="102"/>
      <c r="I3214" s="93"/>
      <c r="J3214" s="93"/>
    </row>
    <row r="3215" spans="6:10" s="65" customFormat="1" ht="14" x14ac:dyDescent="0.35">
      <c r="F3215" s="102"/>
      <c r="G3215" s="102"/>
      <c r="I3215" s="93"/>
      <c r="J3215" s="93"/>
    </row>
    <row r="3216" spans="6:10" s="65" customFormat="1" ht="14" x14ac:dyDescent="0.35">
      <c r="F3216" s="102"/>
      <c r="G3216" s="102"/>
      <c r="I3216" s="93"/>
      <c r="J3216" s="93"/>
    </row>
    <row r="3217" spans="6:10" s="65" customFormat="1" ht="14" x14ac:dyDescent="0.35">
      <c r="F3217" s="102"/>
      <c r="G3217" s="102"/>
      <c r="I3217" s="93"/>
      <c r="J3217" s="93"/>
    </row>
    <row r="3218" spans="6:10" s="65" customFormat="1" ht="14" x14ac:dyDescent="0.35">
      <c r="F3218" s="102"/>
      <c r="G3218" s="102"/>
      <c r="I3218" s="93"/>
      <c r="J3218" s="93"/>
    </row>
    <row r="3219" spans="6:10" s="65" customFormat="1" ht="14" x14ac:dyDescent="0.35">
      <c r="F3219" s="102"/>
      <c r="G3219" s="102"/>
      <c r="I3219" s="93"/>
      <c r="J3219" s="93"/>
    </row>
    <row r="3220" spans="6:10" s="65" customFormat="1" ht="14" x14ac:dyDescent="0.35">
      <c r="F3220" s="102"/>
      <c r="G3220" s="102"/>
      <c r="I3220" s="93"/>
      <c r="J3220" s="93"/>
    </row>
    <row r="3221" spans="6:10" s="65" customFormat="1" ht="14" x14ac:dyDescent="0.35">
      <c r="F3221" s="102"/>
      <c r="G3221" s="102"/>
      <c r="I3221" s="93"/>
      <c r="J3221" s="93"/>
    </row>
    <row r="3222" spans="6:10" s="65" customFormat="1" ht="14" x14ac:dyDescent="0.35">
      <c r="F3222" s="102"/>
      <c r="G3222" s="102"/>
      <c r="I3222" s="93"/>
      <c r="J3222" s="93"/>
    </row>
    <row r="3223" spans="6:10" s="65" customFormat="1" ht="14" x14ac:dyDescent="0.35">
      <c r="F3223" s="102"/>
      <c r="G3223" s="102"/>
      <c r="I3223" s="93"/>
      <c r="J3223" s="93"/>
    </row>
    <row r="3224" spans="6:10" s="65" customFormat="1" ht="14" x14ac:dyDescent="0.35">
      <c r="F3224" s="102"/>
      <c r="G3224" s="102"/>
      <c r="I3224" s="93"/>
      <c r="J3224" s="93"/>
    </row>
    <row r="3225" spans="6:10" s="65" customFormat="1" ht="14" x14ac:dyDescent="0.35">
      <c r="F3225" s="102"/>
      <c r="G3225" s="102"/>
      <c r="I3225" s="93"/>
      <c r="J3225" s="93"/>
    </row>
    <row r="3226" spans="6:10" s="65" customFormat="1" ht="14" x14ac:dyDescent="0.35">
      <c r="F3226" s="102"/>
      <c r="G3226" s="102"/>
      <c r="I3226" s="93"/>
      <c r="J3226" s="93"/>
    </row>
    <row r="3227" spans="6:10" s="65" customFormat="1" ht="14" x14ac:dyDescent="0.35">
      <c r="F3227" s="102"/>
      <c r="G3227" s="102"/>
      <c r="I3227" s="93"/>
      <c r="J3227" s="93"/>
    </row>
    <row r="3228" spans="6:10" s="65" customFormat="1" ht="14" x14ac:dyDescent="0.35">
      <c r="F3228" s="102"/>
      <c r="G3228" s="102"/>
      <c r="I3228" s="93"/>
      <c r="J3228" s="93"/>
    </row>
    <row r="3229" spans="6:10" s="65" customFormat="1" ht="14" x14ac:dyDescent="0.35">
      <c r="F3229" s="102"/>
      <c r="G3229" s="102"/>
      <c r="I3229" s="93"/>
      <c r="J3229" s="93"/>
    </row>
    <row r="3230" spans="6:10" s="65" customFormat="1" ht="14" x14ac:dyDescent="0.35">
      <c r="F3230" s="102"/>
      <c r="G3230" s="102"/>
      <c r="I3230" s="93"/>
      <c r="J3230" s="93"/>
    </row>
    <row r="3231" spans="6:10" s="65" customFormat="1" ht="14" x14ac:dyDescent="0.35">
      <c r="F3231" s="102"/>
      <c r="G3231" s="102"/>
      <c r="I3231" s="93"/>
      <c r="J3231" s="93"/>
    </row>
    <row r="3232" spans="6:10" s="65" customFormat="1" ht="14" x14ac:dyDescent="0.35">
      <c r="F3232" s="102"/>
      <c r="G3232" s="102"/>
      <c r="I3232" s="93"/>
      <c r="J3232" s="93"/>
    </row>
    <row r="3233" spans="6:10" s="65" customFormat="1" ht="14" x14ac:dyDescent="0.35">
      <c r="F3233" s="102"/>
      <c r="G3233" s="102"/>
      <c r="I3233" s="93"/>
      <c r="J3233" s="93"/>
    </row>
    <row r="3234" spans="6:10" s="65" customFormat="1" ht="14" x14ac:dyDescent="0.35">
      <c r="F3234" s="102"/>
      <c r="G3234" s="102"/>
      <c r="I3234" s="93"/>
      <c r="J3234" s="93"/>
    </row>
    <row r="3235" spans="6:10" s="65" customFormat="1" ht="14" x14ac:dyDescent="0.35">
      <c r="F3235" s="102"/>
      <c r="G3235" s="102"/>
      <c r="I3235" s="93"/>
      <c r="J3235" s="93"/>
    </row>
    <row r="3236" spans="6:10" s="65" customFormat="1" ht="14" x14ac:dyDescent="0.35">
      <c r="F3236" s="102"/>
      <c r="G3236" s="102"/>
      <c r="I3236" s="93"/>
      <c r="J3236" s="93"/>
    </row>
    <row r="3237" spans="6:10" s="65" customFormat="1" ht="14" x14ac:dyDescent="0.35">
      <c r="F3237" s="102"/>
      <c r="G3237" s="102"/>
      <c r="I3237" s="93"/>
      <c r="J3237" s="93"/>
    </row>
    <row r="3238" spans="6:10" s="65" customFormat="1" ht="14" x14ac:dyDescent="0.35">
      <c r="F3238" s="102"/>
      <c r="G3238" s="102"/>
      <c r="I3238" s="93"/>
      <c r="J3238" s="93"/>
    </row>
    <row r="3239" spans="6:10" s="65" customFormat="1" ht="14" x14ac:dyDescent="0.35">
      <c r="F3239" s="102"/>
      <c r="G3239" s="102"/>
      <c r="I3239" s="93"/>
      <c r="J3239" s="93"/>
    </row>
    <row r="3240" spans="6:10" s="65" customFormat="1" ht="14" x14ac:dyDescent="0.35">
      <c r="F3240" s="102"/>
      <c r="G3240" s="102"/>
      <c r="I3240" s="93"/>
      <c r="J3240" s="93"/>
    </row>
    <row r="3241" spans="6:10" s="65" customFormat="1" ht="14" x14ac:dyDescent="0.35">
      <c r="F3241" s="102"/>
      <c r="G3241" s="102"/>
      <c r="I3241" s="93"/>
      <c r="J3241" s="93"/>
    </row>
    <row r="3242" spans="6:10" s="65" customFormat="1" ht="14" x14ac:dyDescent="0.35">
      <c r="F3242" s="102"/>
      <c r="G3242" s="102"/>
      <c r="I3242" s="93"/>
      <c r="J3242" s="93"/>
    </row>
    <row r="3243" spans="6:10" s="65" customFormat="1" ht="14" x14ac:dyDescent="0.35">
      <c r="F3243" s="102"/>
      <c r="G3243" s="102"/>
      <c r="I3243" s="93"/>
      <c r="J3243" s="93"/>
    </row>
    <row r="3244" spans="6:10" s="65" customFormat="1" ht="14" x14ac:dyDescent="0.35">
      <c r="F3244" s="102"/>
      <c r="G3244" s="102"/>
      <c r="I3244" s="93"/>
      <c r="J3244" s="93"/>
    </row>
    <row r="3245" spans="6:10" s="65" customFormat="1" ht="14" x14ac:dyDescent="0.35">
      <c r="F3245" s="102"/>
      <c r="G3245" s="102"/>
      <c r="I3245" s="93"/>
      <c r="J3245" s="93"/>
    </row>
    <row r="3246" spans="6:10" s="65" customFormat="1" ht="14" x14ac:dyDescent="0.35">
      <c r="F3246" s="102"/>
      <c r="G3246" s="102"/>
      <c r="I3246" s="93"/>
      <c r="J3246" s="93"/>
    </row>
    <row r="3247" spans="6:10" s="65" customFormat="1" ht="14" x14ac:dyDescent="0.35">
      <c r="F3247" s="102"/>
      <c r="G3247" s="102"/>
      <c r="I3247" s="93"/>
      <c r="J3247" s="93"/>
    </row>
    <row r="3248" spans="6:10" s="65" customFormat="1" ht="14" x14ac:dyDescent="0.35">
      <c r="F3248" s="102"/>
      <c r="G3248" s="102"/>
      <c r="I3248" s="93"/>
      <c r="J3248" s="93"/>
    </row>
    <row r="3249" spans="6:10" s="65" customFormat="1" ht="14" x14ac:dyDescent="0.35">
      <c r="F3249" s="102"/>
      <c r="G3249" s="102"/>
      <c r="I3249" s="93"/>
      <c r="J3249" s="93"/>
    </row>
    <row r="3250" spans="6:10" s="65" customFormat="1" ht="14" x14ac:dyDescent="0.35">
      <c r="F3250" s="102"/>
      <c r="G3250" s="102"/>
      <c r="I3250" s="93"/>
      <c r="J3250" s="93"/>
    </row>
    <row r="3251" spans="6:10" s="65" customFormat="1" ht="14" x14ac:dyDescent="0.35">
      <c r="F3251" s="102"/>
      <c r="G3251" s="102"/>
      <c r="I3251" s="93"/>
      <c r="J3251" s="93"/>
    </row>
    <row r="3252" spans="6:10" s="65" customFormat="1" ht="14" x14ac:dyDescent="0.35">
      <c r="F3252" s="102"/>
      <c r="G3252" s="102"/>
      <c r="I3252" s="93"/>
      <c r="J3252" s="93"/>
    </row>
    <row r="3253" spans="6:10" s="65" customFormat="1" ht="14" x14ac:dyDescent="0.35">
      <c r="F3253" s="102"/>
      <c r="G3253" s="102"/>
      <c r="I3253" s="93"/>
      <c r="J3253" s="93"/>
    </row>
    <row r="3254" spans="6:10" s="65" customFormat="1" ht="14" x14ac:dyDescent="0.35">
      <c r="F3254" s="102"/>
      <c r="G3254" s="102"/>
      <c r="I3254" s="93"/>
      <c r="J3254" s="93"/>
    </row>
    <row r="3255" spans="6:10" s="65" customFormat="1" ht="14" x14ac:dyDescent="0.35">
      <c r="F3255" s="102"/>
      <c r="G3255" s="102"/>
      <c r="I3255" s="93"/>
      <c r="J3255" s="93"/>
    </row>
    <row r="3256" spans="6:10" s="65" customFormat="1" ht="14" x14ac:dyDescent="0.35">
      <c r="F3256" s="102"/>
      <c r="G3256" s="102"/>
      <c r="I3256" s="93"/>
      <c r="J3256" s="93"/>
    </row>
    <row r="3257" spans="6:10" s="65" customFormat="1" ht="14" x14ac:dyDescent="0.35">
      <c r="F3257" s="102"/>
      <c r="G3257" s="102"/>
      <c r="I3257" s="93"/>
      <c r="J3257" s="93"/>
    </row>
    <row r="3258" spans="6:10" s="65" customFormat="1" ht="14" x14ac:dyDescent="0.35">
      <c r="F3258" s="102"/>
      <c r="G3258" s="102"/>
      <c r="I3258" s="93"/>
      <c r="J3258" s="93"/>
    </row>
    <row r="3259" spans="6:10" s="65" customFormat="1" ht="14" x14ac:dyDescent="0.35">
      <c r="F3259" s="102"/>
      <c r="G3259" s="102"/>
      <c r="I3259" s="93"/>
      <c r="J3259" s="93"/>
    </row>
    <row r="3260" spans="6:10" s="65" customFormat="1" ht="14" x14ac:dyDescent="0.35">
      <c r="F3260" s="102"/>
      <c r="G3260" s="102"/>
      <c r="I3260" s="93"/>
      <c r="J3260" s="93"/>
    </row>
    <row r="3261" spans="6:10" s="65" customFormat="1" ht="14" x14ac:dyDescent="0.35">
      <c r="F3261" s="102"/>
      <c r="G3261" s="102"/>
      <c r="I3261" s="93"/>
      <c r="J3261" s="93"/>
    </row>
    <row r="3262" spans="6:10" s="65" customFormat="1" ht="14" x14ac:dyDescent="0.35">
      <c r="F3262" s="102"/>
      <c r="G3262" s="102"/>
      <c r="I3262" s="93"/>
      <c r="J3262" s="93"/>
    </row>
    <row r="3263" spans="6:10" s="65" customFormat="1" ht="14" x14ac:dyDescent="0.35">
      <c r="F3263" s="102"/>
      <c r="G3263" s="102"/>
      <c r="I3263" s="93"/>
      <c r="J3263" s="93"/>
    </row>
    <row r="3264" spans="6:10" s="65" customFormat="1" ht="14" x14ac:dyDescent="0.35">
      <c r="F3264" s="102"/>
      <c r="G3264" s="102"/>
      <c r="I3264" s="93"/>
      <c r="J3264" s="93"/>
    </row>
    <row r="3265" spans="6:10" s="65" customFormat="1" ht="14" x14ac:dyDescent="0.35">
      <c r="F3265" s="102"/>
      <c r="G3265" s="102"/>
      <c r="I3265" s="93"/>
      <c r="J3265" s="93"/>
    </row>
    <row r="3266" spans="6:10" s="65" customFormat="1" ht="14" x14ac:dyDescent="0.35">
      <c r="F3266" s="102"/>
      <c r="G3266" s="102"/>
      <c r="I3266" s="93"/>
      <c r="J3266" s="93"/>
    </row>
    <row r="3267" spans="6:10" s="65" customFormat="1" ht="14" x14ac:dyDescent="0.35">
      <c r="F3267" s="102"/>
      <c r="G3267" s="102"/>
      <c r="I3267" s="93"/>
      <c r="J3267" s="93"/>
    </row>
    <row r="3268" spans="6:10" s="65" customFormat="1" ht="14" x14ac:dyDescent="0.35">
      <c r="F3268" s="102"/>
      <c r="G3268" s="102"/>
      <c r="I3268" s="93"/>
      <c r="J3268" s="93"/>
    </row>
    <row r="3269" spans="6:10" s="65" customFormat="1" ht="14" x14ac:dyDescent="0.35">
      <c r="F3269" s="102"/>
      <c r="G3269" s="102"/>
      <c r="I3269" s="93"/>
      <c r="J3269" s="93"/>
    </row>
    <row r="3270" spans="6:10" s="65" customFormat="1" ht="14" x14ac:dyDescent="0.35">
      <c r="F3270" s="102"/>
      <c r="G3270" s="102"/>
      <c r="I3270" s="93"/>
      <c r="J3270" s="93"/>
    </row>
    <row r="3271" spans="6:10" s="65" customFormat="1" ht="14" x14ac:dyDescent="0.35">
      <c r="F3271" s="102"/>
      <c r="G3271" s="102"/>
      <c r="I3271" s="93"/>
      <c r="J3271" s="93"/>
    </row>
    <row r="3272" spans="6:10" s="65" customFormat="1" ht="14" x14ac:dyDescent="0.35">
      <c r="F3272" s="102"/>
      <c r="G3272" s="102"/>
      <c r="I3272" s="93"/>
      <c r="J3272" s="93"/>
    </row>
    <row r="3273" spans="6:10" s="65" customFormat="1" ht="14" x14ac:dyDescent="0.35">
      <c r="F3273" s="102"/>
      <c r="G3273" s="102"/>
      <c r="I3273" s="93"/>
      <c r="J3273" s="93"/>
    </row>
    <row r="3274" spans="6:10" s="65" customFormat="1" ht="14" x14ac:dyDescent="0.35">
      <c r="F3274" s="102"/>
      <c r="G3274" s="102"/>
      <c r="I3274" s="93"/>
      <c r="J3274" s="93"/>
    </row>
    <row r="3275" spans="6:10" s="65" customFormat="1" ht="14" x14ac:dyDescent="0.35">
      <c r="F3275" s="102"/>
      <c r="G3275" s="102"/>
      <c r="I3275" s="93"/>
      <c r="J3275" s="93"/>
    </row>
    <row r="3276" spans="6:10" s="65" customFormat="1" ht="14" x14ac:dyDescent="0.35">
      <c r="F3276" s="102"/>
      <c r="G3276" s="102"/>
      <c r="I3276" s="93"/>
      <c r="J3276" s="93"/>
    </row>
    <row r="3277" spans="6:10" s="65" customFormat="1" ht="14" x14ac:dyDescent="0.35">
      <c r="F3277" s="102"/>
      <c r="G3277" s="102"/>
      <c r="I3277" s="93"/>
      <c r="J3277" s="93"/>
    </row>
    <row r="3278" spans="6:10" s="65" customFormat="1" ht="14" x14ac:dyDescent="0.35">
      <c r="F3278" s="102"/>
      <c r="G3278" s="102"/>
      <c r="I3278" s="93"/>
      <c r="J3278" s="93"/>
    </row>
    <row r="3279" spans="6:10" s="65" customFormat="1" ht="14" x14ac:dyDescent="0.35">
      <c r="F3279" s="102"/>
      <c r="G3279" s="102"/>
      <c r="I3279" s="93"/>
      <c r="J3279" s="93"/>
    </row>
    <row r="3280" spans="6:10" s="65" customFormat="1" ht="14" x14ac:dyDescent="0.35">
      <c r="F3280" s="102"/>
      <c r="G3280" s="102"/>
      <c r="I3280" s="93"/>
      <c r="J3280" s="93"/>
    </row>
    <row r="3281" spans="6:10" s="65" customFormat="1" ht="14" x14ac:dyDescent="0.35">
      <c r="F3281" s="102"/>
      <c r="G3281" s="102"/>
      <c r="I3281" s="93"/>
      <c r="J3281" s="93"/>
    </row>
    <row r="3282" spans="6:10" s="65" customFormat="1" ht="14" x14ac:dyDescent="0.35">
      <c r="F3282" s="102"/>
      <c r="G3282" s="102"/>
      <c r="I3282" s="93"/>
      <c r="J3282" s="93"/>
    </row>
    <row r="3283" spans="6:10" s="65" customFormat="1" ht="14" x14ac:dyDescent="0.35">
      <c r="F3283" s="102"/>
      <c r="G3283" s="102"/>
      <c r="I3283" s="93"/>
      <c r="J3283" s="93"/>
    </row>
    <row r="3284" spans="6:10" s="65" customFormat="1" ht="14" x14ac:dyDescent="0.35">
      <c r="F3284" s="102"/>
      <c r="G3284" s="102"/>
      <c r="I3284" s="93"/>
      <c r="J3284" s="93"/>
    </row>
    <row r="3285" spans="6:10" s="65" customFormat="1" ht="14" x14ac:dyDescent="0.35">
      <c r="F3285" s="102"/>
      <c r="G3285" s="102"/>
      <c r="I3285" s="93"/>
      <c r="J3285" s="93"/>
    </row>
    <row r="3286" spans="6:10" s="65" customFormat="1" ht="14" x14ac:dyDescent="0.35">
      <c r="F3286" s="102"/>
      <c r="G3286" s="102"/>
      <c r="I3286" s="93"/>
      <c r="J3286" s="93"/>
    </row>
    <row r="3287" spans="6:10" s="65" customFormat="1" ht="14" x14ac:dyDescent="0.35">
      <c r="F3287" s="102"/>
      <c r="G3287" s="102"/>
      <c r="I3287" s="93"/>
      <c r="J3287" s="93"/>
    </row>
    <row r="3288" spans="6:10" s="65" customFormat="1" ht="14" x14ac:dyDescent="0.35">
      <c r="F3288" s="102"/>
      <c r="G3288" s="102"/>
      <c r="I3288" s="93"/>
      <c r="J3288" s="93"/>
    </row>
    <row r="3289" spans="6:10" s="65" customFormat="1" ht="14" x14ac:dyDescent="0.35">
      <c r="F3289" s="102"/>
      <c r="G3289" s="102"/>
      <c r="I3289" s="93"/>
      <c r="J3289" s="93"/>
    </row>
    <row r="3290" spans="6:10" s="65" customFormat="1" ht="14" x14ac:dyDescent="0.35">
      <c r="F3290" s="102"/>
      <c r="G3290" s="102"/>
      <c r="I3290" s="93"/>
      <c r="J3290" s="93"/>
    </row>
    <row r="3291" spans="6:10" s="65" customFormat="1" ht="14" x14ac:dyDescent="0.35">
      <c r="F3291" s="102"/>
      <c r="G3291" s="102"/>
      <c r="I3291" s="93"/>
      <c r="J3291" s="93"/>
    </row>
    <row r="3292" spans="6:10" s="65" customFormat="1" ht="14" x14ac:dyDescent="0.35">
      <c r="F3292" s="102"/>
      <c r="G3292" s="102"/>
      <c r="I3292" s="93"/>
      <c r="J3292" s="93"/>
    </row>
    <row r="3293" spans="6:10" s="65" customFormat="1" ht="14" x14ac:dyDescent="0.35">
      <c r="F3293" s="102"/>
      <c r="G3293" s="102"/>
      <c r="I3293" s="93"/>
      <c r="J3293" s="93"/>
    </row>
    <row r="3294" spans="6:10" s="65" customFormat="1" ht="14" x14ac:dyDescent="0.35">
      <c r="F3294" s="102"/>
      <c r="G3294" s="102"/>
      <c r="I3294" s="93"/>
      <c r="J3294" s="93"/>
    </row>
    <row r="3295" spans="6:10" s="65" customFormat="1" ht="14" x14ac:dyDescent="0.35">
      <c r="F3295" s="102"/>
      <c r="G3295" s="102"/>
      <c r="I3295" s="93"/>
      <c r="J3295" s="93"/>
    </row>
    <row r="3296" spans="6:10" s="65" customFormat="1" ht="14" x14ac:dyDescent="0.35">
      <c r="F3296" s="102"/>
      <c r="G3296" s="102"/>
      <c r="I3296" s="93"/>
      <c r="J3296" s="93"/>
    </row>
    <row r="3297" spans="6:10" s="65" customFormat="1" ht="14" x14ac:dyDescent="0.35">
      <c r="F3297" s="102"/>
      <c r="G3297" s="102"/>
      <c r="I3297" s="93"/>
      <c r="J3297" s="93"/>
    </row>
    <row r="3298" spans="6:10" s="65" customFormat="1" ht="14" x14ac:dyDescent="0.35">
      <c r="F3298" s="102"/>
      <c r="G3298" s="102"/>
      <c r="I3298" s="93"/>
      <c r="J3298" s="93"/>
    </row>
    <row r="3299" spans="6:10" s="65" customFormat="1" ht="14" x14ac:dyDescent="0.35">
      <c r="F3299" s="102"/>
      <c r="G3299" s="102"/>
      <c r="I3299" s="93"/>
      <c r="J3299" s="93"/>
    </row>
    <row r="3300" spans="6:10" s="65" customFormat="1" ht="14" x14ac:dyDescent="0.35">
      <c r="F3300" s="102"/>
      <c r="G3300" s="102"/>
      <c r="I3300" s="93"/>
      <c r="J3300" s="93"/>
    </row>
    <row r="3301" spans="6:10" s="65" customFormat="1" ht="14" x14ac:dyDescent="0.35">
      <c r="F3301" s="102"/>
      <c r="G3301" s="102"/>
      <c r="I3301" s="93"/>
      <c r="J3301" s="93"/>
    </row>
    <row r="3302" spans="6:10" s="65" customFormat="1" ht="14" x14ac:dyDescent="0.35">
      <c r="F3302" s="102"/>
      <c r="G3302" s="102"/>
      <c r="I3302" s="93"/>
      <c r="J3302" s="93"/>
    </row>
    <row r="3303" spans="6:10" s="65" customFormat="1" ht="14" x14ac:dyDescent="0.35">
      <c r="F3303" s="102"/>
      <c r="G3303" s="102"/>
      <c r="I3303" s="93"/>
      <c r="J3303" s="93"/>
    </row>
    <row r="3304" spans="6:10" s="65" customFormat="1" ht="14" x14ac:dyDescent="0.35">
      <c r="F3304" s="102"/>
      <c r="G3304" s="102"/>
      <c r="I3304" s="93"/>
      <c r="J3304" s="93"/>
    </row>
    <row r="3305" spans="6:10" s="65" customFormat="1" ht="14" x14ac:dyDescent="0.35">
      <c r="F3305" s="102"/>
      <c r="G3305" s="102"/>
      <c r="I3305" s="93"/>
      <c r="J3305" s="93"/>
    </row>
    <row r="3306" spans="6:10" s="65" customFormat="1" ht="14" x14ac:dyDescent="0.35">
      <c r="F3306" s="102"/>
      <c r="G3306" s="102"/>
      <c r="I3306" s="93"/>
      <c r="J3306" s="93"/>
    </row>
    <row r="3307" spans="6:10" s="65" customFormat="1" ht="14" x14ac:dyDescent="0.35">
      <c r="F3307" s="102"/>
      <c r="G3307" s="102"/>
      <c r="I3307" s="93"/>
      <c r="J3307" s="93"/>
    </row>
    <row r="3308" spans="6:10" s="65" customFormat="1" ht="14" x14ac:dyDescent="0.35">
      <c r="F3308" s="102"/>
      <c r="G3308" s="102"/>
      <c r="I3308" s="93"/>
      <c r="J3308" s="93"/>
    </row>
    <row r="3309" spans="6:10" s="65" customFormat="1" ht="14" x14ac:dyDescent="0.35">
      <c r="F3309" s="102"/>
      <c r="G3309" s="102"/>
      <c r="I3309" s="93"/>
      <c r="J3309" s="93"/>
    </row>
    <row r="3310" spans="6:10" s="65" customFormat="1" ht="14" x14ac:dyDescent="0.35">
      <c r="F3310" s="102"/>
      <c r="G3310" s="102"/>
      <c r="I3310" s="93"/>
      <c r="J3310" s="93"/>
    </row>
    <row r="3311" spans="6:10" s="65" customFormat="1" ht="14" x14ac:dyDescent="0.35">
      <c r="F3311" s="102"/>
      <c r="G3311" s="102"/>
      <c r="I3311" s="93"/>
      <c r="J3311" s="93"/>
    </row>
    <row r="3312" spans="6:10" s="65" customFormat="1" ht="14" x14ac:dyDescent="0.35">
      <c r="F3312" s="102"/>
      <c r="G3312" s="102"/>
      <c r="I3312" s="93"/>
      <c r="J3312" s="93"/>
    </row>
    <row r="3313" spans="6:10" s="65" customFormat="1" ht="14" x14ac:dyDescent="0.35">
      <c r="F3313" s="102"/>
      <c r="G3313" s="102"/>
      <c r="I3313" s="93"/>
      <c r="J3313" s="93"/>
    </row>
    <row r="3314" spans="6:10" s="65" customFormat="1" ht="14" x14ac:dyDescent="0.35">
      <c r="F3314" s="102"/>
      <c r="G3314" s="102"/>
      <c r="I3314" s="93"/>
      <c r="J3314" s="93"/>
    </row>
    <row r="3315" spans="6:10" s="65" customFormat="1" ht="14" x14ac:dyDescent="0.35">
      <c r="F3315" s="102"/>
      <c r="G3315" s="102"/>
      <c r="I3315" s="93"/>
      <c r="J3315" s="93"/>
    </row>
    <row r="3316" spans="6:10" s="65" customFormat="1" ht="14" x14ac:dyDescent="0.35">
      <c r="F3316" s="102"/>
      <c r="G3316" s="102"/>
      <c r="I3316" s="93"/>
      <c r="J3316" s="93"/>
    </row>
    <row r="3317" spans="6:10" s="65" customFormat="1" ht="14" x14ac:dyDescent="0.35">
      <c r="F3317" s="102"/>
      <c r="G3317" s="102"/>
      <c r="I3317" s="93"/>
      <c r="J3317" s="93"/>
    </row>
    <row r="3318" spans="6:10" s="65" customFormat="1" ht="14" x14ac:dyDescent="0.35">
      <c r="F3318" s="102"/>
      <c r="G3318" s="102"/>
      <c r="I3318" s="93"/>
      <c r="J3318" s="93"/>
    </row>
    <row r="3319" spans="6:10" s="65" customFormat="1" ht="14" x14ac:dyDescent="0.35">
      <c r="F3319" s="102"/>
      <c r="G3319" s="102"/>
      <c r="I3319" s="93"/>
      <c r="J3319" s="93"/>
    </row>
    <row r="3320" spans="6:10" s="65" customFormat="1" ht="14" x14ac:dyDescent="0.35">
      <c r="F3320" s="102"/>
      <c r="G3320" s="102"/>
      <c r="I3320" s="93"/>
      <c r="J3320" s="93"/>
    </row>
    <row r="3321" spans="6:10" s="65" customFormat="1" ht="14" x14ac:dyDescent="0.35">
      <c r="F3321" s="102"/>
      <c r="G3321" s="102"/>
      <c r="I3321" s="93"/>
      <c r="J3321" s="93"/>
    </row>
    <row r="3322" spans="6:10" s="65" customFormat="1" ht="14" x14ac:dyDescent="0.35">
      <c r="F3322" s="102"/>
      <c r="G3322" s="102"/>
      <c r="I3322" s="93"/>
      <c r="J3322" s="93"/>
    </row>
    <row r="3323" spans="6:10" s="65" customFormat="1" ht="14" x14ac:dyDescent="0.35">
      <c r="F3323" s="102"/>
      <c r="G3323" s="102"/>
      <c r="I3323" s="93"/>
      <c r="J3323" s="93"/>
    </row>
    <row r="3324" spans="6:10" s="65" customFormat="1" ht="14" x14ac:dyDescent="0.35">
      <c r="F3324" s="102"/>
      <c r="G3324" s="102"/>
      <c r="I3324" s="93"/>
      <c r="J3324" s="93"/>
    </row>
    <row r="3325" spans="6:10" s="65" customFormat="1" ht="14" x14ac:dyDescent="0.35">
      <c r="F3325" s="102"/>
      <c r="G3325" s="102"/>
      <c r="I3325" s="93"/>
      <c r="J3325" s="93"/>
    </row>
    <row r="3326" spans="6:10" s="65" customFormat="1" ht="14" x14ac:dyDescent="0.35">
      <c r="F3326" s="102"/>
      <c r="G3326" s="102"/>
      <c r="I3326" s="93"/>
      <c r="J3326" s="93"/>
    </row>
    <row r="3327" spans="6:10" s="65" customFormat="1" ht="14" x14ac:dyDescent="0.35">
      <c r="F3327" s="102"/>
      <c r="G3327" s="102"/>
      <c r="I3327" s="93"/>
      <c r="J3327" s="93"/>
    </row>
    <row r="3328" spans="6:10" s="65" customFormat="1" ht="14" x14ac:dyDescent="0.35">
      <c r="F3328" s="102"/>
      <c r="G3328" s="102"/>
      <c r="I3328" s="93"/>
      <c r="J3328" s="93"/>
    </row>
    <row r="3329" spans="6:10" s="65" customFormat="1" ht="14" x14ac:dyDescent="0.35">
      <c r="F3329" s="102"/>
      <c r="G3329" s="102"/>
      <c r="I3329" s="93"/>
      <c r="J3329" s="93"/>
    </row>
    <row r="3330" spans="6:10" s="65" customFormat="1" ht="14" x14ac:dyDescent="0.35">
      <c r="F3330" s="102"/>
      <c r="G3330" s="102"/>
      <c r="I3330" s="93"/>
      <c r="J3330" s="93"/>
    </row>
    <row r="3331" spans="6:10" s="65" customFormat="1" ht="14" x14ac:dyDescent="0.35">
      <c r="F3331" s="102"/>
      <c r="G3331" s="102"/>
      <c r="I3331" s="93"/>
      <c r="J3331" s="93"/>
    </row>
    <row r="3332" spans="6:10" s="65" customFormat="1" ht="14" x14ac:dyDescent="0.35">
      <c r="F3332" s="102"/>
      <c r="G3332" s="102"/>
      <c r="I3332" s="93"/>
      <c r="J3332" s="93"/>
    </row>
    <row r="3333" spans="6:10" s="65" customFormat="1" ht="14" x14ac:dyDescent="0.35">
      <c r="F3333" s="102"/>
      <c r="G3333" s="102"/>
      <c r="I3333" s="93"/>
      <c r="J3333" s="93"/>
    </row>
    <row r="3334" spans="6:10" s="65" customFormat="1" ht="14" x14ac:dyDescent="0.35">
      <c r="F3334" s="102"/>
      <c r="G3334" s="102"/>
      <c r="I3334" s="93"/>
      <c r="J3334" s="93"/>
    </row>
    <row r="3335" spans="6:10" s="65" customFormat="1" ht="14" x14ac:dyDescent="0.35">
      <c r="F3335" s="102"/>
      <c r="G3335" s="102"/>
      <c r="I3335" s="93"/>
      <c r="J3335" s="93"/>
    </row>
    <row r="3336" spans="6:10" s="65" customFormat="1" ht="14" x14ac:dyDescent="0.35">
      <c r="F3336" s="102"/>
      <c r="G3336" s="102"/>
      <c r="I3336" s="93"/>
      <c r="J3336" s="93"/>
    </row>
    <row r="3337" spans="6:10" s="65" customFormat="1" ht="14" x14ac:dyDescent="0.35">
      <c r="F3337" s="102"/>
      <c r="G3337" s="102"/>
      <c r="I3337" s="93"/>
      <c r="J3337" s="93"/>
    </row>
    <row r="3338" spans="6:10" s="65" customFormat="1" ht="14" x14ac:dyDescent="0.35">
      <c r="F3338" s="102"/>
      <c r="G3338" s="102"/>
      <c r="I3338" s="93"/>
      <c r="J3338" s="93"/>
    </row>
    <row r="3339" spans="6:10" s="65" customFormat="1" ht="14" x14ac:dyDescent="0.35">
      <c r="F3339" s="102"/>
      <c r="G3339" s="102"/>
      <c r="I3339" s="93"/>
      <c r="J3339" s="93"/>
    </row>
    <row r="3340" spans="6:10" s="65" customFormat="1" ht="14" x14ac:dyDescent="0.35">
      <c r="F3340" s="102"/>
      <c r="G3340" s="102"/>
      <c r="I3340" s="93"/>
      <c r="J3340" s="93"/>
    </row>
    <row r="3341" spans="6:10" s="65" customFormat="1" ht="14" x14ac:dyDescent="0.35">
      <c r="F3341" s="102"/>
      <c r="G3341" s="102"/>
      <c r="I3341" s="93"/>
      <c r="J3341" s="93"/>
    </row>
    <row r="3342" spans="6:10" s="65" customFormat="1" ht="14" x14ac:dyDescent="0.35">
      <c r="F3342" s="102"/>
      <c r="G3342" s="102"/>
      <c r="I3342" s="93"/>
      <c r="J3342" s="93"/>
    </row>
    <row r="3343" spans="6:10" s="65" customFormat="1" ht="14" x14ac:dyDescent="0.35">
      <c r="F3343" s="102"/>
      <c r="G3343" s="102"/>
      <c r="I3343" s="93"/>
      <c r="J3343" s="93"/>
    </row>
    <row r="3344" spans="6:10" s="65" customFormat="1" ht="14" x14ac:dyDescent="0.35">
      <c r="F3344" s="102"/>
      <c r="G3344" s="102"/>
      <c r="I3344" s="93"/>
      <c r="J3344" s="93"/>
    </row>
    <row r="3345" spans="6:10" s="65" customFormat="1" ht="14" x14ac:dyDescent="0.35">
      <c r="F3345" s="102"/>
      <c r="G3345" s="102"/>
      <c r="I3345" s="93"/>
      <c r="J3345" s="93"/>
    </row>
    <row r="3346" spans="6:10" s="65" customFormat="1" ht="14" x14ac:dyDescent="0.35">
      <c r="F3346" s="102"/>
      <c r="G3346" s="102"/>
      <c r="I3346" s="93"/>
      <c r="J3346" s="93"/>
    </row>
    <row r="3347" spans="6:10" s="65" customFormat="1" ht="14" x14ac:dyDescent="0.35">
      <c r="F3347" s="102"/>
      <c r="G3347" s="102"/>
      <c r="I3347" s="93"/>
      <c r="J3347" s="93"/>
    </row>
    <row r="3348" spans="6:10" s="65" customFormat="1" ht="14" x14ac:dyDescent="0.35">
      <c r="F3348" s="102"/>
      <c r="G3348" s="102"/>
      <c r="I3348" s="93"/>
      <c r="J3348" s="93"/>
    </row>
    <row r="3349" spans="6:10" s="65" customFormat="1" ht="14" x14ac:dyDescent="0.35">
      <c r="F3349" s="102"/>
      <c r="G3349" s="102"/>
      <c r="I3349" s="93"/>
      <c r="J3349" s="93"/>
    </row>
    <row r="3350" spans="6:10" s="65" customFormat="1" ht="14" x14ac:dyDescent="0.35">
      <c r="F3350" s="102"/>
      <c r="G3350" s="102"/>
      <c r="I3350" s="93"/>
      <c r="J3350" s="93"/>
    </row>
    <row r="3351" spans="6:10" s="65" customFormat="1" ht="14" x14ac:dyDescent="0.35">
      <c r="F3351" s="102"/>
      <c r="G3351" s="102"/>
      <c r="I3351" s="93"/>
      <c r="J3351" s="93"/>
    </row>
    <row r="3352" spans="6:10" s="65" customFormat="1" ht="14" x14ac:dyDescent="0.35">
      <c r="F3352" s="102"/>
      <c r="G3352" s="102"/>
      <c r="I3352" s="93"/>
      <c r="J3352" s="93"/>
    </row>
    <row r="3353" spans="6:10" s="65" customFormat="1" ht="14" x14ac:dyDescent="0.35">
      <c r="F3353" s="102"/>
      <c r="G3353" s="102"/>
      <c r="I3353" s="93"/>
      <c r="J3353" s="93"/>
    </row>
    <row r="3354" spans="6:10" s="65" customFormat="1" ht="14" x14ac:dyDescent="0.35">
      <c r="F3354" s="102"/>
      <c r="G3354" s="102"/>
      <c r="I3354" s="93"/>
      <c r="J3354" s="93"/>
    </row>
    <row r="3355" spans="6:10" s="65" customFormat="1" ht="14" x14ac:dyDescent="0.35">
      <c r="F3355" s="102"/>
      <c r="G3355" s="102"/>
      <c r="I3355" s="93"/>
      <c r="J3355" s="93"/>
    </row>
    <row r="3356" spans="6:10" s="65" customFormat="1" ht="14" x14ac:dyDescent="0.35">
      <c r="F3356" s="102"/>
      <c r="G3356" s="102"/>
      <c r="I3356" s="93"/>
      <c r="J3356" s="93"/>
    </row>
    <row r="3357" spans="6:10" s="65" customFormat="1" ht="14" x14ac:dyDescent="0.35">
      <c r="F3357" s="102"/>
      <c r="G3357" s="102"/>
      <c r="I3357" s="93"/>
      <c r="J3357" s="93"/>
    </row>
    <row r="3358" spans="6:10" s="65" customFormat="1" ht="14" x14ac:dyDescent="0.35">
      <c r="F3358" s="102"/>
      <c r="G3358" s="102"/>
      <c r="I3358" s="93"/>
      <c r="J3358" s="93"/>
    </row>
    <row r="3359" spans="6:10" s="65" customFormat="1" ht="14" x14ac:dyDescent="0.35">
      <c r="F3359" s="102"/>
      <c r="G3359" s="102"/>
      <c r="I3359" s="93"/>
      <c r="J3359" s="93"/>
    </row>
    <row r="3360" spans="6:10" s="65" customFormat="1" ht="14" x14ac:dyDescent="0.35">
      <c r="F3360" s="102"/>
      <c r="G3360" s="102"/>
      <c r="I3360" s="93"/>
      <c r="J3360" s="93"/>
    </row>
    <row r="3361" spans="6:10" s="65" customFormat="1" ht="14" x14ac:dyDescent="0.35">
      <c r="F3361" s="102"/>
      <c r="G3361" s="102"/>
      <c r="I3361" s="93"/>
      <c r="J3361" s="93"/>
    </row>
    <row r="3362" spans="6:10" s="65" customFormat="1" ht="14" x14ac:dyDescent="0.35">
      <c r="F3362" s="102"/>
      <c r="G3362" s="102"/>
      <c r="I3362" s="93"/>
      <c r="J3362" s="93"/>
    </row>
    <row r="3363" spans="6:10" s="65" customFormat="1" ht="14" x14ac:dyDescent="0.35">
      <c r="F3363" s="102"/>
      <c r="G3363" s="102"/>
      <c r="I3363" s="93"/>
      <c r="J3363" s="93"/>
    </row>
    <row r="3364" spans="6:10" s="65" customFormat="1" ht="14" x14ac:dyDescent="0.35">
      <c r="F3364" s="102"/>
      <c r="G3364" s="102"/>
      <c r="I3364" s="93"/>
      <c r="J3364" s="93"/>
    </row>
    <row r="3365" spans="6:10" s="65" customFormat="1" ht="14" x14ac:dyDescent="0.35">
      <c r="F3365" s="102"/>
      <c r="G3365" s="102"/>
      <c r="I3365" s="93"/>
      <c r="J3365" s="93"/>
    </row>
    <row r="3366" spans="6:10" s="65" customFormat="1" ht="14" x14ac:dyDescent="0.35">
      <c r="F3366" s="102"/>
      <c r="G3366" s="102"/>
      <c r="I3366" s="93"/>
      <c r="J3366" s="93"/>
    </row>
    <row r="3367" spans="6:10" s="65" customFormat="1" ht="14" x14ac:dyDescent="0.35">
      <c r="F3367" s="102"/>
      <c r="G3367" s="102"/>
      <c r="I3367" s="93"/>
      <c r="J3367" s="93"/>
    </row>
    <row r="3368" spans="6:10" s="65" customFormat="1" ht="14" x14ac:dyDescent="0.35">
      <c r="F3368" s="102"/>
      <c r="G3368" s="102"/>
      <c r="I3368" s="93"/>
      <c r="J3368" s="93"/>
    </row>
    <row r="3369" spans="6:10" s="65" customFormat="1" ht="14" x14ac:dyDescent="0.35">
      <c r="F3369" s="102"/>
      <c r="G3369" s="102"/>
      <c r="I3369" s="93"/>
      <c r="J3369" s="93"/>
    </row>
    <row r="3370" spans="6:10" s="65" customFormat="1" ht="14" x14ac:dyDescent="0.35">
      <c r="F3370" s="102"/>
      <c r="G3370" s="102"/>
      <c r="I3370" s="93"/>
      <c r="J3370" s="93"/>
    </row>
    <row r="3371" spans="6:10" s="65" customFormat="1" ht="14" x14ac:dyDescent="0.35">
      <c r="F3371" s="102"/>
      <c r="G3371" s="102"/>
      <c r="I3371" s="93"/>
      <c r="J3371" s="93"/>
    </row>
    <row r="3372" spans="6:10" s="65" customFormat="1" ht="14" x14ac:dyDescent="0.35">
      <c r="F3372" s="102"/>
      <c r="G3372" s="102"/>
      <c r="I3372" s="93"/>
      <c r="J3372" s="93"/>
    </row>
    <row r="3373" spans="6:10" s="65" customFormat="1" ht="14" x14ac:dyDescent="0.35">
      <c r="F3373" s="102"/>
      <c r="G3373" s="102"/>
      <c r="I3373" s="93"/>
      <c r="J3373" s="93"/>
    </row>
    <row r="3374" spans="6:10" s="65" customFormat="1" ht="14" x14ac:dyDescent="0.35">
      <c r="F3374" s="102"/>
      <c r="G3374" s="102"/>
      <c r="I3374" s="93"/>
      <c r="J3374" s="93"/>
    </row>
    <row r="3375" spans="6:10" s="65" customFormat="1" ht="14" x14ac:dyDescent="0.35">
      <c r="F3375" s="102"/>
      <c r="G3375" s="102"/>
      <c r="I3375" s="93"/>
      <c r="J3375" s="93"/>
    </row>
    <row r="3376" spans="6:10" s="65" customFormat="1" ht="14" x14ac:dyDescent="0.35">
      <c r="F3376" s="102"/>
      <c r="G3376" s="102"/>
      <c r="I3376" s="93"/>
      <c r="J3376" s="93"/>
    </row>
    <row r="3377" spans="6:10" s="65" customFormat="1" ht="14" x14ac:dyDescent="0.35">
      <c r="F3377" s="102"/>
      <c r="G3377" s="102"/>
      <c r="I3377" s="93"/>
      <c r="J3377" s="93"/>
    </row>
    <row r="3378" spans="6:10" s="65" customFormat="1" ht="14" x14ac:dyDescent="0.35">
      <c r="F3378" s="102"/>
      <c r="G3378" s="102"/>
      <c r="I3378" s="93"/>
      <c r="J3378" s="93"/>
    </row>
    <row r="3379" spans="6:10" s="65" customFormat="1" ht="14" x14ac:dyDescent="0.35">
      <c r="F3379" s="102"/>
      <c r="G3379" s="102"/>
      <c r="I3379" s="93"/>
      <c r="J3379" s="93"/>
    </row>
    <row r="3380" spans="6:10" s="65" customFormat="1" ht="14" x14ac:dyDescent="0.35">
      <c r="F3380" s="102"/>
      <c r="G3380" s="102"/>
      <c r="I3380" s="93"/>
      <c r="J3380" s="93"/>
    </row>
    <row r="3381" spans="6:10" s="65" customFormat="1" ht="14" x14ac:dyDescent="0.35">
      <c r="F3381" s="102"/>
      <c r="G3381" s="102"/>
      <c r="I3381" s="93"/>
      <c r="J3381" s="93"/>
    </row>
    <row r="3382" spans="6:10" s="65" customFormat="1" ht="14" x14ac:dyDescent="0.35">
      <c r="F3382" s="102"/>
      <c r="G3382" s="102"/>
      <c r="I3382" s="93"/>
      <c r="J3382" s="93"/>
    </row>
    <row r="3383" spans="6:10" s="65" customFormat="1" ht="14" x14ac:dyDescent="0.35">
      <c r="F3383" s="102"/>
      <c r="G3383" s="102"/>
      <c r="I3383" s="93"/>
      <c r="J3383" s="93"/>
    </row>
    <row r="3384" spans="6:10" s="65" customFormat="1" ht="14" x14ac:dyDescent="0.35">
      <c r="F3384" s="102"/>
      <c r="G3384" s="102"/>
      <c r="I3384" s="93"/>
      <c r="J3384" s="93"/>
    </row>
    <row r="3385" spans="6:10" s="65" customFormat="1" ht="14" x14ac:dyDescent="0.35">
      <c r="F3385" s="102"/>
      <c r="G3385" s="102"/>
      <c r="I3385" s="93"/>
      <c r="J3385" s="93"/>
    </row>
    <row r="3386" spans="6:10" s="65" customFormat="1" ht="14" x14ac:dyDescent="0.35">
      <c r="F3386" s="102"/>
      <c r="G3386" s="102"/>
      <c r="I3386" s="93"/>
      <c r="J3386" s="93"/>
    </row>
    <row r="3387" spans="6:10" s="65" customFormat="1" ht="14" x14ac:dyDescent="0.35">
      <c r="F3387" s="102"/>
      <c r="G3387" s="102"/>
      <c r="I3387" s="93"/>
      <c r="J3387" s="93"/>
    </row>
    <row r="3388" spans="6:10" s="65" customFormat="1" ht="14" x14ac:dyDescent="0.35">
      <c r="F3388" s="102"/>
      <c r="G3388" s="102"/>
      <c r="I3388" s="93"/>
      <c r="J3388" s="93"/>
    </row>
    <row r="3389" spans="6:10" s="65" customFormat="1" ht="14" x14ac:dyDescent="0.35">
      <c r="F3389" s="102"/>
      <c r="G3389" s="102"/>
      <c r="I3389" s="93"/>
      <c r="J3389" s="93"/>
    </row>
    <row r="3390" spans="6:10" s="65" customFormat="1" ht="14" x14ac:dyDescent="0.35">
      <c r="F3390" s="102"/>
      <c r="G3390" s="102"/>
      <c r="I3390" s="93"/>
      <c r="J3390" s="93"/>
    </row>
    <row r="3391" spans="6:10" s="65" customFormat="1" ht="14" x14ac:dyDescent="0.35">
      <c r="F3391" s="102"/>
      <c r="G3391" s="102"/>
      <c r="I3391" s="93"/>
      <c r="J3391" s="93"/>
    </row>
    <row r="3392" spans="6:10" s="65" customFormat="1" ht="14" x14ac:dyDescent="0.35">
      <c r="F3392" s="102"/>
      <c r="G3392" s="102"/>
      <c r="I3392" s="93"/>
      <c r="J3392" s="93"/>
    </row>
    <row r="3393" spans="6:10" s="65" customFormat="1" ht="14" x14ac:dyDescent="0.35">
      <c r="F3393" s="102"/>
      <c r="G3393" s="102"/>
      <c r="I3393" s="93"/>
      <c r="J3393" s="93"/>
    </row>
    <row r="3394" spans="6:10" s="65" customFormat="1" ht="14" x14ac:dyDescent="0.35">
      <c r="F3394" s="102"/>
      <c r="G3394" s="102"/>
      <c r="I3394" s="93"/>
      <c r="J3394" s="93"/>
    </row>
    <row r="3395" spans="6:10" s="65" customFormat="1" ht="14" x14ac:dyDescent="0.35">
      <c r="F3395" s="102"/>
      <c r="G3395" s="102"/>
      <c r="I3395" s="93"/>
      <c r="J3395" s="93"/>
    </row>
    <row r="3396" spans="6:10" s="65" customFormat="1" ht="14" x14ac:dyDescent="0.35">
      <c r="F3396" s="102"/>
      <c r="G3396" s="102"/>
      <c r="I3396" s="93"/>
      <c r="J3396" s="93"/>
    </row>
    <row r="3397" spans="6:10" s="65" customFormat="1" ht="14" x14ac:dyDescent="0.35">
      <c r="F3397" s="102"/>
      <c r="G3397" s="102"/>
      <c r="I3397" s="93"/>
      <c r="J3397" s="93"/>
    </row>
    <row r="3398" spans="6:10" s="65" customFormat="1" ht="14" x14ac:dyDescent="0.35">
      <c r="F3398" s="102"/>
      <c r="G3398" s="102"/>
      <c r="I3398" s="93"/>
      <c r="J3398" s="93"/>
    </row>
    <row r="3399" spans="6:10" s="65" customFormat="1" ht="14" x14ac:dyDescent="0.35">
      <c r="F3399" s="102"/>
      <c r="G3399" s="102"/>
      <c r="I3399" s="93"/>
      <c r="J3399" s="93"/>
    </row>
    <row r="3400" spans="6:10" s="65" customFormat="1" ht="14" x14ac:dyDescent="0.35">
      <c r="F3400" s="102"/>
      <c r="G3400" s="102"/>
      <c r="I3400" s="93"/>
      <c r="J3400" s="93"/>
    </row>
    <row r="3401" spans="6:10" s="65" customFormat="1" ht="14" x14ac:dyDescent="0.35">
      <c r="F3401" s="102"/>
      <c r="G3401" s="102"/>
      <c r="I3401" s="93"/>
      <c r="J3401" s="93"/>
    </row>
    <row r="3402" spans="6:10" s="65" customFormat="1" ht="14" x14ac:dyDescent="0.35">
      <c r="F3402" s="102"/>
      <c r="G3402" s="102"/>
      <c r="I3402" s="93"/>
      <c r="J3402" s="93"/>
    </row>
    <row r="3403" spans="6:10" s="65" customFormat="1" ht="14" x14ac:dyDescent="0.35">
      <c r="F3403" s="102"/>
      <c r="G3403" s="102"/>
      <c r="I3403" s="93"/>
      <c r="J3403" s="93"/>
    </row>
    <row r="3404" spans="6:10" s="65" customFormat="1" ht="14" x14ac:dyDescent="0.35">
      <c r="F3404" s="102"/>
      <c r="G3404" s="102"/>
      <c r="I3404" s="93"/>
      <c r="J3404" s="93"/>
    </row>
    <row r="3405" spans="6:10" s="65" customFormat="1" ht="14" x14ac:dyDescent="0.35">
      <c r="F3405" s="102"/>
      <c r="G3405" s="102"/>
      <c r="I3405" s="93"/>
      <c r="J3405" s="93"/>
    </row>
    <row r="3406" spans="6:10" s="65" customFormat="1" ht="14" x14ac:dyDescent="0.35">
      <c r="F3406" s="102"/>
      <c r="G3406" s="102"/>
      <c r="I3406" s="93"/>
      <c r="J3406" s="93"/>
    </row>
    <row r="3407" spans="6:10" s="65" customFormat="1" ht="14" x14ac:dyDescent="0.35">
      <c r="F3407" s="102"/>
      <c r="G3407" s="102"/>
      <c r="I3407" s="93"/>
      <c r="J3407" s="93"/>
    </row>
    <row r="3408" spans="6:10" s="65" customFormat="1" ht="14" x14ac:dyDescent="0.35">
      <c r="F3408" s="102"/>
      <c r="G3408" s="102"/>
      <c r="I3408" s="93"/>
      <c r="J3408" s="93"/>
    </row>
    <row r="3409" spans="6:10" s="65" customFormat="1" ht="14" x14ac:dyDescent="0.35">
      <c r="F3409" s="102"/>
      <c r="G3409" s="102"/>
      <c r="I3409" s="93"/>
      <c r="J3409" s="93"/>
    </row>
    <row r="3410" spans="6:10" s="65" customFormat="1" ht="14" x14ac:dyDescent="0.35">
      <c r="F3410" s="102"/>
      <c r="G3410" s="102"/>
      <c r="I3410" s="93"/>
      <c r="J3410" s="93"/>
    </row>
    <row r="3411" spans="6:10" s="65" customFormat="1" ht="14" x14ac:dyDescent="0.35">
      <c r="F3411" s="102"/>
      <c r="G3411" s="102"/>
      <c r="I3411" s="93"/>
      <c r="J3411" s="93"/>
    </row>
    <row r="3412" spans="6:10" s="65" customFormat="1" ht="14" x14ac:dyDescent="0.35">
      <c r="F3412" s="102"/>
      <c r="G3412" s="102"/>
      <c r="I3412" s="93"/>
      <c r="J3412" s="93"/>
    </row>
    <row r="3413" spans="6:10" s="65" customFormat="1" ht="14" x14ac:dyDescent="0.35">
      <c r="F3413" s="102"/>
      <c r="G3413" s="102"/>
      <c r="I3413" s="93"/>
      <c r="J3413" s="93"/>
    </row>
    <row r="3414" spans="6:10" s="65" customFormat="1" ht="14" x14ac:dyDescent="0.35">
      <c r="F3414" s="102"/>
      <c r="G3414" s="102"/>
      <c r="I3414" s="93"/>
      <c r="J3414" s="93"/>
    </row>
    <row r="3415" spans="6:10" s="65" customFormat="1" ht="14" x14ac:dyDescent="0.35">
      <c r="F3415" s="102"/>
      <c r="G3415" s="102"/>
      <c r="I3415" s="93"/>
      <c r="J3415" s="93"/>
    </row>
    <row r="3416" spans="6:10" s="65" customFormat="1" ht="14" x14ac:dyDescent="0.35">
      <c r="F3416" s="102"/>
      <c r="G3416" s="102"/>
      <c r="I3416" s="93"/>
      <c r="J3416" s="93"/>
    </row>
    <row r="3417" spans="6:10" s="65" customFormat="1" ht="14" x14ac:dyDescent="0.35">
      <c r="F3417" s="102"/>
      <c r="G3417" s="102"/>
      <c r="I3417" s="93"/>
      <c r="J3417" s="93"/>
    </row>
    <row r="3418" spans="6:10" s="65" customFormat="1" ht="14" x14ac:dyDescent="0.35">
      <c r="F3418" s="102"/>
      <c r="G3418" s="102"/>
      <c r="I3418" s="93"/>
      <c r="J3418" s="93"/>
    </row>
    <row r="3419" spans="6:10" s="65" customFormat="1" ht="14" x14ac:dyDescent="0.35">
      <c r="F3419" s="102"/>
      <c r="G3419" s="102"/>
      <c r="I3419" s="93"/>
      <c r="J3419" s="93"/>
    </row>
    <row r="3420" spans="6:10" s="65" customFormat="1" ht="14" x14ac:dyDescent="0.35">
      <c r="F3420" s="102"/>
      <c r="G3420" s="102"/>
      <c r="I3420" s="93"/>
      <c r="J3420" s="93"/>
    </row>
    <row r="3421" spans="6:10" s="65" customFormat="1" ht="14" x14ac:dyDescent="0.35">
      <c r="F3421" s="102"/>
      <c r="G3421" s="102"/>
      <c r="I3421" s="93"/>
      <c r="J3421" s="93"/>
    </row>
    <row r="3422" spans="6:10" s="65" customFormat="1" ht="14" x14ac:dyDescent="0.35">
      <c r="F3422" s="102"/>
      <c r="G3422" s="102"/>
      <c r="I3422" s="93"/>
      <c r="J3422" s="93"/>
    </row>
    <row r="3423" spans="6:10" s="65" customFormat="1" ht="14" x14ac:dyDescent="0.35">
      <c r="F3423" s="102"/>
      <c r="G3423" s="102"/>
      <c r="I3423" s="93"/>
      <c r="J3423" s="93"/>
    </row>
    <row r="3424" spans="6:10" s="65" customFormat="1" ht="14" x14ac:dyDescent="0.35">
      <c r="F3424" s="102"/>
      <c r="G3424" s="102"/>
      <c r="I3424" s="93"/>
      <c r="J3424" s="93"/>
    </row>
    <row r="3425" spans="6:10" s="65" customFormat="1" ht="14" x14ac:dyDescent="0.35">
      <c r="F3425" s="102"/>
      <c r="G3425" s="102"/>
      <c r="I3425" s="93"/>
      <c r="J3425" s="93"/>
    </row>
    <row r="3426" spans="6:10" s="65" customFormat="1" ht="14" x14ac:dyDescent="0.35">
      <c r="F3426" s="102"/>
      <c r="G3426" s="102"/>
      <c r="I3426" s="93"/>
      <c r="J3426" s="93"/>
    </row>
    <row r="3427" spans="6:10" s="65" customFormat="1" ht="14" x14ac:dyDescent="0.35">
      <c r="F3427" s="102"/>
      <c r="G3427" s="102"/>
      <c r="I3427" s="93"/>
      <c r="J3427" s="93"/>
    </row>
    <row r="3428" spans="6:10" s="65" customFormat="1" ht="14" x14ac:dyDescent="0.35">
      <c r="F3428" s="102"/>
      <c r="G3428" s="102"/>
      <c r="I3428" s="93"/>
      <c r="J3428" s="93"/>
    </row>
    <row r="3429" spans="6:10" s="65" customFormat="1" ht="14" x14ac:dyDescent="0.35">
      <c r="F3429" s="102"/>
      <c r="G3429" s="102"/>
      <c r="I3429" s="93"/>
      <c r="J3429" s="93"/>
    </row>
    <row r="3430" spans="6:10" s="65" customFormat="1" ht="14" x14ac:dyDescent="0.35">
      <c r="F3430" s="102"/>
      <c r="G3430" s="102"/>
      <c r="I3430" s="93"/>
      <c r="J3430" s="93"/>
    </row>
    <row r="3431" spans="6:10" s="65" customFormat="1" ht="14" x14ac:dyDescent="0.35">
      <c r="F3431" s="102"/>
      <c r="G3431" s="102"/>
      <c r="I3431" s="93"/>
      <c r="J3431" s="93"/>
    </row>
    <row r="3432" spans="6:10" s="65" customFormat="1" ht="14" x14ac:dyDescent="0.35">
      <c r="F3432" s="102"/>
      <c r="G3432" s="102"/>
      <c r="I3432" s="93"/>
      <c r="J3432" s="93"/>
    </row>
    <row r="3433" spans="6:10" s="65" customFormat="1" ht="14" x14ac:dyDescent="0.35">
      <c r="F3433" s="102"/>
      <c r="G3433" s="102"/>
      <c r="I3433" s="93"/>
      <c r="J3433" s="93"/>
    </row>
    <row r="3434" spans="6:10" s="65" customFormat="1" ht="14" x14ac:dyDescent="0.35">
      <c r="F3434" s="102"/>
      <c r="G3434" s="102"/>
      <c r="I3434" s="93"/>
      <c r="J3434" s="93"/>
    </row>
    <row r="3435" spans="6:10" s="65" customFormat="1" ht="14" x14ac:dyDescent="0.35">
      <c r="F3435" s="102"/>
      <c r="G3435" s="102"/>
      <c r="I3435" s="93"/>
      <c r="J3435" s="93"/>
    </row>
    <row r="3436" spans="6:10" s="65" customFormat="1" ht="14" x14ac:dyDescent="0.35">
      <c r="F3436" s="102"/>
      <c r="G3436" s="102"/>
      <c r="I3436" s="93"/>
      <c r="J3436" s="93"/>
    </row>
    <row r="3437" spans="6:10" s="65" customFormat="1" ht="14" x14ac:dyDescent="0.35">
      <c r="F3437" s="102"/>
      <c r="G3437" s="102"/>
      <c r="I3437" s="93"/>
      <c r="J3437" s="93"/>
    </row>
    <row r="3438" spans="6:10" s="65" customFormat="1" ht="14" x14ac:dyDescent="0.35">
      <c r="F3438" s="102"/>
      <c r="G3438" s="102"/>
      <c r="I3438" s="93"/>
      <c r="J3438" s="93"/>
    </row>
    <row r="3439" spans="6:10" s="65" customFormat="1" ht="14" x14ac:dyDescent="0.35">
      <c r="F3439" s="102"/>
      <c r="G3439" s="102"/>
      <c r="I3439" s="93"/>
      <c r="J3439" s="93"/>
    </row>
    <row r="3440" spans="6:10" s="65" customFormat="1" ht="14" x14ac:dyDescent="0.35">
      <c r="F3440" s="102"/>
      <c r="G3440" s="102"/>
      <c r="I3440" s="93"/>
      <c r="J3440" s="93"/>
    </row>
    <row r="3441" spans="6:10" s="65" customFormat="1" ht="14" x14ac:dyDescent="0.35">
      <c r="F3441" s="102"/>
      <c r="G3441" s="102"/>
      <c r="I3441" s="93"/>
      <c r="J3441" s="93"/>
    </row>
    <row r="3442" spans="6:10" s="65" customFormat="1" ht="14" x14ac:dyDescent="0.35">
      <c r="F3442" s="102"/>
      <c r="G3442" s="102"/>
      <c r="I3442" s="93"/>
      <c r="J3442" s="93"/>
    </row>
    <row r="3443" spans="6:10" s="65" customFormat="1" ht="14" x14ac:dyDescent="0.35">
      <c r="F3443" s="102"/>
      <c r="G3443" s="102"/>
      <c r="I3443" s="93"/>
      <c r="J3443" s="93"/>
    </row>
    <row r="3444" spans="6:10" s="65" customFormat="1" ht="14" x14ac:dyDescent="0.35">
      <c r="F3444" s="102"/>
      <c r="G3444" s="102"/>
      <c r="I3444" s="93"/>
      <c r="J3444" s="93"/>
    </row>
    <row r="3445" spans="6:10" s="65" customFormat="1" ht="14" x14ac:dyDescent="0.35">
      <c r="F3445" s="102"/>
      <c r="G3445" s="102"/>
      <c r="I3445" s="93"/>
      <c r="J3445" s="93"/>
    </row>
    <row r="3446" spans="6:10" s="65" customFormat="1" ht="14" x14ac:dyDescent="0.35">
      <c r="F3446" s="102"/>
      <c r="G3446" s="102"/>
      <c r="I3446" s="93"/>
      <c r="J3446" s="93"/>
    </row>
    <row r="3447" spans="6:10" s="65" customFormat="1" ht="14" x14ac:dyDescent="0.35">
      <c r="F3447" s="102"/>
      <c r="G3447" s="102"/>
      <c r="I3447" s="93"/>
      <c r="J3447" s="93"/>
    </row>
    <row r="3448" spans="6:10" s="65" customFormat="1" ht="14" x14ac:dyDescent="0.35">
      <c r="F3448" s="102"/>
      <c r="G3448" s="102"/>
      <c r="I3448" s="93"/>
      <c r="J3448" s="93"/>
    </row>
    <row r="3449" spans="6:10" s="65" customFormat="1" ht="14" x14ac:dyDescent="0.35">
      <c r="F3449" s="102"/>
      <c r="G3449" s="102"/>
      <c r="I3449" s="93"/>
      <c r="J3449" s="93"/>
    </row>
    <row r="3450" spans="6:10" s="65" customFormat="1" ht="14" x14ac:dyDescent="0.35">
      <c r="F3450" s="102"/>
      <c r="G3450" s="102"/>
      <c r="I3450" s="93"/>
      <c r="J3450" s="93"/>
    </row>
    <row r="3451" spans="6:10" s="65" customFormat="1" ht="14" x14ac:dyDescent="0.35">
      <c r="F3451" s="102"/>
      <c r="G3451" s="102"/>
      <c r="I3451" s="93"/>
      <c r="J3451" s="93"/>
    </row>
    <row r="3452" spans="6:10" s="65" customFormat="1" ht="14" x14ac:dyDescent="0.35">
      <c r="F3452" s="102"/>
      <c r="G3452" s="102"/>
      <c r="I3452" s="93"/>
      <c r="J3452" s="93"/>
    </row>
    <row r="3453" spans="6:10" s="65" customFormat="1" ht="14" x14ac:dyDescent="0.35">
      <c r="F3453" s="102"/>
      <c r="G3453" s="102"/>
      <c r="I3453" s="93"/>
      <c r="J3453" s="93"/>
    </row>
    <row r="3454" spans="6:10" s="65" customFormat="1" ht="14" x14ac:dyDescent="0.35">
      <c r="F3454" s="102"/>
      <c r="G3454" s="102"/>
      <c r="I3454" s="93"/>
      <c r="J3454" s="93"/>
    </row>
    <row r="3455" spans="6:10" s="65" customFormat="1" ht="14" x14ac:dyDescent="0.35">
      <c r="F3455" s="102"/>
      <c r="G3455" s="102"/>
      <c r="I3455" s="93"/>
      <c r="J3455" s="93"/>
    </row>
    <row r="3456" spans="6:10" s="65" customFormat="1" ht="14" x14ac:dyDescent="0.35">
      <c r="F3456" s="102"/>
      <c r="G3456" s="102"/>
      <c r="I3456" s="93"/>
      <c r="J3456" s="93"/>
    </row>
    <row r="3457" spans="6:10" s="65" customFormat="1" ht="14" x14ac:dyDescent="0.35">
      <c r="F3457" s="102"/>
      <c r="G3457" s="102"/>
      <c r="I3457" s="93"/>
      <c r="J3457" s="93"/>
    </row>
    <row r="3458" spans="6:10" s="65" customFormat="1" ht="14" x14ac:dyDescent="0.35">
      <c r="F3458" s="102"/>
      <c r="G3458" s="102"/>
      <c r="I3458" s="93"/>
      <c r="J3458" s="93"/>
    </row>
    <row r="3459" spans="6:10" s="65" customFormat="1" ht="14" x14ac:dyDescent="0.35">
      <c r="F3459" s="102"/>
      <c r="G3459" s="102"/>
      <c r="I3459" s="93"/>
      <c r="J3459" s="93"/>
    </row>
    <row r="3460" spans="6:10" s="65" customFormat="1" ht="14" x14ac:dyDescent="0.35">
      <c r="F3460" s="102"/>
      <c r="G3460" s="102"/>
      <c r="I3460" s="93"/>
      <c r="J3460" s="93"/>
    </row>
    <row r="3461" spans="6:10" s="65" customFormat="1" ht="14" x14ac:dyDescent="0.35">
      <c r="F3461" s="102"/>
      <c r="G3461" s="102"/>
      <c r="I3461" s="93"/>
      <c r="J3461" s="93"/>
    </row>
    <row r="3462" spans="6:10" s="65" customFormat="1" ht="14" x14ac:dyDescent="0.35">
      <c r="F3462" s="102"/>
      <c r="G3462" s="102"/>
      <c r="I3462" s="93"/>
      <c r="J3462" s="93"/>
    </row>
    <row r="3463" spans="6:10" s="65" customFormat="1" ht="14" x14ac:dyDescent="0.35">
      <c r="F3463" s="102"/>
      <c r="G3463" s="102"/>
      <c r="I3463" s="93"/>
      <c r="J3463" s="93"/>
    </row>
    <row r="3464" spans="6:10" s="65" customFormat="1" ht="14" x14ac:dyDescent="0.35">
      <c r="F3464" s="102"/>
      <c r="G3464" s="102"/>
      <c r="I3464" s="93"/>
      <c r="J3464" s="93"/>
    </row>
    <row r="3465" spans="6:10" s="65" customFormat="1" ht="14" x14ac:dyDescent="0.35">
      <c r="F3465" s="102"/>
      <c r="G3465" s="102"/>
      <c r="I3465" s="93"/>
      <c r="J3465" s="93"/>
    </row>
    <row r="3466" spans="6:10" s="65" customFormat="1" ht="14" x14ac:dyDescent="0.35">
      <c r="F3466" s="102"/>
      <c r="G3466" s="102"/>
      <c r="I3466" s="93"/>
      <c r="J3466" s="93"/>
    </row>
    <row r="3467" spans="6:10" s="65" customFormat="1" ht="14" x14ac:dyDescent="0.35">
      <c r="F3467" s="102"/>
      <c r="G3467" s="102"/>
      <c r="I3467" s="93"/>
      <c r="J3467" s="93"/>
    </row>
    <row r="3468" spans="6:10" s="65" customFormat="1" ht="14" x14ac:dyDescent="0.35">
      <c r="F3468" s="102"/>
      <c r="G3468" s="102"/>
      <c r="I3468" s="93"/>
      <c r="J3468" s="93"/>
    </row>
    <row r="3469" spans="6:10" s="65" customFormat="1" ht="14" x14ac:dyDescent="0.35">
      <c r="F3469" s="102"/>
      <c r="G3469" s="102"/>
      <c r="I3469" s="93"/>
      <c r="J3469" s="93"/>
    </row>
    <row r="3470" spans="6:10" s="65" customFormat="1" ht="14" x14ac:dyDescent="0.35">
      <c r="F3470" s="102"/>
      <c r="G3470" s="102"/>
      <c r="I3470" s="93"/>
      <c r="J3470" s="93"/>
    </row>
    <row r="3471" spans="6:10" s="65" customFormat="1" ht="14" x14ac:dyDescent="0.35">
      <c r="F3471" s="102"/>
      <c r="G3471" s="102"/>
      <c r="I3471" s="93"/>
      <c r="J3471" s="93"/>
    </row>
    <row r="3472" spans="6:10" s="65" customFormat="1" ht="14" x14ac:dyDescent="0.35">
      <c r="F3472" s="102"/>
      <c r="G3472" s="102"/>
      <c r="I3472" s="93"/>
      <c r="J3472" s="93"/>
    </row>
    <row r="3473" spans="6:10" s="65" customFormat="1" ht="14" x14ac:dyDescent="0.35">
      <c r="F3473" s="102"/>
      <c r="G3473" s="102"/>
      <c r="I3473" s="93"/>
      <c r="J3473" s="93"/>
    </row>
    <row r="3474" spans="6:10" s="65" customFormat="1" ht="14" x14ac:dyDescent="0.35">
      <c r="F3474" s="102"/>
      <c r="G3474" s="102"/>
      <c r="I3474" s="93"/>
      <c r="J3474" s="93"/>
    </row>
    <row r="3475" spans="6:10" s="65" customFormat="1" ht="14" x14ac:dyDescent="0.35">
      <c r="F3475" s="102"/>
      <c r="G3475" s="102"/>
      <c r="I3475" s="93"/>
      <c r="J3475" s="93"/>
    </row>
    <row r="3476" spans="6:10" s="65" customFormat="1" ht="14" x14ac:dyDescent="0.35">
      <c r="F3476" s="102"/>
      <c r="G3476" s="102"/>
      <c r="I3476" s="93"/>
      <c r="J3476" s="93"/>
    </row>
    <row r="3477" spans="6:10" s="65" customFormat="1" ht="14" x14ac:dyDescent="0.35">
      <c r="F3477" s="102"/>
      <c r="G3477" s="102"/>
      <c r="I3477" s="93"/>
      <c r="J3477" s="93"/>
    </row>
    <row r="3478" spans="6:10" s="65" customFormat="1" ht="14" x14ac:dyDescent="0.35">
      <c r="F3478" s="102"/>
      <c r="G3478" s="102"/>
      <c r="I3478" s="93"/>
      <c r="J3478" s="93"/>
    </row>
    <row r="3479" spans="6:10" s="65" customFormat="1" ht="14" x14ac:dyDescent="0.35">
      <c r="F3479" s="102"/>
      <c r="G3479" s="102"/>
      <c r="I3479" s="93"/>
      <c r="J3479" s="93"/>
    </row>
    <row r="3480" spans="6:10" s="65" customFormat="1" ht="14" x14ac:dyDescent="0.35">
      <c r="F3480" s="102"/>
      <c r="G3480" s="102"/>
      <c r="I3480" s="93"/>
      <c r="J3480" s="93"/>
    </row>
    <row r="3481" spans="6:10" s="65" customFormat="1" ht="14" x14ac:dyDescent="0.35">
      <c r="F3481" s="102"/>
      <c r="G3481" s="102"/>
      <c r="I3481" s="93"/>
      <c r="J3481" s="93"/>
    </row>
    <row r="3482" spans="6:10" s="65" customFormat="1" ht="14" x14ac:dyDescent="0.35">
      <c r="F3482" s="102"/>
      <c r="G3482" s="102"/>
      <c r="I3482" s="93"/>
      <c r="J3482" s="93"/>
    </row>
    <row r="3483" spans="6:10" s="65" customFormat="1" ht="14" x14ac:dyDescent="0.35">
      <c r="F3483" s="102"/>
      <c r="G3483" s="102"/>
      <c r="I3483" s="93"/>
      <c r="J3483" s="93"/>
    </row>
    <row r="3484" spans="6:10" s="65" customFormat="1" ht="14" x14ac:dyDescent="0.35">
      <c r="F3484" s="102"/>
      <c r="G3484" s="102"/>
      <c r="I3484" s="93"/>
      <c r="J3484" s="93"/>
    </row>
    <row r="3485" spans="6:10" s="65" customFormat="1" ht="14" x14ac:dyDescent="0.35">
      <c r="F3485" s="102"/>
      <c r="G3485" s="102"/>
      <c r="I3485" s="93"/>
      <c r="J3485" s="93"/>
    </row>
    <row r="3486" spans="6:10" s="65" customFormat="1" ht="14" x14ac:dyDescent="0.35">
      <c r="F3486" s="102"/>
      <c r="G3486" s="102"/>
      <c r="I3486" s="93"/>
      <c r="J3486" s="93"/>
    </row>
    <row r="3487" spans="6:10" s="65" customFormat="1" ht="14" x14ac:dyDescent="0.35">
      <c r="F3487" s="102"/>
      <c r="G3487" s="102"/>
      <c r="I3487" s="93"/>
      <c r="J3487" s="93"/>
    </row>
    <row r="3488" spans="6:10" s="65" customFormat="1" ht="14" x14ac:dyDescent="0.35">
      <c r="F3488" s="102"/>
      <c r="G3488" s="102"/>
      <c r="I3488" s="93"/>
      <c r="J3488" s="93"/>
    </row>
    <row r="3489" spans="6:10" s="65" customFormat="1" ht="14" x14ac:dyDescent="0.35">
      <c r="F3489" s="102"/>
      <c r="G3489" s="102"/>
      <c r="I3489" s="93"/>
      <c r="J3489" s="93"/>
    </row>
    <row r="3490" spans="6:10" s="65" customFormat="1" ht="14" x14ac:dyDescent="0.35">
      <c r="F3490" s="102"/>
      <c r="G3490" s="102"/>
      <c r="I3490" s="93"/>
      <c r="J3490" s="93"/>
    </row>
    <row r="3491" spans="6:10" s="65" customFormat="1" ht="14" x14ac:dyDescent="0.35">
      <c r="F3491" s="102"/>
      <c r="G3491" s="102"/>
      <c r="I3491" s="93"/>
      <c r="J3491" s="93"/>
    </row>
    <row r="3492" spans="6:10" s="65" customFormat="1" ht="14" x14ac:dyDescent="0.35">
      <c r="F3492" s="102"/>
      <c r="G3492" s="102"/>
      <c r="I3492" s="93"/>
      <c r="J3492" s="93"/>
    </row>
    <row r="3493" spans="6:10" s="65" customFormat="1" ht="14" x14ac:dyDescent="0.35">
      <c r="F3493" s="102"/>
      <c r="G3493" s="102"/>
      <c r="I3493" s="93"/>
      <c r="J3493" s="93"/>
    </row>
    <row r="3494" spans="6:10" s="65" customFormat="1" ht="14" x14ac:dyDescent="0.35">
      <c r="F3494" s="102"/>
      <c r="G3494" s="102"/>
      <c r="I3494" s="93"/>
      <c r="J3494" s="93"/>
    </row>
    <row r="3495" spans="6:10" s="65" customFormat="1" ht="14" x14ac:dyDescent="0.35">
      <c r="F3495" s="102"/>
      <c r="G3495" s="102"/>
      <c r="I3495" s="93"/>
      <c r="J3495" s="93"/>
    </row>
    <row r="3496" spans="6:10" s="65" customFormat="1" ht="14" x14ac:dyDescent="0.35">
      <c r="F3496" s="102"/>
      <c r="G3496" s="102"/>
      <c r="I3496" s="93"/>
      <c r="J3496" s="93"/>
    </row>
    <row r="3497" spans="6:10" s="65" customFormat="1" ht="14" x14ac:dyDescent="0.35">
      <c r="F3497" s="102"/>
      <c r="G3497" s="102"/>
      <c r="I3497" s="93"/>
      <c r="J3497" s="93"/>
    </row>
    <row r="3498" spans="6:10" s="65" customFormat="1" ht="14" x14ac:dyDescent="0.35">
      <c r="F3498" s="102"/>
      <c r="G3498" s="102"/>
      <c r="I3498" s="93"/>
      <c r="J3498" s="93"/>
    </row>
    <row r="3499" spans="6:10" s="65" customFormat="1" ht="14" x14ac:dyDescent="0.35">
      <c r="F3499" s="102"/>
      <c r="G3499" s="102"/>
      <c r="I3499" s="93"/>
      <c r="J3499" s="93"/>
    </row>
    <row r="3500" spans="6:10" s="65" customFormat="1" ht="14" x14ac:dyDescent="0.35">
      <c r="F3500" s="102"/>
      <c r="G3500" s="102"/>
      <c r="I3500" s="93"/>
      <c r="J3500" s="93"/>
    </row>
    <row r="3501" spans="6:10" s="65" customFormat="1" ht="14" x14ac:dyDescent="0.35">
      <c r="F3501" s="102"/>
      <c r="G3501" s="102"/>
      <c r="I3501" s="93"/>
      <c r="J3501" s="93"/>
    </row>
    <row r="3502" spans="6:10" s="65" customFormat="1" ht="14" x14ac:dyDescent="0.35">
      <c r="F3502" s="102"/>
      <c r="G3502" s="102"/>
      <c r="I3502" s="93"/>
      <c r="J3502" s="93"/>
    </row>
    <row r="3503" spans="6:10" s="65" customFormat="1" ht="14" x14ac:dyDescent="0.35">
      <c r="F3503" s="102"/>
      <c r="G3503" s="102"/>
      <c r="I3503" s="93"/>
      <c r="J3503" s="93"/>
    </row>
    <row r="3504" spans="6:10" s="65" customFormat="1" ht="14" x14ac:dyDescent="0.35">
      <c r="F3504" s="102"/>
      <c r="G3504" s="102"/>
      <c r="I3504" s="93"/>
      <c r="J3504" s="93"/>
    </row>
    <row r="3505" spans="6:10" s="65" customFormat="1" ht="14" x14ac:dyDescent="0.35">
      <c r="F3505" s="102"/>
      <c r="G3505" s="102"/>
      <c r="I3505" s="93"/>
      <c r="J3505" s="93"/>
    </row>
    <row r="3506" spans="6:10" s="65" customFormat="1" ht="14" x14ac:dyDescent="0.35">
      <c r="F3506" s="102"/>
      <c r="G3506" s="102"/>
      <c r="I3506" s="93"/>
      <c r="J3506" s="93"/>
    </row>
    <row r="3507" spans="6:10" s="65" customFormat="1" ht="14" x14ac:dyDescent="0.35">
      <c r="F3507" s="102"/>
      <c r="G3507" s="102"/>
      <c r="I3507" s="93"/>
      <c r="J3507" s="93"/>
    </row>
    <row r="3508" spans="6:10" s="65" customFormat="1" ht="14" x14ac:dyDescent="0.35">
      <c r="F3508" s="102"/>
      <c r="G3508" s="102"/>
      <c r="I3508" s="93"/>
      <c r="J3508" s="93"/>
    </row>
    <row r="3509" spans="6:10" s="65" customFormat="1" ht="14" x14ac:dyDescent="0.35">
      <c r="F3509" s="102"/>
      <c r="G3509" s="102"/>
      <c r="I3509" s="93"/>
      <c r="J3509" s="93"/>
    </row>
    <row r="3510" spans="6:10" s="65" customFormat="1" ht="14" x14ac:dyDescent="0.35">
      <c r="F3510" s="102"/>
      <c r="G3510" s="102"/>
      <c r="I3510" s="93"/>
      <c r="J3510" s="93"/>
    </row>
    <row r="3511" spans="6:10" s="65" customFormat="1" ht="14" x14ac:dyDescent="0.35">
      <c r="F3511" s="102"/>
      <c r="G3511" s="102"/>
      <c r="I3511" s="93"/>
      <c r="J3511" s="93"/>
    </row>
    <row r="3512" spans="6:10" s="65" customFormat="1" ht="14" x14ac:dyDescent="0.35">
      <c r="F3512" s="102"/>
      <c r="G3512" s="102"/>
      <c r="I3512" s="93"/>
      <c r="J3512" s="93"/>
    </row>
    <row r="3513" spans="6:10" s="65" customFormat="1" ht="14" x14ac:dyDescent="0.35">
      <c r="F3513" s="102"/>
      <c r="G3513" s="102"/>
      <c r="I3513" s="93"/>
      <c r="J3513" s="93"/>
    </row>
    <row r="3514" spans="6:10" s="65" customFormat="1" ht="14" x14ac:dyDescent="0.35">
      <c r="F3514" s="102"/>
      <c r="G3514" s="102"/>
      <c r="I3514" s="93"/>
      <c r="J3514" s="93"/>
    </row>
    <row r="3515" spans="6:10" s="65" customFormat="1" ht="14" x14ac:dyDescent="0.35">
      <c r="F3515" s="102"/>
      <c r="G3515" s="102"/>
      <c r="I3515" s="93"/>
      <c r="J3515" s="93"/>
    </row>
    <row r="3516" spans="6:10" s="65" customFormat="1" ht="14" x14ac:dyDescent="0.35">
      <c r="F3516" s="102"/>
      <c r="G3516" s="102"/>
      <c r="I3516" s="93"/>
      <c r="J3516" s="93"/>
    </row>
    <row r="3517" spans="6:10" s="65" customFormat="1" ht="14" x14ac:dyDescent="0.35">
      <c r="F3517" s="102"/>
      <c r="G3517" s="102"/>
      <c r="I3517" s="93"/>
      <c r="J3517" s="93"/>
    </row>
    <row r="3518" spans="6:10" s="65" customFormat="1" ht="14" x14ac:dyDescent="0.35">
      <c r="F3518" s="102"/>
      <c r="G3518" s="102"/>
      <c r="I3518" s="93"/>
      <c r="J3518" s="93"/>
    </row>
    <row r="3519" spans="6:10" s="65" customFormat="1" ht="14" x14ac:dyDescent="0.35">
      <c r="F3519" s="102"/>
      <c r="G3519" s="102"/>
      <c r="I3519" s="93"/>
      <c r="J3519" s="93"/>
    </row>
    <row r="3520" spans="6:10" s="65" customFormat="1" ht="14" x14ac:dyDescent="0.35">
      <c r="F3520" s="102"/>
      <c r="G3520" s="102"/>
      <c r="I3520" s="93"/>
      <c r="J3520" s="93"/>
    </row>
    <row r="3521" spans="6:10" s="65" customFormat="1" ht="14" x14ac:dyDescent="0.35">
      <c r="F3521" s="102"/>
      <c r="G3521" s="102"/>
      <c r="I3521" s="93"/>
      <c r="J3521" s="93"/>
    </row>
    <row r="3522" spans="6:10" s="65" customFormat="1" ht="14" x14ac:dyDescent="0.35">
      <c r="F3522" s="102"/>
      <c r="G3522" s="102"/>
      <c r="I3522" s="93"/>
      <c r="J3522" s="93"/>
    </row>
    <row r="3523" spans="6:10" s="65" customFormat="1" ht="14" x14ac:dyDescent="0.35">
      <c r="F3523" s="102"/>
      <c r="G3523" s="102"/>
      <c r="I3523" s="93"/>
      <c r="J3523" s="93"/>
    </row>
    <row r="3524" spans="6:10" s="65" customFormat="1" ht="14" x14ac:dyDescent="0.35">
      <c r="F3524" s="102"/>
      <c r="G3524" s="102"/>
      <c r="I3524" s="93"/>
      <c r="J3524" s="93"/>
    </row>
    <row r="3525" spans="6:10" s="65" customFormat="1" ht="14" x14ac:dyDescent="0.35">
      <c r="F3525" s="102"/>
      <c r="G3525" s="102"/>
      <c r="I3525" s="93"/>
      <c r="J3525" s="93"/>
    </row>
    <row r="3526" spans="6:10" s="65" customFormat="1" ht="14" x14ac:dyDescent="0.35">
      <c r="F3526" s="102"/>
      <c r="G3526" s="102"/>
      <c r="I3526" s="93"/>
      <c r="J3526" s="93"/>
    </row>
    <row r="3527" spans="6:10" s="65" customFormat="1" ht="14" x14ac:dyDescent="0.35">
      <c r="F3527" s="102"/>
      <c r="G3527" s="102"/>
      <c r="I3527" s="93"/>
      <c r="J3527" s="93"/>
    </row>
    <row r="3528" spans="6:10" s="65" customFormat="1" ht="14" x14ac:dyDescent="0.35">
      <c r="F3528" s="102"/>
      <c r="G3528" s="102"/>
      <c r="I3528" s="93"/>
      <c r="J3528" s="93"/>
    </row>
    <row r="3529" spans="6:10" s="65" customFormat="1" ht="14" x14ac:dyDescent="0.35">
      <c r="F3529" s="102"/>
      <c r="G3529" s="102"/>
      <c r="I3529" s="93"/>
      <c r="J3529" s="93"/>
    </row>
    <row r="3530" spans="6:10" s="65" customFormat="1" ht="14" x14ac:dyDescent="0.35">
      <c r="F3530" s="102"/>
      <c r="G3530" s="102"/>
      <c r="I3530" s="93"/>
      <c r="J3530" s="93"/>
    </row>
    <row r="3531" spans="6:10" s="65" customFormat="1" ht="14" x14ac:dyDescent="0.35">
      <c r="F3531" s="102"/>
      <c r="G3531" s="102"/>
      <c r="I3531" s="93"/>
      <c r="J3531" s="93"/>
    </row>
    <row r="3532" spans="6:10" s="65" customFormat="1" ht="14" x14ac:dyDescent="0.35">
      <c r="F3532" s="102"/>
      <c r="G3532" s="102"/>
      <c r="I3532" s="93"/>
      <c r="J3532" s="93"/>
    </row>
    <row r="3533" spans="6:10" s="65" customFormat="1" ht="14" x14ac:dyDescent="0.35">
      <c r="F3533" s="102"/>
      <c r="G3533" s="102"/>
      <c r="I3533" s="93"/>
      <c r="J3533" s="93"/>
    </row>
    <row r="3534" spans="6:10" s="65" customFormat="1" ht="14" x14ac:dyDescent="0.35">
      <c r="F3534" s="102"/>
      <c r="G3534" s="102"/>
      <c r="I3534" s="93"/>
      <c r="J3534" s="93"/>
    </row>
    <row r="3535" spans="6:10" s="65" customFormat="1" ht="14" x14ac:dyDescent="0.35">
      <c r="F3535" s="102"/>
      <c r="G3535" s="102"/>
      <c r="I3535" s="93"/>
      <c r="J3535" s="93"/>
    </row>
    <row r="3536" spans="6:10" s="65" customFormat="1" ht="14" x14ac:dyDescent="0.35">
      <c r="F3536" s="102"/>
      <c r="G3536" s="102"/>
      <c r="I3536" s="93"/>
      <c r="J3536" s="93"/>
    </row>
    <row r="3537" spans="6:10" s="65" customFormat="1" ht="14" x14ac:dyDescent="0.35">
      <c r="F3537" s="102"/>
      <c r="G3537" s="102"/>
      <c r="I3537" s="93"/>
      <c r="J3537" s="93"/>
    </row>
    <row r="3538" spans="6:10" s="65" customFormat="1" ht="14" x14ac:dyDescent="0.35">
      <c r="F3538" s="102"/>
      <c r="G3538" s="102"/>
      <c r="I3538" s="93"/>
      <c r="J3538" s="93"/>
    </row>
    <row r="3539" spans="6:10" s="65" customFormat="1" ht="14" x14ac:dyDescent="0.35">
      <c r="F3539" s="102"/>
      <c r="G3539" s="102"/>
      <c r="I3539" s="93"/>
      <c r="J3539" s="93"/>
    </row>
    <row r="3540" spans="6:10" s="65" customFormat="1" ht="14" x14ac:dyDescent="0.35">
      <c r="F3540" s="102"/>
      <c r="G3540" s="102"/>
      <c r="I3540" s="93"/>
      <c r="J3540" s="93"/>
    </row>
    <row r="3541" spans="6:10" s="65" customFormat="1" ht="14" x14ac:dyDescent="0.35">
      <c r="F3541" s="102"/>
      <c r="G3541" s="102"/>
      <c r="I3541" s="93"/>
      <c r="J3541" s="93"/>
    </row>
    <row r="3542" spans="6:10" s="65" customFormat="1" ht="14" x14ac:dyDescent="0.35">
      <c r="F3542" s="102"/>
      <c r="G3542" s="102"/>
      <c r="I3542" s="93"/>
      <c r="J3542" s="93"/>
    </row>
    <row r="3543" spans="6:10" s="65" customFormat="1" ht="14" x14ac:dyDescent="0.35">
      <c r="F3543" s="102"/>
      <c r="G3543" s="102"/>
      <c r="I3543" s="93"/>
      <c r="J3543" s="93"/>
    </row>
    <row r="3544" spans="6:10" s="65" customFormat="1" ht="14" x14ac:dyDescent="0.35">
      <c r="F3544" s="102"/>
      <c r="G3544" s="102"/>
      <c r="I3544" s="93"/>
      <c r="J3544" s="93"/>
    </row>
    <row r="3545" spans="6:10" s="65" customFormat="1" ht="14" x14ac:dyDescent="0.35">
      <c r="F3545" s="102"/>
      <c r="G3545" s="102"/>
      <c r="I3545" s="93"/>
      <c r="J3545" s="93"/>
    </row>
    <row r="3546" spans="6:10" s="65" customFormat="1" ht="14" x14ac:dyDescent="0.35">
      <c r="F3546" s="102"/>
      <c r="G3546" s="102"/>
      <c r="I3546" s="93"/>
      <c r="J3546" s="93"/>
    </row>
    <row r="3547" spans="6:10" s="65" customFormat="1" ht="14" x14ac:dyDescent="0.35">
      <c r="F3547" s="102"/>
      <c r="G3547" s="102"/>
      <c r="I3547" s="93"/>
      <c r="J3547" s="93"/>
    </row>
    <row r="3548" spans="6:10" s="65" customFormat="1" ht="14" x14ac:dyDescent="0.35">
      <c r="F3548" s="102"/>
      <c r="G3548" s="102"/>
      <c r="I3548" s="93"/>
      <c r="J3548" s="93"/>
    </row>
    <row r="3549" spans="6:10" s="65" customFormat="1" ht="14" x14ac:dyDescent="0.35">
      <c r="F3549" s="102"/>
      <c r="G3549" s="102"/>
      <c r="I3549" s="93"/>
      <c r="J3549" s="93"/>
    </row>
    <row r="3550" spans="6:10" s="65" customFormat="1" ht="14" x14ac:dyDescent="0.35">
      <c r="F3550" s="102"/>
      <c r="G3550" s="102"/>
      <c r="I3550" s="93"/>
      <c r="J3550" s="93"/>
    </row>
    <row r="3551" spans="6:10" s="65" customFormat="1" ht="14" x14ac:dyDescent="0.35">
      <c r="F3551" s="102"/>
      <c r="G3551" s="102"/>
      <c r="I3551" s="93"/>
      <c r="J3551" s="93"/>
    </row>
    <row r="3552" spans="6:10" s="65" customFormat="1" ht="14" x14ac:dyDescent="0.35">
      <c r="F3552" s="102"/>
      <c r="G3552" s="102"/>
      <c r="I3552" s="93"/>
      <c r="J3552" s="93"/>
    </row>
    <row r="3553" spans="6:10" s="65" customFormat="1" ht="14" x14ac:dyDescent="0.35">
      <c r="F3553" s="102"/>
      <c r="G3553" s="102"/>
      <c r="I3553" s="93"/>
      <c r="J3553" s="93"/>
    </row>
    <row r="3554" spans="6:10" s="65" customFormat="1" ht="14" x14ac:dyDescent="0.35">
      <c r="F3554" s="102"/>
      <c r="G3554" s="102"/>
      <c r="I3554" s="93"/>
      <c r="J3554" s="93"/>
    </row>
    <row r="3555" spans="6:10" s="65" customFormat="1" ht="14" x14ac:dyDescent="0.35">
      <c r="F3555" s="102"/>
      <c r="G3555" s="102"/>
      <c r="I3555" s="93"/>
      <c r="J3555" s="93"/>
    </row>
    <row r="3556" spans="6:10" s="65" customFormat="1" ht="14" x14ac:dyDescent="0.35">
      <c r="F3556" s="102"/>
      <c r="G3556" s="102"/>
      <c r="I3556" s="93"/>
      <c r="J3556" s="93"/>
    </row>
    <row r="3557" spans="6:10" s="65" customFormat="1" ht="14" x14ac:dyDescent="0.35">
      <c r="F3557" s="102"/>
      <c r="G3557" s="102"/>
      <c r="I3557" s="93"/>
      <c r="J3557" s="93"/>
    </row>
    <row r="3558" spans="6:10" s="65" customFormat="1" ht="14" x14ac:dyDescent="0.35">
      <c r="F3558" s="102"/>
      <c r="G3558" s="102"/>
      <c r="I3558" s="93"/>
      <c r="J3558" s="93"/>
    </row>
    <row r="3559" spans="6:10" s="65" customFormat="1" ht="14" x14ac:dyDescent="0.35">
      <c r="F3559" s="102"/>
      <c r="G3559" s="102"/>
      <c r="I3559" s="93"/>
      <c r="J3559" s="93"/>
    </row>
    <row r="3560" spans="6:10" s="65" customFormat="1" ht="14" x14ac:dyDescent="0.35">
      <c r="F3560" s="102"/>
      <c r="G3560" s="102"/>
      <c r="I3560" s="93"/>
      <c r="J3560" s="93"/>
    </row>
    <row r="3561" spans="6:10" s="65" customFormat="1" ht="14" x14ac:dyDescent="0.35">
      <c r="F3561" s="102"/>
      <c r="G3561" s="102"/>
      <c r="I3561" s="93"/>
      <c r="J3561" s="93"/>
    </row>
    <row r="3562" spans="6:10" s="65" customFormat="1" ht="14" x14ac:dyDescent="0.35">
      <c r="F3562" s="102"/>
      <c r="G3562" s="102"/>
      <c r="I3562" s="93"/>
      <c r="J3562" s="93"/>
    </row>
    <row r="3563" spans="6:10" s="65" customFormat="1" ht="14" x14ac:dyDescent="0.35">
      <c r="F3563" s="102"/>
      <c r="G3563" s="102"/>
      <c r="I3563" s="93"/>
      <c r="J3563" s="93"/>
    </row>
    <row r="3564" spans="6:10" s="65" customFormat="1" ht="14" x14ac:dyDescent="0.35">
      <c r="F3564" s="102"/>
      <c r="G3564" s="102"/>
      <c r="I3564" s="93"/>
      <c r="J3564" s="93"/>
    </row>
    <row r="3565" spans="6:10" s="65" customFormat="1" ht="14" x14ac:dyDescent="0.35">
      <c r="F3565" s="102"/>
      <c r="G3565" s="102"/>
      <c r="I3565" s="93"/>
      <c r="J3565" s="93"/>
    </row>
    <row r="3566" spans="6:10" s="65" customFormat="1" ht="14" x14ac:dyDescent="0.35">
      <c r="F3566" s="102"/>
      <c r="G3566" s="102"/>
      <c r="I3566" s="93"/>
      <c r="J3566" s="93"/>
    </row>
    <row r="3567" spans="6:10" s="65" customFormat="1" ht="14" x14ac:dyDescent="0.35">
      <c r="F3567" s="102"/>
      <c r="G3567" s="102"/>
      <c r="I3567" s="93"/>
      <c r="J3567" s="93"/>
    </row>
    <row r="3568" spans="6:10" s="65" customFormat="1" ht="14" x14ac:dyDescent="0.35">
      <c r="F3568" s="102"/>
      <c r="G3568" s="102"/>
      <c r="I3568" s="93"/>
      <c r="J3568" s="93"/>
    </row>
    <row r="3569" spans="6:10" s="65" customFormat="1" ht="14" x14ac:dyDescent="0.35">
      <c r="F3569" s="102"/>
      <c r="G3569" s="102"/>
      <c r="I3569" s="93"/>
      <c r="J3569" s="93"/>
    </row>
    <row r="3570" spans="6:10" s="65" customFormat="1" ht="14" x14ac:dyDescent="0.35">
      <c r="F3570" s="102"/>
      <c r="G3570" s="102"/>
      <c r="I3570" s="93"/>
      <c r="J3570" s="93"/>
    </row>
    <row r="3571" spans="6:10" s="65" customFormat="1" ht="14" x14ac:dyDescent="0.35">
      <c r="F3571" s="102"/>
      <c r="G3571" s="102"/>
      <c r="I3571" s="93"/>
      <c r="J3571" s="93"/>
    </row>
    <row r="3572" spans="6:10" s="65" customFormat="1" ht="14" x14ac:dyDescent="0.35">
      <c r="F3572" s="102"/>
      <c r="G3572" s="102"/>
      <c r="I3572" s="93"/>
      <c r="J3572" s="93"/>
    </row>
    <row r="3573" spans="6:10" s="65" customFormat="1" ht="14" x14ac:dyDescent="0.35">
      <c r="F3573" s="102"/>
      <c r="G3573" s="102"/>
      <c r="I3573" s="93"/>
      <c r="J3573" s="93"/>
    </row>
    <row r="3574" spans="6:10" s="65" customFormat="1" ht="14" x14ac:dyDescent="0.35">
      <c r="F3574" s="102"/>
      <c r="G3574" s="102"/>
      <c r="I3574" s="93"/>
      <c r="J3574" s="93"/>
    </row>
    <row r="3575" spans="6:10" s="65" customFormat="1" ht="14" x14ac:dyDescent="0.35">
      <c r="F3575" s="102"/>
      <c r="G3575" s="102"/>
      <c r="I3575" s="93"/>
      <c r="J3575" s="93"/>
    </row>
    <row r="3576" spans="6:10" s="65" customFormat="1" ht="14" x14ac:dyDescent="0.35">
      <c r="F3576" s="102"/>
      <c r="G3576" s="102"/>
      <c r="I3576" s="93"/>
      <c r="J3576" s="93"/>
    </row>
    <row r="3577" spans="6:10" s="65" customFormat="1" ht="14" x14ac:dyDescent="0.35">
      <c r="F3577" s="102"/>
      <c r="G3577" s="102"/>
      <c r="I3577" s="93"/>
      <c r="J3577" s="93"/>
    </row>
    <row r="3578" spans="6:10" s="65" customFormat="1" ht="14" x14ac:dyDescent="0.35">
      <c r="F3578" s="102"/>
      <c r="G3578" s="102"/>
      <c r="I3578" s="93"/>
      <c r="J3578" s="93"/>
    </row>
    <row r="3579" spans="6:10" s="65" customFormat="1" ht="14" x14ac:dyDescent="0.35">
      <c r="F3579" s="102"/>
      <c r="G3579" s="102"/>
      <c r="I3579" s="93"/>
      <c r="J3579" s="93"/>
    </row>
    <row r="3580" spans="6:10" s="65" customFormat="1" ht="14" x14ac:dyDescent="0.35">
      <c r="F3580" s="102"/>
      <c r="G3580" s="102"/>
      <c r="I3580" s="93"/>
      <c r="J3580" s="93"/>
    </row>
    <row r="3581" spans="6:10" s="65" customFormat="1" ht="14" x14ac:dyDescent="0.35">
      <c r="F3581" s="102"/>
      <c r="G3581" s="102"/>
      <c r="I3581" s="93"/>
      <c r="J3581" s="93"/>
    </row>
    <row r="3582" spans="6:10" s="65" customFormat="1" ht="14" x14ac:dyDescent="0.35">
      <c r="F3582" s="102"/>
      <c r="G3582" s="102"/>
      <c r="I3582" s="93"/>
      <c r="J3582" s="93"/>
    </row>
    <row r="3583" spans="6:10" s="65" customFormat="1" ht="14" x14ac:dyDescent="0.35">
      <c r="F3583" s="102"/>
      <c r="G3583" s="102"/>
      <c r="I3583" s="93"/>
      <c r="J3583" s="93"/>
    </row>
    <row r="3584" spans="6:10" s="65" customFormat="1" ht="14" x14ac:dyDescent="0.35">
      <c r="F3584" s="102"/>
      <c r="G3584" s="102"/>
      <c r="I3584" s="93"/>
      <c r="J3584" s="93"/>
    </row>
    <row r="3585" spans="6:10" s="65" customFormat="1" ht="14" x14ac:dyDescent="0.35">
      <c r="F3585" s="102"/>
      <c r="G3585" s="102"/>
      <c r="I3585" s="93"/>
      <c r="J3585" s="93"/>
    </row>
    <row r="3586" spans="6:10" s="65" customFormat="1" ht="14" x14ac:dyDescent="0.35">
      <c r="F3586" s="102"/>
      <c r="G3586" s="102"/>
      <c r="I3586" s="93"/>
      <c r="J3586" s="93"/>
    </row>
    <row r="3587" spans="6:10" s="65" customFormat="1" ht="14" x14ac:dyDescent="0.35">
      <c r="F3587" s="102"/>
      <c r="G3587" s="102"/>
      <c r="I3587" s="93"/>
      <c r="J3587" s="93"/>
    </row>
    <row r="3588" spans="6:10" s="65" customFormat="1" ht="14" x14ac:dyDescent="0.35">
      <c r="F3588" s="102"/>
      <c r="G3588" s="102"/>
      <c r="I3588" s="93"/>
      <c r="J3588" s="93"/>
    </row>
    <row r="3589" spans="6:10" s="65" customFormat="1" ht="14" x14ac:dyDescent="0.35">
      <c r="F3589" s="102"/>
      <c r="G3589" s="102"/>
      <c r="I3589" s="93"/>
      <c r="J3589" s="93"/>
    </row>
    <row r="3590" spans="6:10" s="65" customFormat="1" ht="14" x14ac:dyDescent="0.35">
      <c r="F3590" s="102"/>
      <c r="G3590" s="102"/>
      <c r="I3590" s="93"/>
      <c r="J3590" s="93"/>
    </row>
    <row r="3591" spans="6:10" s="65" customFormat="1" ht="14" x14ac:dyDescent="0.35">
      <c r="F3591" s="102"/>
      <c r="G3591" s="102"/>
      <c r="I3591" s="93"/>
      <c r="J3591" s="93"/>
    </row>
    <row r="3592" spans="6:10" s="65" customFormat="1" ht="14" x14ac:dyDescent="0.35">
      <c r="F3592" s="102"/>
      <c r="G3592" s="102"/>
      <c r="I3592" s="93"/>
      <c r="J3592" s="93"/>
    </row>
    <row r="3593" spans="6:10" s="65" customFormat="1" ht="14" x14ac:dyDescent="0.35">
      <c r="F3593" s="102"/>
      <c r="G3593" s="102"/>
      <c r="I3593" s="93"/>
      <c r="J3593" s="93"/>
    </row>
    <row r="3594" spans="6:10" s="65" customFormat="1" ht="14" x14ac:dyDescent="0.35">
      <c r="F3594" s="102"/>
      <c r="G3594" s="102"/>
      <c r="I3594" s="93"/>
      <c r="J3594" s="93"/>
    </row>
    <row r="3595" spans="6:10" s="65" customFormat="1" ht="14" x14ac:dyDescent="0.35">
      <c r="F3595" s="102"/>
      <c r="G3595" s="102"/>
      <c r="I3595" s="93"/>
      <c r="J3595" s="93"/>
    </row>
    <row r="3596" spans="6:10" s="65" customFormat="1" ht="14" x14ac:dyDescent="0.35">
      <c r="F3596" s="102"/>
      <c r="G3596" s="102"/>
      <c r="I3596" s="93"/>
      <c r="J3596" s="93"/>
    </row>
    <row r="3597" spans="6:10" s="65" customFormat="1" ht="14" x14ac:dyDescent="0.35">
      <c r="F3597" s="102"/>
      <c r="G3597" s="102"/>
      <c r="I3597" s="93"/>
      <c r="J3597" s="93"/>
    </row>
    <row r="3598" spans="6:10" s="65" customFormat="1" ht="14" x14ac:dyDescent="0.35">
      <c r="F3598" s="102"/>
      <c r="G3598" s="102"/>
      <c r="I3598" s="93"/>
      <c r="J3598" s="93"/>
    </row>
    <row r="3599" spans="6:10" s="65" customFormat="1" ht="14" x14ac:dyDescent="0.35">
      <c r="F3599" s="102"/>
      <c r="G3599" s="102"/>
      <c r="I3599" s="93"/>
      <c r="J3599" s="93"/>
    </row>
    <row r="3600" spans="6:10" s="65" customFormat="1" ht="14" x14ac:dyDescent="0.35">
      <c r="F3600" s="102"/>
      <c r="G3600" s="102"/>
      <c r="I3600" s="93"/>
      <c r="J3600" s="93"/>
    </row>
    <row r="3601" spans="6:10" s="65" customFormat="1" ht="14" x14ac:dyDescent="0.35">
      <c r="F3601" s="102"/>
      <c r="G3601" s="102"/>
      <c r="I3601" s="93"/>
      <c r="J3601" s="93"/>
    </row>
    <row r="3602" spans="6:10" s="65" customFormat="1" ht="14" x14ac:dyDescent="0.35">
      <c r="F3602" s="102"/>
      <c r="G3602" s="102"/>
      <c r="I3602" s="93"/>
      <c r="J3602" s="93"/>
    </row>
    <row r="3603" spans="6:10" s="65" customFormat="1" ht="14" x14ac:dyDescent="0.35">
      <c r="F3603" s="102"/>
      <c r="G3603" s="102"/>
      <c r="I3603" s="93"/>
      <c r="J3603" s="93"/>
    </row>
    <row r="3604" spans="6:10" s="65" customFormat="1" ht="14" x14ac:dyDescent="0.35">
      <c r="F3604" s="102"/>
      <c r="G3604" s="102"/>
      <c r="I3604" s="93"/>
      <c r="J3604" s="93"/>
    </row>
    <row r="3605" spans="6:10" s="65" customFormat="1" ht="14" x14ac:dyDescent="0.35">
      <c r="F3605" s="102"/>
      <c r="G3605" s="102"/>
      <c r="I3605" s="93"/>
      <c r="J3605" s="93"/>
    </row>
    <row r="3606" spans="6:10" s="65" customFormat="1" ht="14" x14ac:dyDescent="0.35">
      <c r="F3606" s="102"/>
      <c r="G3606" s="102"/>
      <c r="I3606" s="93"/>
      <c r="J3606" s="93"/>
    </row>
    <row r="3607" spans="6:10" s="65" customFormat="1" ht="14" x14ac:dyDescent="0.35">
      <c r="F3607" s="102"/>
      <c r="G3607" s="102"/>
      <c r="I3607" s="93"/>
      <c r="J3607" s="93"/>
    </row>
    <row r="3608" spans="6:10" s="65" customFormat="1" ht="14" x14ac:dyDescent="0.35">
      <c r="F3608" s="102"/>
      <c r="G3608" s="102"/>
      <c r="I3608" s="93"/>
      <c r="J3608" s="93"/>
    </row>
    <row r="3609" spans="6:10" s="65" customFormat="1" ht="14" x14ac:dyDescent="0.35">
      <c r="F3609" s="102"/>
      <c r="G3609" s="102"/>
      <c r="I3609" s="93"/>
      <c r="J3609" s="93"/>
    </row>
    <row r="3610" spans="6:10" s="65" customFormat="1" ht="14" x14ac:dyDescent="0.35">
      <c r="F3610" s="102"/>
      <c r="G3610" s="102"/>
      <c r="I3610" s="93"/>
      <c r="J3610" s="93"/>
    </row>
    <row r="3611" spans="6:10" s="65" customFormat="1" ht="14" x14ac:dyDescent="0.35">
      <c r="F3611" s="102"/>
      <c r="G3611" s="102"/>
      <c r="I3611" s="93"/>
      <c r="J3611" s="93"/>
    </row>
    <row r="3612" spans="6:10" s="65" customFormat="1" ht="14" x14ac:dyDescent="0.35">
      <c r="F3612" s="102"/>
      <c r="G3612" s="102"/>
      <c r="I3612" s="93"/>
      <c r="J3612" s="93"/>
    </row>
    <row r="3613" spans="6:10" s="65" customFormat="1" ht="14" x14ac:dyDescent="0.35">
      <c r="F3613" s="102"/>
      <c r="G3613" s="102"/>
      <c r="I3613" s="93"/>
      <c r="J3613" s="93"/>
    </row>
    <row r="3614" spans="6:10" s="65" customFormat="1" ht="14" x14ac:dyDescent="0.35">
      <c r="F3614" s="102"/>
      <c r="G3614" s="102"/>
      <c r="I3614" s="93"/>
      <c r="J3614" s="93"/>
    </row>
    <row r="3615" spans="6:10" s="65" customFormat="1" ht="14" x14ac:dyDescent="0.35">
      <c r="F3615" s="102"/>
      <c r="G3615" s="102"/>
      <c r="I3615" s="93"/>
      <c r="J3615" s="93"/>
    </row>
    <row r="3616" spans="6:10" s="65" customFormat="1" ht="14" x14ac:dyDescent="0.35">
      <c r="F3616" s="102"/>
      <c r="G3616" s="102"/>
      <c r="I3616" s="93"/>
      <c r="J3616" s="93"/>
    </row>
    <row r="3617" spans="6:10" s="65" customFormat="1" ht="14" x14ac:dyDescent="0.35">
      <c r="F3617" s="102"/>
      <c r="G3617" s="102"/>
      <c r="I3617" s="93"/>
      <c r="J3617" s="93"/>
    </row>
    <row r="3618" spans="6:10" s="65" customFormat="1" ht="14" x14ac:dyDescent="0.35">
      <c r="F3618" s="102"/>
      <c r="G3618" s="102"/>
      <c r="I3618" s="93"/>
      <c r="J3618" s="93"/>
    </row>
    <row r="3619" spans="6:10" s="65" customFormat="1" ht="14" x14ac:dyDescent="0.35">
      <c r="F3619" s="102"/>
      <c r="G3619" s="102"/>
      <c r="I3619" s="93"/>
      <c r="J3619" s="93"/>
    </row>
    <row r="3620" spans="6:10" s="65" customFormat="1" ht="14" x14ac:dyDescent="0.35">
      <c r="F3620" s="102"/>
      <c r="G3620" s="102"/>
      <c r="I3620" s="93"/>
      <c r="J3620" s="93"/>
    </row>
    <row r="3621" spans="6:10" s="65" customFormat="1" ht="14" x14ac:dyDescent="0.35">
      <c r="F3621" s="102"/>
      <c r="G3621" s="102"/>
      <c r="I3621" s="93"/>
      <c r="J3621" s="93"/>
    </row>
    <row r="3622" spans="6:10" s="65" customFormat="1" ht="14" x14ac:dyDescent="0.35">
      <c r="F3622" s="102"/>
      <c r="G3622" s="102"/>
      <c r="I3622" s="93"/>
      <c r="J3622" s="93"/>
    </row>
    <row r="3623" spans="6:10" s="65" customFormat="1" ht="14" x14ac:dyDescent="0.35">
      <c r="F3623" s="102"/>
      <c r="G3623" s="102"/>
      <c r="I3623" s="93"/>
      <c r="J3623" s="93"/>
    </row>
    <row r="3624" spans="6:10" s="65" customFormat="1" ht="14" x14ac:dyDescent="0.35">
      <c r="F3624" s="102"/>
      <c r="G3624" s="102"/>
      <c r="I3624" s="93"/>
      <c r="J3624" s="93"/>
    </row>
    <row r="3625" spans="6:10" s="65" customFormat="1" ht="14" x14ac:dyDescent="0.35">
      <c r="F3625" s="102"/>
      <c r="G3625" s="102"/>
      <c r="I3625" s="93"/>
      <c r="J3625" s="93"/>
    </row>
    <row r="3626" spans="6:10" s="65" customFormat="1" ht="14" x14ac:dyDescent="0.35">
      <c r="F3626" s="102"/>
      <c r="G3626" s="102"/>
      <c r="I3626" s="93"/>
      <c r="J3626" s="93"/>
    </row>
    <row r="3627" spans="6:10" s="65" customFormat="1" ht="14" x14ac:dyDescent="0.35">
      <c r="F3627" s="102"/>
      <c r="G3627" s="102"/>
      <c r="I3627" s="93"/>
      <c r="J3627" s="93"/>
    </row>
    <row r="3628" spans="6:10" s="65" customFormat="1" ht="14" x14ac:dyDescent="0.35">
      <c r="F3628" s="102"/>
      <c r="G3628" s="102"/>
      <c r="I3628" s="93"/>
      <c r="J3628" s="93"/>
    </row>
    <row r="3629" spans="6:10" s="65" customFormat="1" ht="14" x14ac:dyDescent="0.35">
      <c r="F3629" s="102"/>
      <c r="G3629" s="102"/>
      <c r="I3629" s="93"/>
      <c r="J3629" s="93"/>
    </row>
    <row r="3630" spans="6:10" s="65" customFormat="1" ht="14" x14ac:dyDescent="0.35">
      <c r="F3630" s="102"/>
      <c r="G3630" s="102"/>
      <c r="I3630" s="93"/>
      <c r="J3630" s="93"/>
    </row>
    <row r="3631" spans="6:10" s="65" customFormat="1" ht="14" x14ac:dyDescent="0.35">
      <c r="F3631" s="102"/>
      <c r="G3631" s="102"/>
      <c r="I3631" s="93"/>
      <c r="J3631" s="93"/>
    </row>
    <row r="3632" spans="6:10" s="65" customFormat="1" ht="14" x14ac:dyDescent="0.35">
      <c r="F3632" s="102"/>
      <c r="G3632" s="102"/>
      <c r="I3632" s="93"/>
      <c r="J3632" s="93"/>
    </row>
    <row r="3633" spans="6:10" s="65" customFormat="1" ht="14" x14ac:dyDescent="0.35">
      <c r="F3633" s="102"/>
      <c r="G3633" s="102"/>
      <c r="I3633" s="93"/>
      <c r="J3633" s="93"/>
    </row>
    <row r="3634" spans="6:10" s="65" customFormat="1" ht="14" x14ac:dyDescent="0.35">
      <c r="F3634" s="102"/>
      <c r="G3634" s="102"/>
      <c r="I3634" s="93"/>
      <c r="J3634" s="93"/>
    </row>
    <row r="3635" spans="6:10" s="65" customFormat="1" ht="14" x14ac:dyDescent="0.35">
      <c r="F3635" s="102"/>
      <c r="G3635" s="102"/>
      <c r="I3635" s="93"/>
      <c r="J3635" s="93"/>
    </row>
    <row r="3636" spans="6:10" s="65" customFormat="1" ht="14" x14ac:dyDescent="0.35">
      <c r="F3636" s="102"/>
      <c r="G3636" s="102"/>
      <c r="I3636" s="93"/>
      <c r="J3636" s="93"/>
    </row>
    <row r="3637" spans="6:10" s="65" customFormat="1" ht="14" x14ac:dyDescent="0.35">
      <c r="F3637" s="102"/>
      <c r="G3637" s="102"/>
      <c r="I3637" s="93"/>
      <c r="J3637" s="93"/>
    </row>
    <row r="3638" spans="6:10" s="65" customFormat="1" ht="14" x14ac:dyDescent="0.35">
      <c r="F3638" s="102"/>
      <c r="G3638" s="102"/>
      <c r="I3638" s="93"/>
      <c r="J3638" s="93"/>
    </row>
    <row r="3639" spans="6:10" s="65" customFormat="1" ht="14" x14ac:dyDescent="0.35">
      <c r="F3639" s="102"/>
      <c r="G3639" s="102"/>
      <c r="I3639" s="93"/>
      <c r="J3639" s="93"/>
    </row>
    <row r="3640" spans="6:10" s="65" customFormat="1" ht="14" x14ac:dyDescent="0.35">
      <c r="F3640" s="102"/>
      <c r="G3640" s="102"/>
      <c r="I3640" s="93"/>
      <c r="J3640" s="93"/>
    </row>
    <row r="3641" spans="6:10" s="65" customFormat="1" ht="14" x14ac:dyDescent="0.35">
      <c r="F3641" s="102"/>
      <c r="G3641" s="102"/>
      <c r="I3641" s="93"/>
      <c r="J3641" s="93"/>
    </row>
    <row r="3642" spans="6:10" s="65" customFormat="1" ht="14" x14ac:dyDescent="0.35">
      <c r="F3642" s="102"/>
      <c r="G3642" s="102"/>
      <c r="I3642" s="93"/>
      <c r="J3642" s="93"/>
    </row>
    <row r="3643" spans="6:10" s="65" customFormat="1" ht="14" x14ac:dyDescent="0.35">
      <c r="F3643" s="102"/>
      <c r="G3643" s="102"/>
      <c r="I3643" s="93"/>
      <c r="J3643" s="93"/>
    </row>
    <row r="3644" spans="6:10" s="65" customFormat="1" ht="14" x14ac:dyDescent="0.35">
      <c r="F3644" s="102"/>
      <c r="G3644" s="102"/>
      <c r="I3644" s="93"/>
      <c r="J3644" s="93"/>
    </row>
    <row r="3645" spans="6:10" s="65" customFormat="1" ht="14" x14ac:dyDescent="0.35">
      <c r="F3645" s="102"/>
      <c r="G3645" s="102"/>
      <c r="I3645" s="93"/>
      <c r="J3645" s="93"/>
    </row>
    <row r="3646" spans="6:10" s="65" customFormat="1" ht="14" x14ac:dyDescent="0.35">
      <c r="F3646" s="102"/>
      <c r="G3646" s="102"/>
      <c r="I3646" s="93"/>
      <c r="J3646" s="93"/>
    </row>
    <row r="3647" spans="6:10" s="65" customFormat="1" ht="14" x14ac:dyDescent="0.35">
      <c r="F3647" s="102"/>
      <c r="G3647" s="102"/>
      <c r="I3647" s="93"/>
      <c r="J3647" s="93"/>
    </row>
    <row r="3648" spans="6:10" s="65" customFormat="1" ht="14" x14ac:dyDescent="0.35">
      <c r="F3648" s="102"/>
      <c r="G3648" s="102"/>
      <c r="I3648" s="93"/>
      <c r="J3648" s="93"/>
    </row>
    <row r="3649" spans="6:10" s="65" customFormat="1" ht="14" x14ac:dyDescent="0.35">
      <c r="F3649" s="102"/>
      <c r="G3649" s="102"/>
      <c r="I3649" s="93"/>
      <c r="J3649" s="93"/>
    </row>
    <row r="3650" spans="6:10" s="65" customFormat="1" ht="14" x14ac:dyDescent="0.35">
      <c r="F3650" s="102"/>
      <c r="G3650" s="102"/>
      <c r="I3650" s="93"/>
      <c r="J3650" s="93"/>
    </row>
    <row r="3651" spans="6:10" s="65" customFormat="1" ht="14" x14ac:dyDescent="0.35">
      <c r="F3651" s="102"/>
      <c r="G3651" s="102"/>
      <c r="I3651" s="93"/>
      <c r="J3651" s="93"/>
    </row>
    <row r="3652" spans="6:10" s="65" customFormat="1" ht="14" x14ac:dyDescent="0.35">
      <c r="F3652" s="102"/>
      <c r="G3652" s="102"/>
      <c r="I3652" s="93"/>
      <c r="J3652" s="93"/>
    </row>
    <row r="3653" spans="6:10" s="65" customFormat="1" ht="14" x14ac:dyDescent="0.35">
      <c r="F3653" s="102"/>
      <c r="G3653" s="102"/>
      <c r="I3653" s="93"/>
      <c r="J3653" s="93"/>
    </row>
    <row r="3654" spans="6:10" s="65" customFormat="1" ht="14" x14ac:dyDescent="0.35">
      <c r="F3654" s="102"/>
      <c r="G3654" s="102"/>
      <c r="I3654" s="93"/>
      <c r="J3654" s="93"/>
    </row>
    <row r="3655" spans="6:10" s="65" customFormat="1" ht="14" x14ac:dyDescent="0.35">
      <c r="F3655" s="102"/>
      <c r="G3655" s="102"/>
      <c r="I3655" s="93"/>
      <c r="J3655" s="93"/>
    </row>
    <row r="3656" spans="6:10" s="65" customFormat="1" ht="14" x14ac:dyDescent="0.35">
      <c r="F3656" s="102"/>
      <c r="G3656" s="102"/>
      <c r="I3656" s="93"/>
      <c r="J3656" s="93"/>
    </row>
    <row r="3657" spans="6:10" s="65" customFormat="1" ht="14" x14ac:dyDescent="0.35">
      <c r="F3657" s="102"/>
      <c r="G3657" s="102"/>
      <c r="I3657" s="93"/>
      <c r="J3657" s="93"/>
    </row>
    <row r="3658" spans="6:10" s="65" customFormat="1" ht="14" x14ac:dyDescent="0.35">
      <c r="F3658" s="102"/>
      <c r="G3658" s="102"/>
      <c r="I3658" s="93"/>
      <c r="J3658" s="93"/>
    </row>
    <row r="3659" spans="6:10" s="65" customFormat="1" ht="14" x14ac:dyDescent="0.35">
      <c r="F3659" s="102"/>
      <c r="G3659" s="102"/>
      <c r="I3659" s="93"/>
      <c r="J3659" s="93"/>
    </row>
    <row r="3660" spans="6:10" s="65" customFormat="1" ht="14" x14ac:dyDescent="0.35">
      <c r="F3660" s="102"/>
      <c r="G3660" s="102"/>
      <c r="I3660" s="93"/>
      <c r="J3660" s="93"/>
    </row>
    <row r="3661" spans="6:10" s="65" customFormat="1" ht="14" x14ac:dyDescent="0.35">
      <c r="F3661" s="102"/>
      <c r="G3661" s="102"/>
      <c r="I3661" s="93"/>
      <c r="J3661" s="93"/>
    </row>
    <row r="3662" spans="6:10" s="65" customFormat="1" ht="14" x14ac:dyDescent="0.35">
      <c r="F3662" s="102"/>
      <c r="G3662" s="102"/>
      <c r="I3662" s="93"/>
      <c r="J3662" s="93"/>
    </row>
    <row r="3663" spans="6:10" s="65" customFormat="1" ht="14" x14ac:dyDescent="0.35">
      <c r="F3663" s="102"/>
      <c r="G3663" s="102"/>
      <c r="I3663" s="93"/>
      <c r="J3663" s="93"/>
    </row>
    <row r="3664" spans="6:10" s="65" customFormat="1" ht="14" x14ac:dyDescent="0.35">
      <c r="F3664" s="102"/>
      <c r="G3664" s="102"/>
      <c r="I3664" s="93"/>
      <c r="J3664" s="93"/>
    </row>
    <row r="3665" spans="6:10" s="65" customFormat="1" ht="14" x14ac:dyDescent="0.35">
      <c r="F3665" s="102"/>
      <c r="G3665" s="102"/>
      <c r="I3665" s="93"/>
      <c r="J3665" s="93"/>
    </row>
    <row r="3666" spans="6:10" s="65" customFormat="1" ht="14" x14ac:dyDescent="0.35">
      <c r="F3666" s="102"/>
      <c r="G3666" s="102"/>
      <c r="I3666" s="93"/>
      <c r="J3666" s="93"/>
    </row>
    <row r="3667" spans="6:10" s="65" customFormat="1" ht="14" x14ac:dyDescent="0.35">
      <c r="F3667" s="102"/>
      <c r="G3667" s="102"/>
      <c r="I3667" s="93"/>
      <c r="J3667" s="93"/>
    </row>
    <row r="3668" spans="6:10" s="65" customFormat="1" ht="14" x14ac:dyDescent="0.35">
      <c r="F3668" s="102"/>
      <c r="G3668" s="102"/>
      <c r="I3668" s="93"/>
      <c r="J3668" s="93"/>
    </row>
    <row r="3669" spans="6:10" s="65" customFormat="1" ht="14" x14ac:dyDescent="0.35">
      <c r="F3669" s="102"/>
      <c r="G3669" s="102"/>
      <c r="I3669" s="93"/>
      <c r="J3669" s="93"/>
    </row>
    <row r="3670" spans="6:10" s="65" customFormat="1" ht="14" x14ac:dyDescent="0.35">
      <c r="F3670" s="102"/>
      <c r="G3670" s="102"/>
      <c r="I3670" s="93"/>
      <c r="J3670" s="93"/>
    </row>
    <row r="3671" spans="6:10" s="65" customFormat="1" ht="14" x14ac:dyDescent="0.35">
      <c r="F3671" s="102"/>
      <c r="G3671" s="102"/>
      <c r="I3671" s="93"/>
      <c r="J3671" s="93"/>
    </row>
    <row r="3672" spans="6:10" s="65" customFormat="1" ht="14" x14ac:dyDescent="0.35">
      <c r="F3672" s="102"/>
      <c r="G3672" s="102"/>
      <c r="I3672" s="93"/>
      <c r="J3672" s="93"/>
    </row>
    <row r="3673" spans="6:10" s="65" customFormat="1" ht="14" x14ac:dyDescent="0.35">
      <c r="F3673" s="102"/>
      <c r="G3673" s="102"/>
      <c r="I3673" s="93"/>
      <c r="J3673" s="93"/>
    </row>
    <row r="3674" spans="6:10" s="65" customFormat="1" ht="14" x14ac:dyDescent="0.35">
      <c r="F3674" s="102"/>
      <c r="G3674" s="102"/>
      <c r="I3674" s="93"/>
      <c r="J3674" s="93"/>
    </row>
    <row r="3675" spans="6:10" s="65" customFormat="1" ht="14" x14ac:dyDescent="0.35">
      <c r="F3675" s="102"/>
      <c r="G3675" s="102"/>
      <c r="I3675" s="93"/>
      <c r="J3675" s="93"/>
    </row>
    <row r="3676" spans="6:10" s="65" customFormat="1" ht="14" x14ac:dyDescent="0.35">
      <c r="F3676" s="102"/>
      <c r="G3676" s="102"/>
      <c r="I3676" s="93"/>
      <c r="J3676" s="93"/>
    </row>
    <row r="3677" spans="6:10" s="65" customFormat="1" ht="14" x14ac:dyDescent="0.35">
      <c r="F3677" s="102"/>
      <c r="G3677" s="102"/>
      <c r="I3677" s="93"/>
      <c r="J3677" s="93"/>
    </row>
    <row r="3678" spans="6:10" s="65" customFormat="1" ht="14" x14ac:dyDescent="0.35">
      <c r="F3678" s="102"/>
      <c r="G3678" s="102"/>
      <c r="I3678" s="93"/>
      <c r="J3678" s="93"/>
    </row>
    <row r="3679" spans="6:10" s="65" customFormat="1" ht="14" x14ac:dyDescent="0.35">
      <c r="F3679" s="102"/>
      <c r="G3679" s="102"/>
      <c r="I3679" s="93"/>
      <c r="J3679" s="93"/>
    </row>
    <row r="3680" spans="6:10" s="65" customFormat="1" ht="14" x14ac:dyDescent="0.35">
      <c r="F3680" s="102"/>
      <c r="G3680" s="102"/>
      <c r="I3680" s="93"/>
      <c r="J3680" s="93"/>
    </row>
    <row r="3681" spans="6:10" s="65" customFormat="1" ht="14" x14ac:dyDescent="0.35">
      <c r="F3681" s="102"/>
      <c r="G3681" s="102"/>
      <c r="I3681" s="93"/>
      <c r="J3681" s="93"/>
    </row>
    <row r="3682" spans="6:10" s="65" customFormat="1" ht="14" x14ac:dyDescent="0.35">
      <c r="F3682" s="102"/>
      <c r="G3682" s="102"/>
      <c r="I3682" s="93"/>
      <c r="J3682" s="93"/>
    </row>
    <row r="3683" spans="6:10" s="65" customFormat="1" ht="14" x14ac:dyDescent="0.35">
      <c r="F3683" s="102"/>
      <c r="G3683" s="102"/>
      <c r="I3683" s="93"/>
      <c r="J3683" s="93"/>
    </row>
    <row r="3684" spans="6:10" s="65" customFormat="1" ht="14" x14ac:dyDescent="0.35">
      <c r="F3684" s="102"/>
      <c r="G3684" s="102"/>
      <c r="I3684" s="93"/>
      <c r="J3684" s="93"/>
    </row>
    <row r="3685" spans="6:10" s="65" customFormat="1" ht="14" x14ac:dyDescent="0.35">
      <c r="F3685" s="102"/>
      <c r="G3685" s="102"/>
      <c r="I3685" s="93"/>
      <c r="J3685" s="93"/>
    </row>
    <row r="3686" spans="6:10" s="65" customFormat="1" ht="14" x14ac:dyDescent="0.35">
      <c r="F3686" s="102"/>
      <c r="G3686" s="102"/>
      <c r="I3686" s="93"/>
      <c r="J3686" s="93"/>
    </row>
    <row r="3687" spans="6:10" s="65" customFormat="1" ht="14" x14ac:dyDescent="0.35">
      <c r="F3687" s="102"/>
      <c r="G3687" s="102"/>
      <c r="I3687" s="93"/>
      <c r="J3687" s="93"/>
    </row>
    <row r="3688" spans="6:10" s="65" customFormat="1" ht="14" x14ac:dyDescent="0.35">
      <c r="F3688" s="102"/>
      <c r="G3688" s="102"/>
      <c r="I3688" s="93"/>
      <c r="J3688" s="93"/>
    </row>
    <row r="3689" spans="6:10" s="65" customFormat="1" ht="14" x14ac:dyDescent="0.35">
      <c r="F3689" s="102"/>
      <c r="G3689" s="102"/>
      <c r="I3689" s="93"/>
      <c r="J3689" s="93"/>
    </row>
    <row r="3690" spans="6:10" s="65" customFormat="1" ht="14" x14ac:dyDescent="0.35">
      <c r="F3690" s="102"/>
      <c r="G3690" s="102"/>
      <c r="I3690" s="93"/>
      <c r="J3690" s="93"/>
    </row>
    <row r="3691" spans="6:10" s="65" customFormat="1" ht="14" x14ac:dyDescent="0.35">
      <c r="F3691" s="102"/>
      <c r="G3691" s="102"/>
      <c r="I3691" s="93"/>
      <c r="J3691" s="93"/>
    </row>
    <row r="3692" spans="6:10" s="65" customFormat="1" ht="14" x14ac:dyDescent="0.35">
      <c r="F3692" s="102"/>
      <c r="G3692" s="102"/>
      <c r="I3692" s="93"/>
      <c r="J3692" s="93"/>
    </row>
    <row r="3693" spans="6:10" s="65" customFormat="1" ht="14" x14ac:dyDescent="0.35">
      <c r="F3693" s="102"/>
      <c r="G3693" s="102"/>
      <c r="I3693" s="93"/>
      <c r="J3693" s="93"/>
    </row>
    <row r="3694" spans="6:10" s="65" customFormat="1" ht="14" x14ac:dyDescent="0.35">
      <c r="F3694" s="102"/>
      <c r="G3694" s="102"/>
      <c r="I3694" s="93"/>
      <c r="J3694" s="93"/>
    </row>
    <row r="3695" spans="6:10" s="65" customFormat="1" ht="14" x14ac:dyDescent="0.35">
      <c r="F3695" s="102"/>
      <c r="G3695" s="102"/>
      <c r="I3695" s="93"/>
      <c r="J3695" s="93"/>
    </row>
    <row r="3696" spans="6:10" s="65" customFormat="1" ht="14" x14ac:dyDescent="0.35">
      <c r="F3696" s="102"/>
      <c r="G3696" s="102"/>
      <c r="I3696" s="93"/>
      <c r="J3696" s="93"/>
    </row>
    <row r="3697" spans="6:24" s="65" customFormat="1" ht="14" x14ac:dyDescent="0.35">
      <c r="F3697" s="102"/>
      <c r="G3697" s="102"/>
      <c r="I3697" s="93"/>
      <c r="J3697" s="93"/>
    </row>
    <row r="3698" spans="6:24" s="65" customFormat="1" ht="14" x14ac:dyDescent="0.35">
      <c r="F3698" s="102"/>
      <c r="G3698" s="102"/>
      <c r="I3698" s="93"/>
      <c r="J3698" s="93"/>
    </row>
    <row r="3699" spans="6:24" s="65" customFormat="1" ht="14" x14ac:dyDescent="0.35">
      <c r="F3699" s="102"/>
      <c r="G3699" s="102"/>
      <c r="I3699" s="93"/>
      <c r="J3699" s="93"/>
    </row>
    <row r="3700" spans="6:24" s="65" customFormat="1" ht="14" x14ac:dyDescent="0.35">
      <c r="F3700" s="102"/>
      <c r="G3700" s="102"/>
      <c r="I3700" s="93"/>
      <c r="J3700" s="93"/>
    </row>
    <row r="3701" spans="6:24" s="65" customFormat="1" ht="14" x14ac:dyDescent="0.35">
      <c r="F3701" s="102"/>
      <c r="G3701" s="102"/>
      <c r="I3701" s="93"/>
      <c r="J3701" s="93"/>
    </row>
    <row r="3702" spans="6:24" s="65" customFormat="1" x14ac:dyDescent="0.35">
      <c r="F3702" s="102"/>
      <c r="G3702" s="102"/>
      <c r="I3702" s="93"/>
      <c r="J3702" s="93"/>
      <c r="R3702" s="103"/>
      <c r="S3702" s="103"/>
      <c r="T3702" s="103"/>
    </row>
    <row r="3703" spans="6:24" s="65" customFormat="1" x14ac:dyDescent="0.35">
      <c r="F3703" s="102"/>
      <c r="G3703" s="102"/>
      <c r="I3703" s="93"/>
      <c r="J3703" s="93"/>
      <c r="R3703" s="103"/>
      <c r="S3703" s="103"/>
      <c r="T3703" s="103"/>
    </row>
    <row r="3704" spans="6:24" s="65" customFormat="1" x14ac:dyDescent="0.35">
      <c r="F3704" s="102"/>
      <c r="G3704" s="102"/>
      <c r="I3704" s="93"/>
      <c r="J3704" s="93"/>
      <c r="R3704" s="103"/>
      <c r="S3704" s="103"/>
      <c r="T3704" s="103"/>
    </row>
    <row r="3705" spans="6:24" s="65" customFormat="1" x14ac:dyDescent="0.35">
      <c r="F3705" s="102"/>
      <c r="G3705" s="102"/>
      <c r="I3705" s="93"/>
      <c r="J3705" s="93"/>
      <c r="R3705" s="103"/>
      <c r="S3705" s="103"/>
      <c r="T3705" s="103"/>
    </row>
    <row r="3706" spans="6:24" s="65" customFormat="1" x14ac:dyDescent="0.35">
      <c r="F3706" s="102"/>
      <c r="G3706" s="102"/>
      <c r="I3706" s="93"/>
      <c r="J3706" s="93"/>
      <c r="R3706" s="103"/>
      <c r="S3706" s="103"/>
      <c r="T3706" s="103"/>
    </row>
    <row r="3707" spans="6:24" s="65" customFormat="1" x14ac:dyDescent="0.35">
      <c r="F3707" s="102"/>
      <c r="G3707" s="102"/>
      <c r="I3707" s="93"/>
      <c r="J3707" s="93"/>
      <c r="R3707" s="103"/>
      <c r="S3707" s="103"/>
      <c r="T3707" s="103"/>
      <c r="U3707" s="103"/>
    </row>
    <row r="3708" spans="6:24" s="65" customFormat="1" x14ac:dyDescent="0.35">
      <c r="F3708" s="102"/>
      <c r="G3708" s="102"/>
      <c r="I3708" s="93"/>
      <c r="J3708" s="93"/>
      <c r="R3708" s="103"/>
      <c r="S3708" s="103"/>
      <c r="T3708" s="103"/>
      <c r="U3708" s="103"/>
    </row>
    <row r="3709" spans="6:24" s="65" customFormat="1" x14ac:dyDescent="0.35">
      <c r="F3709" s="102"/>
      <c r="G3709" s="102"/>
      <c r="I3709" s="93"/>
      <c r="J3709" s="52"/>
      <c r="R3709" s="103"/>
      <c r="S3709" s="103"/>
      <c r="T3709" s="103"/>
      <c r="U3709" s="103"/>
      <c r="V3709" s="103"/>
      <c r="W3709" s="103"/>
      <c r="X3709" s="103"/>
    </row>
  </sheetData>
  <mergeCells count="7">
    <mergeCell ref="A56:P56"/>
    <mergeCell ref="N2:P2"/>
    <mergeCell ref="K2:M2"/>
    <mergeCell ref="B2:C2"/>
    <mergeCell ref="E2:G2"/>
    <mergeCell ref="H2:I2"/>
    <mergeCell ref="A2:A3"/>
  </mergeCells>
  <printOptions horizontalCentered="1" verticalCentered="1"/>
  <pageMargins left="0.31496062992125984" right="0.51181102362204722" top="0.19685039370078741" bottom="0.15748031496062992" header="0.15748031496062992" footer="0.15748031496062992"/>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Q3713"/>
  <sheetViews>
    <sheetView topLeftCell="B1" zoomScale="70" zoomScaleNormal="70" workbookViewId="0">
      <selection activeCell="A4" sqref="A4:H4"/>
    </sheetView>
  </sheetViews>
  <sheetFormatPr defaultRowHeight="15.5" x14ac:dyDescent="0.35"/>
  <cols>
    <col min="1" max="1" width="10.81640625" style="48" hidden="1" customWidth="1"/>
    <col min="2" max="2" width="22.54296875" style="103" customWidth="1"/>
    <col min="3" max="3" width="2.45312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9.1796875" style="103"/>
    <col min="19" max="20" width="9.1796875" style="104"/>
    <col min="21" max="256" width="9.1796875" style="103"/>
    <col min="257" max="257" width="0" style="103" hidden="1" customWidth="1"/>
    <col min="258" max="258" width="22.54296875" style="103" customWidth="1"/>
    <col min="259" max="259" width="2.453125" style="103" customWidth="1"/>
    <col min="260" max="260" width="11.26953125" style="103" customWidth="1"/>
    <col min="261" max="261" width="12.81640625" style="103" customWidth="1"/>
    <col min="262" max="262" width="12.26953125" style="103" customWidth="1"/>
    <col min="263" max="263" width="13.26953125" style="103" customWidth="1"/>
    <col min="264" max="264" width="16.81640625" style="103" bestFit="1" customWidth="1"/>
    <col min="265" max="266" width="12.1796875" style="103" customWidth="1"/>
    <col min="267" max="269" width="13.1796875" style="103" customWidth="1"/>
    <col min="270" max="270" width="13.54296875" style="103" customWidth="1"/>
    <col min="271" max="271" width="12.7265625" style="103" customWidth="1"/>
    <col min="272" max="272" width="11.1796875" style="103" customWidth="1"/>
    <col min="273" max="273" width="7.54296875" style="103" customWidth="1"/>
    <col min="274" max="512" width="9.1796875" style="103"/>
    <col min="513" max="513" width="0" style="103" hidden="1" customWidth="1"/>
    <col min="514" max="514" width="22.54296875" style="103" customWidth="1"/>
    <col min="515" max="515" width="2.453125" style="103" customWidth="1"/>
    <col min="516" max="516" width="11.26953125" style="103" customWidth="1"/>
    <col min="517" max="517" width="12.81640625" style="103" customWidth="1"/>
    <col min="518" max="518" width="12.26953125" style="103" customWidth="1"/>
    <col min="519" max="519" width="13.26953125" style="103" customWidth="1"/>
    <col min="520" max="520" width="16.81640625" style="103" bestFit="1" customWidth="1"/>
    <col min="521" max="522" width="12.1796875" style="103" customWidth="1"/>
    <col min="523" max="525" width="13.1796875" style="103" customWidth="1"/>
    <col min="526" max="526" width="13.54296875" style="103" customWidth="1"/>
    <col min="527" max="527" width="12.7265625" style="103" customWidth="1"/>
    <col min="528" max="528" width="11.1796875" style="103" customWidth="1"/>
    <col min="529" max="529" width="7.54296875" style="103" customWidth="1"/>
    <col min="530" max="768" width="9.1796875" style="103"/>
    <col min="769" max="769" width="0" style="103" hidden="1" customWidth="1"/>
    <col min="770" max="770" width="22.54296875" style="103" customWidth="1"/>
    <col min="771" max="771" width="2.453125" style="103" customWidth="1"/>
    <col min="772" max="772" width="11.26953125" style="103" customWidth="1"/>
    <col min="773" max="773" width="12.81640625" style="103" customWidth="1"/>
    <col min="774" max="774" width="12.26953125" style="103" customWidth="1"/>
    <col min="775" max="775" width="13.26953125" style="103" customWidth="1"/>
    <col min="776" max="776" width="16.81640625" style="103" bestFit="1" customWidth="1"/>
    <col min="777" max="778" width="12.1796875" style="103" customWidth="1"/>
    <col min="779" max="781" width="13.1796875" style="103" customWidth="1"/>
    <col min="782" max="782" width="13.54296875" style="103" customWidth="1"/>
    <col min="783" max="783" width="12.7265625" style="103" customWidth="1"/>
    <col min="784" max="784" width="11.1796875" style="103" customWidth="1"/>
    <col min="785" max="785" width="7.54296875" style="103" customWidth="1"/>
    <col min="786" max="1024" width="9.1796875" style="103"/>
    <col min="1025" max="1025" width="0" style="103" hidden="1" customWidth="1"/>
    <col min="1026" max="1026" width="22.54296875" style="103" customWidth="1"/>
    <col min="1027" max="1027" width="2.453125" style="103" customWidth="1"/>
    <col min="1028" max="1028" width="11.26953125" style="103" customWidth="1"/>
    <col min="1029" max="1029" width="12.81640625" style="103" customWidth="1"/>
    <col min="1030" max="1030" width="12.26953125" style="103" customWidth="1"/>
    <col min="1031" max="1031" width="13.26953125" style="103" customWidth="1"/>
    <col min="1032" max="1032" width="16.81640625" style="103" bestFit="1" customWidth="1"/>
    <col min="1033" max="1034" width="12.1796875" style="103" customWidth="1"/>
    <col min="1035" max="1037" width="13.1796875" style="103" customWidth="1"/>
    <col min="1038" max="1038" width="13.54296875" style="103" customWidth="1"/>
    <col min="1039" max="1039" width="12.7265625" style="103" customWidth="1"/>
    <col min="1040" max="1040" width="11.1796875" style="103" customWidth="1"/>
    <col min="1041" max="1041" width="7.54296875" style="103" customWidth="1"/>
    <col min="1042" max="1280" width="9.1796875" style="103"/>
    <col min="1281" max="1281" width="0" style="103" hidden="1" customWidth="1"/>
    <col min="1282" max="1282" width="22.54296875" style="103" customWidth="1"/>
    <col min="1283" max="1283" width="2.453125" style="103" customWidth="1"/>
    <col min="1284" max="1284" width="11.26953125" style="103" customWidth="1"/>
    <col min="1285" max="1285" width="12.81640625" style="103" customWidth="1"/>
    <col min="1286" max="1286" width="12.26953125" style="103" customWidth="1"/>
    <col min="1287" max="1287" width="13.26953125" style="103" customWidth="1"/>
    <col min="1288" max="1288" width="16.81640625" style="103" bestFit="1" customWidth="1"/>
    <col min="1289" max="1290" width="12.1796875" style="103" customWidth="1"/>
    <col min="1291" max="1293" width="13.1796875" style="103" customWidth="1"/>
    <col min="1294" max="1294" width="13.54296875" style="103" customWidth="1"/>
    <col min="1295" max="1295" width="12.7265625" style="103" customWidth="1"/>
    <col min="1296" max="1296" width="11.1796875" style="103" customWidth="1"/>
    <col min="1297" max="1297" width="7.54296875" style="103" customWidth="1"/>
    <col min="1298" max="1536" width="9.1796875" style="103"/>
    <col min="1537" max="1537" width="0" style="103" hidden="1" customWidth="1"/>
    <col min="1538" max="1538" width="22.54296875" style="103" customWidth="1"/>
    <col min="1539" max="1539" width="2.453125" style="103" customWidth="1"/>
    <col min="1540" max="1540" width="11.26953125" style="103" customWidth="1"/>
    <col min="1541" max="1541" width="12.81640625" style="103" customWidth="1"/>
    <col min="1542" max="1542" width="12.26953125" style="103" customWidth="1"/>
    <col min="1543" max="1543" width="13.26953125" style="103" customWidth="1"/>
    <col min="1544" max="1544" width="16.81640625" style="103" bestFit="1" customWidth="1"/>
    <col min="1545" max="1546" width="12.1796875" style="103" customWidth="1"/>
    <col min="1547" max="1549" width="13.1796875" style="103" customWidth="1"/>
    <col min="1550" max="1550" width="13.54296875" style="103" customWidth="1"/>
    <col min="1551" max="1551" width="12.7265625" style="103" customWidth="1"/>
    <col min="1552" max="1552" width="11.1796875" style="103" customWidth="1"/>
    <col min="1553" max="1553" width="7.54296875" style="103" customWidth="1"/>
    <col min="1554" max="1792" width="9.1796875" style="103"/>
    <col min="1793" max="1793" width="0" style="103" hidden="1" customWidth="1"/>
    <col min="1794" max="1794" width="22.54296875" style="103" customWidth="1"/>
    <col min="1795" max="1795" width="2.453125" style="103" customWidth="1"/>
    <col min="1796" max="1796" width="11.26953125" style="103" customWidth="1"/>
    <col min="1797" max="1797" width="12.81640625" style="103" customWidth="1"/>
    <col min="1798" max="1798" width="12.26953125" style="103" customWidth="1"/>
    <col min="1799" max="1799" width="13.26953125" style="103" customWidth="1"/>
    <col min="1800" max="1800" width="16.81640625" style="103" bestFit="1" customWidth="1"/>
    <col min="1801" max="1802" width="12.1796875" style="103" customWidth="1"/>
    <col min="1803" max="1805" width="13.1796875" style="103" customWidth="1"/>
    <col min="1806" max="1806" width="13.54296875" style="103" customWidth="1"/>
    <col min="1807" max="1807" width="12.7265625" style="103" customWidth="1"/>
    <col min="1808" max="1808" width="11.1796875" style="103" customWidth="1"/>
    <col min="1809" max="1809" width="7.54296875" style="103" customWidth="1"/>
    <col min="1810" max="2048" width="9.1796875" style="103"/>
    <col min="2049" max="2049" width="0" style="103" hidden="1" customWidth="1"/>
    <col min="2050" max="2050" width="22.54296875" style="103" customWidth="1"/>
    <col min="2051" max="2051" width="2.453125" style="103" customWidth="1"/>
    <col min="2052" max="2052" width="11.26953125" style="103" customWidth="1"/>
    <col min="2053" max="2053" width="12.81640625" style="103" customWidth="1"/>
    <col min="2054" max="2054" width="12.26953125" style="103" customWidth="1"/>
    <col min="2055" max="2055" width="13.26953125" style="103" customWidth="1"/>
    <col min="2056" max="2056" width="16.81640625" style="103" bestFit="1" customWidth="1"/>
    <col min="2057" max="2058" width="12.1796875" style="103" customWidth="1"/>
    <col min="2059" max="2061" width="13.1796875" style="103" customWidth="1"/>
    <col min="2062" max="2062" width="13.54296875" style="103" customWidth="1"/>
    <col min="2063" max="2063" width="12.7265625" style="103" customWidth="1"/>
    <col min="2064" max="2064" width="11.1796875" style="103" customWidth="1"/>
    <col min="2065" max="2065" width="7.54296875" style="103" customWidth="1"/>
    <col min="2066" max="2304" width="9.1796875" style="103"/>
    <col min="2305" max="2305" width="0" style="103" hidden="1" customWidth="1"/>
    <col min="2306" max="2306" width="22.54296875" style="103" customWidth="1"/>
    <col min="2307" max="2307" width="2.453125" style="103" customWidth="1"/>
    <col min="2308" max="2308" width="11.26953125" style="103" customWidth="1"/>
    <col min="2309" max="2309" width="12.81640625" style="103" customWidth="1"/>
    <col min="2310" max="2310" width="12.26953125" style="103" customWidth="1"/>
    <col min="2311" max="2311" width="13.26953125" style="103" customWidth="1"/>
    <col min="2312" max="2312" width="16.81640625" style="103" bestFit="1" customWidth="1"/>
    <col min="2313" max="2314" width="12.1796875" style="103" customWidth="1"/>
    <col min="2315" max="2317" width="13.1796875" style="103" customWidth="1"/>
    <col min="2318" max="2318" width="13.54296875" style="103" customWidth="1"/>
    <col min="2319" max="2319" width="12.7265625" style="103" customWidth="1"/>
    <col min="2320" max="2320" width="11.1796875" style="103" customWidth="1"/>
    <col min="2321" max="2321" width="7.54296875" style="103" customWidth="1"/>
    <col min="2322" max="2560" width="9.1796875" style="103"/>
    <col min="2561" max="2561" width="0" style="103" hidden="1" customWidth="1"/>
    <col min="2562" max="2562" width="22.54296875" style="103" customWidth="1"/>
    <col min="2563" max="2563" width="2.453125" style="103" customWidth="1"/>
    <col min="2564" max="2564" width="11.26953125" style="103" customWidth="1"/>
    <col min="2565" max="2565" width="12.81640625" style="103" customWidth="1"/>
    <col min="2566" max="2566" width="12.26953125" style="103" customWidth="1"/>
    <col min="2567" max="2567" width="13.26953125" style="103" customWidth="1"/>
    <col min="2568" max="2568" width="16.81640625" style="103" bestFit="1" customWidth="1"/>
    <col min="2569" max="2570" width="12.1796875" style="103" customWidth="1"/>
    <col min="2571" max="2573" width="13.1796875" style="103" customWidth="1"/>
    <col min="2574" max="2574" width="13.54296875" style="103" customWidth="1"/>
    <col min="2575" max="2575" width="12.7265625" style="103" customWidth="1"/>
    <col min="2576" max="2576" width="11.1796875" style="103" customWidth="1"/>
    <col min="2577" max="2577" width="7.54296875" style="103" customWidth="1"/>
    <col min="2578" max="2816" width="9.1796875" style="103"/>
    <col min="2817" max="2817" width="0" style="103" hidden="1" customWidth="1"/>
    <col min="2818" max="2818" width="22.54296875" style="103" customWidth="1"/>
    <col min="2819" max="2819" width="2.453125" style="103" customWidth="1"/>
    <col min="2820" max="2820" width="11.26953125" style="103" customWidth="1"/>
    <col min="2821" max="2821" width="12.81640625" style="103" customWidth="1"/>
    <col min="2822" max="2822" width="12.26953125" style="103" customWidth="1"/>
    <col min="2823" max="2823" width="13.26953125" style="103" customWidth="1"/>
    <col min="2824" max="2824" width="16.81640625" style="103" bestFit="1" customWidth="1"/>
    <col min="2825" max="2826" width="12.1796875" style="103" customWidth="1"/>
    <col min="2827" max="2829" width="13.1796875" style="103" customWidth="1"/>
    <col min="2830" max="2830" width="13.54296875" style="103" customWidth="1"/>
    <col min="2831" max="2831" width="12.7265625" style="103" customWidth="1"/>
    <col min="2832" max="2832" width="11.1796875" style="103" customWidth="1"/>
    <col min="2833" max="2833" width="7.54296875" style="103" customWidth="1"/>
    <col min="2834" max="3072" width="9.1796875" style="103"/>
    <col min="3073" max="3073" width="0" style="103" hidden="1" customWidth="1"/>
    <col min="3074" max="3074" width="22.54296875" style="103" customWidth="1"/>
    <col min="3075" max="3075" width="2.453125" style="103" customWidth="1"/>
    <col min="3076" max="3076" width="11.26953125" style="103" customWidth="1"/>
    <col min="3077" max="3077" width="12.81640625" style="103" customWidth="1"/>
    <col min="3078" max="3078" width="12.26953125" style="103" customWidth="1"/>
    <col min="3079" max="3079" width="13.26953125" style="103" customWidth="1"/>
    <col min="3080" max="3080" width="16.81640625" style="103" bestFit="1" customWidth="1"/>
    <col min="3081" max="3082" width="12.1796875" style="103" customWidth="1"/>
    <col min="3083" max="3085" width="13.1796875" style="103" customWidth="1"/>
    <col min="3086" max="3086" width="13.54296875" style="103" customWidth="1"/>
    <col min="3087" max="3087" width="12.7265625" style="103" customWidth="1"/>
    <col min="3088" max="3088" width="11.1796875" style="103" customWidth="1"/>
    <col min="3089" max="3089" width="7.54296875" style="103" customWidth="1"/>
    <col min="3090" max="3328" width="9.1796875" style="103"/>
    <col min="3329" max="3329" width="0" style="103" hidden="1" customWidth="1"/>
    <col min="3330" max="3330" width="22.54296875" style="103" customWidth="1"/>
    <col min="3331" max="3331" width="2.453125" style="103" customWidth="1"/>
    <col min="3332" max="3332" width="11.26953125" style="103" customWidth="1"/>
    <col min="3333" max="3333" width="12.81640625" style="103" customWidth="1"/>
    <col min="3334" max="3334" width="12.26953125" style="103" customWidth="1"/>
    <col min="3335" max="3335" width="13.26953125" style="103" customWidth="1"/>
    <col min="3336" max="3336" width="16.81640625" style="103" bestFit="1" customWidth="1"/>
    <col min="3337" max="3338" width="12.1796875" style="103" customWidth="1"/>
    <col min="3339" max="3341" width="13.1796875" style="103" customWidth="1"/>
    <col min="3342" max="3342" width="13.54296875" style="103" customWidth="1"/>
    <col min="3343" max="3343" width="12.7265625" style="103" customWidth="1"/>
    <col min="3344" max="3344" width="11.1796875" style="103" customWidth="1"/>
    <col min="3345" max="3345" width="7.54296875" style="103" customWidth="1"/>
    <col min="3346" max="3584" width="9.1796875" style="103"/>
    <col min="3585" max="3585" width="0" style="103" hidden="1" customWidth="1"/>
    <col min="3586" max="3586" width="22.54296875" style="103" customWidth="1"/>
    <col min="3587" max="3587" width="2.453125" style="103" customWidth="1"/>
    <col min="3588" max="3588" width="11.26953125" style="103" customWidth="1"/>
    <col min="3589" max="3589" width="12.81640625" style="103" customWidth="1"/>
    <col min="3590" max="3590" width="12.26953125" style="103" customWidth="1"/>
    <col min="3591" max="3591" width="13.26953125" style="103" customWidth="1"/>
    <col min="3592" max="3592" width="16.81640625" style="103" bestFit="1" customWidth="1"/>
    <col min="3593" max="3594" width="12.1796875" style="103" customWidth="1"/>
    <col min="3595" max="3597" width="13.1796875" style="103" customWidth="1"/>
    <col min="3598" max="3598" width="13.54296875" style="103" customWidth="1"/>
    <col min="3599" max="3599" width="12.7265625" style="103" customWidth="1"/>
    <col min="3600" max="3600" width="11.1796875" style="103" customWidth="1"/>
    <col min="3601" max="3601" width="7.54296875" style="103" customWidth="1"/>
    <col min="3602" max="3840" width="9.1796875" style="103"/>
    <col min="3841" max="3841" width="0" style="103" hidden="1" customWidth="1"/>
    <col min="3842" max="3842" width="22.54296875" style="103" customWidth="1"/>
    <col min="3843" max="3843" width="2.453125" style="103" customWidth="1"/>
    <col min="3844" max="3844" width="11.26953125" style="103" customWidth="1"/>
    <col min="3845" max="3845" width="12.81640625" style="103" customWidth="1"/>
    <col min="3846" max="3846" width="12.26953125" style="103" customWidth="1"/>
    <col min="3847" max="3847" width="13.26953125" style="103" customWidth="1"/>
    <col min="3848" max="3848" width="16.81640625" style="103" bestFit="1" customWidth="1"/>
    <col min="3849" max="3850" width="12.1796875" style="103" customWidth="1"/>
    <col min="3851" max="3853" width="13.1796875" style="103" customWidth="1"/>
    <col min="3854" max="3854" width="13.54296875" style="103" customWidth="1"/>
    <col min="3855" max="3855" width="12.7265625" style="103" customWidth="1"/>
    <col min="3856" max="3856" width="11.1796875" style="103" customWidth="1"/>
    <col min="3857" max="3857" width="7.54296875" style="103" customWidth="1"/>
    <col min="3858" max="4096" width="9.1796875" style="103"/>
    <col min="4097" max="4097" width="0" style="103" hidden="1" customWidth="1"/>
    <col min="4098" max="4098" width="22.54296875" style="103" customWidth="1"/>
    <col min="4099" max="4099" width="2.453125" style="103" customWidth="1"/>
    <col min="4100" max="4100" width="11.26953125" style="103" customWidth="1"/>
    <col min="4101" max="4101" width="12.81640625" style="103" customWidth="1"/>
    <col min="4102" max="4102" width="12.26953125" style="103" customWidth="1"/>
    <col min="4103" max="4103" width="13.26953125" style="103" customWidth="1"/>
    <col min="4104" max="4104" width="16.81640625" style="103" bestFit="1" customWidth="1"/>
    <col min="4105" max="4106" width="12.1796875" style="103" customWidth="1"/>
    <col min="4107" max="4109" width="13.1796875" style="103" customWidth="1"/>
    <col min="4110" max="4110" width="13.54296875" style="103" customWidth="1"/>
    <col min="4111" max="4111" width="12.7265625" style="103" customWidth="1"/>
    <col min="4112" max="4112" width="11.1796875" style="103" customWidth="1"/>
    <col min="4113" max="4113" width="7.54296875" style="103" customWidth="1"/>
    <col min="4114" max="4352" width="9.1796875" style="103"/>
    <col min="4353" max="4353" width="0" style="103" hidden="1" customWidth="1"/>
    <col min="4354" max="4354" width="22.54296875" style="103" customWidth="1"/>
    <col min="4355" max="4355" width="2.453125" style="103" customWidth="1"/>
    <col min="4356" max="4356" width="11.26953125" style="103" customWidth="1"/>
    <col min="4357" max="4357" width="12.81640625" style="103" customWidth="1"/>
    <col min="4358" max="4358" width="12.26953125" style="103" customWidth="1"/>
    <col min="4359" max="4359" width="13.26953125" style="103" customWidth="1"/>
    <col min="4360" max="4360" width="16.81640625" style="103" bestFit="1" customWidth="1"/>
    <col min="4361" max="4362" width="12.1796875" style="103" customWidth="1"/>
    <col min="4363" max="4365" width="13.1796875" style="103" customWidth="1"/>
    <col min="4366" max="4366" width="13.54296875" style="103" customWidth="1"/>
    <col min="4367" max="4367" width="12.7265625" style="103" customWidth="1"/>
    <col min="4368" max="4368" width="11.1796875" style="103" customWidth="1"/>
    <col min="4369" max="4369" width="7.54296875" style="103" customWidth="1"/>
    <col min="4370" max="4608" width="9.1796875" style="103"/>
    <col min="4609" max="4609" width="0" style="103" hidden="1" customWidth="1"/>
    <col min="4610" max="4610" width="22.54296875" style="103" customWidth="1"/>
    <col min="4611" max="4611" width="2.453125" style="103" customWidth="1"/>
    <col min="4612" max="4612" width="11.26953125" style="103" customWidth="1"/>
    <col min="4613" max="4613" width="12.81640625" style="103" customWidth="1"/>
    <col min="4614" max="4614" width="12.26953125" style="103" customWidth="1"/>
    <col min="4615" max="4615" width="13.26953125" style="103" customWidth="1"/>
    <col min="4616" max="4616" width="16.81640625" style="103" bestFit="1" customWidth="1"/>
    <col min="4617" max="4618" width="12.1796875" style="103" customWidth="1"/>
    <col min="4619" max="4621" width="13.1796875" style="103" customWidth="1"/>
    <col min="4622" max="4622" width="13.54296875" style="103" customWidth="1"/>
    <col min="4623" max="4623" width="12.7265625" style="103" customWidth="1"/>
    <col min="4624" max="4624" width="11.1796875" style="103" customWidth="1"/>
    <col min="4625" max="4625" width="7.54296875" style="103" customWidth="1"/>
    <col min="4626" max="4864" width="9.1796875" style="103"/>
    <col min="4865" max="4865" width="0" style="103" hidden="1" customWidth="1"/>
    <col min="4866" max="4866" width="22.54296875" style="103" customWidth="1"/>
    <col min="4867" max="4867" width="2.453125" style="103" customWidth="1"/>
    <col min="4868" max="4868" width="11.26953125" style="103" customWidth="1"/>
    <col min="4869" max="4869" width="12.81640625" style="103" customWidth="1"/>
    <col min="4870" max="4870" width="12.26953125" style="103" customWidth="1"/>
    <col min="4871" max="4871" width="13.26953125" style="103" customWidth="1"/>
    <col min="4872" max="4872" width="16.81640625" style="103" bestFit="1" customWidth="1"/>
    <col min="4873" max="4874" width="12.1796875" style="103" customWidth="1"/>
    <col min="4875" max="4877" width="13.1796875" style="103" customWidth="1"/>
    <col min="4878" max="4878" width="13.54296875" style="103" customWidth="1"/>
    <col min="4879" max="4879" width="12.7265625" style="103" customWidth="1"/>
    <col min="4880" max="4880" width="11.1796875" style="103" customWidth="1"/>
    <col min="4881" max="4881" width="7.54296875" style="103" customWidth="1"/>
    <col min="4882" max="5120" width="9.1796875" style="103"/>
    <col min="5121" max="5121" width="0" style="103" hidden="1" customWidth="1"/>
    <col min="5122" max="5122" width="22.54296875" style="103" customWidth="1"/>
    <col min="5123" max="5123" width="2.453125" style="103" customWidth="1"/>
    <col min="5124" max="5124" width="11.26953125" style="103" customWidth="1"/>
    <col min="5125" max="5125" width="12.81640625" style="103" customWidth="1"/>
    <col min="5126" max="5126" width="12.26953125" style="103" customWidth="1"/>
    <col min="5127" max="5127" width="13.26953125" style="103" customWidth="1"/>
    <col min="5128" max="5128" width="16.81640625" style="103" bestFit="1" customWidth="1"/>
    <col min="5129" max="5130" width="12.1796875" style="103" customWidth="1"/>
    <col min="5131" max="5133" width="13.1796875" style="103" customWidth="1"/>
    <col min="5134" max="5134" width="13.54296875" style="103" customWidth="1"/>
    <col min="5135" max="5135" width="12.7265625" style="103" customWidth="1"/>
    <col min="5136" max="5136" width="11.1796875" style="103" customWidth="1"/>
    <col min="5137" max="5137" width="7.54296875" style="103" customWidth="1"/>
    <col min="5138" max="5376" width="9.1796875" style="103"/>
    <col min="5377" max="5377" width="0" style="103" hidden="1" customWidth="1"/>
    <col min="5378" max="5378" width="22.54296875" style="103" customWidth="1"/>
    <col min="5379" max="5379" width="2.453125" style="103" customWidth="1"/>
    <col min="5380" max="5380" width="11.26953125" style="103" customWidth="1"/>
    <col min="5381" max="5381" width="12.81640625" style="103" customWidth="1"/>
    <col min="5382" max="5382" width="12.26953125" style="103" customWidth="1"/>
    <col min="5383" max="5383" width="13.26953125" style="103" customWidth="1"/>
    <col min="5384" max="5384" width="16.81640625" style="103" bestFit="1" customWidth="1"/>
    <col min="5385" max="5386" width="12.1796875" style="103" customWidth="1"/>
    <col min="5387" max="5389" width="13.1796875" style="103" customWidth="1"/>
    <col min="5390" max="5390" width="13.54296875" style="103" customWidth="1"/>
    <col min="5391" max="5391" width="12.7265625" style="103" customWidth="1"/>
    <col min="5392" max="5392" width="11.1796875" style="103" customWidth="1"/>
    <col min="5393" max="5393" width="7.54296875" style="103" customWidth="1"/>
    <col min="5394" max="5632" width="9.1796875" style="103"/>
    <col min="5633" max="5633" width="0" style="103" hidden="1" customWidth="1"/>
    <col min="5634" max="5634" width="22.54296875" style="103" customWidth="1"/>
    <col min="5635" max="5635" width="2.453125" style="103" customWidth="1"/>
    <col min="5636" max="5636" width="11.26953125" style="103" customWidth="1"/>
    <col min="5637" max="5637" width="12.81640625" style="103" customWidth="1"/>
    <col min="5638" max="5638" width="12.26953125" style="103" customWidth="1"/>
    <col min="5639" max="5639" width="13.26953125" style="103" customWidth="1"/>
    <col min="5640" max="5640" width="16.81640625" style="103" bestFit="1" customWidth="1"/>
    <col min="5641" max="5642" width="12.1796875" style="103" customWidth="1"/>
    <col min="5643" max="5645" width="13.1796875" style="103" customWidth="1"/>
    <col min="5646" max="5646" width="13.54296875" style="103" customWidth="1"/>
    <col min="5647" max="5647" width="12.7265625" style="103" customWidth="1"/>
    <col min="5648" max="5648" width="11.1796875" style="103" customWidth="1"/>
    <col min="5649" max="5649" width="7.54296875" style="103" customWidth="1"/>
    <col min="5650" max="5888" width="9.1796875" style="103"/>
    <col min="5889" max="5889" width="0" style="103" hidden="1" customWidth="1"/>
    <col min="5890" max="5890" width="22.54296875" style="103" customWidth="1"/>
    <col min="5891" max="5891" width="2.453125" style="103" customWidth="1"/>
    <col min="5892" max="5892" width="11.26953125" style="103" customWidth="1"/>
    <col min="5893" max="5893" width="12.81640625" style="103" customWidth="1"/>
    <col min="5894" max="5894" width="12.26953125" style="103" customWidth="1"/>
    <col min="5895" max="5895" width="13.26953125" style="103" customWidth="1"/>
    <col min="5896" max="5896" width="16.81640625" style="103" bestFit="1" customWidth="1"/>
    <col min="5897" max="5898" width="12.1796875" style="103" customWidth="1"/>
    <col min="5899" max="5901" width="13.1796875" style="103" customWidth="1"/>
    <col min="5902" max="5902" width="13.54296875" style="103" customWidth="1"/>
    <col min="5903" max="5903" width="12.7265625" style="103" customWidth="1"/>
    <col min="5904" max="5904" width="11.1796875" style="103" customWidth="1"/>
    <col min="5905" max="5905" width="7.54296875" style="103" customWidth="1"/>
    <col min="5906" max="6144" width="9.1796875" style="103"/>
    <col min="6145" max="6145" width="0" style="103" hidden="1" customWidth="1"/>
    <col min="6146" max="6146" width="22.54296875" style="103" customWidth="1"/>
    <col min="6147" max="6147" width="2.453125" style="103" customWidth="1"/>
    <col min="6148" max="6148" width="11.26953125" style="103" customWidth="1"/>
    <col min="6149" max="6149" width="12.81640625" style="103" customWidth="1"/>
    <col min="6150" max="6150" width="12.26953125" style="103" customWidth="1"/>
    <col min="6151" max="6151" width="13.26953125" style="103" customWidth="1"/>
    <col min="6152" max="6152" width="16.81640625" style="103" bestFit="1" customWidth="1"/>
    <col min="6153" max="6154" width="12.1796875" style="103" customWidth="1"/>
    <col min="6155" max="6157" width="13.1796875" style="103" customWidth="1"/>
    <col min="6158" max="6158" width="13.54296875" style="103" customWidth="1"/>
    <col min="6159" max="6159" width="12.7265625" style="103" customWidth="1"/>
    <col min="6160" max="6160" width="11.1796875" style="103" customWidth="1"/>
    <col min="6161" max="6161" width="7.54296875" style="103" customWidth="1"/>
    <col min="6162" max="6400" width="9.1796875" style="103"/>
    <col min="6401" max="6401" width="0" style="103" hidden="1" customWidth="1"/>
    <col min="6402" max="6402" width="22.54296875" style="103" customWidth="1"/>
    <col min="6403" max="6403" width="2.453125" style="103" customWidth="1"/>
    <col min="6404" max="6404" width="11.26953125" style="103" customWidth="1"/>
    <col min="6405" max="6405" width="12.81640625" style="103" customWidth="1"/>
    <col min="6406" max="6406" width="12.26953125" style="103" customWidth="1"/>
    <col min="6407" max="6407" width="13.26953125" style="103" customWidth="1"/>
    <col min="6408" max="6408" width="16.81640625" style="103" bestFit="1" customWidth="1"/>
    <col min="6409" max="6410" width="12.1796875" style="103" customWidth="1"/>
    <col min="6411" max="6413" width="13.1796875" style="103" customWidth="1"/>
    <col min="6414" max="6414" width="13.54296875" style="103" customWidth="1"/>
    <col min="6415" max="6415" width="12.7265625" style="103" customWidth="1"/>
    <col min="6416" max="6416" width="11.1796875" style="103" customWidth="1"/>
    <col min="6417" max="6417" width="7.54296875" style="103" customWidth="1"/>
    <col min="6418" max="6656" width="9.1796875" style="103"/>
    <col min="6657" max="6657" width="0" style="103" hidden="1" customWidth="1"/>
    <col min="6658" max="6658" width="22.54296875" style="103" customWidth="1"/>
    <col min="6659" max="6659" width="2.453125" style="103" customWidth="1"/>
    <col min="6660" max="6660" width="11.26953125" style="103" customWidth="1"/>
    <col min="6661" max="6661" width="12.81640625" style="103" customWidth="1"/>
    <col min="6662" max="6662" width="12.26953125" style="103" customWidth="1"/>
    <col min="6663" max="6663" width="13.26953125" style="103" customWidth="1"/>
    <col min="6664" max="6664" width="16.81640625" style="103" bestFit="1" customWidth="1"/>
    <col min="6665" max="6666" width="12.1796875" style="103" customWidth="1"/>
    <col min="6667" max="6669" width="13.1796875" style="103" customWidth="1"/>
    <col min="6670" max="6670" width="13.54296875" style="103" customWidth="1"/>
    <col min="6671" max="6671" width="12.7265625" style="103" customWidth="1"/>
    <col min="6672" max="6672" width="11.1796875" style="103" customWidth="1"/>
    <col min="6673" max="6673" width="7.54296875" style="103" customWidth="1"/>
    <col min="6674" max="6912" width="9.1796875" style="103"/>
    <col min="6913" max="6913" width="0" style="103" hidden="1" customWidth="1"/>
    <col min="6914" max="6914" width="22.54296875" style="103" customWidth="1"/>
    <col min="6915" max="6915" width="2.453125" style="103" customWidth="1"/>
    <col min="6916" max="6916" width="11.26953125" style="103" customWidth="1"/>
    <col min="6917" max="6917" width="12.81640625" style="103" customWidth="1"/>
    <col min="6918" max="6918" width="12.26953125" style="103" customWidth="1"/>
    <col min="6919" max="6919" width="13.26953125" style="103" customWidth="1"/>
    <col min="6920" max="6920" width="16.81640625" style="103" bestFit="1" customWidth="1"/>
    <col min="6921" max="6922" width="12.1796875" style="103" customWidth="1"/>
    <col min="6923" max="6925" width="13.1796875" style="103" customWidth="1"/>
    <col min="6926" max="6926" width="13.54296875" style="103" customWidth="1"/>
    <col min="6927" max="6927" width="12.7265625" style="103" customWidth="1"/>
    <col min="6928" max="6928" width="11.1796875" style="103" customWidth="1"/>
    <col min="6929" max="6929" width="7.54296875" style="103" customWidth="1"/>
    <col min="6930" max="7168" width="9.1796875" style="103"/>
    <col min="7169" max="7169" width="0" style="103" hidden="1" customWidth="1"/>
    <col min="7170" max="7170" width="22.54296875" style="103" customWidth="1"/>
    <col min="7171" max="7171" width="2.453125" style="103" customWidth="1"/>
    <col min="7172" max="7172" width="11.26953125" style="103" customWidth="1"/>
    <col min="7173" max="7173" width="12.81640625" style="103" customWidth="1"/>
    <col min="7174" max="7174" width="12.26953125" style="103" customWidth="1"/>
    <col min="7175" max="7175" width="13.26953125" style="103" customWidth="1"/>
    <col min="7176" max="7176" width="16.81640625" style="103" bestFit="1" customWidth="1"/>
    <col min="7177" max="7178" width="12.1796875" style="103" customWidth="1"/>
    <col min="7179" max="7181" width="13.1796875" style="103" customWidth="1"/>
    <col min="7182" max="7182" width="13.54296875" style="103" customWidth="1"/>
    <col min="7183" max="7183" width="12.7265625" style="103" customWidth="1"/>
    <col min="7184" max="7184" width="11.1796875" style="103" customWidth="1"/>
    <col min="7185" max="7185" width="7.54296875" style="103" customWidth="1"/>
    <col min="7186" max="7424" width="9.1796875" style="103"/>
    <col min="7425" max="7425" width="0" style="103" hidden="1" customWidth="1"/>
    <col min="7426" max="7426" width="22.54296875" style="103" customWidth="1"/>
    <col min="7427" max="7427" width="2.453125" style="103" customWidth="1"/>
    <col min="7428" max="7428" width="11.26953125" style="103" customWidth="1"/>
    <col min="7429" max="7429" width="12.81640625" style="103" customWidth="1"/>
    <col min="7430" max="7430" width="12.26953125" style="103" customWidth="1"/>
    <col min="7431" max="7431" width="13.26953125" style="103" customWidth="1"/>
    <col min="7432" max="7432" width="16.81640625" style="103" bestFit="1" customWidth="1"/>
    <col min="7433" max="7434" width="12.1796875" style="103" customWidth="1"/>
    <col min="7435" max="7437" width="13.1796875" style="103" customWidth="1"/>
    <col min="7438" max="7438" width="13.54296875" style="103" customWidth="1"/>
    <col min="7439" max="7439" width="12.7265625" style="103" customWidth="1"/>
    <col min="7440" max="7440" width="11.1796875" style="103" customWidth="1"/>
    <col min="7441" max="7441" width="7.54296875" style="103" customWidth="1"/>
    <col min="7442" max="7680" width="9.1796875" style="103"/>
    <col min="7681" max="7681" width="0" style="103" hidden="1" customWidth="1"/>
    <col min="7682" max="7682" width="22.54296875" style="103" customWidth="1"/>
    <col min="7683" max="7683" width="2.453125" style="103" customWidth="1"/>
    <col min="7684" max="7684" width="11.26953125" style="103" customWidth="1"/>
    <col min="7685" max="7685" width="12.81640625" style="103" customWidth="1"/>
    <col min="7686" max="7686" width="12.26953125" style="103" customWidth="1"/>
    <col min="7687" max="7687" width="13.26953125" style="103" customWidth="1"/>
    <col min="7688" max="7688" width="16.81640625" style="103" bestFit="1" customWidth="1"/>
    <col min="7689" max="7690" width="12.1796875" style="103" customWidth="1"/>
    <col min="7691" max="7693" width="13.1796875" style="103" customWidth="1"/>
    <col min="7694" max="7694" width="13.54296875" style="103" customWidth="1"/>
    <col min="7695" max="7695" width="12.7265625" style="103" customWidth="1"/>
    <col min="7696" max="7696" width="11.1796875" style="103" customWidth="1"/>
    <col min="7697" max="7697" width="7.54296875" style="103" customWidth="1"/>
    <col min="7698" max="7936" width="9.1796875" style="103"/>
    <col min="7937" max="7937" width="0" style="103" hidden="1" customWidth="1"/>
    <col min="7938" max="7938" width="22.54296875" style="103" customWidth="1"/>
    <col min="7939" max="7939" width="2.453125" style="103" customWidth="1"/>
    <col min="7940" max="7940" width="11.26953125" style="103" customWidth="1"/>
    <col min="7941" max="7941" width="12.81640625" style="103" customWidth="1"/>
    <col min="7942" max="7942" width="12.26953125" style="103" customWidth="1"/>
    <col min="7943" max="7943" width="13.26953125" style="103" customWidth="1"/>
    <col min="7944" max="7944" width="16.81640625" style="103" bestFit="1" customWidth="1"/>
    <col min="7945" max="7946" width="12.1796875" style="103" customWidth="1"/>
    <col min="7947" max="7949" width="13.1796875" style="103" customWidth="1"/>
    <col min="7950" max="7950" width="13.54296875" style="103" customWidth="1"/>
    <col min="7951" max="7951" width="12.7265625" style="103" customWidth="1"/>
    <col min="7952" max="7952" width="11.1796875" style="103" customWidth="1"/>
    <col min="7953" max="7953" width="7.54296875" style="103" customWidth="1"/>
    <col min="7954" max="8192" width="9.1796875" style="103"/>
    <col min="8193" max="8193" width="0" style="103" hidden="1" customWidth="1"/>
    <col min="8194" max="8194" width="22.54296875" style="103" customWidth="1"/>
    <col min="8195" max="8195" width="2.453125" style="103" customWidth="1"/>
    <col min="8196" max="8196" width="11.26953125" style="103" customWidth="1"/>
    <col min="8197" max="8197" width="12.81640625" style="103" customWidth="1"/>
    <col min="8198" max="8198" width="12.26953125" style="103" customWidth="1"/>
    <col min="8199" max="8199" width="13.26953125" style="103" customWidth="1"/>
    <col min="8200" max="8200" width="16.81640625" style="103" bestFit="1" customWidth="1"/>
    <col min="8201" max="8202" width="12.1796875" style="103" customWidth="1"/>
    <col min="8203" max="8205" width="13.1796875" style="103" customWidth="1"/>
    <col min="8206" max="8206" width="13.54296875" style="103" customWidth="1"/>
    <col min="8207" max="8207" width="12.7265625" style="103" customWidth="1"/>
    <col min="8208" max="8208" width="11.1796875" style="103" customWidth="1"/>
    <col min="8209" max="8209" width="7.54296875" style="103" customWidth="1"/>
    <col min="8210" max="8448" width="9.1796875" style="103"/>
    <col min="8449" max="8449" width="0" style="103" hidden="1" customWidth="1"/>
    <col min="8450" max="8450" width="22.54296875" style="103" customWidth="1"/>
    <col min="8451" max="8451" width="2.453125" style="103" customWidth="1"/>
    <col min="8452" max="8452" width="11.26953125" style="103" customWidth="1"/>
    <col min="8453" max="8453" width="12.81640625" style="103" customWidth="1"/>
    <col min="8454" max="8454" width="12.26953125" style="103" customWidth="1"/>
    <col min="8455" max="8455" width="13.26953125" style="103" customWidth="1"/>
    <col min="8456" max="8456" width="16.81640625" style="103" bestFit="1" customWidth="1"/>
    <col min="8457" max="8458" width="12.1796875" style="103" customWidth="1"/>
    <col min="8459" max="8461" width="13.1796875" style="103" customWidth="1"/>
    <col min="8462" max="8462" width="13.54296875" style="103" customWidth="1"/>
    <col min="8463" max="8463" width="12.7265625" style="103" customWidth="1"/>
    <col min="8464" max="8464" width="11.1796875" style="103" customWidth="1"/>
    <col min="8465" max="8465" width="7.54296875" style="103" customWidth="1"/>
    <col min="8466" max="8704" width="9.1796875" style="103"/>
    <col min="8705" max="8705" width="0" style="103" hidden="1" customWidth="1"/>
    <col min="8706" max="8706" width="22.54296875" style="103" customWidth="1"/>
    <col min="8707" max="8707" width="2.453125" style="103" customWidth="1"/>
    <col min="8708" max="8708" width="11.26953125" style="103" customWidth="1"/>
    <col min="8709" max="8709" width="12.81640625" style="103" customWidth="1"/>
    <col min="8710" max="8710" width="12.26953125" style="103" customWidth="1"/>
    <col min="8711" max="8711" width="13.26953125" style="103" customWidth="1"/>
    <col min="8712" max="8712" width="16.81640625" style="103" bestFit="1" customWidth="1"/>
    <col min="8713" max="8714" width="12.1796875" style="103" customWidth="1"/>
    <col min="8715" max="8717" width="13.1796875" style="103" customWidth="1"/>
    <col min="8718" max="8718" width="13.54296875" style="103" customWidth="1"/>
    <col min="8719" max="8719" width="12.7265625" style="103" customWidth="1"/>
    <col min="8720" max="8720" width="11.1796875" style="103" customWidth="1"/>
    <col min="8721" max="8721" width="7.54296875" style="103" customWidth="1"/>
    <col min="8722" max="8960" width="9.1796875" style="103"/>
    <col min="8961" max="8961" width="0" style="103" hidden="1" customWidth="1"/>
    <col min="8962" max="8962" width="22.54296875" style="103" customWidth="1"/>
    <col min="8963" max="8963" width="2.453125" style="103" customWidth="1"/>
    <col min="8964" max="8964" width="11.26953125" style="103" customWidth="1"/>
    <col min="8965" max="8965" width="12.81640625" style="103" customWidth="1"/>
    <col min="8966" max="8966" width="12.26953125" style="103" customWidth="1"/>
    <col min="8967" max="8967" width="13.26953125" style="103" customWidth="1"/>
    <col min="8968" max="8968" width="16.81640625" style="103" bestFit="1" customWidth="1"/>
    <col min="8969" max="8970" width="12.1796875" style="103" customWidth="1"/>
    <col min="8971" max="8973" width="13.1796875" style="103" customWidth="1"/>
    <col min="8974" max="8974" width="13.54296875" style="103" customWidth="1"/>
    <col min="8975" max="8975" width="12.7265625" style="103" customWidth="1"/>
    <col min="8976" max="8976" width="11.1796875" style="103" customWidth="1"/>
    <col min="8977" max="8977" width="7.54296875" style="103" customWidth="1"/>
    <col min="8978" max="9216" width="9.1796875" style="103"/>
    <col min="9217" max="9217" width="0" style="103" hidden="1" customWidth="1"/>
    <col min="9218" max="9218" width="22.54296875" style="103" customWidth="1"/>
    <col min="9219" max="9219" width="2.453125" style="103" customWidth="1"/>
    <col min="9220" max="9220" width="11.26953125" style="103" customWidth="1"/>
    <col min="9221" max="9221" width="12.81640625" style="103" customWidth="1"/>
    <col min="9222" max="9222" width="12.26953125" style="103" customWidth="1"/>
    <col min="9223" max="9223" width="13.26953125" style="103" customWidth="1"/>
    <col min="9224" max="9224" width="16.81640625" style="103" bestFit="1" customWidth="1"/>
    <col min="9225" max="9226" width="12.1796875" style="103" customWidth="1"/>
    <col min="9227" max="9229" width="13.1796875" style="103" customWidth="1"/>
    <col min="9230" max="9230" width="13.54296875" style="103" customWidth="1"/>
    <col min="9231" max="9231" width="12.7265625" style="103" customWidth="1"/>
    <col min="9232" max="9232" width="11.1796875" style="103" customWidth="1"/>
    <col min="9233" max="9233" width="7.54296875" style="103" customWidth="1"/>
    <col min="9234" max="9472" width="9.1796875" style="103"/>
    <col min="9473" max="9473" width="0" style="103" hidden="1" customWidth="1"/>
    <col min="9474" max="9474" width="22.54296875" style="103" customWidth="1"/>
    <col min="9475" max="9475" width="2.453125" style="103" customWidth="1"/>
    <col min="9476" max="9476" width="11.26953125" style="103" customWidth="1"/>
    <col min="9477" max="9477" width="12.81640625" style="103" customWidth="1"/>
    <col min="9478" max="9478" width="12.26953125" style="103" customWidth="1"/>
    <col min="9479" max="9479" width="13.26953125" style="103" customWidth="1"/>
    <col min="9480" max="9480" width="16.81640625" style="103" bestFit="1" customWidth="1"/>
    <col min="9481" max="9482" width="12.1796875" style="103" customWidth="1"/>
    <col min="9483" max="9485" width="13.1796875" style="103" customWidth="1"/>
    <col min="9486" max="9486" width="13.54296875" style="103" customWidth="1"/>
    <col min="9487" max="9487" width="12.7265625" style="103" customWidth="1"/>
    <col min="9488" max="9488" width="11.1796875" style="103" customWidth="1"/>
    <col min="9489" max="9489" width="7.54296875" style="103" customWidth="1"/>
    <col min="9490" max="9728" width="9.1796875" style="103"/>
    <col min="9729" max="9729" width="0" style="103" hidden="1" customWidth="1"/>
    <col min="9730" max="9730" width="22.54296875" style="103" customWidth="1"/>
    <col min="9731" max="9731" width="2.453125" style="103" customWidth="1"/>
    <col min="9732" max="9732" width="11.26953125" style="103" customWidth="1"/>
    <col min="9733" max="9733" width="12.81640625" style="103" customWidth="1"/>
    <col min="9734" max="9734" width="12.26953125" style="103" customWidth="1"/>
    <col min="9735" max="9735" width="13.26953125" style="103" customWidth="1"/>
    <col min="9736" max="9736" width="16.81640625" style="103" bestFit="1" customWidth="1"/>
    <col min="9737" max="9738" width="12.1796875" style="103" customWidth="1"/>
    <col min="9739" max="9741" width="13.1796875" style="103" customWidth="1"/>
    <col min="9742" max="9742" width="13.54296875" style="103" customWidth="1"/>
    <col min="9743" max="9743" width="12.7265625" style="103" customWidth="1"/>
    <col min="9744" max="9744" width="11.1796875" style="103" customWidth="1"/>
    <col min="9745" max="9745" width="7.54296875" style="103" customWidth="1"/>
    <col min="9746" max="9984" width="9.1796875" style="103"/>
    <col min="9985" max="9985" width="0" style="103" hidden="1" customWidth="1"/>
    <col min="9986" max="9986" width="22.54296875" style="103" customWidth="1"/>
    <col min="9987" max="9987" width="2.453125" style="103" customWidth="1"/>
    <col min="9988" max="9988" width="11.26953125" style="103" customWidth="1"/>
    <col min="9989" max="9989" width="12.81640625" style="103" customWidth="1"/>
    <col min="9990" max="9990" width="12.26953125" style="103" customWidth="1"/>
    <col min="9991" max="9991" width="13.26953125" style="103" customWidth="1"/>
    <col min="9992" max="9992" width="16.81640625" style="103" bestFit="1" customWidth="1"/>
    <col min="9993" max="9994" width="12.1796875" style="103" customWidth="1"/>
    <col min="9995" max="9997" width="13.1796875" style="103" customWidth="1"/>
    <col min="9998" max="9998" width="13.54296875" style="103" customWidth="1"/>
    <col min="9999" max="9999" width="12.7265625" style="103" customWidth="1"/>
    <col min="10000" max="10000" width="11.1796875" style="103" customWidth="1"/>
    <col min="10001" max="10001" width="7.54296875" style="103" customWidth="1"/>
    <col min="10002" max="10240" width="9.1796875" style="103"/>
    <col min="10241" max="10241" width="0" style="103" hidden="1" customWidth="1"/>
    <col min="10242" max="10242" width="22.54296875" style="103" customWidth="1"/>
    <col min="10243" max="10243" width="2.453125" style="103" customWidth="1"/>
    <col min="10244" max="10244" width="11.26953125" style="103" customWidth="1"/>
    <col min="10245" max="10245" width="12.81640625" style="103" customWidth="1"/>
    <col min="10246" max="10246" width="12.26953125" style="103" customWidth="1"/>
    <col min="10247" max="10247" width="13.26953125" style="103" customWidth="1"/>
    <col min="10248" max="10248" width="16.81640625" style="103" bestFit="1" customWidth="1"/>
    <col min="10249" max="10250" width="12.1796875" style="103" customWidth="1"/>
    <col min="10251" max="10253" width="13.1796875" style="103" customWidth="1"/>
    <col min="10254" max="10254" width="13.54296875" style="103" customWidth="1"/>
    <col min="10255" max="10255" width="12.7265625" style="103" customWidth="1"/>
    <col min="10256" max="10256" width="11.1796875" style="103" customWidth="1"/>
    <col min="10257" max="10257" width="7.54296875" style="103" customWidth="1"/>
    <col min="10258" max="10496" width="9.1796875" style="103"/>
    <col min="10497" max="10497" width="0" style="103" hidden="1" customWidth="1"/>
    <col min="10498" max="10498" width="22.54296875" style="103" customWidth="1"/>
    <col min="10499" max="10499" width="2.453125" style="103" customWidth="1"/>
    <col min="10500" max="10500" width="11.26953125" style="103" customWidth="1"/>
    <col min="10501" max="10501" width="12.81640625" style="103" customWidth="1"/>
    <col min="10502" max="10502" width="12.26953125" style="103" customWidth="1"/>
    <col min="10503" max="10503" width="13.26953125" style="103" customWidth="1"/>
    <col min="10504" max="10504" width="16.81640625" style="103" bestFit="1" customWidth="1"/>
    <col min="10505" max="10506" width="12.1796875" style="103" customWidth="1"/>
    <col min="10507" max="10509" width="13.1796875" style="103" customWidth="1"/>
    <col min="10510" max="10510" width="13.54296875" style="103" customWidth="1"/>
    <col min="10511" max="10511" width="12.7265625" style="103" customWidth="1"/>
    <col min="10512" max="10512" width="11.1796875" style="103" customWidth="1"/>
    <col min="10513" max="10513" width="7.54296875" style="103" customWidth="1"/>
    <col min="10514" max="10752" width="9.1796875" style="103"/>
    <col min="10753" max="10753" width="0" style="103" hidden="1" customWidth="1"/>
    <col min="10754" max="10754" width="22.54296875" style="103" customWidth="1"/>
    <col min="10755" max="10755" width="2.453125" style="103" customWidth="1"/>
    <col min="10756" max="10756" width="11.26953125" style="103" customWidth="1"/>
    <col min="10757" max="10757" width="12.81640625" style="103" customWidth="1"/>
    <col min="10758" max="10758" width="12.26953125" style="103" customWidth="1"/>
    <col min="10759" max="10759" width="13.26953125" style="103" customWidth="1"/>
    <col min="10760" max="10760" width="16.81640625" style="103" bestFit="1" customWidth="1"/>
    <col min="10761" max="10762" width="12.1796875" style="103" customWidth="1"/>
    <col min="10763" max="10765" width="13.1796875" style="103" customWidth="1"/>
    <col min="10766" max="10766" width="13.54296875" style="103" customWidth="1"/>
    <col min="10767" max="10767" width="12.7265625" style="103" customWidth="1"/>
    <col min="10768" max="10768" width="11.1796875" style="103" customWidth="1"/>
    <col min="10769" max="10769" width="7.54296875" style="103" customWidth="1"/>
    <col min="10770" max="11008" width="9.1796875" style="103"/>
    <col min="11009" max="11009" width="0" style="103" hidden="1" customWidth="1"/>
    <col min="11010" max="11010" width="22.54296875" style="103" customWidth="1"/>
    <col min="11011" max="11011" width="2.453125" style="103" customWidth="1"/>
    <col min="11012" max="11012" width="11.26953125" style="103" customWidth="1"/>
    <col min="11013" max="11013" width="12.81640625" style="103" customWidth="1"/>
    <col min="11014" max="11014" width="12.26953125" style="103" customWidth="1"/>
    <col min="11015" max="11015" width="13.26953125" style="103" customWidth="1"/>
    <col min="11016" max="11016" width="16.81640625" style="103" bestFit="1" customWidth="1"/>
    <col min="11017" max="11018" width="12.1796875" style="103" customWidth="1"/>
    <col min="11019" max="11021" width="13.1796875" style="103" customWidth="1"/>
    <col min="11022" max="11022" width="13.54296875" style="103" customWidth="1"/>
    <col min="11023" max="11023" width="12.7265625" style="103" customWidth="1"/>
    <col min="11024" max="11024" width="11.1796875" style="103" customWidth="1"/>
    <col min="11025" max="11025" width="7.54296875" style="103" customWidth="1"/>
    <col min="11026" max="11264" width="9.1796875" style="103"/>
    <col min="11265" max="11265" width="0" style="103" hidden="1" customWidth="1"/>
    <col min="11266" max="11266" width="22.54296875" style="103" customWidth="1"/>
    <col min="11267" max="11267" width="2.453125" style="103" customWidth="1"/>
    <col min="11268" max="11268" width="11.26953125" style="103" customWidth="1"/>
    <col min="11269" max="11269" width="12.81640625" style="103" customWidth="1"/>
    <col min="11270" max="11270" width="12.26953125" style="103" customWidth="1"/>
    <col min="11271" max="11271" width="13.26953125" style="103" customWidth="1"/>
    <col min="11272" max="11272" width="16.81640625" style="103" bestFit="1" customWidth="1"/>
    <col min="11273" max="11274" width="12.1796875" style="103" customWidth="1"/>
    <col min="11275" max="11277" width="13.1796875" style="103" customWidth="1"/>
    <col min="11278" max="11278" width="13.54296875" style="103" customWidth="1"/>
    <col min="11279" max="11279" width="12.7265625" style="103" customWidth="1"/>
    <col min="11280" max="11280" width="11.1796875" style="103" customWidth="1"/>
    <col min="11281" max="11281" width="7.54296875" style="103" customWidth="1"/>
    <col min="11282" max="11520" width="9.1796875" style="103"/>
    <col min="11521" max="11521" width="0" style="103" hidden="1" customWidth="1"/>
    <col min="11522" max="11522" width="22.54296875" style="103" customWidth="1"/>
    <col min="11523" max="11523" width="2.453125" style="103" customWidth="1"/>
    <col min="11524" max="11524" width="11.26953125" style="103" customWidth="1"/>
    <col min="11525" max="11525" width="12.81640625" style="103" customWidth="1"/>
    <col min="11526" max="11526" width="12.26953125" style="103" customWidth="1"/>
    <col min="11527" max="11527" width="13.26953125" style="103" customWidth="1"/>
    <col min="11528" max="11528" width="16.81640625" style="103" bestFit="1" customWidth="1"/>
    <col min="11529" max="11530" width="12.1796875" style="103" customWidth="1"/>
    <col min="11531" max="11533" width="13.1796875" style="103" customWidth="1"/>
    <col min="11534" max="11534" width="13.54296875" style="103" customWidth="1"/>
    <col min="11535" max="11535" width="12.7265625" style="103" customWidth="1"/>
    <col min="11536" max="11536" width="11.1796875" style="103" customWidth="1"/>
    <col min="11537" max="11537" width="7.54296875" style="103" customWidth="1"/>
    <col min="11538" max="11776" width="9.1796875" style="103"/>
    <col min="11777" max="11777" width="0" style="103" hidden="1" customWidth="1"/>
    <col min="11778" max="11778" width="22.54296875" style="103" customWidth="1"/>
    <col min="11779" max="11779" width="2.453125" style="103" customWidth="1"/>
    <col min="11780" max="11780" width="11.26953125" style="103" customWidth="1"/>
    <col min="11781" max="11781" width="12.81640625" style="103" customWidth="1"/>
    <col min="11782" max="11782" width="12.26953125" style="103" customWidth="1"/>
    <col min="11783" max="11783" width="13.26953125" style="103" customWidth="1"/>
    <col min="11784" max="11784" width="16.81640625" style="103" bestFit="1" customWidth="1"/>
    <col min="11785" max="11786" width="12.1796875" style="103" customWidth="1"/>
    <col min="11787" max="11789" width="13.1796875" style="103" customWidth="1"/>
    <col min="11790" max="11790" width="13.54296875" style="103" customWidth="1"/>
    <col min="11791" max="11791" width="12.7265625" style="103" customWidth="1"/>
    <col min="11792" max="11792" width="11.1796875" style="103" customWidth="1"/>
    <col min="11793" max="11793" width="7.54296875" style="103" customWidth="1"/>
    <col min="11794" max="12032" width="9.1796875" style="103"/>
    <col min="12033" max="12033" width="0" style="103" hidden="1" customWidth="1"/>
    <col min="12034" max="12034" width="22.54296875" style="103" customWidth="1"/>
    <col min="12035" max="12035" width="2.453125" style="103" customWidth="1"/>
    <col min="12036" max="12036" width="11.26953125" style="103" customWidth="1"/>
    <col min="12037" max="12037" width="12.81640625" style="103" customWidth="1"/>
    <col min="12038" max="12038" width="12.26953125" style="103" customWidth="1"/>
    <col min="12039" max="12039" width="13.26953125" style="103" customWidth="1"/>
    <col min="12040" max="12040" width="16.81640625" style="103" bestFit="1" customWidth="1"/>
    <col min="12041" max="12042" width="12.1796875" style="103" customWidth="1"/>
    <col min="12043" max="12045" width="13.1796875" style="103" customWidth="1"/>
    <col min="12046" max="12046" width="13.54296875" style="103" customWidth="1"/>
    <col min="12047" max="12047" width="12.7265625" style="103" customWidth="1"/>
    <col min="12048" max="12048" width="11.1796875" style="103" customWidth="1"/>
    <col min="12049" max="12049" width="7.54296875" style="103" customWidth="1"/>
    <col min="12050" max="12288" width="9.1796875" style="103"/>
    <col min="12289" max="12289" width="0" style="103" hidden="1" customWidth="1"/>
    <col min="12290" max="12290" width="22.54296875" style="103" customWidth="1"/>
    <col min="12291" max="12291" width="2.453125" style="103" customWidth="1"/>
    <col min="12292" max="12292" width="11.26953125" style="103" customWidth="1"/>
    <col min="12293" max="12293" width="12.81640625" style="103" customWidth="1"/>
    <col min="12294" max="12294" width="12.26953125" style="103" customWidth="1"/>
    <col min="12295" max="12295" width="13.26953125" style="103" customWidth="1"/>
    <col min="12296" max="12296" width="16.81640625" style="103" bestFit="1" customWidth="1"/>
    <col min="12297" max="12298" width="12.1796875" style="103" customWidth="1"/>
    <col min="12299" max="12301" width="13.1796875" style="103" customWidth="1"/>
    <col min="12302" max="12302" width="13.54296875" style="103" customWidth="1"/>
    <col min="12303" max="12303" width="12.7265625" style="103" customWidth="1"/>
    <col min="12304" max="12304" width="11.1796875" style="103" customWidth="1"/>
    <col min="12305" max="12305" width="7.54296875" style="103" customWidth="1"/>
    <col min="12306" max="12544" width="9.1796875" style="103"/>
    <col min="12545" max="12545" width="0" style="103" hidden="1" customWidth="1"/>
    <col min="12546" max="12546" width="22.54296875" style="103" customWidth="1"/>
    <col min="12547" max="12547" width="2.453125" style="103" customWidth="1"/>
    <col min="12548" max="12548" width="11.26953125" style="103" customWidth="1"/>
    <col min="12549" max="12549" width="12.81640625" style="103" customWidth="1"/>
    <col min="12550" max="12550" width="12.26953125" style="103" customWidth="1"/>
    <col min="12551" max="12551" width="13.26953125" style="103" customWidth="1"/>
    <col min="12552" max="12552" width="16.81640625" style="103" bestFit="1" customWidth="1"/>
    <col min="12553" max="12554" width="12.1796875" style="103" customWidth="1"/>
    <col min="12555" max="12557" width="13.1796875" style="103" customWidth="1"/>
    <col min="12558" max="12558" width="13.54296875" style="103" customWidth="1"/>
    <col min="12559" max="12559" width="12.7265625" style="103" customWidth="1"/>
    <col min="12560" max="12560" width="11.1796875" style="103" customWidth="1"/>
    <col min="12561" max="12561" width="7.54296875" style="103" customWidth="1"/>
    <col min="12562" max="12800" width="9.1796875" style="103"/>
    <col min="12801" max="12801" width="0" style="103" hidden="1" customWidth="1"/>
    <col min="12802" max="12802" width="22.54296875" style="103" customWidth="1"/>
    <col min="12803" max="12803" width="2.453125" style="103" customWidth="1"/>
    <col min="12804" max="12804" width="11.26953125" style="103" customWidth="1"/>
    <col min="12805" max="12805" width="12.81640625" style="103" customWidth="1"/>
    <col min="12806" max="12806" width="12.26953125" style="103" customWidth="1"/>
    <col min="12807" max="12807" width="13.26953125" style="103" customWidth="1"/>
    <col min="12808" max="12808" width="16.81640625" style="103" bestFit="1" customWidth="1"/>
    <col min="12809" max="12810" width="12.1796875" style="103" customWidth="1"/>
    <col min="12811" max="12813" width="13.1796875" style="103" customWidth="1"/>
    <col min="12814" max="12814" width="13.54296875" style="103" customWidth="1"/>
    <col min="12815" max="12815" width="12.7265625" style="103" customWidth="1"/>
    <col min="12816" max="12816" width="11.1796875" style="103" customWidth="1"/>
    <col min="12817" max="12817" width="7.54296875" style="103" customWidth="1"/>
    <col min="12818" max="13056" width="9.1796875" style="103"/>
    <col min="13057" max="13057" width="0" style="103" hidden="1" customWidth="1"/>
    <col min="13058" max="13058" width="22.54296875" style="103" customWidth="1"/>
    <col min="13059" max="13059" width="2.453125" style="103" customWidth="1"/>
    <col min="13060" max="13060" width="11.26953125" style="103" customWidth="1"/>
    <col min="13061" max="13061" width="12.81640625" style="103" customWidth="1"/>
    <col min="13062" max="13062" width="12.26953125" style="103" customWidth="1"/>
    <col min="13063" max="13063" width="13.26953125" style="103" customWidth="1"/>
    <col min="13064" max="13064" width="16.81640625" style="103" bestFit="1" customWidth="1"/>
    <col min="13065" max="13066" width="12.1796875" style="103" customWidth="1"/>
    <col min="13067" max="13069" width="13.1796875" style="103" customWidth="1"/>
    <col min="13070" max="13070" width="13.54296875" style="103" customWidth="1"/>
    <col min="13071" max="13071" width="12.7265625" style="103" customWidth="1"/>
    <col min="13072" max="13072" width="11.1796875" style="103" customWidth="1"/>
    <col min="13073" max="13073" width="7.54296875" style="103" customWidth="1"/>
    <col min="13074" max="13312" width="9.1796875" style="103"/>
    <col min="13313" max="13313" width="0" style="103" hidden="1" customWidth="1"/>
    <col min="13314" max="13314" width="22.54296875" style="103" customWidth="1"/>
    <col min="13315" max="13315" width="2.453125" style="103" customWidth="1"/>
    <col min="13316" max="13316" width="11.26953125" style="103" customWidth="1"/>
    <col min="13317" max="13317" width="12.81640625" style="103" customWidth="1"/>
    <col min="13318" max="13318" width="12.26953125" style="103" customWidth="1"/>
    <col min="13319" max="13319" width="13.26953125" style="103" customWidth="1"/>
    <col min="13320" max="13320" width="16.81640625" style="103" bestFit="1" customWidth="1"/>
    <col min="13321" max="13322" width="12.1796875" style="103" customWidth="1"/>
    <col min="13323" max="13325" width="13.1796875" style="103" customWidth="1"/>
    <col min="13326" max="13326" width="13.54296875" style="103" customWidth="1"/>
    <col min="13327" max="13327" width="12.7265625" style="103" customWidth="1"/>
    <col min="13328" max="13328" width="11.1796875" style="103" customWidth="1"/>
    <col min="13329" max="13329" width="7.54296875" style="103" customWidth="1"/>
    <col min="13330" max="13568" width="9.1796875" style="103"/>
    <col min="13569" max="13569" width="0" style="103" hidden="1" customWidth="1"/>
    <col min="13570" max="13570" width="22.54296875" style="103" customWidth="1"/>
    <col min="13571" max="13571" width="2.453125" style="103" customWidth="1"/>
    <col min="13572" max="13572" width="11.26953125" style="103" customWidth="1"/>
    <col min="13573" max="13573" width="12.81640625" style="103" customWidth="1"/>
    <col min="13574" max="13574" width="12.26953125" style="103" customWidth="1"/>
    <col min="13575" max="13575" width="13.26953125" style="103" customWidth="1"/>
    <col min="13576" max="13576" width="16.81640625" style="103" bestFit="1" customWidth="1"/>
    <col min="13577" max="13578" width="12.1796875" style="103" customWidth="1"/>
    <col min="13579" max="13581" width="13.1796875" style="103" customWidth="1"/>
    <col min="13582" max="13582" width="13.54296875" style="103" customWidth="1"/>
    <col min="13583" max="13583" width="12.7265625" style="103" customWidth="1"/>
    <col min="13584" max="13584" width="11.1796875" style="103" customWidth="1"/>
    <col min="13585" max="13585" width="7.54296875" style="103" customWidth="1"/>
    <col min="13586" max="13824" width="9.1796875" style="103"/>
    <col min="13825" max="13825" width="0" style="103" hidden="1" customWidth="1"/>
    <col min="13826" max="13826" width="22.54296875" style="103" customWidth="1"/>
    <col min="13827" max="13827" width="2.453125" style="103" customWidth="1"/>
    <col min="13828" max="13828" width="11.26953125" style="103" customWidth="1"/>
    <col min="13829" max="13829" width="12.81640625" style="103" customWidth="1"/>
    <col min="13830" max="13830" width="12.26953125" style="103" customWidth="1"/>
    <col min="13831" max="13831" width="13.26953125" style="103" customWidth="1"/>
    <col min="13832" max="13832" width="16.81640625" style="103" bestFit="1" customWidth="1"/>
    <col min="13833" max="13834" width="12.1796875" style="103" customWidth="1"/>
    <col min="13835" max="13837" width="13.1796875" style="103" customWidth="1"/>
    <col min="13838" max="13838" width="13.54296875" style="103" customWidth="1"/>
    <col min="13839" max="13839" width="12.7265625" style="103" customWidth="1"/>
    <col min="13840" max="13840" width="11.1796875" style="103" customWidth="1"/>
    <col min="13841" max="13841" width="7.54296875" style="103" customWidth="1"/>
    <col min="13842" max="14080" width="9.1796875" style="103"/>
    <col min="14081" max="14081" width="0" style="103" hidden="1" customWidth="1"/>
    <col min="14082" max="14082" width="22.54296875" style="103" customWidth="1"/>
    <col min="14083" max="14083" width="2.453125" style="103" customWidth="1"/>
    <col min="14084" max="14084" width="11.26953125" style="103" customWidth="1"/>
    <col min="14085" max="14085" width="12.81640625" style="103" customWidth="1"/>
    <col min="14086" max="14086" width="12.26953125" style="103" customWidth="1"/>
    <col min="14087" max="14087" width="13.26953125" style="103" customWidth="1"/>
    <col min="14088" max="14088" width="16.81640625" style="103" bestFit="1" customWidth="1"/>
    <col min="14089" max="14090" width="12.1796875" style="103" customWidth="1"/>
    <col min="14091" max="14093" width="13.1796875" style="103" customWidth="1"/>
    <col min="14094" max="14094" width="13.54296875" style="103" customWidth="1"/>
    <col min="14095" max="14095" width="12.7265625" style="103" customWidth="1"/>
    <col min="14096" max="14096" width="11.1796875" style="103" customWidth="1"/>
    <col min="14097" max="14097" width="7.54296875" style="103" customWidth="1"/>
    <col min="14098" max="14336" width="9.1796875" style="103"/>
    <col min="14337" max="14337" width="0" style="103" hidden="1" customWidth="1"/>
    <col min="14338" max="14338" width="22.54296875" style="103" customWidth="1"/>
    <col min="14339" max="14339" width="2.453125" style="103" customWidth="1"/>
    <col min="14340" max="14340" width="11.26953125" style="103" customWidth="1"/>
    <col min="14341" max="14341" width="12.81640625" style="103" customWidth="1"/>
    <col min="14342" max="14342" width="12.26953125" style="103" customWidth="1"/>
    <col min="14343" max="14343" width="13.26953125" style="103" customWidth="1"/>
    <col min="14344" max="14344" width="16.81640625" style="103" bestFit="1" customWidth="1"/>
    <col min="14345" max="14346" width="12.1796875" style="103" customWidth="1"/>
    <col min="14347" max="14349" width="13.1796875" style="103" customWidth="1"/>
    <col min="14350" max="14350" width="13.54296875" style="103" customWidth="1"/>
    <col min="14351" max="14351" width="12.7265625" style="103" customWidth="1"/>
    <col min="14352" max="14352" width="11.1796875" style="103" customWidth="1"/>
    <col min="14353" max="14353" width="7.54296875" style="103" customWidth="1"/>
    <col min="14354" max="14592" width="9.1796875" style="103"/>
    <col min="14593" max="14593" width="0" style="103" hidden="1" customWidth="1"/>
    <col min="14594" max="14594" width="22.54296875" style="103" customWidth="1"/>
    <col min="14595" max="14595" width="2.453125" style="103" customWidth="1"/>
    <col min="14596" max="14596" width="11.26953125" style="103" customWidth="1"/>
    <col min="14597" max="14597" width="12.81640625" style="103" customWidth="1"/>
    <col min="14598" max="14598" width="12.26953125" style="103" customWidth="1"/>
    <col min="14599" max="14599" width="13.26953125" style="103" customWidth="1"/>
    <col min="14600" max="14600" width="16.81640625" style="103" bestFit="1" customWidth="1"/>
    <col min="14601" max="14602" width="12.1796875" style="103" customWidth="1"/>
    <col min="14603" max="14605" width="13.1796875" style="103" customWidth="1"/>
    <col min="14606" max="14606" width="13.54296875" style="103" customWidth="1"/>
    <col min="14607" max="14607" width="12.7265625" style="103" customWidth="1"/>
    <col min="14608" max="14608" width="11.1796875" style="103" customWidth="1"/>
    <col min="14609" max="14609" width="7.54296875" style="103" customWidth="1"/>
    <col min="14610" max="14848" width="9.1796875" style="103"/>
    <col min="14849" max="14849" width="0" style="103" hidden="1" customWidth="1"/>
    <col min="14850" max="14850" width="22.54296875" style="103" customWidth="1"/>
    <col min="14851" max="14851" width="2.453125" style="103" customWidth="1"/>
    <col min="14852" max="14852" width="11.26953125" style="103" customWidth="1"/>
    <col min="14853" max="14853" width="12.81640625" style="103" customWidth="1"/>
    <col min="14854" max="14854" width="12.26953125" style="103" customWidth="1"/>
    <col min="14855" max="14855" width="13.26953125" style="103" customWidth="1"/>
    <col min="14856" max="14856" width="16.81640625" style="103" bestFit="1" customWidth="1"/>
    <col min="14857" max="14858" width="12.1796875" style="103" customWidth="1"/>
    <col min="14859" max="14861" width="13.1796875" style="103" customWidth="1"/>
    <col min="14862" max="14862" width="13.54296875" style="103" customWidth="1"/>
    <col min="14863" max="14863" width="12.7265625" style="103" customWidth="1"/>
    <col min="14864" max="14864" width="11.1796875" style="103" customWidth="1"/>
    <col min="14865" max="14865" width="7.54296875" style="103" customWidth="1"/>
    <col min="14866" max="15104" width="9.1796875" style="103"/>
    <col min="15105" max="15105" width="0" style="103" hidden="1" customWidth="1"/>
    <col min="15106" max="15106" width="22.54296875" style="103" customWidth="1"/>
    <col min="15107" max="15107" width="2.453125" style="103" customWidth="1"/>
    <col min="15108" max="15108" width="11.26953125" style="103" customWidth="1"/>
    <col min="15109" max="15109" width="12.81640625" style="103" customWidth="1"/>
    <col min="15110" max="15110" width="12.26953125" style="103" customWidth="1"/>
    <col min="15111" max="15111" width="13.26953125" style="103" customWidth="1"/>
    <col min="15112" max="15112" width="16.81640625" style="103" bestFit="1" customWidth="1"/>
    <col min="15113" max="15114" width="12.1796875" style="103" customWidth="1"/>
    <col min="15115" max="15117" width="13.1796875" style="103" customWidth="1"/>
    <col min="15118" max="15118" width="13.54296875" style="103" customWidth="1"/>
    <col min="15119" max="15119" width="12.7265625" style="103" customWidth="1"/>
    <col min="15120" max="15120" width="11.1796875" style="103" customWidth="1"/>
    <col min="15121" max="15121" width="7.54296875" style="103" customWidth="1"/>
    <col min="15122" max="15360" width="9.1796875" style="103"/>
    <col min="15361" max="15361" width="0" style="103" hidden="1" customWidth="1"/>
    <col min="15362" max="15362" width="22.54296875" style="103" customWidth="1"/>
    <col min="15363" max="15363" width="2.453125" style="103" customWidth="1"/>
    <col min="15364" max="15364" width="11.26953125" style="103" customWidth="1"/>
    <col min="15365" max="15365" width="12.81640625" style="103" customWidth="1"/>
    <col min="15366" max="15366" width="12.26953125" style="103" customWidth="1"/>
    <col min="15367" max="15367" width="13.26953125" style="103" customWidth="1"/>
    <col min="15368" max="15368" width="16.81640625" style="103" bestFit="1" customWidth="1"/>
    <col min="15369" max="15370" width="12.1796875" style="103" customWidth="1"/>
    <col min="15371" max="15373" width="13.1796875" style="103" customWidth="1"/>
    <col min="15374" max="15374" width="13.54296875" style="103" customWidth="1"/>
    <col min="15375" max="15375" width="12.7265625" style="103" customWidth="1"/>
    <col min="15376" max="15376" width="11.1796875" style="103" customWidth="1"/>
    <col min="15377" max="15377" width="7.54296875" style="103" customWidth="1"/>
    <col min="15378" max="15616" width="9.1796875" style="103"/>
    <col min="15617" max="15617" width="0" style="103" hidden="1" customWidth="1"/>
    <col min="15618" max="15618" width="22.54296875" style="103" customWidth="1"/>
    <col min="15619" max="15619" width="2.453125" style="103" customWidth="1"/>
    <col min="15620" max="15620" width="11.26953125" style="103" customWidth="1"/>
    <col min="15621" max="15621" width="12.81640625" style="103" customWidth="1"/>
    <col min="15622" max="15622" width="12.26953125" style="103" customWidth="1"/>
    <col min="15623" max="15623" width="13.26953125" style="103" customWidth="1"/>
    <col min="15624" max="15624" width="16.81640625" style="103" bestFit="1" customWidth="1"/>
    <col min="15625" max="15626" width="12.1796875" style="103" customWidth="1"/>
    <col min="15627" max="15629" width="13.1796875" style="103" customWidth="1"/>
    <col min="15630" max="15630" width="13.54296875" style="103" customWidth="1"/>
    <col min="15631" max="15631" width="12.7265625" style="103" customWidth="1"/>
    <col min="15632" max="15632" width="11.1796875" style="103" customWidth="1"/>
    <col min="15633" max="15633" width="7.54296875" style="103" customWidth="1"/>
    <col min="15634" max="15872" width="9.1796875" style="103"/>
    <col min="15873" max="15873" width="0" style="103" hidden="1" customWidth="1"/>
    <col min="15874" max="15874" width="22.54296875" style="103" customWidth="1"/>
    <col min="15875" max="15875" width="2.453125" style="103" customWidth="1"/>
    <col min="15876" max="15876" width="11.26953125" style="103" customWidth="1"/>
    <col min="15877" max="15877" width="12.81640625" style="103" customWidth="1"/>
    <col min="15878" max="15878" width="12.26953125" style="103" customWidth="1"/>
    <col min="15879" max="15879" width="13.26953125" style="103" customWidth="1"/>
    <col min="15880" max="15880" width="16.81640625" style="103" bestFit="1" customWidth="1"/>
    <col min="15881" max="15882" width="12.1796875" style="103" customWidth="1"/>
    <col min="15883" max="15885" width="13.1796875" style="103" customWidth="1"/>
    <col min="15886" max="15886" width="13.54296875" style="103" customWidth="1"/>
    <col min="15887" max="15887" width="12.7265625" style="103" customWidth="1"/>
    <col min="15888" max="15888" width="11.1796875" style="103" customWidth="1"/>
    <col min="15889" max="15889" width="7.54296875" style="103" customWidth="1"/>
    <col min="15890" max="16128" width="9.1796875" style="103"/>
    <col min="16129" max="16129" width="0" style="103" hidden="1" customWidth="1"/>
    <col min="16130" max="16130" width="22.54296875" style="103" customWidth="1"/>
    <col min="16131" max="16131" width="2.453125" style="103" customWidth="1"/>
    <col min="16132" max="16132" width="11.26953125" style="103" customWidth="1"/>
    <col min="16133" max="16133" width="12.81640625" style="103" customWidth="1"/>
    <col min="16134" max="16134" width="12.26953125" style="103" customWidth="1"/>
    <col min="16135" max="16135" width="13.26953125" style="103" customWidth="1"/>
    <col min="16136" max="16136" width="16.81640625" style="103" bestFit="1" customWidth="1"/>
    <col min="16137" max="16138" width="12.1796875" style="103" customWidth="1"/>
    <col min="16139" max="16141" width="13.1796875" style="103" customWidth="1"/>
    <col min="16142" max="16142" width="13.54296875" style="103" customWidth="1"/>
    <col min="16143" max="16143" width="12.7265625" style="103" customWidth="1"/>
    <col min="16144" max="16144" width="11.1796875" style="103" customWidth="1"/>
    <col min="16145" max="16145" width="7.54296875" style="103" customWidth="1"/>
    <col min="16146" max="16384" width="9.1796875" style="103"/>
  </cols>
  <sheetData>
    <row r="1" spans="1:43" s="52" customFormat="1" ht="24.75" customHeight="1" x14ac:dyDescent="0.35">
      <c r="A1" s="48"/>
      <c r="B1" s="49" t="s">
        <v>198</v>
      </c>
      <c r="C1" s="50"/>
      <c r="D1" s="50"/>
      <c r="E1" s="51"/>
      <c r="F1" s="51"/>
      <c r="G1" s="51"/>
      <c r="H1" s="50"/>
      <c r="I1" s="50"/>
      <c r="J1" s="50"/>
      <c r="K1" s="50"/>
      <c r="L1" s="50"/>
      <c r="M1" s="50"/>
      <c r="N1" s="50"/>
      <c r="O1" s="50"/>
      <c r="P1" s="50"/>
      <c r="S1" s="53"/>
      <c r="T1" s="53"/>
    </row>
    <row r="2" spans="1:43" s="57" customFormat="1" ht="34.5" customHeight="1" x14ac:dyDescent="0.35">
      <c r="A2" s="48"/>
      <c r="B2" s="205"/>
      <c r="C2" s="55"/>
      <c r="D2" s="378"/>
      <c r="E2" s="378"/>
      <c r="F2" s="378"/>
      <c r="G2" s="378"/>
      <c r="H2" s="378" t="s">
        <v>167</v>
      </c>
      <c r="I2" s="378"/>
      <c r="J2" s="204"/>
      <c r="K2" s="376" t="s">
        <v>168</v>
      </c>
      <c r="L2" s="376"/>
      <c r="M2" s="376"/>
      <c r="N2" s="376" t="s">
        <v>169</v>
      </c>
      <c r="O2" s="376"/>
      <c r="P2" s="376"/>
      <c r="S2" s="58"/>
      <c r="T2" s="58"/>
    </row>
    <row r="3" spans="1:43" s="57" customFormat="1" ht="56" x14ac:dyDescent="0.35">
      <c r="A3" s="48"/>
      <c r="B3" s="205"/>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448</v>
      </c>
      <c r="I4" s="64">
        <f t="shared" si="0"/>
        <v>719</v>
      </c>
      <c r="J4" s="64">
        <f t="shared" si="0"/>
        <v>233</v>
      </c>
      <c r="K4" s="64">
        <f t="shared" si="0"/>
        <v>1899</v>
      </c>
      <c r="L4" s="64">
        <f t="shared" si="0"/>
        <v>108</v>
      </c>
      <c r="M4" s="64">
        <f t="shared" si="0"/>
        <v>1194</v>
      </c>
      <c r="N4" s="64">
        <f t="shared" si="0"/>
        <v>5237</v>
      </c>
      <c r="O4" s="64">
        <f t="shared" si="0"/>
        <v>348</v>
      </c>
      <c r="P4" s="64">
        <f t="shared" si="0"/>
        <v>246</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207</v>
      </c>
      <c r="I5" s="70">
        <f t="shared" si="1"/>
        <v>704</v>
      </c>
      <c r="J5" s="70">
        <f t="shared" si="1"/>
        <v>202</v>
      </c>
      <c r="K5" s="70">
        <f t="shared" si="1"/>
        <v>1514</v>
      </c>
      <c r="L5" s="70">
        <f t="shared" si="1"/>
        <v>88</v>
      </c>
      <c r="M5" s="70">
        <f t="shared" si="1"/>
        <v>953</v>
      </c>
      <c r="N5" s="70">
        <f t="shared" si="1"/>
        <v>4118</v>
      </c>
      <c r="O5" s="70">
        <f t="shared" si="1"/>
        <v>245</v>
      </c>
      <c r="P5" s="70">
        <f t="shared" si="1"/>
        <v>165</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VLOOKUP($B6,Fire2017!$C$10:$I$57,2,FALSE)</f>
        <v>7</v>
      </c>
      <c r="I6" s="75">
        <f>VLOOKUP($B6,Fire2017!$C$10:$I$57,3,FALSE)</f>
        <v>11</v>
      </c>
      <c r="J6" s="75">
        <f>VLOOKUP($B6,Fire2017!$C$10:$I$57,4,FALSE)</f>
        <v>3</v>
      </c>
      <c r="K6" s="75">
        <f>VLOOKUP($B6,Fire2017!$C$10:$O$58,7,FALSE)-L6</f>
        <v>30</v>
      </c>
      <c r="L6" s="75">
        <f>VLOOKUP($B6,Fire2017!$C$10:$Q$58,9,FALSE)</f>
        <v>4</v>
      </c>
      <c r="M6" s="75">
        <f>VLOOKUP($B6,Fire2017!$C$10:$BA$58,11,FALSE)+VLOOKUP($B6,Fire2017!$C$10:$BA$58,15,FALSE)</f>
        <v>38</v>
      </c>
      <c r="N6" s="75">
        <f>VLOOKUP($B6,Fire2017!$C$10:$BA$58,13,FALSE)+VLOOKUP($B6,Fire2017!$C$10:$AZ$58,17,FALSE)</f>
        <v>72</v>
      </c>
      <c r="O6" s="75">
        <f>VLOOKUP($B6,Fire2017!$C$10:$AZ$58,19,FALSE)</f>
        <v>8</v>
      </c>
      <c r="P6" s="75">
        <f>VLOOKUP($B6,Fire2017!$C$10:$AZ$58,21,FALSE)</f>
        <v>4</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75">
        <f>VLOOKUP($B7,Fire2017!$C$10:$I$57,2,FALSE)</f>
        <v>3</v>
      </c>
      <c r="I7" s="75">
        <f>VLOOKUP($B7,Fire2017!$C$10:$I$57,3,FALSE)</f>
        <v>8</v>
      </c>
      <c r="J7" s="75">
        <f>VLOOKUP($B7,Fire2017!$C$10:$I$57,4,FALSE)</f>
        <v>3</v>
      </c>
      <c r="K7" s="75">
        <f>VLOOKUP($B7,Fire2017!$C$10:$O$58,7,FALSE)-L7</f>
        <v>24</v>
      </c>
      <c r="L7" s="75">
        <f>VLOOKUP($B7,Fire2017!$C$10:$Q$58,9,FALSE)</f>
        <v>2</v>
      </c>
      <c r="M7" s="75">
        <f>VLOOKUP($B7,Fire2017!$C$10:$BA$58,11,FALSE)+VLOOKUP($B7,Fire2017!$C$10:$BA$58,15,FALSE)</f>
        <v>21</v>
      </c>
      <c r="N7" s="75">
        <f>VLOOKUP($B7,Fire2017!$C$10:$BA$58,13,FALSE)+VLOOKUP($B7,Fire2017!$C$10:$AZ$58,17,FALSE)</f>
        <v>44</v>
      </c>
      <c r="O7" s="75">
        <f>VLOOKUP($B7,Fire2017!$C$10:$AZ$58,19,FALSE)</f>
        <v>4</v>
      </c>
      <c r="P7" s="75">
        <f>VLOOKUP($B7,Fire2017!$C$10:$AZ$58,21,FALSE)</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75">
        <f>VLOOKUP($B8,Fire2017!$C$10:$I$57,2,FALSE)</f>
        <v>11</v>
      </c>
      <c r="I8" s="75">
        <f>VLOOKUP($B8,Fire2017!$C$10:$I$57,3,FALSE)</f>
        <v>6</v>
      </c>
      <c r="J8" s="75">
        <f>VLOOKUP($B8,Fire2017!$C$10:$I$57,4,FALSE)</f>
        <v>1</v>
      </c>
      <c r="K8" s="75">
        <f>VLOOKUP($B8,Fire2017!$C$10:$O$58,7,FALSE)-L8</f>
        <v>19</v>
      </c>
      <c r="L8" s="75">
        <f>VLOOKUP($B8,Fire2017!$C$10:$Q$58,9,FALSE)</f>
        <v>1</v>
      </c>
      <c r="M8" s="75">
        <f>VLOOKUP($B8,Fire2017!$C$10:$BA$58,11,FALSE)+VLOOKUP($B8,Fire2017!$C$10:$BA$58,15,FALSE)</f>
        <v>15</v>
      </c>
      <c r="N8" s="75">
        <f>VLOOKUP($B8,Fire2017!$C$10:$BA$58,13,FALSE)+VLOOKUP($B8,Fire2017!$C$10:$AZ$58,17,FALSE)</f>
        <v>69</v>
      </c>
      <c r="O8" s="75">
        <f>VLOOKUP($B8,Fire2017!$C$10:$AZ$58,19,FALSE)</f>
        <v>8</v>
      </c>
      <c r="P8" s="75">
        <f>VLOOKUP($B8,Fire2017!$C$10:$AZ$58,21,FALSE)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VLOOKUP($B9,Fire2017!$C$10:$I$57,2,FALSE)</f>
        <v>6</v>
      </c>
      <c r="I9" s="75">
        <f>VLOOKUP($B9,Fire2017!$C$10:$I$57,3,FALSE)</f>
        <v>10</v>
      </c>
      <c r="J9" s="75">
        <f>VLOOKUP($B9,Fire2017!$C$10:$I$57,4,FALSE)</f>
        <v>4</v>
      </c>
      <c r="K9" s="75">
        <f>VLOOKUP($B9,Fire2017!$C$10:$O$58,7,FALSE)-L9</f>
        <v>28</v>
      </c>
      <c r="L9" s="75">
        <f>VLOOKUP($B9,Fire2017!$C$10:$Q$58,9,FALSE)</f>
        <v>2</v>
      </c>
      <c r="M9" s="75">
        <f>VLOOKUP($B9,Fire2017!$C$10:$BA$58,11,FALSE)+VLOOKUP($B9,Fire2017!$C$10:$BA$58,15,FALSE)</f>
        <v>13</v>
      </c>
      <c r="N9" s="75">
        <f>VLOOKUP($B9,Fire2017!$C$10:$BA$58,13,FALSE)+VLOOKUP($B9,Fire2017!$C$10:$AZ$58,17,FALSE)</f>
        <v>71</v>
      </c>
      <c r="O9" s="75">
        <f>VLOOKUP($B9,Fire2017!$C$10:$AZ$58,19,FALSE)</f>
        <v>3</v>
      </c>
      <c r="P9" s="75">
        <f>VLOOKUP($B9,Fire2017!$C$10:$AZ$58,21,FALSE)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VLOOKUP($B10,Fire2017!$C$10:$I$57,2,FALSE)</f>
        <v>3</v>
      </c>
      <c r="I10" s="75">
        <f>VLOOKUP($B10,Fire2017!$C$10:$I$57,3,FALSE)</f>
        <v>20</v>
      </c>
      <c r="J10" s="75">
        <f>VLOOKUP($B10,Fire2017!$C$10:$I$57,4,FALSE)</f>
        <v>4</v>
      </c>
      <c r="K10" s="75">
        <f>VLOOKUP($B10,Fire2017!$C$10:$O$58,7,FALSE)-L10</f>
        <v>34</v>
      </c>
      <c r="L10" s="75">
        <f>VLOOKUP($B10,Fire2017!$C$10:$Q$58,9,FALSE)</f>
        <v>2</v>
      </c>
      <c r="M10" s="75">
        <f>VLOOKUP($B10,Fire2017!$C$10:$BA$58,11,FALSE)+VLOOKUP($B10,Fire2017!$C$10:$BA$58,15,FALSE)</f>
        <v>8</v>
      </c>
      <c r="N10" s="75">
        <f>VLOOKUP($B10,Fire2017!$C$10:$BA$58,13,FALSE)+VLOOKUP($B10,Fire2017!$C$10:$AZ$58,17,FALSE)</f>
        <v>42</v>
      </c>
      <c r="O10" s="75">
        <f>VLOOKUP($B10,Fire2017!$C$10:$AZ$58,19,FALSE)</f>
        <v>4</v>
      </c>
      <c r="P10" s="75">
        <f>VLOOKUP($B10,Fire2017!$C$10:$AZ$58,21,FALSE)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VLOOKUP($B11,Fire2017!$C$10:$I$57,2,FALSE)</f>
        <v>6</v>
      </c>
      <c r="I11" s="75">
        <f>VLOOKUP($B11,Fire2017!$C$10:$I$57,3,FALSE)</f>
        <v>11</v>
      </c>
      <c r="J11" s="75">
        <f>VLOOKUP($B11,Fire2017!$C$10:$I$57,4,FALSE)</f>
        <v>10</v>
      </c>
      <c r="K11" s="75">
        <f>VLOOKUP($B11,Fire2017!$C$10:$O$58,7,FALSE)-L11</f>
        <v>37</v>
      </c>
      <c r="L11" s="75">
        <f>VLOOKUP($B11,Fire2017!$C$10:$Q$58,9,FALSE)</f>
        <v>3</v>
      </c>
      <c r="M11" s="75">
        <f>VLOOKUP($B11,Fire2017!$C$10:$BA$58,11,FALSE)+VLOOKUP($B11,Fire2017!$C$10:$BA$58,15,FALSE)</f>
        <v>30</v>
      </c>
      <c r="N11" s="75">
        <f>VLOOKUP($B11,Fire2017!$C$10:$BA$58,13,FALSE)+VLOOKUP($B11,Fire2017!$C$10:$AZ$58,17,FALSE)</f>
        <v>171</v>
      </c>
      <c r="O11" s="75">
        <f>VLOOKUP($B11,Fire2017!$C$10:$AZ$58,19,FALSE)</f>
        <v>5</v>
      </c>
      <c r="P11" s="75">
        <f>VLOOKUP($B11,Fire2017!$C$10:$AZ$58,21,FALSE)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VLOOKUP($B12,Fire2017!$C$10:$I$57,2,FALSE)</f>
        <v>7</v>
      </c>
      <c r="I12" s="75">
        <f>VLOOKUP($B12,Fire2017!$C$10:$I$57,3,FALSE)</f>
        <v>6</v>
      </c>
      <c r="J12" s="75">
        <f>VLOOKUP($B12,Fire2017!$C$10:$I$57,4,FALSE)</f>
        <v>1</v>
      </c>
      <c r="K12" s="75">
        <f>VLOOKUP($B12,Fire2017!$C$10:$O$58,7,FALSE)-L12</f>
        <v>19</v>
      </c>
      <c r="L12" s="75">
        <f>VLOOKUP($B12,Fire2017!$C$10:$Q$58,9,FALSE)</f>
        <v>4</v>
      </c>
      <c r="M12" s="75">
        <f>VLOOKUP($B12,Fire2017!$C$10:$BA$58,11,FALSE)+VLOOKUP($B12,Fire2017!$C$10:$BA$58,15,FALSE)</f>
        <v>13</v>
      </c>
      <c r="N12" s="75">
        <f>VLOOKUP($B12,Fire2017!$C$10:$BA$58,13,FALSE)+VLOOKUP($B12,Fire2017!$C$10:$AZ$58,17,FALSE)</f>
        <v>63</v>
      </c>
      <c r="O12" s="75">
        <f>VLOOKUP($B12,Fire2017!$C$10:$AZ$58,19,FALSE)</f>
        <v>6</v>
      </c>
      <c r="P12" s="75">
        <f>VLOOKUP($B12,Fire2017!$C$10:$AZ$58,21,FALSE)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VLOOKUP($B13,Fire2017!$C$10:$I$57,2,FALSE)</f>
        <v>2</v>
      </c>
      <c r="I13" s="75">
        <f>VLOOKUP($B13,Fire2017!$C$10:$I$57,3,FALSE)</f>
        <v>24</v>
      </c>
      <c r="J13" s="75">
        <f>VLOOKUP($B13,Fire2017!$C$10:$I$57,4,FALSE)</f>
        <v>5</v>
      </c>
      <c r="K13" s="75">
        <f>VLOOKUP($B13,Fire2017!$C$10:$O$58,7,FALSE)-L13</f>
        <v>43</v>
      </c>
      <c r="L13" s="75">
        <f>VLOOKUP($B13,Fire2017!$C$10:$Q$58,9,FALSE)</f>
        <v>2</v>
      </c>
      <c r="M13" s="75">
        <f>VLOOKUP($B13,Fire2017!$C$10:$BA$58,11,FALSE)+VLOOKUP($B13,Fire2017!$C$10:$BA$58,15,FALSE)</f>
        <v>49</v>
      </c>
      <c r="N13" s="75">
        <f>VLOOKUP($B13,Fire2017!$C$10:$BA$58,13,FALSE)+VLOOKUP($B13,Fire2017!$C$10:$AZ$58,17,FALSE)</f>
        <v>100</v>
      </c>
      <c r="O13" s="75">
        <f>VLOOKUP($B13,Fire2017!$C$10:$AZ$58,19,FALSE)</f>
        <v>7</v>
      </c>
      <c r="P13" s="75">
        <f>VLOOKUP($B13,Fire2017!$C$10:$AZ$58,21,FALSE)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VLOOKUP($B14,Fire2017!$C$10:$I$57,2,FALSE)</f>
        <v>3</v>
      </c>
      <c r="I14" s="75">
        <f>VLOOKUP($B14,Fire2017!$C$10:$I$57,3,FALSE)</f>
        <v>30</v>
      </c>
      <c r="J14" s="75">
        <f>VLOOKUP($B14,Fire2017!$C$10:$I$57,4,FALSE)</f>
        <v>5</v>
      </c>
      <c r="K14" s="75">
        <f>VLOOKUP($B14,Fire2017!$C$10:$O$58,7,FALSE)-L14</f>
        <v>43</v>
      </c>
      <c r="L14" s="75">
        <f>VLOOKUP($B14,Fire2017!$C$10:$Q$58,9,FALSE)</f>
        <v>2</v>
      </c>
      <c r="M14" s="75">
        <f>VLOOKUP($B14,Fire2017!$C$10:$BA$58,11,FALSE)+VLOOKUP($B14,Fire2017!$C$10:$BA$58,15,FALSE)</f>
        <v>8</v>
      </c>
      <c r="N14" s="75">
        <f>VLOOKUP($B14,Fire2017!$C$10:$BA$58,13,FALSE)+VLOOKUP($B14,Fire2017!$C$10:$AZ$58,17,FALSE)</f>
        <v>102</v>
      </c>
      <c r="O14" s="75">
        <f>VLOOKUP($B14,Fire2017!$C$10:$AZ$58,19,FALSE)</f>
        <v>4</v>
      </c>
      <c r="P14" s="75">
        <f>VLOOKUP($B14,Fire2017!$C$10:$AZ$58,21,FALSE)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VLOOKUP($B15,Fire2017!$C$10:$I$57,2,FALSE)</f>
        <v>4</v>
      </c>
      <c r="I15" s="75">
        <f>VLOOKUP($B15,Fire2017!$C$10:$I$57,3,FALSE)</f>
        <v>19</v>
      </c>
      <c r="J15" s="75">
        <f>VLOOKUP($B15,Fire2017!$C$10:$I$57,4,FALSE)</f>
        <v>8</v>
      </c>
      <c r="K15" s="75">
        <f>VLOOKUP($B15,Fire2017!$C$10:$O$58,7,FALSE)-L15</f>
        <v>42</v>
      </c>
      <c r="L15" s="75">
        <f>VLOOKUP($B15,Fire2017!$C$10:$Q$58,9,FALSE)</f>
        <v>3</v>
      </c>
      <c r="M15" s="75">
        <f>VLOOKUP($B15,Fire2017!$C$10:$BA$58,11,FALSE)+VLOOKUP($B15,Fire2017!$C$10:$BA$58,15,FALSE)</f>
        <v>18</v>
      </c>
      <c r="N15" s="75">
        <f>VLOOKUP($B15,Fire2017!$C$10:$BA$58,13,FALSE)+VLOOKUP($B15,Fire2017!$C$10:$AZ$58,17,FALSE)</f>
        <v>172</v>
      </c>
      <c r="O15" s="75">
        <f>VLOOKUP($B15,Fire2017!$C$10:$AZ$58,19,FALSE)</f>
        <v>4</v>
      </c>
      <c r="P15" s="75">
        <f>VLOOKUP($B15,Fire2017!$C$10:$AZ$58,21,FALSE)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VLOOKUP($B16,Fire2017!$C$10:$I$57,2,FALSE)</f>
        <v>3</v>
      </c>
      <c r="I16" s="75">
        <f>VLOOKUP($B16,Fire2017!$C$10:$I$57,3,FALSE)</f>
        <v>73</v>
      </c>
      <c r="J16" s="75">
        <f>VLOOKUP($B16,Fire2017!$C$10:$I$57,4,FALSE)</f>
        <v>9</v>
      </c>
      <c r="K16" s="75">
        <f>VLOOKUP($B16,Fire2017!$C$10:$O$58,7,FALSE)-L16</f>
        <v>121</v>
      </c>
      <c r="L16" s="75">
        <f>VLOOKUP($B16,Fire2017!$C$10:$Q$58,9,FALSE)</f>
        <v>7</v>
      </c>
      <c r="M16" s="75">
        <f>VLOOKUP($B16,Fire2017!$C$10:$BA$58,11,FALSE)+VLOOKUP($B16,Fire2017!$C$10:$BA$58,15,FALSE)</f>
        <v>69</v>
      </c>
      <c r="N16" s="75">
        <f>VLOOKUP($B16,Fire2017!$C$10:$BA$58,13,FALSE)+VLOOKUP($B16,Fire2017!$C$10:$AZ$58,17,FALSE)</f>
        <v>327</v>
      </c>
      <c r="O16" s="75">
        <f>VLOOKUP($B16,Fire2017!$C$10:$AZ$58,19,FALSE)</f>
        <v>19</v>
      </c>
      <c r="P16" s="75">
        <f>VLOOKUP($B16,Fire2017!$C$10:$AZ$58,21,FALSE)</f>
        <v>12</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358</v>
      </c>
      <c r="C17" s="74"/>
      <c r="D17" s="75"/>
      <c r="E17" s="75"/>
      <c r="F17" s="64"/>
      <c r="G17" s="75"/>
      <c r="H17" s="75">
        <f>VLOOKUP($B17,Fire2017!$C$10:$I$57,2,FALSE)</f>
        <v>3</v>
      </c>
      <c r="I17" s="75">
        <f>VLOOKUP($B17,Fire2017!$C$10:$I$57,3,FALSE)</f>
        <v>37</v>
      </c>
      <c r="J17" s="75">
        <f>VLOOKUP($B17,Fire2017!$C$10:$I$57,4,FALSE)</f>
        <v>10</v>
      </c>
      <c r="K17" s="75">
        <f>VLOOKUP($B17,Fire2017!$C$10:$O$58,7,FALSE)-L17</f>
        <v>74</v>
      </c>
      <c r="L17" s="75">
        <f>VLOOKUP($B17,Fire2017!$C$10:$Q$58,9,FALSE)</f>
        <v>4</v>
      </c>
      <c r="M17" s="75">
        <f>VLOOKUP($B17,Fire2017!$C$10:$BA$58,11,FALSE)+VLOOKUP($B17,Fire2017!$C$10:$BA$58,15,FALSE)</f>
        <v>60</v>
      </c>
      <c r="N17" s="75">
        <f>VLOOKUP($B17,Fire2017!$C$10:$BA$58,13,FALSE)+VLOOKUP($B17,Fire2017!$C$10:$AZ$58,17,FALSE)</f>
        <v>222</v>
      </c>
      <c r="O17" s="75">
        <f>VLOOKUP($B17,Fire2017!$C$10:$AZ$58,19,FALSE)</f>
        <v>7</v>
      </c>
      <c r="P17" s="75">
        <f>VLOOKUP($B17,Fire2017!$C$10:$AZ$58,21,FALSE)</f>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VLOOKUP($B18,Fire2017!$C$10:$I$57,2,FALSE)</f>
        <v>2</v>
      </c>
      <c r="I18" s="75">
        <f>VLOOKUP($B18,Fire2017!$C$10:$I$57,3,FALSE)</f>
        <v>6</v>
      </c>
      <c r="J18" s="75">
        <f>VLOOKUP($B18,Fire2017!$C$10:$I$57,4,FALSE)</f>
        <v>7</v>
      </c>
      <c r="K18" s="75">
        <f>VLOOKUP($B18,Fire2017!$C$10:$O$58,7,FALSE)-L18</f>
        <v>27</v>
      </c>
      <c r="L18" s="75">
        <f>VLOOKUP($B18,Fire2017!$C$10:$Q$58,9,FALSE)</f>
        <v>2</v>
      </c>
      <c r="M18" s="75">
        <f>VLOOKUP($B18,Fire2017!$C$10:$BA$58,11,FALSE)+VLOOKUP($B18,Fire2017!$C$10:$BA$58,15,FALSE)</f>
        <v>15</v>
      </c>
      <c r="N18" s="75">
        <f>VLOOKUP($B18,Fire2017!$C$10:$BA$58,13,FALSE)+VLOOKUP($B18,Fire2017!$C$10:$AZ$58,17,FALSE)</f>
        <v>76</v>
      </c>
      <c r="O18" s="75">
        <f>VLOOKUP($B18,Fire2017!$C$10:$AZ$58,19,FALSE)</f>
        <v>5</v>
      </c>
      <c r="P18" s="75">
        <f>VLOOKUP($B18,Fire2017!$C$10:$AZ$58,21,FALSE)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VLOOKUP($B19,Fire2017!$C$10:$I$57,2,FALSE)</f>
        <v>6</v>
      </c>
      <c r="I19" s="75">
        <f>VLOOKUP($B19,Fire2017!$C$10:$I$57,3,FALSE)</f>
        <v>12</v>
      </c>
      <c r="J19" s="75">
        <f>VLOOKUP($B19,Fire2017!$C$10:$I$57,4,FALSE)</f>
        <v>6</v>
      </c>
      <c r="K19" s="75">
        <f>VLOOKUP($B19,Fire2017!$C$10:$O$58,7,FALSE)-L19</f>
        <v>43</v>
      </c>
      <c r="L19" s="75">
        <f>VLOOKUP($B19,Fire2017!$C$10:$Q$58,9,FALSE)</f>
        <v>3</v>
      </c>
      <c r="M19" s="75">
        <f>VLOOKUP($B19,Fire2017!$C$10:$BA$58,11,FALSE)+VLOOKUP($B19,Fire2017!$C$10:$BA$58,15,FALSE)</f>
        <v>11</v>
      </c>
      <c r="N19" s="75">
        <f>VLOOKUP($B19,Fire2017!$C$10:$BA$58,13,FALSE)+VLOOKUP($B19,Fire2017!$C$10:$AZ$58,17,FALSE)</f>
        <v>118</v>
      </c>
      <c r="O19" s="106">
        <f>'(2016)'!O19</f>
        <v>7</v>
      </c>
      <c r="P19" s="75">
        <f>VLOOKUP($B19,Fire2017!$C$10:$AZ$58,21,FALSE)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VLOOKUP($B20,Fire2017!$C$10:$I$57,2,FALSE)</f>
        <v>13</v>
      </c>
      <c r="I20" s="75">
        <f>VLOOKUP($B20,Fire2017!$C$10:$I$57,3,FALSE)</f>
        <v>34</v>
      </c>
      <c r="J20" s="75">
        <f>VLOOKUP($B20,Fire2017!$C$10:$I$57,4,FALSE)</f>
        <v>3</v>
      </c>
      <c r="K20" s="75">
        <f>VLOOKUP($B20,Fire2017!$C$10:$O$58,7,FALSE)-L20</f>
        <v>65</v>
      </c>
      <c r="L20" s="75">
        <f>VLOOKUP($B20,Fire2017!$C$10:$Q$58,9,FALSE)</f>
        <v>5</v>
      </c>
      <c r="M20" s="75">
        <f>VLOOKUP($B20,Fire2017!$C$10:$BA$58,11,FALSE)+VLOOKUP($B20,Fire2017!$C$10:$BA$58,15,FALSE)</f>
        <v>36</v>
      </c>
      <c r="N20" s="75">
        <f>VLOOKUP($B20,Fire2017!$C$10:$BA$58,13,FALSE)+VLOOKUP($B20,Fire2017!$C$10:$AZ$58,17,FALSE)</f>
        <v>164</v>
      </c>
      <c r="O20" s="75">
        <f>VLOOKUP($B20,Fire2017!$C$10:$AZ$58,19,FALSE)</f>
        <v>16</v>
      </c>
      <c r="P20" s="75">
        <f>VLOOKUP($B20,Fire2017!$C$10:$AZ$58,21,FALSE)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VLOOKUP($B21,Fire2017!$C$10:$I$57,2,FALSE)</f>
        <v>2</v>
      </c>
      <c r="I21" s="75">
        <f>VLOOKUP($B21,Fire2017!$C$10:$I$57,3,FALSE)</f>
        <v>16</v>
      </c>
      <c r="J21" s="75">
        <f>VLOOKUP($B21,Fire2017!$C$10:$I$57,4,FALSE)</f>
        <v>3</v>
      </c>
      <c r="K21" s="75">
        <f>VLOOKUP($B21,Fire2017!$C$10:$O$58,7,FALSE)-L21</f>
        <v>30</v>
      </c>
      <c r="L21" s="75">
        <f>VLOOKUP($B21,Fire2017!$C$10:$Q$58,9,FALSE)</f>
        <v>2</v>
      </c>
      <c r="M21" s="75">
        <f>VLOOKUP($B21,Fire2017!$C$10:$BA$58,11,FALSE)+VLOOKUP($B21,Fire2017!$C$10:$BA$58,15,FALSE)</f>
        <v>13</v>
      </c>
      <c r="N21" s="75">
        <f>VLOOKUP($B21,Fire2017!$C$10:$BA$58,13,FALSE)+VLOOKUP($B21,Fire2017!$C$10:$AZ$58,17,FALSE)</f>
        <v>71</v>
      </c>
      <c r="O21" s="75">
        <f>VLOOKUP($B21,Fire2017!$C$10:$AZ$58,19,FALSE)</f>
        <v>5</v>
      </c>
      <c r="P21" s="75">
        <f>VLOOKUP($B21,Fire2017!$C$10:$AZ$58,21,FALSE)</f>
        <v>1</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106">
        <f>'(2016)'!H22</f>
        <v>13</v>
      </c>
      <c r="I22" s="106">
        <f>'(2016)'!I22</f>
        <v>38</v>
      </c>
      <c r="J22" s="106">
        <f>'(2016)'!J22</f>
        <v>0</v>
      </c>
      <c r="K22" s="106">
        <f>'(2016)'!K22</f>
        <v>76</v>
      </c>
      <c r="L22" s="106">
        <f>'(2016)'!L22</f>
        <v>0</v>
      </c>
      <c r="M22" s="106">
        <f>'(2016)'!M22</f>
        <v>64</v>
      </c>
      <c r="N22" s="106">
        <f>'(2016)'!N22</f>
        <v>136</v>
      </c>
      <c r="O22" s="106">
        <f>'(2016)'!O22</f>
        <v>12</v>
      </c>
      <c r="P22" s="106">
        <f>'(2016)'!P22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106">
        <f>'(2016)'!H23</f>
        <v>8</v>
      </c>
      <c r="I23" s="106">
        <f>'(2016)'!I23</f>
        <v>19</v>
      </c>
      <c r="J23" s="106">
        <f>'(2016)'!J23</f>
        <v>0</v>
      </c>
      <c r="K23" s="106">
        <f>'(2016)'!K23</f>
        <v>41</v>
      </c>
      <c r="L23" s="106">
        <f>'(2016)'!L23</f>
        <v>2</v>
      </c>
      <c r="M23" s="106">
        <f>'(2016)'!M23</f>
        <v>32</v>
      </c>
      <c r="N23" s="106">
        <f>'(2016)'!N23</f>
        <v>88</v>
      </c>
      <c r="O23" s="106">
        <f>'(2016)'!O23</f>
        <v>6</v>
      </c>
      <c r="P23" s="106">
        <f>'(2016)'!P23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VLOOKUP($B24,Fire2017!$C$10:$I$57,2,FALSE)</f>
        <v>13</v>
      </c>
      <c r="I24" s="75">
        <f>VLOOKUP($B24,Fire2017!$C$10:$I$57,3,FALSE)</f>
        <v>9</v>
      </c>
      <c r="J24" s="75">
        <f>VLOOKUP($B24,Fire2017!$C$10:$I$57,4,FALSE)</f>
        <v>7</v>
      </c>
      <c r="K24" s="75">
        <f>VLOOKUP($B24,Fire2017!$C$10:$O$58,7,FALSE)-L24</f>
        <v>40</v>
      </c>
      <c r="L24" s="75">
        <f>VLOOKUP($B24,Fire2017!$C$10:$Q$58,9,FALSE)</f>
        <v>0</v>
      </c>
      <c r="M24" s="75">
        <f>VLOOKUP($B24,Fire2017!$C$10:$BA$58,11,FALSE)+VLOOKUP($B24,Fire2017!$C$10:$BA$58,15,FALSE)</f>
        <v>10</v>
      </c>
      <c r="N24" s="75">
        <f>VLOOKUP($B24,Fire2017!$C$10:$BA$58,13,FALSE)+VLOOKUP($B24,Fire2017!$C$10:$AZ$58,17,FALSE)</f>
        <v>117</v>
      </c>
      <c r="O24" s="75">
        <f>VLOOKUP($B24,Fire2017!$C$10:$AZ$58,19,FALSE)</f>
        <v>6</v>
      </c>
      <c r="P24" s="75">
        <f>VLOOKUP($B24,Fire2017!$C$10:$AZ$58,21,FALSE)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106">
        <f>'(2016)'!H25</f>
        <v>8</v>
      </c>
      <c r="I25" s="106">
        <f>'(2016)'!I25</f>
        <v>18</v>
      </c>
      <c r="J25" s="106">
        <f>'(2016)'!J25</f>
        <v>3</v>
      </c>
      <c r="K25" s="106">
        <f>'(2016)'!K25</f>
        <v>48</v>
      </c>
      <c r="L25" s="106">
        <f>'(2016)'!L25</f>
        <v>4</v>
      </c>
      <c r="M25" s="106">
        <f>'(2016)'!M25</f>
        <v>29</v>
      </c>
      <c r="N25" s="106">
        <f>'(2016)'!N25</f>
        <v>170</v>
      </c>
      <c r="O25" s="106">
        <f>'(2016)'!O25</f>
        <v>9</v>
      </c>
      <c r="P25" s="106">
        <f>'(2016)'!P25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VLOOKUP($B26,Fire2017!$C$10:$I$57,2,FALSE)</f>
        <v>1</v>
      </c>
      <c r="I26" s="75">
        <f>VLOOKUP($B26,Fire2017!$C$10:$I$57,3,FALSE)</f>
        <v>8</v>
      </c>
      <c r="J26" s="75">
        <f>VLOOKUP($B26,Fire2017!$C$10:$I$57,4,FALSE)</f>
        <v>1</v>
      </c>
      <c r="K26" s="75">
        <f>VLOOKUP($B26,Fire2017!$C$10:$O$58,7,FALSE)-L26</f>
        <v>13</v>
      </c>
      <c r="L26" s="75">
        <f>VLOOKUP($B26,Fire2017!$C$10:$Q$58,9,FALSE)</f>
        <v>0</v>
      </c>
      <c r="M26" s="75">
        <f>VLOOKUP($B26,Fire2017!$C$10:$BA$58,11,FALSE)+VLOOKUP($B26,Fire2017!$C$10:$BA$58,15,FALSE)</f>
        <v>20</v>
      </c>
      <c r="N26" s="75">
        <f>VLOOKUP($B26,Fire2017!$C$10:$BA$58,13,FALSE)+VLOOKUP($B26,Fire2017!$C$10:$AZ$58,17,FALSE)</f>
        <v>33</v>
      </c>
      <c r="O26" s="75">
        <f>VLOOKUP($B26,Fire2017!$C$10:$AZ$58,19,FALSE)</f>
        <v>2</v>
      </c>
      <c r="P26" s="75">
        <f>VLOOKUP($B26,Fire2017!$C$10:$AZ$58,21,FALSE)</f>
        <v>2</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VLOOKUP($B27,Fire2017!$C$10:$I$57,2,FALSE)</f>
        <v>14</v>
      </c>
      <c r="I27" s="75">
        <f>VLOOKUP($B27,Fire2017!$C$10:$I$57,3,FALSE)</f>
        <v>34</v>
      </c>
      <c r="J27" s="75">
        <f>VLOOKUP($B27,Fire2017!$C$10:$I$57,4,FALSE)</f>
        <v>9</v>
      </c>
      <c r="K27" s="75">
        <f>VLOOKUP($B27,Fire2017!$C$10:$O$58,7,FALSE)-L27</f>
        <v>81</v>
      </c>
      <c r="L27" s="75">
        <f>VLOOKUP($B27,Fire2017!$C$10:$Q$58,9,FALSE)</f>
        <v>3</v>
      </c>
      <c r="M27" s="75">
        <f>VLOOKUP($B27,Fire2017!$C$10:$BA$58,11,FALSE)+VLOOKUP($B27,Fire2017!$C$10:$BA$58,15,FALSE)</f>
        <v>43</v>
      </c>
      <c r="N27" s="75">
        <f>VLOOKUP($B27,Fire2017!$C$10:$BA$58,13,FALSE)+VLOOKUP($B27,Fire2017!$C$10:$AZ$58,17,FALSE)</f>
        <v>263</v>
      </c>
      <c r="O27" s="75">
        <f>VLOOKUP($B27,Fire2017!$C$10:$AZ$58,19,FALSE)</f>
        <v>15</v>
      </c>
      <c r="P27" s="75">
        <f>VLOOKUP($B27,Fire2017!$C$10:$AZ$58,21,FALSE)</f>
        <v>10</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VLOOKUP($B28,Fire2017!$C$10:$I$57,2,FALSE)</f>
        <v>9</v>
      </c>
      <c r="I28" s="75">
        <f>VLOOKUP($B28,Fire2017!$C$10:$I$57,3,FALSE)</f>
        <v>17</v>
      </c>
      <c r="J28" s="75">
        <f>VLOOKUP($B28,Fire2017!$C$10:$I$57,4,FALSE)</f>
        <v>13</v>
      </c>
      <c r="K28" s="75">
        <f>VLOOKUP($B28,Fire2017!$C$10:$O$58,7,FALSE)-L28</f>
        <v>53</v>
      </c>
      <c r="L28" s="75">
        <f>VLOOKUP($B28,Fire2017!$C$10:$Q$58,9,FALSE)</f>
        <v>6</v>
      </c>
      <c r="M28" s="75">
        <f>VLOOKUP($B28,Fire2017!$C$10:$BA$58,11,FALSE)+VLOOKUP($B28,Fire2017!$C$10:$BA$58,15,FALSE)</f>
        <v>35</v>
      </c>
      <c r="N28" s="75">
        <f>VLOOKUP($B28,Fire2017!$C$10:$BA$58,13,FALSE)+VLOOKUP($B28,Fire2017!$C$10:$AZ$58,17,FALSE)</f>
        <v>123</v>
      </c>
      <c r="O28" s="75">
        <f>VLOOKUP($B28,Fire2017!$C$10:$AZ$58,19,FALSE)</f>
        <v>7</v>
      </c>
      <c r="P28" s="75">
        <f>VLOOKUP($B28,Fire2017!$C$10:$AZ$58,21,FALSE)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VLOOKUP($B29,Fire2017!$C$10:$I$57,2,FALSE)</f>
        <v>6</v>
      </c>
      <c r="I29" s="75">
        <f>VLOOKUP($B29,Fire2017!$C$10:$I$57,3,FALSE)</f>
        <v>8</v>
      </c>
      <c r="J29" s="75">
        <f>VLOOKUP($B29,Fire2017!$C$10:$I$57,4,FALSE)</f>
        <v>6</v>
      </c>
      <c r="K29" s="75">
        <f>VLOOKUP($B29,Fire2017!$C$10:$O$58,7,FALSE)-L29</f>
        <v>32</v>
      </c>
      <c r="L29" s="75">
        <f>VLOOKUP($B29,Fire2017!$C$10:$Q$58,9,FALSE)</f>
        <v>2</v>
      </c>
      <c r="M29" s="75">
        <f>VLOOKUP($B29,Fire2017!$C$10:$BA$58,11,FALSE)+VLOOKUP($B29,Fire2017!$C$10:$BA$58,15,FALSE)</f>
        <v>28</v>
      </c>
      <c r="N29" s="75">
        <f>VLOOKUP($B29,Fire2017!$C$10:$BA$58,13,FALSE)+VLOOKUP($B29,Fire2017!$C$10:$AZ$58,17,FALSE)</f>
        <v>101</v>
      </c>
      <c r="O29" s="75">
        <f>VLOOKUP($B29,Fire2017!$C$10:$AZ$58,19,FALSE)</f>
        <v>3</v>
      </c>
      <c r="P29" s="75">
        <f>VLOOKUP($B29,Fire2017!$C$10:$AZ$58,21,FALSE)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VLOOKUP($B30,Fire2017!$C$10:$I$57,2,FALSE)</f>
        <v>0</v>
      </c>
      <c r="I30" s="75">
        <f>VLOOKUP($B30,Fire2017!$C$10:$I$57,3,FALSE)</f>
        <v>29</v>
      </c>
      <c r="J30" s="75">
        <f>VLOOKUP($B30,Fire2017!$C$10:$I$57,4,FALSE)</f>
        <v>9</v>
      </c>
      <c r="K30" s="75">
        <f>VLOOKUP($B30,Fire2017!$C$10:$O$58,7,FALSE)-L30</f>
        <v>48</v>
      </c>
      <c r="L30" s="75">
        <f>VLOOKUP($B30,Fire2017!$C$10:$Q$58,9,FALSE)</f>
        <v>2</v>
      </c>
      <c r="M30" s="75">
        <f>VLOOKUP($B30,Fire2017!$C$10:$BA$58,11,FALSE)+VLOOKUP($B30,Fire2017!$C$10:$BA$58,15,FALSE)</f>
        <v>42</v>
      </c>
      <c r="N30" s="75">
        <f>VLOOKUP($B30,Fire2017!$C$10:$BA$58,13,FALSE)+VLOOKUP($B30,Fire2017!$C$10:$AZ$58,17,FALSE)</f>
        <v>92</v>
      </c>
      <c r="O30" s="75">
        <f>VLOOKUP($B30,Fire2017!$C$10:$AZ$58,19,FALSE)</f>
        <v>5</v>
      </c>
      <c r="P30" s="75">
        <f>VLOOKUP($B30,Fire2017!$C$10:$AZ$58,21,FALSE)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VLOOKUP($B31,Fire2017!$C$10:$I$57,2,FALSE)</f>
        <v>3</v>
      </c>
      <c r="I31" s="75">
        <f>VLOOKUP($B31,Fire2017!$C$10:$I$57,3,FALSE)</f>
        <v>33</v>
      </c>
      <c r="J31" s="75">
        <f>VLOOKUP($B31,Fire2017!$C$10:$I$57,4,FALSE)</f>
        <v>6</v>
      </c>
      <c r="K31" s="75">
        <f>VLOOKUP($B31,Fire2017!$C$10:$O$58,7,FALSE)-L31</f>
        <v>50</v>
      </c>
      <c r="L31" s="75">
        <f>VLOOKUP($B31,Fire2017!$C$10:$Q$58,9,FALSE)</f>
        <v>3</v>
      </c>
      <c r="M31" s="75">
        <f>VLOOKUP($B31,Fire2017!$C$10:$BA$58,11,FALSE)+VLOOKUP($B31,Fire2017!$C$10:$BA$58,15,FALSE)</f>
        <v>12</v>
      </c>
      <c r="N31" s="75">
        <f>VLOOKUP($B31,Fire2017!$C$10:$BA$58,13,FALSE)+VLOOKUP($B31,Fire2017!$C$10:$AZ$58,17,FALSE)</f>
        <v>106</v>
      </c>
      <c r="O31" s="75">
        <f>VLOOKUP($B31,Fire2017!$C$10:$AZ$58,19,FALSE)</f>
        <v>4</v>
      </c>
      <c r="P31" s="75">
        <f>VLOOKUP($B31,Fire2017!$C$10:$AZ$58,21,FALSE)</f>
        <v>4</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VLOOKUP($B32,Fire2017!$C$10:$I$57,2,FALSE)</f>
        <v>5</v>
      </c>
      <c r="I32" s="75">
        <f>VLOOKUP($B32,Fire2017!$C$10:$I$57,3,FALSE)</f>
        <v>24</v>
      </c>
      <c r="J32" s="75">
        <f>VLOOKUP($B32,Fire2017!$C$10:$I$57,4,FALSE)</f>
        <v>7</v>
      </c>
      <c r="K32" s="75">
        <f>VLOOKUP($B32,Fire2017!$C$10:$O$58,7,FALSE)-L32</f>
        <v>45</v>
      </c>
      <c r="L32" s="75">
        <f>VLOOKUP($B32,Fire2017!$C$10:$Q$58,9,FALSE)</f>
        <v>3</v>
      </c>
      <c r="M32" s="75">
        <f>VLOOKUP($B32,Fire2017!$C$10:$BA$58,11,FALSE)+VLOOKUP($B32,Fire2017!$C$10:$BA$58,15,FALSE)</f>
        <v>22</v>
      </c>
      <c r="N32" s="75">
        <f>VLOOKUP($B32,Fire2017!$C$10:$BA$58,13,FALSE)+VLOOKUP($B32,Fire2017!$C$10:$AZ$58,17,FALSE)</f>
        <v>119</v>
      </c>
      <c r="O32" s="75">
        <f>VLOOKUP($B32,Fire2017!$C$10:$AZ$58,19,FALSE)</f>
        <v>4</v>
      </c>
      <c r="P32" s="75">
        <f>VLOOKUP($B32,Fire2017!$C$10:$AZ$58,21,FALSE)</f>
        <v>5</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VLOOKUP($B33,Fire2017!$C$10:$I$57,2,FALSE)</f>
        <v>3</v>
      </c>
      <c r="I33" s="75">
        <f>VLOOKUP($B33,Fire2017!$C$10:$I$57,3,FALSE)</f>
        <v>14</v>
      </c>
      <c r="J33" s="75">
        <f>VLOOKUP($B33,Fire2017!$C$10:$I$57,4,FALSE)</f>
        <v>5</v>
      </c>
      <c r="K33" s="75">
        <f>VLOOKUP($B33,Fire2017!$C$10:$O$58,7,FALSE)-L33</f>
        <v>24</v>
      </c>
      <c r="L33" s="75">
        <f>VLOOKUP($B33,Fire2017!$C$10:$Q$58,9,FALSE)</f>
        <v>2</v>
      </c>
      <c r="M33" s="75">
        <f>VLOOKUP($B33,Fire2017!$C$10:$BA$58,11,FALSE)+VLOOKUP($B33,Fire2017!$C$10:$BA$58,15,FALSE)</f>
        <v>34</v>
      </c>
      <c r="N33" s="75">
        <f>VLOOKUP($B33,Fire2017!$C$10:$BA$58,13,FALSE)+VLOOKUP($B33,Fire2017!$C$10:$AZ$58,17,FALSE)</f>
        <v>86</v>
      </c>
      <c r="O33" s="75">
        <f>VLOOKUP($B33,Fire2017!$C$10:$AZ$58,19,FALSE)</f>
        <v>4</v>
      </c>
      <c r="P33" s="75">
        <f>VLOOKUP($B33,Fire2017!$C$10:$AZ$58,21,FALSE)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VLOOKUP($B34,Fire2017!$C$10:$I$57,2,FALSE)</f>
        <v>1</v>
      </c>
      <c r="I34" s="75">
        <f>VLOOKUP($B34,Fire2017!$C$10:$I$57,3,FALSE)</f>
        <v>11</v>
      </c>
      <c r="J34" s="75">
        <f>VLOOKUP($B34,Fire2017!$C$10:$I$57,4,FALSE)</f>
        <v>3</v>
      </c>
      <c r="K34" s="75">
        <f>VLOOKUP($B34,Fire2017!$C$10:$O$58,7,FALSE)-L34</f>
        <v>22</v>
      </c>
      <c r="L34" s="75">
        <f>VLOOKUP($B34,Fire2017!$C$10:$Q$58,9,FALSE)</f>
        <v>0</v>
      </c>
      <c r="M34" s="75">
        <f>VLOOKUP($B34,Fire2017!$C$10:$BA$58,11,FALSE)+VLOOKUP($B34,Fire2017!$C$10:$BA$58,15,FALSE)</f>
        <v>14</v>
      </c>
      <c r="N34" s="75">
        <f>VLOOKUP($B34,Fire2017!$C$10:$BA$58,13,FALSE)+VLOOKUP($B34,Fire2017!$C$10:$AZ$58,17,FALSE)</f>
        <v>40</v>
      </c>
      <c r="O34" s="75">
        <f>VLOOKUP($B34,Fire2017!$C$10:$AZ$58,19,FALSE)</f>
        <v>3</v>
      </c>
      <c r="P34" s="75">
        <f>VLOOKUP($B34,Fire2017!$C$10:$AZ$58,21,FALSE)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106">
        <f>'(2016)'!H35</f>
        <v>8</v>
      </c>
      <c r="I35" s="106">
        <f>'(2016)'!I35</f>
        <v>12</v>
      </c>
      <c r="J35" s="106">
        <f>'(2016)'!J35</f>
        <v>4</v>
      </c>
      <c r="K35" s="75">
        <f>VLOOKUP($B35,Fire2017!$C$10:$O$58,7,FALSE)-L35</f>
        <v>28</v>
      </c>
      <c r="L35" s="75">
        <f>VLOOKUP($B35,Fire2017!$C$10:$Q$58,9,FALSE)</f>
        <v>2</v>
      </c>
      <c r="M35" s="75">
        <f>VLOOKUP($B35,Fire2017!$C$10:$BA$58,11,FALSE)+VLOOKUP($B35,Fire2017!$C$10:$BA$58,15,FALSE)</f>
        <v>11</v>
      </c>
      <c r="N35" s="75">
        <f>VLOOKUP($B35,Fire2017!$C$10:$BA$58,13,FALSE)+VLOOKUP($B35,Fire2017!$C$10:$AZ$58,17,FALSE)</f>
        <v>87</v>
      </c>
      <c r="O35" s="75">
        <f>VLOOKUP($B35,Fire2017!$C$10:$AZ$58,19,FALSE)</f>
        <v>10</v>
      </c>
      <c r="P35" s="75">
        <f>VLOOKUP($B35,Fire2017!$C$10:$AZ$58,21,FALSE)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VLOOKUP($B36,Fire2017!$C$10:$I$57,2,FALSE)</f>
        <v>0</v>
      </c>
      <c r="I36" s="75">
        <f>VLOOKUP($B36,Fire2017!$C$10:$I$57,3,FALSE)</f>
        <v>0</v>
      </c>
      <c r="J36" s="75">
        <f>VLOOKUP($B36,Fire2017!$C$10:$I$57,4,FALSE)</f>
        <v>24</v>
      </c>
      <c r="K36" s="75">
        <f>VLOOKUP($B36,Fire2017!$C$10:$O$58,7,FALSE)-L36</f>
        <v>34</v>
      </c>
      <c r="L36" s="75">
        <f>VLOOKUP($B36,Fire2017!$C$10:$Q$58,9,FALSE)</f>
        <v>0</v>
      </c>
      <c r="M36" s="75">
        <f>VLOOKUP($B36,Fire2017!$C$10:$BA$58,11,FALSE)+VLOOKUP($B36,Fire2017!$C$10:$BA$58,15,FALSE)</f>
        <v>7</v>
      </c>
      <c r="N36" s="75">
        <f>VLOOKUP($B36,Fire2017!$C$10:$BA$58,13,FALSE)+VLOOKUP($B36,Fire2017!$C$10:$AZ$58,17,FALSE)</f>
        <v>104</v>
      </c>
      <c r="O36" s="75">
        <f>VLOOKUP($B36,Fire2017!$C$10:$AZ$58,19,FALSE)</f>
        <v>6</v>
      </c>
      <c r="P36" s="75">
        <f>VLOOKUP($B36,Fire2017!$C$10:$AZ$58,21,FALSE)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VLOOKUP($B37,Fire2017!$C$10:$I$57,2,FALSE)</f>
        <v>1</v>
      </c>
      <c r="I37" s="75">
        <f>VLOOKUP($B37,Fire2017!$C$10:$I$57,3,FALSE)</f>
        <v>20</v>
      </c>
      <c r="J37" s="75">
        <f>VLOOKUP($B37,Fire2017!$C$10:$I$57,4,FALSE)</f>
        <v>2</v>
      </c>
      <c r="K37" s="75">
        <f>VLOOKUP($B37,Fire2017!$C$10:$O$58,7,FALSE)-L37</f>
        <v>27</v>
      </c>
      <c r="L37" s="75">
        <f>VLOOKUP($B37,Fire2017!$C$10:$Q$58,9,FALSE)</f>
        <v>1</v>
      </c>
      <c r="M37" s="75">
        <f>VLOOKUP($B37,Fire2017!$C$10:$BA$58,11,FALSE)+VLOOKUP($B37,Fire2017!$C$10:$BA$58,15,FALSE)</f>
        <v>19</v>
      </c>
      <c r="N37" s="75">
        <f>VLOOKUP($B37,Fire2017!$C$10:$BA$58,13,FALSE)+VLOOKUP($B37,Fire2017!$C$10:$AZ$58,17,FALSE)</f>
        <v>79</v>
      </c>
      <c r="O37" s="75">
        <f>VLOOKUP($B37,Fire2017!$C$10:$AZ$58,19,FALSE)</f>
        <v>7</v>
      </c>
      <c r="P37" s="75">
        <f>VLOOKUP($B37,Fire2017!$C$10:$AZ$58,21,FALSE)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VLOOKUP($B38,Fire2017!$C$10:$I$57,2,FALSE)</f>
        <v>8</v>
      </c>
      <c r="I38" s="75">
        <f>VLOOKUP($B38,Fire2017!$C$10:$I$57,3,FALSE)</f>
        <v>23</v>
      </c>
      <c r="J38" s="75">
        <f>VLOOKUP($B38,Fire2017!$C$10:$I$57,4,FALSE)</f>
        <v>2</v>
      </c>
      <c r="K38" s="75">
        <f>VLOOKUP($B38,Fire2017!$C$10:$O$58,7,FALSE)-L38</f>
        <v>40</v>
      </c>
      <c r="L38" s="75">
        <f>VLOOKUP($B38,Fire2017!$C$10:$Q$58,9,FALSE)</f>
        <v>2</v>
      </c>
      <c r="M38" s="75">
        <f>VLOOKUP($B38,Fire2017!$C$10:$BA$58,11,FALSE)+VLOOKUP($B38,Fire2017!$C$10:$BA$58,15,FALSE)</f>
        <v>19</v>
      </c>
      <c r="N38" s="75">
        <f>VLOOKUP($B38,Fire2017!$C$10:$BA$58,13,FALSE)+VLOOKUP($B38,Fire2017!$C$10:$AZ$58,17,FALSE)</f>
        <v>113</v>
      </c>
      <c r="O38" s="75">
        <f>VLOOKUP($B38,Fire2017!$C$10:$AZ$58,19,FALSE)</f>
        <v>8</v>
      </c>
      <c r="P38" s="75">
        <f>VLOOKUP($B38,Fire2017!$C$10:$AZ$58,21,FALSE)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VLOOKUP($B39,Fire2017!$C$10:$I$57,2,FALSE)</f>
        <v>0</v>
      </c>
      <c r="I39" s="75">
        <f>VLOOKUP($B39,Fire2017!$C$10:$I$57,3,FALSE)</f>
        <v>29</v>
      </c>
      <c r="J39" s="75">
        <f>VLOOKUP($B39,Fire2017!$C$10:$I$57,4,FALSE)</f>
        <v>6</v>
      </c>
      <c r="K39" s="75">
        <f>VLOOKUP($B39,Fire2017!$C$10:$O$58,7,FALSE)-L39</f>
        <v>40</v>
      </c>
      <c r="L39" s="75">
        <f>VLOOKUP($B39,Fire2017!$C$10:$Q$58,9,FALSE)</f>
        <v>2</v>
      </c>
      <c r="M39" s="75">
        <f>VLOOKUP($B39,Fire2017!$C$10:$BA$58,11,FALSE)+VLOOKUP($B39,Fire2017!$C$10:$BA$58,15,FALSE)</f>
        <v>16</v>
      </c>
      <c r="N39" s="75">
        <f>VLOOKUP($B39,Fire2017!$C$10:$BA$58,13,FALSE)+VLOOKUP($B39,Fire2017!$C$10:$AZ$58,17,FALSE)</f>
        <v>75</v>
      </c>
      <c r="O39" s="75">
        <f>VLOOKUP($B39,Fire2017!$C$10:$AZ$58,19,FALSE)</f>
        <v>4</v>
      </c>
      <c r="P39" s="75">
        <f>VLOOKUP($B39,Fire2017!$C$10:$AZ$58,21,FALSE)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VLOOKUP($B40,Fire2017!$C$10:$I$57,2,FALSE)</f>
        <v>18</v>
      </c>
      <c r="I40" s="75">
        <f>VLOOKUP($B40,Fire2017!$C$10:$I$57,3,FALSE)</f>
        <v>7</v>
      </c>
      <c r="J40" s="75">
        <f>VLOOKUP($B40,Fire2017!$C$10:$I$57,4,FALSE)</f>
        <v>1</v>
      </c>
      <c r="K40" s="75">
        <f>VLOOKUP($B40,Fire2017!$C$10:$O$58,7,FALSE)-L40</f>
        <v>30</v>
      </c>
      <c r="L40" s="75">
        <f>VLOOKUP($B40,Fire2017!$C$10:$Q$58,9,FALSE)</f>
        <v>2</v>
      </c>
      <c r="M40" s="75">
        <f>VLOOKUP($B40,Fire2017!$C$10:$BA$58,11,FALSE)+VLOOKUP($B40,Fire2017!$C$10:$BA$58,15,FALSE)</f>
        <v>45</v>
      </c>
      <c r="N40" s="75">
        <f>VLOOKUP($B40,Fire2017!$C$10:$BA$58,13,FALSE)+VLOOKUP($B40,Fire2017!$C$10:$AZ$58,17,FALSE)</f>
        <v>112</v>
      </c>
      <c r="O40" s="75">
        <f>VLOOKUP($B40,Fire2017!$C$10:$AZ$58,19,FALSE)</f>
        <v>7</v>
      </c>
      <c r="P40" s="75">
        <f>VLOOKUP($B40,Fire2017!$C$10:$AZ$58,21,FALSE)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VLOOKUP($B41,Fire2017!$C$10:$I$57,2,FALSE)</f>
        <v>5</v>
      </c>
      <c r="I41" s="75">
        <f>VLOOKUP($B41,Fire2017!$C$10:$I$57,3,FALSE)</f>
        <v>9</v>
      </c>
      <c r="J41" s="75">
        <f>VLOOKUP($B41,Fire2017!$C$10:$I$57,4,FALSE)</f>
        <v>3</v>
      </c>
      <c r="K41" s="75">
        <f>VLOOKUP($B41,Fire2017!$C$10:$O$58,7,FALSE)-L41</f>
        <v>21</v>
      </c>
      <c r="L41" s="75">
        <f>VLOOKUP($B41,Fire2017!$C$10:$Q$58,9,FALSE)</f>
        <v>2</v>
      </c>
      <c r="M41" s="75">
        <f>VLOOKUP($B41,Fire2017!$C$10:$BA$58,11,FALSE)+VLOOKUP($B41,Fire2017!$C$10:$BA$58,15,FALSE)</f>
        <v>12</v>
      </c>
      <c r="N41" s="75">
        <f>VLOOKUP($B41,Fire2017!$C$10:$BA$58,13,FALSE)+VLOOKUP($B41,Fire2017!$C$10:$AZ$58,17,FALSE)</f>
        <v>51</v>
      </c>
      <c r="O41" s="75">
        <f>VLOOKUP($B41,Fire2017!$C$10:$AZ$58,19,FALSE)</f>
        <v>4</v>
      </c>
      <c r="P41" s="75">
        <f>VLOOKUP($B41,Fire2017!$C$10:$AZ$58,21,FALSE)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VLOOKUP($B42,Fire2017!$C$10:$I$57,2,FALSE)</f>
        <v>2</v>
      </c>
      <c r="I42" s="75">
        <f>VLOOKUP($B42,Fire2017!$C$10:$I$57,3,FALSE)</f>
        <v>14</v>
      </c>
      <c r="J42" s="75">
        <f>VLOOKUP($B42,Fire2017!$C$10:$I$57,4,FALSE)</f>
        <v>9</v>
      </c>
      <c r="K42" s="75">
        <f>VLOOKUP($B42,Fire2017!$C$10:$O$58,7,FALSE)-L42</f>
        <v>35</v>
      </c>
      <c r="L42" s="75">
        <f>VLOOKUP($B42,Fire2017!$C$10:$Q$58,9,FALSE)</f>
        <v>2</v>
      </c>
      <c r="M42" s="75">
        <f>VLOOKUP($B42,Fire2017!$C$10:$BA$58,11,FALSE)+VLOOKUP($B42,Fire2017!$C$10:$BA$58,15,FALSE)</f>
        <v>22</v>
      </c>
      <c r="N42" s="75">
        <f>VLOOKUP($B42,Fire2017!$C$10:$BA$58,13,FALSE)+VLOOKUP($B42,Fire2017!$C$10:$AZ$58,17,FALSE)</f>
        <v>136</v>
      </c>
      <c r="O42" s="75">
        <f>VLOOKUP($B42,Fire2017!$C$10:$AZ$58,19,FALSE)</f>
        <v>6</v>
      </c>
      <c r="P42" s="75">
        <f>VLOOKUP($B42,Fire2017!$C$10:$AZ$58,21,FALSE)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75">
        <f>VLOOKUP($B43,Fire2017!$C$10:$I$57,2,FALSE)</f>
        <v>0</v>
      </c>
      <c r="I43" s="75">
        <f>VLOOKUP($B43,Fire2017!$C$10:$I$57,3,FALSE)</f>
        <v>5</v>
      </c>
      <c r="J43" s="75">
        <f>VLOOKUP($B43,Fire2017!$C$10:$I$57,4,FALSE)</f>
        <v>0</v>
      </c>
      <c r="K43" s="106">
        <f>'(2016)'!K43</f>
        <v>7</v>
      </c>
      <c r="L43" s="106">
        <f>'(2016)'!L43</f>
        <v>0</v>
      </c>
      <c r="M43" s="106">
        <f>'(2016)'!M43</f>
        <v>0</v>
      </c>
      <c r="N43" s="106">
        <f>'(2016)'!N43</f>
        <v>3</v>
      </c>
      <c r="O43" s="106">
        <f>'(2016)'!O43</f>
        <v>1</v>
      </c>
      <c r="P43" s="106">
        <f>'(2016)'!P43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241</v>
      </c>
      <c r="I44" s="70">
        <f t="shared" si="2"/>
        <v>15</v>
      </c>
      <c r="J44" s="70">
        <f t="shared" si="2"/>
        <v>31</v>
      </c>
      <c r="K44" s="70">
        <f t="shared" si="2"/>
        <v>385</v>
      </c>
      <c r="L44" s="70">
        <f t="shared" si="2"/>
        <v>20</v>
      </c>
      <c r="M44" s="70">
        <f t="shared" si="2"/>
        <v>241</v>
      </c>
      <c r="N44" s="70">
        <f t="shared" si="2"/>
        <v>1119</v>
      </c>
      <c r="O44" s="70">
        <f t="shared" si="2"/>
        <v>103</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VLOOKUP($B45,Fire2017!$C$10:$I$57,2,FALSE)</f>
        <v>35</v>
      </c>
      <c r="I45" s="75">
        <f>VLOOKUP($B45,Fire2017!$C$10:$I$57,3,FALSE)</f>
        <v>0</v>
      </c>
      <c r="J45" s="75">
        <f>VLOOKUP($B45,Fire2017!$C$10:$I$57,4,FALSE)</f>
        <v>6</v>
      </c>
      <c r="K45" s="75">
        <f>VLOOKUP($B45,Fire2017!$C$10:$O$58,7,FALSE)-L45</f>
        <v>59</v>
      </c>
      <c r="L45" s="75">
        <f>VLOOKUP($B45,Fire2017!$C$10:$Q$58,9,FALSE)</f>
        <v>6</v>
      </c>
      <c r="M45" s="75">
        <f>VLOOKUP($B45,Fire2017!$C$10:$BA$58,11,FALSE)+VLOOKUP($B45,Fire2017!$C$10:$BA$58,15,FALSE)</f>
        <v>18</v>
      </c>
      <c r="N45" s="75">
        <f>VLOOKUP($B45,Fire2017!$C$10:$BA$58,13,FALSE)+VLOOKUP($B45,Fire2017!$C$10:$AZ$58,17,FALSE)</f>
        <v>143</v>
      </c>
      <c r="O45" s="75">
        <f>VLOOKUP($B45,Fire2017!$C$10:$AZ$58,19,FALSE)</f>
        <v>13</v>
      </c>
      <c r="P45" s="75">
        <f>VLOOKUP($B45,Fire2017!$C$10:$AZ$58,21,FALSE)</f>
        <v>6</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VLOOKUP($B46,Fire2017!$C$10:$I$57,2,FALSE)</f>
        <v>8</v>
      </c>
      <c r="I46" s="75">
        <f>VLOOKUP($B46,Fire2017!$C$10:$I$57,3,FALSE)</f>
        <v>0</v>
      </c>
      <c r="J46" s="75">
        <f>VLOOKUP($B46,Fire2017!$C$10:$I$57,4,FALSE)</f>
        <v>15</v>
      </c>
      <c r="K46" s="75">
        <f>VLOOKUP($B46,Fire2017!$C$10:$O$58,7,FALSE)-L46</f>
        <v>31</v>
      </c>
      <c r="L46" s="75">
        <f>VLOOKUP($B46,Fire2017!$C$10:$Q$58,9,FALSE)</f>
        <v>0</v>
      </c>
      <c r="M46" s="75">
        <f>VLOOKUP($B46,Fire2017!$C$10:$BA$58,11,FALSE)+VLOOKUP($B46,Fire2017!$C$10:$BA$58,15,FALSE)</f>
        <v>28</v>
      </c>
      <c r="N46" s="75">
        <f>VLOOKUP($B46,Fire2017!$C$10:$BA$58,13,FALSE)+VLOOKUP($B46,Fire2017!$C$10:$AZ$58,17,FALSE)</f>
        <v>151</v>
      </c>
      <c r="O46" s="75">
        <f>VLOOKUP($B46,Fire2017!$C$10:$AZ$58,19,FALSE)</f>
        <v>10</v>
      </c>
      <c r="P46" s="75">
        <f>VLOOKUP($B46,Fire2017!$C$10:$AZ$58,21,FALSE)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VLOOKUP($B47,Fire2017!$C$10:$I$57,2,FALSE)</f>
        <v>14</v>
      </c>
      <c r="I47" s="75">
        <f>VLOOKUP($B47,Fire2017!$C$10:$I$57,3,FALSE)</f>
        <v>4</v>
      </c>
      <c r="J47" s="75">
        <f>VLOOKUP($B47,Fire2017!$C$10:$I$57,4,FALSE)</f>
        <v>3</v>
      </c>
      <c r="K47" s="75">
        <f>VLOOKUP($B47,Fire2017!$C$10:$O$58,7,FALSE)-L47</f>
        <v>27</v>
      </c>
      <c r="L47" s="75">
        <f>VLOOKUP($B47,Fire2017!$C$10:$Q$58,9,FALSE)</f>
        <v>0</v>
      </c>
      <c r="M47" s="75">
        <f>VLOOKUP($B47,Fire2017!$C$10:$BA$58,11,FALSE)+VLOOKUP($B47,Fire2017!$C$10:$BA$58,15,FALSE)</f>
        <v>10</v>
      </c>
      <c r="N47" s="75">
        <f>VLOOKUP($B47,Fire2017!$C$10:$BA$58,13,FALSE)+VLOOKUP($B47,Fire2017!$C$10:$AZ$58,17,FALSE)</f>
        <v>192</v>
      </c>
      <c r="O47" s="75">
        <f>VLOOKUP($B47,Fire2017!$C$10:$AZ$58,19,FALSE)</f>
        <v>4</v>
      </c>
      <c r="P47" s="75">
        <f>VLOOKUP($B47,Fire2017!$C$10:$AZ$58,21,FALSE)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VLOOKUP($B48,Fire2017!$C$10:$I$57,2,FALSE)</f>
        <v>16</v>
      </c>
      <c r="I48" s="75">
        <f>VLOOKUP($B48,Fire2017!$C$10:$I$57,3,FALSE)</f>
        <v>1</v>
      </c>
      <c r="J48" s="75">
        <f>VLOOKUP($B48,Fire2017!$C$10:$I$57,4,FALSE)</f>
        <v>0</v>
      </c>
      <c r="K48" s="75">
        <f>VLOOKUP($B48,Fire2017!$C$10:$O$58,7,FALSE)-L48</f>
        <v>27</v>
      </c>
      <c r="L48" s="75">
        <f>VLOOKUP($B48,Fire2017!$C$10:$Q$58,9,FALSE)</f>
        <v>3</v>
      </c>
      <c r="M48" s="75">
        <f>VLOOKUP($B48,Fire2017!$C$10:$BA$58,11,FALSE)+VLOOKUP($B48,Fire2017!$C$10:$BA$58,15,FALSE)</f>
        <v>20</v>
      </c>
      <c r="N48" s="75">
        <f>VLOOKUP($B48,Fire2017!$C$10:$BA$58,13,FALSE)+VLOOKUP($B48,Fire2017!$C$10:$AZ$58,17,FALSE)</f>
        <v>108</v>
      </c>
      <c r="O48" s="75">
        <f>VLOOKUP($B48,Fire2017!$C$10:$AZ$58,19,FALSE)</f>
        <v>6</v>
      </c>
      <c r="P48" s="75">
        <f>VLOOKUP($B48,Fire2017!$C$10:$AZ$58,21,FALSE)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VLOOKUP($B49,Fire2017!$C$10:$I$57,2,FALSE)</f>
        <v>38</v>
      </c>
      <c r="I49" s="75">
        <f>VLOOKUP($B49,Fire2017!$C$10:$I$57,3,FALSE)</f>
        <v>0</v>
      </c>
      <c r="J49" s="75">
        <f>VLOOKUP($B49,Fire2017!$C$10:$I$57,4,FALSE)</f>
        <v>0</v>
      </c>
      <c r="K49" s="75">
        <f>VLOOKUP($B49,Fire2017!$C$10:$O$58,7,FALSE)-L49</f>
        <v>41</v>
      </c>
      <c r="L49" s="75">
        <f>VLOOKUP($B49,Fire2017!$C$10:$Q$58,9,FALSE)</f>
        <v>4</v>
      </c>
      <c r="M49" s="75">
        <f>VLOOKUP($B49,Fire2017!$C$10:$BA$58,11,FALSE)+VLOOKUP($B49,Fire2017!$C$10:$BA$58,15,FALSE)</f>
        <v>34</v>
      </c>
      <c r="N49" s="75">
        <f>VLOOKUP($B49,Fire2017!$C$10:$BA$58,13,FALSE)+VLOOKUP($B49,Fire2017!$C$10:$AZ$58,17,FALSE)</f>
        <v>104</v>
      </c>
      <c r="O49" s="75">
        <f>VLOOKUP($B49,Fire2017!$C$10:$AZ$58,19,FALSE)</f>
        <v>16</v>
      </c>
      <c r="P49" s="75">
        <f>VLOOKUP($B49,Fire2017!$C$10:$AZ$58,21,FALSE)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VLOOKUP($B50,Fire2017!$C$10:$I$57,2,FALSE)</f>
        <v>27</v>
      </c>
      <c r="I50" s="75">
        <f>VLOOKUP($B50,Fire2017!$C$10:$I$57,3,FALSE)</f>
        <v>10</v>
      </c>
      <c r="J50" s="75">
        <f>VLOOKUP($B50,Fire2017!$C$10:$I$57,4,FALSE)</f>
        <v>7</v>
      </c>
      <c r="K50" s="75">
        <f>VLOOKUP($B50,Fire2017!$C$10:$O$58,7,FALSE)-L50</f>
        <v>58</v>
      </c>
      <c r="L50" s="75">
        <f>VLOOKUP($B50,Fire2017!$C$10:$Q$58,9,FALSE)</f>
        <v>7</v>
      </c>
      <c r="M50" s="75">
        <f>VLOOKUP($B50,Fire2017!$C$10:$BA$58,11,FALSE)+VLOOKUP($B50,Fire2017!$C$10:$BA$58,15,FALSE)</f>
        <v>25</v>
      </c>
      <c r="N50" s="75">
        <f>VLOOKUP($B50,Fire2017!$C$10:$BA$58,13,FALSE)+VLOOKUP($B50,Fire2017!$C$10:$AZ$58,17,FALSE)</f>
        <v>310</v>
      </c>
      <c r="O50" s="75">
        <f>VLOOKUP($B50,Fire2017!$C$10:$AZ$58,19,FALSE)</f>
        <v>9</v>
      </c>
      <c r="P50" s="75">
        <f>VLOOKUP($B50,Fire2017!$C$10:$AZ$58,21,FALSE)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15</v>
      </c>
      <c r="C51" s="90"/>
      <c r="D51" s="91"/>
      <c r="E51" s="91"/>
      <c r="F51" s="91"/>
      <c r="G51" s="75"/>
      <c r="H51" s="75">
        <f>VLOOKUP($B51,Fire2017!$C$10:$I$57,2,FALSE)</f>
        <v>103</v>
      </c>
      <c r="I51" s="75">
        <f>VLOOKUP($B51,Fire2017!$C$10:$I$57,3,FALSE)</f>
        <v>0</v>
      </c>
      <c r="J51" s="75">
        <f>VLOOKUP($B51,Fire2017!$C$10:$I$57,4,FALSE)</f>
        <v>0</v>
      </c>
      <c r="K51" s="75">
        <f>VLOOKUP($B51,Fire2017!$C$10:$O$58,7,FALSE)-L51</f>
        <v>142</v>
      </c>
      <c r="L51" s="75">
        <f>VLOOKUP($B51,Fire2017!$C$10:$Q$58,9,FALSE)</f>
        <v>0</v>
      </c>
      <c r="M51" s="75">
        <f>VLOOKUP($B51,Fire2017!$C$10:$BA$58,11,FALSE)+VLOOKUP($B51,Fire2017!$C$10:$BA$58,15,FALSE)</f>
        <v>106</v>
      </c>
      <c r="N51" s="75">
        <f>VLOOKUP($B51,Fire2017!$C$10:$BA$58,13,FALSE)+VLOOKUP($B51,Fire2017!$C$10:$AZ$58,17,FALSE)</f>
        <v>111</v>
      </c>
      <c r="O51" s="75">
        <f>VLOOKUP($B51,Fire2017!$C$10:$AZ$58,19,FALSE)</f>
        <v>45</v>
      </c>
      <c r="P51" s="75">
        <f>VLOOKUP($B51,Fire2017!$C$10:$AZ$58,21,FALSE)</f>
        <v>33</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203" t="s">
        <v>343</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381" t="s">
        <v>344</v>
      </c>
      <c r="C55" s="381"/>
      <c r="D55" s="381"/>
      <c r="E55" s="381"/>
      <c r="F55" s="381"/>
      <c r="G55" s="381"/>
      <c r="H55" s="381"/>
      <c r="I55" s="381"/>
      <c r="J55" s="381"/>
      <c r="K55" s="381"/>
      <c r="L55" s="381"/>
      <c r="M55" s="381"/>
      <c r="N55" s="381"/>
      <c r="O55" s="381"/>
      <c r="P55" s="381"/>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9AAF-8A86-4FFD-995C-F445E230195E}">
  <sheetPr>
    <tabColor rgb="FF7030A0"/>
  </sheetPr>
  <dimension ref="A1:CX71"/>
  <sheetViews>
    <sheetView showGridLines="0" zoomScaleNormal="100" zoomScaleSheetLayoutView="100" workbookViewId="0">
      <pane ySplit="12" topLeftCell="A22" activePane="bottomLeft" state="frozen"/>
      <selection activeCell="A4" sqref="A4:H4"/>
      <selection pane="bottomLeft" activeCell="A4" sqref="A4:H4"/>
    </sheetView>
  </sheetViews>
  <sheetFormatPr defaultColWidth="9.1796875" defaultRowHeight="15" customHeight="1" x14ac:dyDescent="0.2"/>
  <cols>
    <col min="1" max="2" width="7.1796875" style="207" customWidth="1"/>
    <col min="3" max="3" width="24.26953125" style="207" customWidth="1"/>
    <col min="4" max="102" width="14.26953125" style="207" customWidth="1"/>
    <col min="103" max="16384" width="9.1796875" style="207"/>
  </cols>
  <sheetData>
    <row r="1" spans="1:102" s="259" customFormat="1" ht="15" customHeight="1" x14ac:dyDescent="0.2">
      <c r="D1" s="260" t="s">
        <v>155</v>
      </c>
      <c r="E1" s="260" t="s">
        <v>156</v>
      </c>
      <c r="F1" s="260" t="s">
        <v>154</v>
      </c>
      <c r="G1" s="260" t="s">
        <v>400</v>
      </c>
      <c r="H1" s="260" t="s">
        <v>153</v>
      </c>
      <c r="I1" s="260" t="s">
        <v>397</v>
      </c>
      <c r="J1" s="260" t="s">
        <v>147</v>
      </c>
      <c r="K1" s="260" t="s">
        <v>396</v>
      </c>
      <c r="L1" s="260" t="s">
        <v>145</v>
      </c>
      <c r="M1" s="260" t="s">
        <v>394</v>
      </c>
      <c r="N1" s="260" t="s">
        <v>132</v>
      </c>
      <c r="O1" s="260" t="s">
        <v>131</v>
      </c>
      <c r="P1" s="260" t="s">
        <v>115</v>
      </c>
      <c r="Q1" s="260" t="s">
        <v>114</v>
      </c>
      <c r="R1" s="260" t="s">
        <v>113</v>
      </c>
      <c r="S1" s="260" t="s">
        <v>401</v>
      </c>
      <c r="T1" s="260" t="s">
        <v>402</v>
      </c>
      <c r="U1" s="260" t="s">
        <v>403</v>
      </c>
      <c r="V1" s="260" t="s">
        <v>404</v>
      </c>
      <c r="W1" s="260" t="s">
        <v>405</v>
      </c>
      <c r="X1" s="260" t="s">
        <v>406</v>
      </c>
      <c r="Y1" s="260" t="s">
        <v>407</v>
      </c>
      <c r="Z1" s="260" t="s">
        <v>408</v>
      </c>
      <c r="AA1" s="260" t="s">
        <v>409</v>
      </c>
      <c r="AB1" s="260" t="s">
        <v>410</v>
      </c>
      <c r="AC1" s="260" t="s">
        <v>411</v>
      </c>
      <c r="AD1" s="260" t="s">
        <v>412</v>
      </c>
      <c r="AE1" s="260" t="s">
        <v>413</v>
      </c>
      <c r="AF1" s="260" t="s">
        <v>414</v>
      </c>
      <c r="AG1" s="260" t="s">
        <v>415</v>
      </c>
      <c r="AH1" s="260" t="s">
        <v>416</v>
      </c>
      <c r="AI1" s="260" t="s">
        <v>417</v>
      </c>
      <c r="AJ1" s="260" t="s">
        <v>418</v>
      </c>
      <c r="AK1" s="260" t="s">
        <v>419</v>
      </c>
      <c r="AL1" s="260" t="s">
        <v>420</v>
      </c>
      <c r="AM1" s="260" t="s">
        <v>421</v>
      </c>
      <c r="AN1" s="260" t="s">
        <v>422</v>
      </c>
      <c r="AO1" s="260" t="s">
        <v>423</v>
      </c>
      <c r="AP1" s="260" t="s">
        <v>424</v>
      </c>
      <c r="AQ1" s="260" t="s">
        <v>425</v>
      </c>
      <c r="AR1" s="260" t="s">
        <v>426</v>
      </c>
      <c r="AS1" s="260" t="s">
        <v>427</v>
      </c>
      <c r="AT1" s="260" t="s">
        <v>428</v>
      </c>
      <c r="AU1" s="260" t="s">
        <v>429</v>
      </c>
      <c r="AV1" s="260" t="s">
        <v>430</v>
      </c>
      <c r="AW1" s="260" t="s">
        <v>431</v>
      </c>
      <c r="AX1" s="260" t="s">
        <v>432</v>
      </c>
      <c r="AY1" s="260" t="s">
        <v>433</v>
      </c>
      <c r="AZ1" s="260" t="s">
        <v>434</v>
      </c>
      <c r="BA1" s="260" t="s">
        <v>435</v>
      </c>
      <c r="BB1" s="260" t="s">
        <v>436</v>
      </c>
      <c r="BC1" s="260" t="s">
        <v>437</v>
      </c>
      <c r="BD1" s="260" t="s">
        <v>438</v>
      </c>
      <c r="BE1" s="260" t="s">
        <v>439</v>
      </c>
      <c r="BF1" s="260" t="s">
        <v>440</v>
      </c>
      <c r="BG1" s="260" t="s">
        <v>441</v>
      </c>
      <c r="BH1" s="260" t="s">
        <v>442</v>
      </c>
      <c r="BI1" s="260" t="s">
        <v>443</v>
      </c>
      <c r="BJ1" s="260" t="s">
        <v>444</v>
      </c>
      <c r="BK1" s="260" t="s">
        <v>445</v>
      </c>
      <c r="BL1" s="260" t="s">
        <v>446</v>
      </c>
      <c r="BM1" s="260" t="s">
        <v>447</v>
      </c>
      <c r="BN1" s="260" t="s">
        <v>448</v>
      </c>
      <c r="BO1" s="260" t="s">
        <v>449</v>
      </c>
      <c r="BP1" s="260" t="s">
        <v>450</v>
      </c>
      <c r="BQ1" s="260" t="s">
        <v>451</v>
      </c>
      <c r="BR1" s="260" t="s">
        <v>452</v>
      </c>
      <c r="BS1" s="260" t="s">
        <v>453</v>
      </c>
      <c r="BT1" s="260" t="s">
        <v>454</v>
      </c>
      <c r="BU1" s="260" t="s">
        <v>455</v>
      </c>
      <c r="BV1" s="260" t="s">
        <v>456</v>
      </c>
      <c r="BW1" s="260" t="s">
        <v>457</v>
      </c>
      <c r="BX1" s="260" t="s">
        <v>458</v>
      </c>
      <c r="BY1" s="260" t="s">
        <v>459</v>
      </c>
      <c r="BZ1" s="260" t="s">
        <v>460</v>
      </c>
      <c r="CA1" s="260" t="s">
        <v>461</v>
      </c>
      <c r="CB1" s="260" t="s">
        <v>462</v>
      </c>
      <c r="CC1" s="260" t="s">
        <v>463</v>
      </c>
      <c r="CD1" s="260" t="s">
        <v>464</v>
      </c>
      <c r="CE1" s="260" t="s">
        <v>465</v>
      </c>
      <c r="CF1" s="260" t="s">
        <v>466</v>
      </c>
      <c r="CG1" s="260" t="s">
        <v>467</v>
      </c>
      <c r="CH1" s="260" t="s">
        <v>468</v>
      </c>
      <c r="CI1" s="260" t="s">
        <v>469</v>
      </c>
      <c r="CJ1" s="260" t="s">
        <v>470</v>
      </c>
      <c r="CK1" s="260" t="s">
        <v>471</v>
      </c>
      <c r="CL1" s="260" t="s">
        <v>472</v>
      </c>
      <c r="CM1" s="260" t="s">
        <v>473</v>
      </c>
      <c r="CN1" s="260" t="s">
        <v>474</v>
      </c>
      <c r="CO1" s="260" t="s">
        <v>475</v>
      </c>
      <c r="CP1" s="260" t="s">
        <v>476</v>
      </c>
      <c r="CQ1" s="260" t="s">
        <v>477</v>
      </c>
      <c r="CR1" s="260" t="s">
        <v>478</v>
      </c>
      <c r="CS1" s="260" t="s">
        <v>479</v>
      </c>
      <c r="CT1" s="260" t="s">
        <v>480</v>
      </c>
      <c r="CU1" s="260" t="s">
        <v>481</v>
      </c>
      <c r="CV1" s="260" t="s">
        <v>482</v>
      </c>
      <c r="CW1" s="260" t="s">
        <v>483</v>
      </c>
      <c r="CX1" s="260" t="s">
        <v>484</v>
      </c>
    </row>
    <row r="2" spans="1:102" ht="17.5" x14ac:dyDescent="0.2">
      <c r="A2" s="258" t="s">
        <v>485</v>
      </c>
      <c r="B2" s="257"/>
      <c r="D2" s="256"/>
      <c r="E2" s="256"/>
      <c r="F2" s="256"/>
      <c r="G2" s="255"/>
      <c r="H2" s="255"/>
      <c r="I2" s="255"/>
      <c r="J2" s="215"/>
      <c r="L2" s="215"/>
      <c r="P2" s="256"/>
      <c r="R2" s="256"/>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15"/>
      <c r="BC2" s="255"/>
      <c r="BD2" s="255"/>
      <c r="BE2" s="255"/>
      <c r="BG2" s="255"/>
      <c r="BH2" s="273"/>
      <c r="BI2" s="273"/>
      <c r="BJ2" s="273"/>
      <c r="BK2" s="273"/>
      <c r="BL2" s="255"/>
      <c r="BM2" s="215"/>
      <c r="BN2" s="215"/>
      <c r="BO2" s="215"/>
      <c r="BP2" s="256"/>
      <c r="BQ2" s="274"/>
      <c r="BR2" s="222"/>
      <c r="BS2" s="222"/>
      <c r="BT2" s="222"/>
      <c r="BU2" s="222"/>
      <c r="BV2" s="222"/>
      <c r="BW2" s="222"/>
      <c r="BX2" s="222"/>
      <c r="BY2" s="222"/>
      <c r="BZ2" s="211"/>
      <c r="CA2" s="275"/>
      <c r="CB2" s="275"/>
      <c r="CC2" s="276"/>
      <c r="CD2" s="276"/>
      <c r="CE2" s="255"/>
      <c r="CF2" s="215"/>
      <c r="CG2" s="275"/>
      <c r="CH2" s="275"/>
      <c r="CI2" s="276"/>
      <c r="CJ2" s="276"/>
      <c r="CK2" s="277"/>
      <c r="CL2" s="278"/>
      <c r="CM2" s="279"/>
      <c r="CN2" s="279"/>
      <c r="CO2" s="278"/>
      <c r="CP2" s="278"/>
      <c r="CQ2" s="255"/>
      <c r="CR2" s="280"/>
      <c r="CS2" s="280"/>
      <c r="CT2" s="280"/>
      <c r="CU2" s="280"/>
      <c r="CV2" s="278"/>
      <c r="CW2" s="278"/>
      <c r="CX2" s="278"/>
    </row>
    <row r="3" spans="1:102" ht="11.25" customHeight="1" x14ac:dyDescent="0.2">
      <c r="C3" s="232"/>
      <c r="D3" s="281" t="s">
        <v>486</v>
      </c>
      <c r="E3" s="282"/>
      <c r="F3" s="282"/>
      <c r="G3" s="282"/>
      <c r="H3" s="282"/>
      <c r="I3" s="283"/>
      <c r="J3" s="284" t="s">
        <v>487</v>
      </c>
      <c r="K3" s="282"/>
      <c r="L3" s="282"/>
      <c r="M3" s="282"/>
      <c r="N3" s="282"/>
      <c r="O3" s="282"/>
      <c r="P3" s="282"/>
      <c r="Q3" s="282"/>
      <c r="R3" s="283"/>
      <c r="S3" s="284" t="s">
        <v>488</v>
      </c>
      <c r="T3" s="282"/>
      <c r="U3" s="282"/>
      <c r="V3" s="282"/>
      <c r="W3" s="282"/>
      <c r="X3" s="282"/>
      <c r="Y3" s="285"/>
      <c r="Z3" s="286"/>
      <c r="AA3" s="287"/>
      <c r="AB3" s="284" t="s">
        <v>489</v>
      </c>
      <c r="AC3" s="282"/>
      <c r="AD3" s="282"/>
      <c r="AE3" s="282"/>
      <c r="AF3" s="282"/>
      <c r="AG3" s="282"/>
      <c r="AH3" s="283"/>
      <c r="AI3" s="285" t="s">
        <v>490</v>
      </c>
      <c r="AJ3" s="287"/>
      <c r="AK3" s="288"/>
      <c r="AL3" s="284" t="s">
        <v>491</v>
      </c>
      <c r="AM3" s="282"/>
      <c r="AN3" s="282"/>
      <c r="AO3" s="282"/>
      <c r="AP3" s="282"/>
      <c r="AQ3" s="282"/>
      <c r="AR3" s="282"/>
      <c r="AS3" s="282"/>
      <c r="AT3" s="283"/>
      <c r="AU3" s="287"/>
      <c r="AV3" s="286"/>
      <c r="AW3" s="286"/>
      <c r="AX3" s="284" t="s">
        <v>492</v>
      </c>
      <c r="AY3" s="289"/>
      <c r="AZ3" s="289"/>
      <c r="BA3" s="289"/>
      <c r="BB3" s="290"/>
      <c r="BC3" s="291"/>
      <c r="BD3" s="292"/>
      <c r="BE3" s="284" t="s">
        <v>492</v>
      </c>
      <c r="BF3" s="292"/>
      <c r="BG3" s="290"/>
      <c r="BH3" s="293"/>
      <c r="BI3" s="293"/>
      <c r="BJ3" s="293"/>
      <c r="BK3" s="293"/>
      <c r="BL3" s="289"/>
      <c r="BM3" s="284" t="s">
        <v>492</v>
      </c>
      <c r="BN3" s="293"/>
      <c r="BO3" s="293"/>
      <c r="BP3" s="293"/>
      <c r="BQ3" s="289"/>
      <c r="BR3" s="294"/>
      <c r="BS3" s="282"/>
      <c r="BT3" s="282"/>
      <c r="BU3" s="283"/>
      <c r="BV3" s="282" t="s">
        <v>492</v>
      </c>
      <c r="BW3" s="282"/>
      <c r="BX3" s="282"/>
      <c r="BY3" s="282"/>
      <c r="BZ3" s="284" t="s">
        <v>493</v>
      </c>
      <c r="CA3" s="282"/>
      <c r="CB3" s="282"/>
      <c r="CC3" s="283"/>
      <c r="CD3" s="282"/>
      <c r="CE3" s="283"/>
      <c r="CF3" s="284" t="s">
        <v>494</v>
      </c>
      <c r="CG3" s="282"/>
      <c r="CH3" s="282"/>
      <c r="CI3" s="282"/>
      <c r="CJ3" s="282"/>
      <c r="CK3" s="283"/>
      <c r="CL3" s="284" t="s">
        <v>495</v>
      </c>
      <c r="CM3" s="282"/>
      <c r="CN3" s="282"/>
      <c r="CO3" s="282"/>
      <c r="CP3" s="282"/>
      <c r="CQ3" s="283"/>
      <c r="CR3" s="284"/>
      <c r="CS3" s="282"/>
      <c r="CT3" s="282"/>
      <c r="CU3" s="283"/>
      <c r="CV3" s="295" t="s">
        <v>496</v>
      </c>
      <c r="CW3" s="295"/>
      <c r="CX3" s="295"/>
    </row>
    <row r="4" spans="1:102" ht="11.25" customHeight="1" x14ac:dyDescent="0.2">
      <c r="C4" s="232"/>
      <c r="D4" s="295" t="s">
        <v>378</v>
      </c>
      <c r="E4" s="295" t="s">
        <v>378</v>
      </c>
      <c r="F4" s="295" t="s">
        <v>378</v>
      </c>
      <c r="G4" s="295" t="s">
        <v>378</v>
      </c>
      <c r="H4" s="295" t="s">
        <v>378</v>
      </c>
      <c r="I4" s="296" t="s">
        <v>386</v>
      </c>
      <c r="J4" s="284" t="s">
        <v>217</v>
      </c>
      <c r="K4" s="282"/>
      <c r="L4" s="282"/>
      <c r="M4" s="282"/>
      <c r="N4" s="282"/>
      <c r="O4" s="283"/>
      <c r="P4" s="284" t="s">
        <v>389</v>
      </c>
      <c r="Q4" s="282"/>
      <c r="R4" s="282"/>
      <c r="S4" s="297"/>
      <c r="T4" s="297"/>
      <c r="U4" s="297"/>
      <c r="V4" s="297"/>
      <c r="W4" s="297"/>
      <c r="X4" s="297"/>
      <c r="Y4" s="285"/>
      <c r="Z4" s="285"/>
      <c r="AA4" s="287"/>
      <c r="AB4" s="288"/>
      <c r="AC4" s="288"/>
      <c r="AD4" s="288"/>
      <c r="AE4" s="288"/>
      <c r="AF4" s="288"/>
      <c r="AG4" s="297"/>
      <c r="AH4" s="298"/>
      <c r="AI4" s="299" t="s">
        <v>497</v>
      </c>
      <c r="AJ4" s="300"/>
      <c r="AK4" s="233" t="s">
        <v>378</v>
      </c>
      <c r="AL4" s="233" t="s">
        <v>378</v>
      </c>
      <c r="AM4" s="233" t="s">
        <v>378</v>
      </c>
      <c r="AN4" s="233" t="s">
        <v>378</v>
      </c>
      <c r="AO4" s="233" t="s">
        <v>378</v>
      </c>
      <c r="AP4" s="301" t="s">
        <v>498</v>
      </c>
      <c r="AQ4" s="302"/>
      <c r="AR4" s="302"/>
      <c r="AS4" s="303"/>
      <c r="AT4" s="301" t="s">
        <v>499</v>
      </c>
      <c r="AU4" s="302"/>
      <c r="AV4" s="302"/>
      <c r="AW4" s="303"/>
      <c r="AX4" s="284" t="s">
        <v>500</v>
      </c>
      <c r="AY4" s="283"/>
      <c r="AZ4" s="289"/>
      <c r="BA4" s="304"/>
      <c r="BB4" s="290"/>
      <c r="BC4" s="293"/>
      <c r="BD4" s="289"/>
      <c r="BE4" s="305"/>
      <c r="BF4" s="305"/>
      <c r="BG4" s="305"/>
      <c r="BH4" s="306"/>
      <c r="BI4" s="290" t="s">
        <v>501</v>
      </c>
      <c r="BJ4" s="289"/>
      <c r="BK4" s="306"/>
      <c r="BL4" s="306"/>
      <c r="BM4" s="290" t="s">
        <v>502</v>
      </c>
      <c r="BN4" s="293"/>
      <c r="BO4" s="293"/>
      <c r="BP4" s="293"/>
      <c r="BQ4" s="289"/>
      <c r="BR4" s="307"/>
      <c r="BS4" s="295" t="s">
        <v>378</v>
      </c>
      <c r="BT4" s="295" t="s">
        <v>378</v>
      </c>
      <c r="BU4" s="295" t="s">
        <v>378</v>
      </c>
      <c r="BV4" s="284" t="s">
        <v>503</v>
      </c>
      <c r="BW4" s="284"/>
      <c r="BX4" s="282"/>
      <c r="BY4" s="283"/>
      <c r="BZ4" s="295" t="s">
        <v>378</v>
      </c>
      <c r="CA4" s="295" t="s">
        <v>378</v>
      </c>
      <c r="CB4" s="295" t="s">
        <v>378</v>
      </c>
      <c r="CC4" s="295" t="s">
        <v>378</v>
      </c>
      <c r="CD4" s="295" t="s">
        <v>378</v>
      </c>
      <c r="CE4" s="295" t="s">
        <v>378</v>
      </c>
      <c r="CF4" s="295" t="s">
        <v>378</v>
      </c>
      <c r="CG4" s="295" t="s">
        <v>378</v>
      </c>
      <c r="CH4" s="295" t="s">
        <v>378</v>
      </c>
      <c r="CI4" s="295" t="s">
        <v>378</v>
      </c>
      <c r="CJ4" s="295" t="s">
        <v>378</v>
      </c>
      <c r="CK4" s="295" t="s">
        <v>378</v>
      </c>
      <c r="CL4" s="308"/>
      <c r="CM4" s="308"/>
      <c r="CN4" s="308"/>
      <c r="CO4" s="308"/>
      <c r="CP4" s="308"/>
      <c r="CQ4" s="308"/>
      <c r="CR4" s="308"/>
      <c r="CS4" s="308"/>
      <c r="CT4" s="308"/>
      <c r="CU4" s="296" t="s">
        <v>503</v>
      </c>
      <c r="CV4" s="309" t="s">
        <v>504</v>
      </c>
      <c r="CW4" s="309"/>
      <c r="CX4" s="309"/>
    </row>
    <row r="5" spans="1:102" ht="11.25" customHeight="1" x14ac:dyDescent="0.2">
      <c r="C5" s="232"/>
      <c r="D5" s="308"/>
      <c r="E5" s="308"/>
      <c r="F5" s="308"/>
      <c r="G5" s="308"/>
      <c r="H5" s="308"/>
      <c r="I5" s="228"/>
      <c r="J5" s="233"/>
      <c r="K5" s="233"/>
      <c r="L5" s="233"/>
      <c r="M5" s="233"/>
      <c r="N5" s="233" t="s">
        <v>378</v>
      </c>
      <c r="O5" s="228"/>
      <c r="P5" s="295"/>
      <c r="Q5" s="295"/>
      <c r="R5" s="295"/>
      <c r="S5" s="310"/>
      <c r="T5" s="310"/>
      <c r="U5" s="310"/>
      <c r="V5" s="310"/>
      <c r="W5" s="310"/>
      <c r="X5" s="310"/>
      <c r="Y5" s="310"/>
      <c r="Z5" s="311"/>
      <c r="AA5" s="232"/>
      <c r="AB5" s="308"/>
      <c r="AC5" s="308"/>
      <c r="AD5" s="308"/>
      <c r="AE5" s="308"/>
      <c r="AF5" s="308"/>
      <c r="AG5" s="311"/>
      <c r="AH5" s="232"/>
      <c r="AI5" s="288"/>
      <c r="AJ5" s="312"/>
      <c r="AK5" s="233" t="s">
        <v>378</v>
      </c>
      <c r="AL5" s="234"/>
      <c r="AM5" s="234"/>
      <c r="AN5" s="234"/>
      <c r="AO5" s="234"/>
      <c r="AP5" s="313" t="s">
        <v>505</v>
      </c>
      <c r="AQ5" s="314"/>
      <c r="AR5" s="314"/>
      <c r="AS5" s="300"/>
      <c r="AT5" s="313" t="s">
        <v>505</v>
      </c>
      <c r="AU5" s="314"/>
      <c r="AV5" s="314"/>
      <c r="AW5" s="300"/>
      <c r="AX5" s="295" t="s">
        <v>378</v>
      </c>
      <c r="AY5" s="315" t="s">
        <v>378</v>
      </c>
      <c r="AZ5" s="315" t="s">
        <v>378</v>
      </c>
      <c r="BA5" s="315" t="s">
        <v>378</v>
      </c>
      <c r="BB5" s="315" t="s">
        <v>378</v>
      </c>
      <c r="BC5" s="315" t="s">
        <v>378</v>
      </c>
      <c r="BD5" s="315" t="s">
        <v>378</v>
      </c>
      <c r="BE5" s="316"/>
      <c r="BF5" s="316"/>
      <c r="BG5" s="316"/>
      <c r="BH5" s="317"/>
      <c r="BI5" s="317"/>
      <c r="BJ5" s="317"/>
      <c r="BK5" s="317"/>
      <c r="BL5" s="317"/>
      <c r="BM5" s="315"/>
      <c r="BN5" s="290" t="s">
        <v>501</v>
      </c>
      <c r="BO5" s="289"/>
      <c r="BP5" s="315" t="s">
        <v>378</v>
      </c>
      <c r="BQ5" s="315" t="s">
        <v>378</v>
      </c>
      <c r="BR5" s="318"/>
      <c r="BS5" s="228"/>
      <c r="BT5" s="228"/>
      <c r="BU5" s="228"/>
      <c r="BV5" s="228"/>
      <c r="BW5" s="228"/>
      <c r="BX5" s="228"/>
      <c r="BY5" s="228"/>
      <c r="BZ5" s="228"/>
      <c r="CA5" s="228"/>
      <c r="CB5" s="228" t="s">
        <v>372</v>
      </c>
      <c r="CC5" s="228"/>
      <c r="CD5" s="228"/>
      <c r="CE5" s="228"/>
      <c r="CF5" s="228"/>
      <c r="CG5" s="228"/>
      <c r="CH5" s="228" t="s">
        <v>372</v>
      </c>
      <c r="CI5" s="228"/>
      <c r="CJ5" s="228"/>
      <c r="CK5" s="228"/>
      <c r="CL5" s="228"/>
      <c r="CM5" s="228"/>
      <c r="CN5" s="228"/>
      <c r="CO5" s="228"/>
      <c r="CP5" s="228"/>
      <c r="CQ5" s="228"/>
      <c r="CR5" s="228"/>
      <c r="CS5" s="228"/>
      <c r="CT5" s="228"/>
      <c r="CU5" s="228"/>
      <c r="CV5" s="319"/>
      <c r="CW5" s="319"/>
      <c r="CX5" s="319"/>
    </row>
    <row r="6" spans="1:102" ht="11.25" customHeight="1" x14ac:dyDescent="0.2">
      <c r="C6" s="232"/>
      <c r="D6" s="308"/>
      <c r="E6" s="308"/>
      <c r="F6" s="308"/>
      <c r="G6" s="308"/>
      <c r="H6" s="228" t="s">
        <v>216</v>
      </c>
      <c r="I6" s="228" t="s">
        <v>381</v>
      </c>
      <c r="J6" s="233"/>
      <c r="K6" s="233"/>
      <c r="L6" s="233"/>
      <c r="M6" s="233"/>
      <c r="N6" s="233" t="s">
        <v>378</v>
      </c>
      <c r="O6" s="228"/>
      <c r="P6" s="233"/>
      <c r="Q6" s="233"/>
      <c r="R6" s="233"/>
      <c r="S6" s="310"/>
      <c r="T6" s="310"/>
      <c r="U6" s="310"/>
      <c r="V6" s="310"/>
      <c r="W6" s="310"/>
      <c r="X6" s="310"/>
      <c r="Y6" s="310"/>
      <c r="Z6" s="320"/>
      <c r="AA6" s="248"/>
      <c r="AB6" s="308"/>
      <c r="AC6" s="308"/>
      <c r="AD6" s="308"/>
      <c r="AE6" s="308"/>
      <c r="AF6" s="308"/>
      <c r="AG6" s="311"/>
      <c r="AH6" s="232"/>
      <c r="AI6" s="308"/>
      <c r="AJ6" s="228"/>
      <c r="AK6" s="308"/>
      <c r="AL6" s="234"/>
      <c r="AM6" s="321" t="s">
        <v>506</v>
      </c>
      <c r="AN6" s="234"/>
      <c r="AO6" s="234"/>
      <c r="AP6" s="228"/>
      <c r="AQ6" s="228"/>
      <c r="AR6" s="228"/>
      <c r="AS6" s="228"/>
      <c r="AT6" s="228"/>
      <c r="AU6" s="228"/>
      <c r="AV6" s="228"/>
      <c r="AW6" s="228"/>
      <c r="AX6" s="233" t="s">
        <v>378</v>
      </c>
      <c r="AY6" s="322" t="s">
        <v>378</v>
      </c>
      <c r="AZ6" s="322" t="s">
        <v>378</v>
      </c>
      <c r="BA6" s="322" t="s">
        <v>378</v>
      </c>
      <c r="BB6" s="316"/>
      <c r="BC6" s="316"/>
      <c r="BD6" s="316"/>
      <c r="BE6" s="316"/>
      <c r="BF6" s="316"/>
      <c r="BG6" s="316"/>
      <c r="BH6" s="317"/>
      <c r="BI6" s="317"/>
      <c r="BJ6" s="317"/>
      <c r="BK6" s="323"/>
      <c r="BL6" s="317"/>
      <c r="BM6" s="317"/>
      <c r="BN6" s="307"/>
      <c r="BO6" s="307"/>
      <c r="BP6" s="317"/>
      <c r="BQ6" s="318"/>
      <c r="BR6" s="318" t="s">
        <v>507</v>
      </c>
      <c r="BS6" s="228"/>
      <c r="BT6" s="228"/>
      <c r="BU6" s="228" t="s">
        <v>507</v>
      </c>
      <c r="BV6" s="228"/>
      <c r="BW6" s="228"/>
      <c r="BX6" s="228"/>
      <c r="BY6" s="228"/>
      <c r="BZ6" s="228"/>
      <c r="CA6" s="228"/>
      <c r="CB6" s="228" t="s">
        <v>508</v>
      </c>
      <c r="CC6" s="228"/>
      <c r="CD6" s="228"/>
      <c r="CE6" s="228"/>
      <c r="CF6" s="228"/>
      <c r="CG6" s="228"/>
      <c r="CH6" s="228" t="s">
        <v>508</v>
      </c>
      <c r="CI6" s="228"/>
      <c r="CJ6" s="228"/>
      <c r="CK6" s="228"/>
      <c r="CL6" s="228"/>
      <c r="CM6" s="228"/>
      <c r="CN6" s="228"/>
      <c r="CO6" s="228"/>
      <c r="CP6" s="228"/>
      <c r="CQ6" s="228"/>
      <c r="CR6" s="228"/>
      <c r="CS6" s="228"/>
      <c r="CT6" s="228"/>
      <c r="CU6" s="228"/>
      <c r="CV6" s="234"/>
      <c r="CW6" s="234"/>
      <c r="CX6" s="234"/>
    </row>
    <row r="7" spans="1:102" ht="11.25" customHeight="1" x14ac:dyDescent="0.2">
      <c r="C7" s="232"/>
      <c r="D7" s="308"/>
      <c r="E7" s="308"/>
      <c r="F7" s="308"/>
      <c r="G7" s="308"/>
      <c r="H7" s="228" t="s">
        <v>363</v>
      </c>
      <c r="I7" s="228" t="s">
        <v>377</v>
      </c>
      <c r="J7" s="233"/>
      <c r="K7" s="233"/>
      <c r="L7" s="233"/>
      <c r="M7" s="233" t="s">
        <v>509</v>
      </c>
      <c r="N7" s="233" t="s">
        <v>378</v>
      </c>
      <c r="O7" s="228"/>
      <c r="P7" s="234"/>
      <c r="Q7" s="234"/>
      <c r="R7" s="234"/>
      <c r="S7" s="310"/>
      <c r="T7" s="310"/>
      <c r="U7" s="310"/>
      <c r="V7" s="310"/>
      <c r="W7" s="310"/>
      <c r="X7" s="310"/>
      <c r="Y7" s="310"/>
      <c r="Z7" s="320"/>
      <c r="AA7" s="248"/>
      <c r="AB7" s="308"/>
      <c r="AC7" s="308"/>
      <c r="AD7" s="308"/>
      <c r="AE7" s="308"/>
      <c r="AF7" s="308"/>
      <c r="AG7" s="311"/>
      <c r="AH7" s="232"/>
      <c r="AI7" s="308"/>
      <c r="AJ7" s="228"/>
      <c r="AK7" s="308"/>
      <c r="AL7" s="228" t="s">
        <v>510</v>
      </c>
      <c r="AM7" s="228" t="s">
        <v>510</v>
      </c>
      <c r="AN7" s="321" t="s">
        <v>510</v>
      </c>
      <c r="AO7" s="321" t="s">
        <v>510</v>
      </c>
      <c r="AP7" s="228"/>
      <c r="AQ7" s="228"/>
      <c r="AR7" s="228"/>
      <c r="AS7" s="228"/>
      <c r="AT7" s="228"/>
      <c r="AU7" s="228"/>
      <c r="AV7" s="228"/>
      <c r="AW7" s="228"/>
      <c r="AX7" s="234"/>
      <c r="AY7" s="324"/>
      <c r="AZ7" s="324"/>
      <c r="BA7" s="324"/>
      <c r="BB7" s="317"/>
      <c r="BC7" s="317"/>
      <c r="BD7" s="317"/>
      <c r="BE7" s="317"/>
      <c r="BF7" s="317"/>
      <c r="BG7" s="317"/>
      <c r="BH7" s="317"/>
      <c r="BI7" s="318" t="s">
        <v>511</v>
      </c>
      <c r="BJ7" s="318"/>
      <c r="BK7" s="317"/>
      <c r="BL7" s="317"/>
      <c r="BM7" s="317"/>
      <c r="BN7" s="325" t="s">
        <v>511</v>
      </c>
      <c r="BO7" s="325" t="s">
        <v>378</v>
      </c>
      <c r="BP7" s="317"/>
      <c r="BQ7" s="318"/>
      <c r="BR7" s="318" t="s">
        <v>512</v>
      </c>
      <c r="BS7" s="228"/>
      <c r="BT7" s="228"/>
      <c r="BU7" s="228" t="s">
        <v>513</v>
      </c>
      <c r="BV7" s="228"/>
      <c r="BW7" s="228" t="s">
        <v>502</v>
      </c>
      <c r="BX7" s="228" t="s">
        <v>514</v>
      </c>
      <c r="BY7" s="228" t="s">
        <v>514</v>
      </c>
      <c r="BZ7" s="228"/>
      <c r="CA7" s="228" t="s">
        <v>515</v>
      </c>
      <c r="CB7" s="228" t="s">
        <v>371</v>
      </c>
      <c r="CC7" s="228" t="s">
        <v>516</v>
      </c>
      <c r="CD7" s="228"/>
      <c r="CE7" s="228"/>
      <c r="CF7" s="228"/>
      <c r="CG7" s="228" t="s">
        <v>515</v>
      </c>
      <c r="CH7" s="228" t="s">
        <v>371</v>
      </c>
      <c r="CI7" s="228" t="s">
        <v>516</v>
      </c>
      <c r="CJ7" s="228"/>
      <c r="CK7" s="228"/>
      <c r="CL7" s="228"/>
      <c r="CM7" s="234"/>
      <c r="CN7" s="234"/>
      <c r="CO7" s="234"/>
      <c r="CP7" s="234"/>
      <c r="CQ7" s="234"/>
      <c r="CR7" s="321" t="s">
        <v>517</v>
      </c>
      <c r="CS7" s="234"/>
      <c r="CT7" s="228" t="s">
        <v>507</v>
      </c>
      <c r="CU7" s="228"/>
      <c r="CV7" s="233"/>
      <c r="CW7" s="233"/>
      <c r="CX7" s="233"/>
    </row>
    <row r="8" spans="1:102" ht="11.25" customHeight="1" x14ac:dyDescent="0.2">
      <c r="C8" s="232"/>
      <c r="D8" s="228"/>
      <c r="E8" s="228" t="s">
        <v>367</v>
      </c>
      <c r="F8" s="228" t="s">
        <v>222</v>
      </c>
      <c r="G8" s="228"/>
      <c r="H8" s="228" t="s">
        <v>376</v>
      </c>
      <c r="I8" s="228" t="s">
        <v>375</v>
      </c>
      <c r="J8" s="228"/>
      <c r="K8" s="228"/>
      <c r="L8" s="228"/>
      <c r="M8" s="228" t="s">
        <v>518</v>
      </c>
      <c r="N8" s="228"/>
      <c r="O8" s="228" t="s">
        <v>216</v>
      </c>
      <c r="P8" s="228" t="s">
        <v>375</v>
      </c>
      <c r="Q8" s="228" t="s">
        <v>216</v>
      </c>
      <c r="R8" s="228" t="s">
        <v>216</v>
      </c>
      <c r="S8" s="320"/>
      <c r="T8" s="320"/>
      <c r="U8" s="320"/>
      <c r="V8" s="320"/>
      <c r="W8" s="320"/>
      <c r="X8" s="320"/>
      <c r="Y8" s="320"/>
      <c r="Z8" s="320"/>
      <c r="AA8" s="248"/>
      <c r="AB8" s="308"/>
      <c r="AC8" s="308"/>
      <c r="AD8" s="308"/>
      <c r="AE8" s="308"/>
      <c r="AF8" s="308"/>
      <c r="AG8" s="311"/>
      <c r="AH8" s="232"/>
      <c r="AI8" s="228" t="s">
        <v>372</v>
      </c>
      <c r="AJ8" s="228"/>
      <c r="AK8" s="228"/>
      <c r="AL8" s="228" t="s">
        <v>519</v>
      </c>
      <c r="AM8" s="228" t="s">
        <v>519</v>
      </c>
      <c r="AN8" s="228" t="s">
        <v>520</v>
      </c>
      <c r="AO8" s="228" t="s">
        <v>521</v>
      </c>
      <c r="AP8" s="228"/>
      <c r="AQ8" s="228"/>
      <c r="AR8" s="228"/>
      <c r="AS8" s="228"/>
      <c r="AT8" s="228"/>
      <c r="AU8" s="228"/>
      <c r="AV8" s="228"/>
      <c r="AW8" s="228"/>
      <c r="AX8" s="228" t="s">
        <v>370</v>
      </c>
      <c r="AY8" s="318" t="s">
        <v>370</v>
      </c>
      <c r="AZ8" s="318" t="s">
        <v>522</v>
      </c>
      <c r="BA8" s="318"/>
      <c r="BB8" s="318"/>
      <c r="BC8" s="318" t="s">
        <v>523</v>
      </c>
      <c r="BD8" s="318" t="s">
        <v>524</v>
      </c>
      <c r="BE8" s="318" t="s">
        <v>525</v>
      </c>
      <c r="BF8" s="318" t="s">
        <v>526</v>
      </c>
      <c r="BG8" s="318" t="s">
        <v>527</v>
      </c>
      <c r="BH8" s="318"/>
      <c r="BI8" s="318" t="s">
        <v>381</v>
      </c>
      <c r="BJ8" s="318"/>
      <c r="BK8" s="318"/>
      <c r="BL8" s="318"/>
      <c r="BM8" s="318"/>
      <c r="BN8" s="318" t="s">
        <v>381</v>
      </c>
      <c r="BO8" s="318"/>
      <c r="BP8" s="318"/>
      <c r="BQ8" s="318"/>
      <c r="BR8" s="318" t="s">
        <v>528</v>
      </c>
      <c r="BS8" s="228"/>
      <c r="BT8" s="228"/>
      <c r="BU8" s="228" t="s">
        <v>529</v>
      </c>
      <c r="BV8" s="228"/>
      <c r="BW8" s="228" t="s">
        <v>530</v>
      </c>
      <c r="BX8" s="228" t="s">
        <v>531</v>
      </c>
      <c r="BY8" s="228" t="s">
        <v>531</v>
      </c>
      <c r="BZ8" s="228"/>
      <c r="CA8" s="228" t="s">
        <v>532</v>
      </c>
      <c r="CB8" s="228" t="s">
        <v>533</v>
      </c>
      <c r="CC8" s="228" t="s">
        <v>532</v>
      </c>
      <c r="CD8" s="228" t="s">
        <v>534</v>
      </c>
      <c r="CE8" s="228" t="s">
        <v>216</v>
      </c>
      <c r="CF8" s="228"/>
      <c r="CG8" s="228" t="s">
        <v>532</v>
      </c>
      <c r="CH8" s="228" t="s">
        <v>533</v>
      </c>
      <c r="CI8" s="228" t="s">
        <v>532</v>
      </c>
      <c r="CJ8" s="228" t="s">
        <v>534</v>
      </c>
      <c r="CK8" s="228" t="s">
        <v>216</v>
      </c>
      <c r="CL8" s="228"/>
      <c r="CM8" s="228"/>
      <c r="CN8" s="234"/>
      <c r="CO8" s="228"/>
      <c r="CP8" s="228"/>
      <c r="CQ8" s="228"/>
      <c r="CR8" s="228" t="s">
        <v>532</v>
      </c>
      <c r="CS8" s="228"/>
      <c r="CT8" s="228" t="s">
        <v>535</v>
      </c>
      <c r="CU8" s="228"/>
      <c r="CV8" s="228"/>
      <c r="CW8" s="228"/>
      <c r="CX8" s="228"/>
    </row>
    <row r="9" spans="1:102" ht="11.25" customHeight="1" x14ac:dyDescent="0.2">
      <c r="C9" s="232"/>
      <c r="D9" s="228"/>
      <c r="E9" s="228" t="s">
        <v>374</v>
      </c>
      <c r="F9" s="228" t="s">
        <v>373</v>
      </c>
      <c r="G9" s="228"/>
      <c r="H9" s="228" t="s">
        <v>372</v>
      </c>
      <c r="I9" s="228" t="s">
        <v>371</v>
      </c>
      <c r="J9" s="233" t="s">
        <v>387</v>
      </c>
      <c r="K9" s="233" t="s">
        <v>536</v>
      </c>
      <c r="L9" s="346" t="s">
        <v>375</v>
      </c>
      <c r="M9" s="348" t="s">
        <v>537</v>
      </c>
      <c r="N9" s="346" t="s">
        <v>216</v>
      </c>
      <c r="O9" s="228" t="s">
        <v>370</v>
      </c>
      <c r="P9" s="347" t="s">
        <v>538</v>
      </c>
      <c r="Q9" s="228" t="s">
        <v>539</v>
      </c>
      <c r="R9" s="228" t="s">
        <v>180</v>
      </c>
      <c r="S9" s="320" t="s">
        <v>540</v>
      </c>
      <c r="T9" s="320" t="s">
        <v>361</v>
      </c>
      <c r="U9" s="320" t="s">
        <v>541</v>
      </c>
      <c r="V9" s="320" t="s">
        <v>542</v>
      </c>
      <c r="W9" s="320" t="s">
        <v>543</v>
      </c>
      <c r="X9" s="320" t="s">
        <v>544</v>
      </c>
      <c r="Y9" s="310"/>
      <c r="Z9" s="320"/>
      <c r="AA9" s="248"/>
      <c r="AB9" s="233" t="s">
        <v>541</v>
      </c>
      <c r="AC9" s="233" t="s">
        <v>542</v>
      </c>
      <c r="AD9" s="233" t="s">
        <v>543</v>
      </c>
      <c r="AE9" s="233" t="s">
        <v>544</v>
      </c>
      <c r="AF9" s="228"/>
      <c r="AG9" s="310"/>
      <c r="AH9" s="227"/>
      <c r="AI9" s="228" t="s">
        <v>522</v>
      </c>
      <c r="AJ9" s="228" t="s">
        <v>545</v>
      </c>
      <c r="AK9" s="228" t="s">
        <v>216</v>
      </c>
      <c r="AL9" s="228" t="s">
        <v>546</v>
      </c>
      <c r="AM9" s="228" t="s">
        <v>546</v>
      </c>
      <c r="AN9" s="228" t="s">
        <v>547</v>
      </c>
      <c r="AO9" s="228" t="s">
        <v>548</v>
      </c>
      <c r="AP9" s="228">
        <v>1992</v>
      </c>
      <c r="AQ9" s="228">
        <v>2006</v>
      </c>
      <c r="AR9" s="228">
        <v>2015</v>
      </c>
      <c r="AS9" s="228" t="s">
        <v>549</v>
      </c>
      <c r="AT9" s="228">
        <v>1992</v>
      </c>
      <c r="AU9" s="228">
        <v>2006</v>
      </c>
      <c r="AV9" s="228">
        <v>2015</v>
      </c>
      <c r="AW9" s="228" t="s">
        <v>549</v>
      </c>
      <c r="AX9" s="228" t="s">
        <v>550</v>
      </c>
      <c r="AY9" s="318" t="s">
        <v>551</v>
      </c>
      <c r="AZ9" s="318" t="s">
        <v>552</v>
      </c>
      <c r="BA9" s="318" t="s">
        <v>553</v>
      </c>
      <c r="BB9" s="318" t="s">
        <v>554</v>
      </c>
      <c r="BC9" s="318" t="s">
        <v>555</v>
      </c>
      <c r="BD9" s="318" t="s">
        <v>500</v>
      </c>
      <c r="BE9" s="318" t="s">
        <v>556</v>
      </c>
      <c r="BF9" s="318" t="s">
        <v>556</v>
      </c>
      <c r="BG9" s="318" t="s">
        <v>532</v>
      </c>
      <c r="BH9" s="318" t="s">
        <v>557</v>
      </c>
      <c r="BI9" s="318" t="s">
        <v>522</v>
      </c>
      <c r="BJ9" s="318" t="s">
        <v>558</v>
      </c>
      <c r="BK9" s="318" t="s">
        <v>375</v>
      </c>
      <c r="BL9" s="318" t="s">
        <v>216</v>
      </c>
      <c r="BM9" s="318" t="s">
        <v>559</v>
      </c>
      <c r="BN9" s="318" t="s">
        <v>522</v>
      </c>
      <c r="BO9" s="318" t="s">
        <v>558</v>
      </c>
      <c r="BP9" s="318" t="s">
        <v>375</v>
      </c>
      <c r="BQ9" s="318" t="s">
        <v>216</v>
      </c>
      <c r="BR9" s="318" t="s">
        <v>560</v>
      </c>
      <c r="BS9" s="228" t="s">
        <v>560</v>
      </c>
      <c r="BT9" s="228" t="s">
        <v>561</v>
      </c>
      <c r="BU9" s="228" t="s">
        <v>562</v>
      </c>
      <c r="BV9" s="228" t="s">
        <v>563</v>
      </c>
      <c r="BW9" s="228" t="s">
        <v>564</v>
      </c>
      <c r="BX9" s="228" t="s">
        <v>565</v>
      </c>
      <c r="BY9" s="228" t="s">
        <v>566</v>
      </c>
      <c r="BZ9" s="228" t="s">
        <v>567</v>
      </c>
      <c r="CA9" s="228" t="s">
        <v>568</v>
      </c>
      <c r="CB9" s="228" t="s">
        <v>569</v>
      </c>
      <c r="CC9" s="228" t="s">
        <v>570</v>
      </c>
      <c r="CD9" s="228" t="s">
        <v>571</v>
      </c>
      <c r="CE9" s="228" t="s">
        <v>572</v>
      </c>
      <c r="CF9" s="228" t="s">
        <v>567</v>
      </c>
      <c r="CG9" s="228" t="s">
        <v>568</v>
      </c>
      <c r="CH9" s="228" t="s">
        <v>569</v>
      </c>
      <c r="CI9" s="228" t="s">
        <v>570</v>
      </c>
      <c r="CJ9" s="228" t="s">
        <v>571</v>
      </c>
      <c r="CK9" s="228" t="s">
        <v>572</v>
      </c>
      <c r="CL9" s="228" t="s">
        <v>573</v>
      </c>
      <c r="CM9" s="228" t="s">
        <v>574</v>
      </c>
      <c r="CN9" s="228" t="s">
        <v>375</v>
      </c>
      <c r="CO9" s="228" t="s">
        <v>575</v>
      </c>
      <c r="CP9" s="228" t="s">
        <v>576</v>
      </c>
      <c r="CQ9" s="228" t="s">
        <v>577</v>
      </c>
      <c r="CR9" s="228" t="s">
        <v>578</v>
      </c>
      <c r="CS9" s="228" t="s">
        <v>576</v>
      </c>
      <c r="CT9" s="228" t="s">
        <v>579</v>
      </c>
      <c r="CU9" s="228" t="s">
        <v>580</v>
      </c>
      <c r="CV9" s="228" t="s">
        <v>581</v>
      </c>
      <c r="CW9" s="228" t="s">
        <v>582</v>
      </c>
      <c r="CX9" s="228"/>
    </row>
    <row r="10" spans="1:102" ht="11.25" customHeight="1" x14ac:dyDescent="0.2">
      <c r="C10" s="232"/>
      <c r="D10" s="228" t="s">
        <v>170</v>
      </c>
      <c r="E10" s="228" t="s">
        <v>368</v>
      </c>
      <c r="F10" s="228" t="s">
        <v>367</v>
      </c>
      <c r="G10" s="228" t="s">
        <v>583</v>
      </c>
      <c r="H10" s="228" t="s">
        <v>321</v>
      </c>
      <c r="I10" s="326" t="s">
        <v>366</v>
      </c>
      <c r="J10" s="233" t="s">
        <v>364</v>
      </c>
      <c r="K10" s="233" t="s">
        <v>364</v>
      </c>
      <c r="L10" s="233" t="s">
        <v>364</v>
      </c>
      <c r="M10" s="233" t="s">
        <v>584</v>
      </c>
      <c r="N10" s="233" t="s">
        <v>365</v>
      </c>
      <c r="O10" s="228" t="s">
        <v>364</v>
      </c>
      <c r="P10" s="228" t="s">
        <v>537</v>
      </c>
      <c r="Q10" s="228" t="s">
        <v>364</v>
      </c>
      <c r="R10" s="228" t="s">
        <v>364</v>
      </c>
      <c r="S10" s="320" t="s">
        <v>585</v>
      </c>
      <c r="T10" s="320" t="s">
        <v>585</v>
      </c>
      <c r="U10" s="320" t="s">
        <v>585</v>
      </c>
      <c r="V10" s="320" t="s">
        <v>585</v>
      </c>
      <c r="W10" s="320" t="s">
        <v>585</v>
      </c>
      <c r="X10" s="320" t="s">
        <v>585</v>
      </c>
      <c r="Y10" s="320" t="s">
        <v>586</v>
      </c>
      <c r="Z10" s="320" t="s">
        <v>216</v>
      </c>
      <c r="AA10" s="248"/>
      <c r="AB10" s="233" t="s">
        <v>585</v>
      </c>
      <c r="AC10" s="233" t="s">
        <v>585</v>
      </c>
      <c r="AD10" s="233" t="s">
        <v>585</v>
      </c>
      <c r="AE10" s="233" t="s">
        <v>585</v>
      </c>
      <c r="AF10" s="233" t="s">
        <v>586</v>
      </c>
      <c r="AG10" s="320" t="s">
        <v>216</v>
      </c>
      <c r="AH10" s="248"/>
      <c r="AI10" s="228" t="s">
        <v>587</v>
      </c>
      <c r="AJ10" s="228" t="s">
        <v>587</v>
      </c>
      <c r="AK10" s="228" t="s">
        <v>588</v>
      </c>
      <c r="AL10" s="228" t="s">
        <v>589</v>
      </c>
      <c r="AM10" s="228" t="s">
        <v>590</v>
      </c>
      <c r="AN10" s="228" t="s">
        <v>591</v>
      </c>
      <c r="AO10" s="228" t="s">
        <v>591</v>
      </c>
      <c r="AP10" s="228" t="s">
        <v>592</v>
      </c>
      <c r="AQ10" s="228" t="s">
        <v>592</v>
      </c>
      <c r="AR10" s="228" t="s">
        <v>592</v>
      </c>
      <c r="AS10" s="228" t="s">
        <v>592</v>
      </c>
      <c r="AT10" s="228" t="s">
        <v>592</v>
      </c>
      <c r="AU10" s="228" t="s">
        <v>592</v>
      </c>
      <c r="AV10" s="228" t="s">
        <v>592</v>
      </c>
      <c r="AW10" s="228" t="s">
        <v>592</v>
      </c>
      <c r="AX10" s="228" t="s">
        <v>586</v>
      </c>
      <c r="AY10" s="318" t="s">
        <v>586</v>
      </c>
      <c r="AZ10" s="318" t="s">
        <v>587</v>
      </c>
      <c r="BA10" s="318" t="s">
        <v>587</v>
      </c>
      <c r="BB10" s="318" t="s">
        <v>593</v>
      </c>
      <c r="BC10" s="318" t="s">
        <v>593</v>
      </c>
      <c r="BD10" s="318" t="s">
        <v>593</v>
      </c>
      <c r="BE10" s="318" t="s">
        <v>593</v>
      </c>
      <c r="BF10" s="318" t="s">
        <v>593</v>
      </c>
      <c r="BG10" s="318" t="s">
        <v>366</v>
      </c>
      <c r="BH10" s="318" t="s">
        <v>366</v>
      </c>
      <c r="BI10" s="327" t="s">
        <v>594</v>
      </c>
      <c r="BJ10" s="327" t="s">
        <v>594</v>
      </c>
      <c r="BK10" s="318" t="s">
        <v>512</v>
      </c>
      <c r="BL10" s="318" t="s">
        <v>512</v>
      </c>
      <c r="BM10" s="318" t="s">
        <v>595</v>
      </c>
      <c r="BN10" s="318" t="s">
        <v>502</v>
      </c>
      <c r="BO10" s="318" t="s">
        <v>502</v>
      </c>
      <c r="BP10" s="318" t="s">
        <v>502</v>
      </c>
      <c r="BQ10" s="318" t="s">
        <v>502</v>
      </c>
      <c r="BR10" s="318" t="s">
        <v>596</v>
      </c>
      <c r="BS10" s="228" t="s">
        <v>597</v>
      </c>
      <c r="BT10" s="228" t="s">
        <v>598</v>
      </c>
      <c r="BU10" s="228" t="s">
        <v>599</v>
      </c>
      <c r="BV10" s="228" t="s">
        <v>512</v>
      </c>
      <c r="BW10" s="228" t="s">
        <v>600</v>
      </c>
      <c r="BX10" s="228" t="s">
        <v>601</v>
      </c>
      <c r="BY10" s="228" t="s">
        <v>602</v>
      </c>
      <c r="BZ10" s="228" t="s">
        <v>603</v>
      </c>
      <c r="CA10" s="228" t="s">
        <v>604</v>
      </c>
      <c r="CB10" s="228" t="s">
        <v>605</v>
      </c>
      <c r="CC10" s="228" t="s">
        <v>606</v>
      </c>
      <c r="CD10" s="228" t="s">
        <v>607</v>
      </c>
      <c r="CE10" s="228" t="s">
        <v>512</v>
      </c>
      <c r="CF10" s="228" t="s">
        <v>603</v>
      </c>
      <c r="CG10" s="228" t="s">
        <v>604</v>
      </c>
      <c r="CH10" s="228" t="s">
        <v>605</v>
      </c>
      <c r="CI10" s="228" t="s">
        <v>606</v>
      </c>
      <c r="CJ10" s="228" t="s">
        <v>607</v>
      </c>
      <c r="CK10" s="228" t="s">
        <v>512</v>
      </c>
      <c r="CL10" s="228" t="s">
        <v>608</v>
      </c>
      <c r="CM10" s="228" t="s">
        <v>597</v>
      </c>
      <c r="CN10" s="228" t="s">
        <v>597</v>
      </c>
      <c r="CO10" s="228" t="s">
        <v>608</v>
      </c>
      <c r="CP10" s="228" t="s">
        <v>609</v>
      </c>
      <c r="CQ10" s="228" t="s">
        <v>610</v>
      </c>
      <c r="CR10" s="228" t="s">
        <v>610</v>
      </c>
      <c r="CS10" s="228" t="s">
        <v>611</v>
      </c>
      <c r="CT10" s="228" t="s">
        <v>612</v>
      </c>
      <c r="CU10" s="228" t="s">
        <v>577</v>
      </c>
      <c r="CV10" s="228" t="s">
        <v>613</v>
      </c>
      <c r="CW10" s="228" t="s">
        <v>613</v>
      </c>
      <c r="CX10" s="228" t="s">
        <v>614</v>
      </c>
    </row>
    <row r="11" spans="1:102" ht="11.25" customHeight="1" x14ac:dyDescent="0.2">
      <c r="C11" s="227"/>
      <c r="D11" s="328">
        <v>-66</v>
      </c>
      <c r="E11" s="328">
        <v>-67</v>
      </c>
      <c r="F11" s="328">
        <v>-68</v>
      </c>
      <c r="G11" s="328">
        <v>-69</v>
      </c>
      <c r="H11" s="328">
        <v>-70</v>
      </c>
      <c r="I11" s="328">
        <v>-71</v>
      </c>
      <c r="J11" s="328">
        <v>-72</v>
      </c>
      <c r="K11" s="328">
        <v>-73</v>
      </c>
      <c r="L11" s="328">
        <v>-74</v>
      </c>
      <c r="M11" s="328">
        <v>-75</v>
      </c>
      <c r="N11" s="328">
        <v>-76</v>
      </c>
      <c r="O11" s="328">
        <v>-77</v>
      </c>
      <c r="P11" s="328">
        <v>-78</v>
      </c>
      <c r="Q11" s="328">
        <v>-79</v>
      </c>
      <c r="R11" s="328">
        <v>-80</v>
      </c>
      <c r="S11" s="328">
        <v>-81</v>
      </c>
      <c r="T11" s="329">
        <v>-82</v>
      </c>
      <c r="U11" s="329">
        <v>-83</v>
      </c>
      <c r="V11" s="329">
        <v>-84</v>
      </c>
      <c r="W11" s="329">
        <v>-85</v>
      </c>
      <c r="X11" s="329">
        <v>-86</v>
      </c>
      <c r="Y11" s="329">
        <v>-87</v>
      </c>
      <c r="Z11" s="329">
        <v>-88</v>
      </c>
      <c r="AA11" s="300"/>
      <c r="AB11" s="330">
        <v>-89</v>
      </c>
      <c r="AC11" s="330">
        <v>-90</v>
      </c>
      <c r="AD11" s="330">
        <v>-91</v>
      </c>
      <c r="AE11" s="330">
        <v>-92</v>
      </c>
      <c r="AF11" s="330">
        <v>-93</v>
      </c>
      <c r="AG11" s="329">
        <v>-94</v>
      </c>
      <c r="AH11" s="300"/>
      <c r="AI11" s="331">
        <v>-95</v>
      </c>
      <c r="AJ11" s="328">
        <v>-96</v>
      </c>
      <c r="AK11" s="328">
        <v>-97</v>
      </c>
      <c r="AL11" s="332">
        <v>-98</v>
      </c>
      <c r="AM11" s="332">
        <v>-99</v>
      </c>
      <c r="AN11" s="332">
        <v>-100</v>
      </c>
      <c r="AO11" s="332">
        <v>-101</v>
      </c>
      <c r="AP11" s="328">
        <v>-102</v>
      </c>
      <c r="AQ11" s="328">
        <v>-103</v>
      </c>
      <c r="AR11" s="328">
        <v>-104</v>
      </c>
      <c r="AS11" s="328">
        <v>-105</v>
      </c>
      <c r="AT11" s="328">
        <v>-106</v>
      </c>
      <c r="AU11" s="328">
        <v>-107</v>
      </c>
      <c r="AV11" s="328">
        <v>-108</v>
      </c>
      <c r="AW11" s="328">
        <v>-109</v>
      </c>
      <c r="AX11" s="328">
        <v>-110</v>
      </c>
      <c r="AY11" s="328">
        <v>-111</v>
      </c>
      <c r="AZ11" s="328">
        <v>-112</v>
      </c>
      <c r="BA11" s="328">
        <v>-113</v>
      </c>
      <c r="BB11" s="328">
        <v>-114</v>
      </c>
      <c r="BC11" s="328">
        <v>-115</v>
      </c>
      <c r="BD11" s="328">
        <v>-116</v>
      </c>
      <c r="BE11" s="328">
        <v>-117</v>
      </c>
      <c r="BF11" s="328">
        <v>-118</v>
      </c>
      <c r="BG11" s="328">
        <v>-119</v>
      </c>
      <c r="BH11" s="328">
        <v>-120</v>
      </c>
      <c r="BI11" s="328">
        <v>-121</v>
      </c>
      <c r="BJ11" s="328">
        <v>-122</v>
      </c>
      <c r="BK11" s="328">
        <v>-123</v>
      </c>
      <c r="BL11" s="328">
        <v>-124</v>
      </c>
      <c r="BM11" s="328">
        <v>-125</v>
      </c>
      <c r="BN11" s="328">
        <v>-126</v>
      </c>
      <c r="BO11" s="328">
        <v>-127</v>
      </c>
      <c r="BP11" s="328">
        <v>-128</v>
      </c>
      <c r="BQ11" s="332">
        <v>-129</v>
      </c>
      <c r="BR11" s="328">
        <v>-130</v>
      </c>
      <c r="BS11" s="328">
        <v>-131</v>
      </c>
      <c r="BT11" s="328">
        <v>-132</v>
      </c>
      <c r="BU11" s="328">
        <v>-133</v>
      </c>
      <c r="BV11" s="328">
        <v>-134</v>
      </c>
      <c r="BW11" s="328">
        <v>-135</v>
      </c>
      <c r="BX11" s="328">
        <v>-136</v>
      </c>
      <c r="BY11" s="328">
        <v>-137</v>
      </c>
      <c r="BZ11" s="328">
        <v>-138</v>
      </c>
      <c r="CA11" s="328">
        <v>-139</v>
      </c>
      <c r="CB11" s="328">
        <v>-140</v>
      </c>
      <c r="CC11" s="328">
        <v>-141</v>
      </c>
      <c r="CD11" s="328">
        <v>-142</v>
      </c>
      <c r="CE11" s="328">
        <v>-143</v>
      </c>
      <c r="CF11" s="328">
        <v>-144</v>
      </c>
      <c r="CG11" s="328">
        <v>-145</v>
      </c>
      <c r="CH11" s="328">
        <v>-146</v>
      </c>
      <c r="CI11" s="328">
        <v>-147</v>
      </c>
      <c r="CJ11" s="328">
        <v>-148</v>
      </c>
      <c r="CK11" s="328">
        <v>-149</v>
      </c>
      <c r="CL11" s="328">
        <v>-150</v>
      </c>
      <c r="CM11" s="328">
        <v>-151</v>
      </c>
      <c r="CN11" s="328">
        <v>-152</v>
      </c>
      <c r="CO11" s="328">
        <v>-153</v>
      </c>
      <c r="CP11" s="328">
        <v>-154</v>
      </c>
      <c r="CQ11" s="328">
        <v>-155</v>
      </c>
      <c r="CR11" s="328">
        <v>-156</v>
      </c>
      <c r="CS11" s="328">
        <v>-157</v>
      </c>
      <c r="CT11" s="328">
        <v>-158</v>
      </c>
      <c r="CU11" s="328">
        <v>-159</v>
      </c>
      <c r="CV11" s="328">
        <v>-160</v>
      </c>
      <c r="CW11" s="328">
        <v>-161</v>
      </c>
      <c r="CX11" s="328">
        <v>-162</v>
      </c>
    </row>
    <row r="12" spans="1:102" ht="11.25" customHeight="1" x14ac:dyDescent="0.2">
      <c r="A12" s="207" t="s">
        <v>361</v>
      </c>
      <c r="B12" s="207" t="s">
        <v>160</v>
      </c>
      <c r="C12" s="222" t="s">
        <v>159</v>
      </c>
      <c r="D12" s="222"/>
      <c r="E12" s="222"/>
      <c r="F12" s="222"/>
      <c r="G12" s="222"/>
      <c r="H12" s="222"/>
      <c r="I12" s="222"/>
      <c r="J12" s="222"/>
      <c r="K12" s="222"/>
      <c r="L12" s="222"/>
      <c r="M12" s="222"/>
      <c r="N12" s="222"/>
      <c r="O12" s="222"/>
      <c r="P12" s="222"/>
      <c r="Q12" s="222"/>
      <c r="R12" s="222"/>
      <c r="S12" s="221" t="s">
        <v>615</v>
      </c>
      <c r="T12" s="221" t="s">
        <v>615</v>
      </c>
      <c r="U12" s="221" t="s">
        <v>615</v>
      </c>
      <c r="V12" s="221" t="s">
        <v>615</v>
      </c>
      <c r="W12" s="221" t="s">
        <v>615</v>
      </c>
      <c r="X12" s="221" t="s">
        <v>615</v>
      </c>
      <c r="Y12" s="221" t="s">
        <v>615</v>
      </c>
      <c r="Z12" s="221" t="s">
        <v>615</v>
      </c>
      <c r="AA12" s="221" t="s">
        <v>616</v>
      </c>
      <c r="AB12" s="221" t="s">
        <v>615</v>
      </c>
      <c r="AC12" s="221" t="s">
        <v>615</v>
      </c>
      <c r="AD12" s="221" t="s">
        <v>615</v>
      </c>
      <c r="AE12" s="221" t="s">
        <v>615</v>
      </c>
      <c r="AF12" s="221" t="s">
        <v>615</v>
      </c>
      <c r="AG12" s="221" t="s">
        <v>615</v>
      </c>
      <c r="AH12" s="221" t="s">
        <v>616</v>
      </c>
      <c r="AI12" s="221" t="s">
        <v>615</v>
      </c>
      <c r="AJ12" s="221" t="s">
        <v>615</v>
      </c>
      <c r="AK12" s="221" t="s">
        <v>615</v>
      </c>
      <c r="AL12" s="221"/>
      <c r="AM12" s="221"/>
      <c r="AN12" s="221"/>
      <c r="AO12" s="221"/>
      <c r="AP12" s="221"/>
      <c r="AQ12" s="221"/>
      <c r="AR12" s="221"/>
      <c r="AS12" s="221"/>
      <c r="AT12" s="221"/>
      <c r="AU12" s="221"/>
      <c r="AV12" s="221"/>
      <c r="AW12" s="221"/>
      <c r="AX12" s="221" t="s">
        <v>617</v>
      </c>
      <c r="AY12" s="221" t="s">
        <v>617</v>
      </c>
      <c r="AZ12" s="221" t="s">
        <v>617</v>
      </c>
      <c r="BA12" s="221" t="s">
        <v>617</v>
      </c>
      <c r="BB12" s="221" t="s">
        <v>617</v>
      </c>
      <c r="BC12" s="221" t="s">
        <v>617</v>
      </c>
      <c r="BD12" s="221" t="s">
        <v>617</v>
      </c>
      <c r="BE12" s="221" t="s">
        <v>617</v>
      </c>
      <c r="BF12" s="221" t="s">
        <v>617</v>
      </c>
      <c r="BG12" s="221" t="s">
        <v>617</v>
      </c>
      <c r="BH12" s="221" t="s">
        <v>617</v>
      </c>
      <c r="BI12" s="221" t="s">
        <v>617</v>
      </c>
      <c r="BJ12" s="221" t="s">
        <v>617</v>
      </c>
      <c r="BK12" s="221" t="s">
        <v>617</v>
      </c>
      <c r="BL12" s="221" t="s">
        <v>617</v>
      </c>
      <c r="BM12" s="221" t="s">
        <v>617</v>
      </c>
      <c r="BN12" s="221" t="s">
        <v>617</v>
      </c>
      <c r="BO12" s="221" t="s">
        <v>617</v>
      </c>
      <c r="BP12" s="221" t="s">
        <v>617</v>
      </c>
      <c r="BQ12" s="221" t="s">
        <v>617</v>
      </c>
      <c r="BR12" s="221" t="s">
        <v>617</v>
      </c>
      <c r="BS12" s="221" t="s">
        <v>617</v>
      </c>
      <c r="BT12" s="221" t="s">
        <v>617</v>
      </c>
      <c r="BU12" s="221" t="s">
        <v>617</v>
      </c>
      <c r="BV12" s="221" t="s">
        <v>617</v>
      </c>
      <c r="BW12" s="221" t="s">
        <v>617</v>
      </c>
      <c r="BX12" s="221" t="s">
        <v>618</v>
      </c>
      <c r="BY12" s="221" t="s">
        <v>617</v>
      </c>
      <c r="BZ12" s="221" t="s">
        <v>617</v>
      </c>
      <c r="CA12" s="221" t="s">
        <v>617</v>
      </c>
      <c r="CB12" s="221" t="s">
        <v>617</v>
      </c>
      <c r="CC12" s="221" t="s">
        <v>617</v>
      </c>
      <c r="CD12" s="221" t="s">
        <v>617</v>
      </c>
      <c r="CE12" s="221" t="s">
        <v>617</v>
      </c>
      <c r="CF12" s="221" t="s">
        <v>618</v>
      </c>
      <c r="CG12" s="221" t="s">
        <v>618</v>
      </c>
      <c r="CH12" s="221" t="s">
        <v>618</v>
      </c>
      <c r="CI12" s="221" t="s">
        <v>618</v>
      </c>
      <c r="CJ12" s="221" t="s">
        <v>618</v>
      </c>
      <c r="CK12" s="221" t="s">
        <v>618</v>
      </c>
      <c r="CL12" s="221" t="s">
        <v>617</v>
      </c>
      <c r="CM12" s="221" t="s">
        <v>617</v>
      </c>
      <c r="CN12" s="221" t="s">
        <v>617</v>
      </c>
      <c r="CO12" s="221" t="s">
        <v>617</v>
      </c>
      <c r="CP12" s="221" t="s">
        <v>617</v>
      </c>
      <c r="CQ12" s="221" t="s">
        <v>617</v>
      </c>
      <c r="CR12" s="221" t="s">
        <v>617</v>
      </c>
      <c r="CS12" s="221" t="s">
        <v>617</v>
      </c>
      <c r="CT12" s="221" t="s">
        <v>617</v>
      </c>
      <c r="CU12" s="221" t="s">
        <v>617</v>
      </c>
      <c r="CV12" s="221" t="s">
        <v>617</v>
      </c>
      <c r="CW12" s="221" t="s">
        <v>617</v>
      </c>
      <c r="CX12" s="221" t="s">
        <v>617</v>
      </c>
    </row>
    <row r="13" spans="1:102" ht="15" customHeight="1" x14ac:dyDescent="0.2">
      <c r="A13" s="220" t="s">
        <v>81</v>
      </c>
      <c r="B13" s="220" t="s">
        <v>109</v>
      </c>
      <c r="C13" s="219" t="s">
        <v>108</v>
      </c>
      <c r="D13" s="216">
        <v>2</v>
      </c>
      <c r="E13" s="216">
        <v>23</v>
      </c>
      <c r="F13" s="216">
        <v>6</v>
      </c>
      <c r="G13" s="216">
        <v>0</v>
      </c>
      <c r="H13" s="216">
        <v>31</v>
      </c>
      <c r="I13" s="216">
        <v>6</v>
      </c>
      <c r="J13" s="216">
        <v>44</v>
      </c>
      <c r="K13" s="216">
        <v>2</v>
      </c>
      <c r="L13" s="216">
        <v>44</v>
      </c>
      <c r="M13" s="216">
        <v>33</v>
      </c>
      <c r="N13" s="216">
        <v>6</v>
      </c>
      <c r="O13" s="216">
        <v>129</v>
      </c>
      <c r="P13" s="216">
        <v>70</v>
      </c>
      <c r="Q13" s="216">
        <v>8</v>
      </c>
      <c r="R13" s="216">
        <v>3</v>
      </c>
      <c r="S13" s="333">
        <v>2</v>
      </c>
      <c r="T13" s="333">
        <v>4</v>
      </c>
      <c r="U13" s="333">
        <v>8</v>
      </c>
      <c r="V13" s="333">
        <v>14</v>
      </c>
      <c r="W13" s="333">
        <v>33</v>
      </c>
      <c r="X13" s="333">
        <v>22</v>
      </c>
      <c r="Y13" s="333">
        <v>102</v>
      </c>
      <c r="Z13" s="333">
        <v>185</v>
      </c>
      <c r="AA13" s="216">
        <v>187</v>
      </c>
      <c r="AB13" s="333">
        <v>0</v>
      </c>
      <c r="AC13" s="333">
        <v>16</v>
      </c>
      <c r="AD13" s="333">
        <v>27</v>
      </c>
      <c r="AE13" s="333">
        <v>45</v>
      </c>
      <c r="AF13" s="333">
        <v>280</v>
      </c>
      <c r="AG13" s="333">
        <v>367</v>
      </c>
      <c r="AH13" s="216">
        <v>398</v>
      </c>
      <c r="AI13" s="333">
        <v>15</v>
      </c>
      <c r="AJ13" s="333">
        <v>132</v>
      </c>
      <c r="AK13" s="333">
        <v>699</v>
      </c>
      <c r="AL13" s="216">
        <v>346</v>
      </c>
      <c r="AM13" s="216">
        <v>350</v>
      </c>
      <c r="AN13" s="216">
        <v>13</v>
      </c>
      <c r="AO13" s="216">
        <v>1</v>
      </c>
      <c r="AP13" s="216">
        <v>36</v>
      </c>
      <c r="AQ13" s="216">
        <v>35</v>
      </c>
      <c r="AR13" s="216">
        <v>507</v>
      </c>
      <c r="AS13" s="216">
        <v>31</v>
      </c>
      <c r="AT13" s="216">
        <v>15</v>
      </c>
      <c r="AU13" s="216">
        <v>163</v>
      </c>
      <c r="AV13" s="216">
        <v>75</v>
      </c>
      <c r="AW13" s="216">
        <v>10</v>
      </c>
      <c r="AX13" s="216">
        <v>9044</v>
      </c>
      <c r="AY13" s="216">
        <v>4028</v>
      </c>
      <c r="AZ13" s="216">
        <v>680</v>
      </c>
      <c r="BA13" s="216">
        <v>1712</v>
      </c>
      <c r="BB13" s="216">
        <v>323</v>
      </c>
      <c r="BC13" s="216">
        <v>343</v>
      </c>
      <c r="BD13" s="216">
        <v>16130</v>
      </c>
      <c r="BE13" s="216">
        <v>1466</v>
      </c>
      <c r="BF13" s="216">
        <v>1342</v>
      </c>
      <c r="BG13" s="216">
        <v>817</v>
      </c>
      <c r="BH13" s="216">
        <v>2951</v>
      </c>
      <c r="BI13" s="216">
        <v>0</v>
      </c>
      <c r="BJ13" s="216">
        <v>0</v>
      </c>
      <c r="BK13" s="216">
        <v>0</v>
      </c>
      <c r="BL13" s="216">
        <v>22706</v>
      </c>
      <c r="BM13" s="216">
        <v>-250</v>
      </c>
      <c r="BN13" s="216">
        <v>0</v>
      </c>
      <c r="BO13" s="216">
        <v>0</v>
      </c>
      <c r="BP13" s="216">
        <v>-650</v>
      </c>
      <c r="BQ13" s="216">
        <v>-900</v>
      </c>
      <c r="BR13" s="216">
        <v>21806</v>
      </c>
      <c r="BS13" s="216">
        <v>900</v>
      </c>
      <c r="BT13" s="216">
        <v>0</v>
      </c>
      <c r="BU13" s="216">
        <v>22706</v>
      </c>
      <c r="BV13" s="216">
        <v>0</v>
      </c>
      <c r="BW13" s="216">
        <v>0</v>
      </c>
      <c r="BX13" s="333">
        <v>17.5</v>
      </c>
      <c r="BY13" s="216">
        <v>0</v>
      </c>
      <c r="BZ13" s="216">
        <v>1383</v>
      </c>
      <c r="CA13" s="216">
        <v>18372</v>
      </c>
      <c r="CB13" s="216">
        <v>0</v>
      </c>
      <c r="CC13" s="216">
        <v>2951</v>
      </c>
      <c r="CD13" s="216">
        <v>0</v>
      </c>
      <c r="CE13" s="216">
        <v>22706</v>
      </c>
      <c r="CF13" s="333" t="s">
        <v>3</v>
      </c>
      <c r="CG13" s="333" t="s">
        <v>3</v>
      </c>
      <c r="CH13" s="333" t="s">
        <v>3</v>
      </c>
      <c r="CI13" s="333" t="s">
        <v>3</v>
      </c>
      <c r="CJ13" s="333" t="s">
        <v>3</v>
      </c>
      <c r="CK13" s="333" t="s">
        <v>3</v>
      </c>
      <c r="CL13" s="216">
        <v>-1528</v>
      </c>
      <c r="CM13" s="216">
        <v>0</v>
      </c>
      <c r="CN13" s="216">
        <v>0</v>
      </c>
      <c r="CO13" s="216">
        <v>-1266</v>
      </c>
      <c r="CP13" s="216">
        <v>-34</v>
      </c>
      <c r="CQ13" s="216">
        <v>4582</v>
      </c>
      <c r="CR13" s="216">
        <v>1470</v>
      </c>
      <c r="CS13" s="216">
        <v>19</v>
      </c>
      <c r="CT13" s="216">
        <v>3243</v>
      </c>
      <c r="CU13" s="216">
        <v>0</v>
      </c>
      <c r="CV13" s="216">
        <v>0</v>
      </c>
      <c r="CW13" s="216">
        <v>0</v>
      </c>
      <c r="CX13" s="216">
        <v>93</v>
      </c>
    </row>
    <row r="14" spans="1:102" ht="15" customHeight="1" x14ac:dyDescent="0.2">
      <c r="A14" s="220" t="s">
        <v>81</v>
      </c>
      <c r="B14" s="220" t="s">
        <v>107</v>
      </c>
      <c r="C14" s="219" t="s">
        <v>106</v>
      </c>
      <c r="D14" s="216">
        <v>3</v>
      </c>
      <c r="E14" s="216">
        <v>30</v>
      </c>
      <c r="F14" s="216">
        <v>5</v>
      </c>
      <c r="G14" s="216">
        <v>0</v>
      </c>
      <c r="H14" s="216">
        <v>38</v>
      </c>
      <c r="I14" s="216">
        <v>0</v>
      </c>
      <c r="J14" s="216">
        <v>45</v>
      </c>
      <c r="K14" s="216">
        <v>2</v>
      </c>
      <c r="L14" s="216">
        <v>28</v>
      </c>
      <c r="M14" s="216">
        <v>44</v>
      </c>
      <c r="N14" s="216">
        <v>3</v>
      </c>
      <c r="O14" s="216">
        <v>122</v>
      </c>
      <c r="P14" s="216">
        <v>22</v>
      </c>
      <c r="Q14" s="216">
        <v>4</v>
      </c>
      <c r="R14" s="216">
        <v>3</v>
      </c>
      <c r="S14" s="333">
        <v>2</v>
      </c>
      <c r="T14" s="333">
        <v>3</v>
      </c>
      <c r="U14" s="333">
        <v>10</v>
      </c>
      <c r="V14" s="333">
        <v>16</v>
      </c>
      <c r="W14" s="333">
        <v>23</v>
      </c>
      <c r="X14" s="333">
        <v>28</v>
      </c>
      <c r="Y14" s="333">
        <v>117</v>
      </c>
      <c r="Z14" s="333">
        <v>199</v>
      </c>
      <c r="AA14" s="216">
        <v>205</v>
      </c>
      <c r="AB14" s="333">
        <v>0</v>
      </c>
      <c r="AC14" s="333">
        <v>0</v>
      </c>
      <c r="AD14" s="333">
        <v>9</v>
      </c>
      <c r="AE14" s="333">
        <v>67</v>
      </c>
      <c r="AF14" s="333">
        <v>244</v>
      </c>
      <c r="AG14" s="333">
        <v>320</v>
      </c>
      <c r="AH14" s="216">
        <v>363</v>
      </c>
      <c r="AI14" s="333" t="s">
        <v>619</v>
      </c>
      <c r="AJ14" s="333">
        <v>29</v>
      </c>
      <c r="AK14" s="333">
        <v>548</v>
      </c>
      <c r="AL14" s="216">
        <v>480</v>
      </c>
      <c r="AM14" s="216">
        <v>487</v>
      </c>
      <c r="AN14" s="216">
        <v>13</v>
      </c>
      <c r="AO14" s="216">
        <v>2</v>
      </c>
      <c r="AP14" s="216">
        <v>133</v>
      </c>
      <c r="AQ14" s="216">
        <v>15</v>
      </c>
      <c r="AR14" s="216">
        <v>308</v>
      </c>
      <c r="AS14" s="216">
        <v>61</v>
      </c>
      <c r="AT14" s="216">
        <v>38</v>
      </c>
      <c r="AU14" s="216">
        <v>158</v>
      </c>
      <c r="AV14" s="216">
        <v>51</v>
      </c>
      <c r="AW14" s="216">
        <v>32</v>
      </c>
      <c r="AX14" s="216">
        <v>9391</v>
      </c>
      <c r="AY14" s="216">
        <v>2481</v>
      </c>
      <c r="AZ14" s="216">
        <v>0</v>
      </c>
      <c r="BA14" s="216">
        <v>679</v>
      </c>
      <c r="BB14" s="216">
        <v>192</v>
      </c>
      <c r="BC14" s="216">
        <v>51</v>
      </c>
      <c r="BD14" s="216">
        <v>12794</v>
      </c>
      <c r="BE14" s="216">
        <v>15</v>
      </c>
      <c r="BF14" s="216">
        <v>954</v>
      </c>
      <c r="BG14" s="216">
        <v>817</v>
      </c>
      <c r="BH14" s="216">
        <v>5331</v>
      </c>
      <c r="BI14" s="216">
        <v>331</v>
      </c>
      <c r="BJ14" s="216">
        <v>0</v>
      </c>
      <c r="BK14" s="216">
        <v>0</v>
      </c>
      <c r="BL14" s="216">
        <v>20242</v>
      </c>
      <c r="BM14" s="216">
        <v>-6</v>
      </c>
      <c r="BN14" s="216">
        <v>0</v>
      </c>
      <c r="BO14" s="216">
        <v>0</v>
      </c>
      <c r="BP14" s="216">
        <v>-155</v>
      </c>
      <c r="BQ14" s="216">
        <v>-161</v>
      </c>
      <c r="BR14" s="216">
        <v>20081</v>
      </c>
      <c r="BS14" s="216">
        <v>1521</v>
      </c>
      <c r="BT14" s="216">
        <v>291</v>
      </c>
      <c r="BU14" s="216">
        <v>21893</v>
      </c>
      <c r="BV14" s="216">
        <v>0</v>
      </c>
      <c r="BW14" s="216">
        <v>0</v>
      </c>
      <c r="BX14" s="333">
        <v>14.9</v>
      </c>
      <c r="BY14" s="216">
        <v>0</v>
      </c>
      <c r="BZ14" s="216">
        <v>1173</v>
      </c>
      <c r="CA14" s="216">
        <v>20429</v>
      </c>
      <c r="CB14" s="216">
        <v>0</v>
      </c>
      <c r="CC14" s="216">
        <v>0</v>
      </c>
      <c r="CD14" s="216">
        <v>0</v>
      </c>
      <c r="CE14" s="216">
        <v>21602</v>
      </c>
      <c r="CF14" s="333">
        <v>24.381926683716966</v>
      </c>
      <c r="CG14" s="333">
        <v>24.59249106662098</v>
      </c>
      <c r="CH14" s="333">
        <v>0</v>
      </c>
      <c r="CI14" s="333">
        <v>0</v>
      </c>
      <c r="CJ14" s="333">
        <v>0</v>
      </c>
      <c r="CK14" s="333">
        <v>24.581057309508378</v>
      </c>
      <c r="CL14" s="216">
        <v>-1468.56</v>
      </c>
      <c r="CM14" s="216">
        <v>0</v>
      </c>
      <c r="CN14" s="216">
        <v>0</v>
      </c>
      <c r="CO14" s="216">
        <v>-1192.893</v>
      </c>
      <c r="CP14" s="216">
        <v>-9.2910000000000004</v>
      </c>
      <c r="CQ14" s="216">
        <v>6322.3010000000004</v>
      </c>
      <c r="CR14" s="216">
        <v>795.71500000000003</v>
      </c>
      <c r="CS14" s="216">
        <v>0</v>
      </c>
      <c r="CT14" s="216">
        <v>4447.2719999999999</v>
      </c>
      <c r="CU14" s="216">
        <v>0</v>
      </c>
      <c r="CV14" s="216">
        <v>50</v>
      </c>
      <c r="CW14" s="216">
        <v>0</v>
      </c>
      <c r="CX14" s="216">
        <v>0</v>
      </c>
    </row>
    <row r="15" spans="1:102" ht="15" customHeight="1" x14ac:dyDescent="0.2">
      <c r="A15" s="220" t="s">
        <v>81</v>
      </c>
      <c r="B15" s="220" t="s">
        <v>105</v>
      </c>
      <c r="C15" s="219" t="s">
        <v>104</v>
      </c>
      <c r="D15" s="216">
        <v>2</v>
      </c>
      <c r="E15" s="216">
        <v>16</v>
      </c>
      <c r="F15" s="216">
        <v>3</v>
      </c>
      <c r="G15" s="216">
        <v>0</v>
      </c>
      <c r="H15" s="216">
        <v>21</v>
      </c>
      <c r="I15" s="216">
        <v>5</v>
      </c>
      <c r="J15" s="216">
        <v>31</v>
      </c>
      <c r="K15" s="216">
        <v>2</v>
      </c>
      <c r="L15" s="216">
        <v>11</v>
      </c>
      <c r="M15" s="216">
        <v>24</v>
      </c>
      <c r="N15" s="216">
        <v>4</v>
      </c>
      <c r="O15" s="216">
        <v>72</v>
      </c>
      <c r="P15" s="216">
        <v>50</v>
      </c>
      <c r="Q15" s="216">
        <v>5</v>
      </c>
      <c r="R15" s="216">
        <v>3</v>
      </c>
      <c r="S15" s="333">
        <v>3</v>
      </c>
      <c r="T15" s="333">
        <v>4</v>
      </c>
      <c r="U15" s="333">
        <v>6</v>
      </c>
      <c r="V15" s="333">
        <v>12</v>
      </c>
      <c r="W15" s="333">
        <v>21</v>
      </c>
      <c r="X15" s="333">
        <v>26</v>
      </c>
      <c r="Y15" s="333">
        <v>103</v>
      </c>
      <c r="Z15" s="333">
        <v>175</v>
      </c>
      <c r="AA15" s="216">
        <v>176</v>
      </c>
      <c r="AB15" s="333">
        <v>0</v>
      </c>
      <c r="AC15" s="333">
        <v>0</v>
      </c>
      <c r="AD15" s="333">
        <v>15</v>
      </c>
      <c r="AE15" s="333">
        <v>34</v>
      </c>
      <c r="AF15" s="333">
        <v>131</v>
      </c>
      <c r="AG15" s="333">
        <v>180</v>
      </c>
      <c r="AH15" s="216">
        <v>226</v>
      </c>
      <c r="AI15" s="333">
        <v>21</v>
      </c>
      <c r="AJ15" s="333">
        <v>40</v>
      </c>
      <c r="AK15" s="333">
        <v>416</v>
      </c>
      <c r="AL15" s="216">
        <v>387</v>
      </c>
      <c r="AM15" s="216">
        <v>413</v>
      </c>
      <c r="AN15" s="216">
        <v>26</v>
      </c>
      <c r="AO15" s="216">
        <v>1</v>
      </c>
      <c r="AP15" s="216">
        <v>56</v>
      </c>
      <c r="AQ15" s="216">
        <v>11</v>
      </c>
      <c r="AR15" s="216">
        <v>311</v>
      </c>
      <c r="AS15" s="216">
        <v>14</v>
      </c>
      <c r="AT15" s="216">
        <v>31</v>
      </c>
      <c r="AU15" s="216">
        <v>185</v>
      </c>
      <c r="AV15" s="216">
        <v>80</v>
      </c>
      <c r="AW15" s="216">
        <v>14</v>
      </c>
      <c r="AX15" s="216">
        <v>8236</v>
      </c>
      <c r="AY15" s="216">
        <v>2078</v>
      </c>
      <c r="AZ15" s="216">
        <v>787</v>
      </c>
      <c r="BA15" s="216">
        <v>1082</v>
      </c>
      <c r="BB15" s="216">
        <v>624</v>
      </c>
      <c r="BC15" s="216">
        <v>169</v>
      </c>
      <c r="BD15" s="216">
        <v>12976</v>
      </c>
      <c r="BE15" s="216">
        <v>2404</v>
      </c>
      <c r="BF15" s="216">
        <v>1057</v>
      </c>
      <c r="BG15" s="216">
        <v>2122</v>
      </c>
      <c r="BH15" s="216">
        <v>468</v>
      </c>
      <c r="BI15" s="216">
        <v>0</v>
      </c>
      <c r="BJ15" s="216">
        <v>0</v>
      </c>
      <c r="BK15" s="216">
        <v>2120</v>
      </c>
      <c r="BL15" s="216">
        <v>21147</v>
      </c>
      <c r="BM15" s="216">
        <v>-5126</v>
      </c>
      <c r="BN15" s="216">
        <v>0</v>
      </c>
      <c r="BO15" s="216">
        <v>0</v>
      </c>
      <c r="BP15" s="216">
        <v>-750</v>
      </c>
      <c r="BQ15" s="216">
        <v>-5876</v>
      </c>
      <c r="BR15" s="216">
        <v>15271</v>
      </c>
      <c r="BS15" s="216">
        <v>3737</v>
      </c>
      <c r="BT15" s="216">
        <v>3939</v>
      </c>
      <c r="BU15" s="216">
        <v>22947</v>
      </c>
      <c r="BV15" s="216">
        <v>0</v>
      </c>
      <c r="BW15" s="216">
        <v>-40</v>
      </c>
      <c r="BX15" s="333">
        <v>29.9</v>
      </c>
      <c r="BY15" s="216">
        <v>0</v>
      </c>
      <c r="BZ15" s="216">
        <v>1068</v>
      </c>
      <c r="CA15" s="216">
        <v>17881</v>
      </c>
      <c r="CB15" s="216">
        <v>-141</v>
      </c>
      <c r="CC15" s="216">
        <v>200</v>
      </c>
      <c r="CD15" s="216">
        <v>0</v>
      </c>
      <c r="CE15" s="216">
        <v>19008</v>
      </c>
      <c r="CF15" s="333">
        <v>61.985018726591754</v>
      </c>
      <c r="CG15" s="333">
        <v>54.241932777808842</v>
      </c>
      <c r="CH15" s="333">
        <v>0</v>
      </c>
      <c r="CI15" s="333">
        <v>0</v>
      </c>
      <c r="CJ15" s="333">
        <v>0</v>
      </c>
      <c r="CK15" s="333">
        <v>54.508627946127945</v>
      </c>
      <c r="CL15" s="216">
        <v>-1296</v>
      </c>
      <c r="CM15" s="216">
        <v>0</v>
      </c>
      <c r="CN15" s="216">
        <v>0</v>
      </c>
      <c r="CO15" s="216">
        <v>-1046</v>
      </c>
      <c r="CP15" s="216">
        <v>0</v>
      </c>
      <c r="CQ15" s="216">
        <v>5360</v>
      </c>
      <c r="CR15" s="216">
        <v>2359</v>
      </c>
      <c r="CS15" s="216">
        <v>15</v>
      </c>
      <c r="CT15" s="216">
        <v>5392</v>
      </c>
      <c r="CU15" s="216">
        <v>142</v>
      </c>
      <c r="CV15" s="216">
        <v>4319</v>
      </c>
      <c r="CW15" s="216">
        <v>0</v>
      </c>
      <c r="CX15" s="216">
        <v>10</v>
      </c>
    </row>
    <row r="16" spans="1:102" ht="15" customHeight="1" x14ac:dyDescent="0.2">
      <c r="A16" s="220" t="s">
        <v>81</v>
      </c>
      <c r="B16" s="220" t="s">
        <v>103</v>
      </c>
      <c r="C16" s="219" t="s">
        <v>102</v>
      </c>
      <c r="D16" s="216">
        <v>13</v>
      </c>
      <c r="E16" s="216">
        <v>9</v>
      </c>
      <c r="F16" s="216">
        <v>7</v>
      </c>
      <c r="G16" s="216">
        <v>0</v>
      </c>
      <c r="H16" s="216">
        <v>29</v>
      </c>
      <c r="I16" s="216">
        <v>19</v>
      </c>
      <c r="J16" s="216">
        <v>40</v>
      </c>
      <c r="K16" s="216">
        <v>2</v>
      </c>
      <c r="L16" s="216">
        <v>2</v>
      </c>
      <c r="M16" s="216">
        <v>44</v>
      </c>
      <c r="N16" s="216">
        <v>6</v>
      </c>
      <c r="O16" s="216">
        <v>94</v>
      </c>
      <c r="P16" s="216">
        <v>53</v>
      </c>
      <c r="Q16" s="216">
        <v>6</v>
      </c>
      <c r="R16" s="216">
        <v>7</v>
      </c>
      <c r="S16" s="333">
        <v>4</v>
      </c>
      <c r="T16" s="333">
        <v>4</v>
      </c>
      <c r="U16" s="333">
        <v>8</v>
      </c>
      <c r="V16" s="333">
        <v>23</v>
      </c>
      <c r="W16" s="333">
        <v>68</v>
      </c>
      <c r="X16" s="333">
        <v>74</v>
      </c>
      <c r="Y16" s="333">
        <v>287</v>
      </c>
      <c r="Z16" s="333">
        <v>468</v>
      </c>
      <c r="AA16" s="216">
        <v>468</v>
      </c>
      <c r="AB16" s="333">
        <v>0</v>
      </c>
      <c r="AC16" s="333">
        <v>0</v>
      </c>
      <c r="AD16" s="333">
        <v>7</v>
      </c>
      <c r="AE16" s="333">
        <v>32</v>
      </c>
      <c r="AF16" s="333">
        <v>123</v>
      </c>
      <c r="AG16" s="333">
        <v>162</v>
      </c>
      <c r="AH16" s="216">
        <v>229</v>
      </c>
      <c r="AI16" s="333">
        <v>24</v>
      </c>
      <c r="AJ16" s="333">
        <v>135</v>
      </c>
      <c r="AK16" s="333">
        <v>788</v>
      </c>
      <c r="AL16" s="216">
        <v>657</v>
      </c>
      <c r="AM16" s="216">
        <v>671</v>
      </c>
      <c r="AN16" s="216">
        <v>21</v>
      </c>
      <c r="AO16" s="216">
        <v>0</v>
      </c>
      <c r="AP16" s="216">
        <v>106</v>
      </c>
      <c r="AQ16" s="216">
        <v>15</v>
      </c>
      <c r="AR16" s="216">
        <v>481</v>
      </c>
      <c r="AS16" s="216">
        <v>12</v>
      </c>
      <c r="AT16" s="216">
        <v>81</v>
      </c>
      <c r="AU16" s="216">
        <v>135</v>
      </c>
      <c r="AV16" s="216">
        <v>43</v>
      </c>
      <c r="AW16" s="216">
        <v>0</v>
      </c>
      <c r="AX16" s="216">
        <v>23310</v>
      </c>
      <c r="AY16" s="216">
        <v>1832</v>
      </c>
      <c r="AZ16" s="216">
        <v>1190</v>
      </c>
      <c r="BA16" s="216">
        <v>3523</v>
      </c>
      <c r="BB16" s="216">
        <v>287</v>
      </c>
      <c r="BC16" s="216">
        <v>120</v>
      </c>
      <c r="BD16" s="216">
        <v>30262</v>
      </c>
      <c r="BE16" s="216">
        <v>2808</v>
      </c>
      <c r="BF16" s="216">
        <v>1439</v>
      </c>
      <c r="BG16" s="216">
        <v>2762</v>
      </c>
      <c r="BH16" s="216">
        <v>2132</v>
      </c>
      <c r="BI16" s="216">
        <v>0</v>
      </c>
      <c r="BJ16" s="216">
        <v>0</v>
      </c>
      <c r="BK16" s="216">
        <v>0</v>
      </c>
      <c r="BL16" s="216">
        <v>39403</v>
      </c>
      <c r="BM16" s="216">
        <v>-358</v>
      </c>
      <c r="BN16" s="216">
        <v>0</v>
      </c>
      <c r="BO16" s="216">
        <v>0</v>
      </c>
      <c r="BP16" s="216">
        <v>-1958</v>
      </c>
      <c r="BQ16" s="216">
        <v>-2316</v>
      </c>
      <c r="BR16" s="216">
        <v>37087</v>
      </c>
      <c r="BS16" s="216">
        <v>2261</v>
      </c>
      <c r="BT16" s="216">
        <v>7711</v>
      </c>
      <c r="BU16" s="216">
        <v>47059</v>
      </c>
      <c r="BV16" s="216">
        <v>0</v>
      </c>
      <c r="BW16" s="216">
        <v>0</v>
      </c>
      <c r="BX16" s="333">
        <v>20.6</v>
      </c>
      <c r="BY16" s="216">
        <v>0</v>
      </c>
      <c r="BZ16" s="216">
        <v>2487</v>
      </c>
      <c r="CA16" s="216">
        <v>36935</v>
      </c>
      <c r="CB16" s="216">
        <v>0</v>
      </c>
      <c r="CC16" s="216">
        <v>-74</v>
      </c>
      <c r="CD16" s="216">
        <v>0</v>
      </c>
      <c r="CE16" s="216">
        <v>39348</v>
      </c>
      <c r="CF16" s="333">
        <v>24.607961399276238</v>
      </c>
      <c r="CG16" s="333">
        <v>11.130364153242182</v>
      </c>
      <c r="CH16" s="333">
        <v>0</v>
      </c>
      <c r="CI16" s="333">
        <v>100</v>
      </c>
      <c r="CJ16" s="333">
        <v>0</v>
      </c>
      <c r="CK16" s="333">
        <v>11.815085900172818</v>
      </c>
      <c r="CL16" s="216">
        <v>-2734</v>
      </c>
      <c r="CM16" s="216">
        <v>-41</v>
      </c>
      <c r="CN16" s="216">
        <v>0</v>
      </c>
      <c r="CO16" s="216">
        <v>-2167</v>
      </c>
      <c r="CP16" s="216">
        <v>-49</v>
      </c>
      <c r="CQ16" s="216">
        <v>10304</v>
      </c>
      <c r="CR16" s="216">
        <v>2610</v>
      </c>
      <c r="CS16" s="216">
        <v>0</v>
      </c>
      <c r="CT16" s="216">
        <v>7923</v>
      </c>
      <c r="CU16" s="216">
        <v>631</v>
      </c>
      <c r="CV16" s="216">
        <v>0</v>
      </c>
      <c r="CW16" s="216">
        <v>0</v>
      </c>
      <c r="CX16" s="216">
        <v>9</v>
      </c>
    </row>
    <row r="17" spans="1:102" ht="15" customHeight="1" x14ac:dyDescent="0.2">
      <c r="A17" s="220" t="s">
        <v>81</v>
      </c>
      <c r="B17" s="220" t="s">
        <v>101</v>
      </c>
      <c r="C17" s="219" t="s">
        <v>100</v>
      </c>
      <c r="D17" s="216">
        <v>1</v>
      </c>
      <c r="E17" s="216">
        <v>8</v>
      </c>
      <c r="F17" s="216">
        <v>1</v>
      </c>
      <c r="G17" s="216">
        <v>0</v>
      </c>
      <c r="H17" s="216">
        <v>10</v>
      </c>
      <c r="I17" s="216">
        <v>1</v>
      </c>
      <c r="J17" s="216">
        <v>16</v>
      </c>
      <c r="K17" s="216">
        <v>2</v>
      </c>
      <c r="L17" s="216">
        <v>2</v>
      </c>
      <c r="M17" s="216">
        <v>13</v>
      </c>
      <c r="N17" s="216">
        <v>6</v>
      </c>
      <c r="O17" s="216">
        <v>39</v>
      </c>
      <c r="P17" s="216">
        <v>16</v>
      </c>
      <c r="Q17" s="216">
        <v>2</v>
      </c>
      <c r="R17" s="216">
        <v>1</v>
      </c>
      <c r="S17" s="333">
        <v>0</v>
      </c>
      <c r="T17" s="333">
        <v>0</v>
      </c>
      <c r="U17" s="333">
        <v>3</v>
      </c>
      <c r="V17" s="333">
        <v>6</v>
      </c>
      <c r="W17" s="333">
        <v>15</v>
      </c>
      <c r="X17" s="333">
        <v>8</v>
      </c>
      <c r="Y17" s="333">
        <v>46</v>
      </c>
      <c r="Z17" s="333">
        <v>78</v>
      </c>
      <c r="AA17" s="216">
        <v>78</v>
      </c>
      <c r="AB17" s="333">
        <v>0</v>
      </c>
      <c r="AC17" s="333">
        <v>0</v>
      </c>
      <c r="AD17" s="333">
        <v>8</v>
      </c>
      <c r="AE17" s="333">
        <v>18</v>
      </c>
      <c r="AF17" s="333">
        <v>53</v>
      </c>
      <c r="AG17" s="333">
        <v>80</v>
      </c>
      <c r="AH17" s="216">
        <v>86</v>
      </c>
      <c r="AI17" s="333">
        <v>0</v>
      </c>
      <c r="AJ17" s="333">
        <v>17</v>
      </c>
      <c r="AK17" s="333">
        <v>175</v>
      </c>
      <c r="AL17" s="216">
        <v>110</v>
      </c>
      <c r="AM17" s="216">
        <v>111</v>
      </c>
      <c r="AN17" s="216">
        <v>3</v>
      </c>
      <c r="AO17" s="216">
        <v>0</v>
      </c>
      <c r="AP17" s="216">
        <v>21</v>
      </c>
      <c r="AQ17" s="216">
        <v>3</v>
      </c>
      <c r="AR17" s="216">
        <v>78</v>
      </c>
      <c r="AS17" s="216">
        <v>15</v>
      </c>
      <c r="AT17" s="216">
        <v>0</v>
      </c>
      <c r="AU17" s="216">
        <v>3</v>
      </c>
      <c r="AV17" s="216">
        <v>4</v>
      </c>
      <c r="AW17" s="216">
        <v>0</v>
      </c>
      <c r="AX17" s="216">
        <v>3759</v>
      </c>
      <c r="AY17" s="216">
        <v>717</v>
      </c>
      <c r="AZ17" s="216">
        <v>0</v>
      </c>
      <c r="BA17" s="216">
        <v>510</v>
      </c>
      <c r="BB17" s="216">
        <v>43</v>
      </c>
      <c r="BC17" s="216">
        <v>4</v>
      </c>
      <c r="BD17" s="216">
        <v>5033</v>
      </c>
      <c r="BE17" s="216">
        <v>339</v>
      </c>
      <c r="BF17" s="216">
        <v>199</v>
      </c>
      <c r="BG17" s="216">
        <v>661</v>
      </c>
      <c r="BH17" s="216">
        <v>412</v>
      </c>
      <c r="BI17" s="216">
        <v>200</v>
      </c>
      <c r="BJ17" s="216">
        <v>248</v>
      </c>
      <c r="BK17" s="216">
        <v>0</v>
      </c>
      <c r="BL17" s="216">
        <v>7092</v>
      </c>
      <c r="BM17" s="216">
        <v>-234</v>
      </c>
      <c r="BN17" s="216">
        <v>0</v>
      </c>
      <c r="BO17" s="216">
        <v>-366</v>
      </c>
      <c r="BP17" s="216">
        <v>-77</v>
      </c>
      <c r="BQ17" s="216">
        <v>-677</v>
      </c>
      <c r="BR17" s="216">
        <v>6415</v>
      </c>
      <c r="BS17" s="216">
        <v>692</v>
      </c>
      <c r="BT17" s="216">
        <v>-234</v>
      </c>
      <c r="BU17" s="216">
        <v>6873</v>
      </c>
      <c r="BV17" s="216">
        <v>0</v>
      </c>
      <c r="BW17" s="216">
        <v>0</v>
      </c>
      <c r="BX17" s="333">
        <v>23.5</v>
      </c>
      <c r="BY17" s="216">
        <v>0</v>
      </c>
      <c r="BZ17" s="216">
        <v>1609</v>
      </c>
      <c r="CA17" s="216">
        <v>5522</v>
      </c>
      <c r="CB17" s="216">
        <v>0</v>
      </c>
      <c r="CC17" s="216">
        <v>-24</v>
      </c>
      <c r="CD17" s="216">
        <v>0</v>
      </c>
      <c r="CE17" s="216">
        <v>7107</v>
      </c>
      <c r="CF17" s="333">
        <v>6.401491609695463</v>
      </c>
      <c r="CG17" s="333">
        <v>5.5957986236870694</v>
      </c>
      <c r="CH17" s="333">
        <v>0</v>
      </c>
      <c r="CI17" s="333">
        <v>0</v>
      </c>
      <c r="CJ17" s="333">
        <v>0</v>
      </c>
      <c r="CK17" s="333">
        <v>5.7971014492753623</v>
      </c>
      <c r="CL17" s="216">
        <v>-396</v>
      </c>
      <c r="CM17" s="216">
        <v>0</v>
      </c>
      <c r="CN17" s="216">
        <v>0</v>
      </c>
      <c r="CO17" s="216">
        <v>-342</v>
      </c>
      <c r="CP17" s="216">
        <v>0</v>
      </c>
      <c r="CQ17" s="216">
        <v>1583</v>
      </c>
      <c r="CR17" s="216">
        <v>226</v>
      </c>
      <c r="CS17" s="216">
        <v>0</v>
      </c>
      <c r="CT17" s="216">
        <v>1071</v>
      </c>
      <c r="CU17" s="216">
        <v>418</v>
      </c>
      <c r="CV17" s="216">
        <v>106</v>
      </c>
      <c r="CW17" s="216">
        <v>0</v>
      </c>
      <c r="CX17" s="216">
        <v>32</v>
      </c>
    </row>
    <row r="18" spans="1:102" ht="15" customHeight="1" x14ac:dyDescent="0.2">
      <c r="A18" s="220" t="s">
        <v>81</v>
      </c>
      <c r="B18" s="220" t="s">
        <v>99</v>
      </c>
      <c r="C18" s="219" t="s">
        <v>98</v>
      </c>
      <c r="D18" s="216">
        <v>0</v>
      </c>
      <c r="E18" s="216">
        <v>29</v>
      </c>
      <c r="F18" s="216">
        <v>9</v>
      </c>
      <c r="G18" s="216">
        <v>0</v>
      </c>
      <c r="H18" s="216">
        <v>38</v>
      </c>
      <c r="I18" s="216">
        <v>4</v>
      </c>
      <c r="J18" s="216">
        <v>48</v>
      </c>
      <c r="K18" s="216">
        <v>2</v>
      </c>
      <c r="L18" s="216">
        <v>37</v>
      </c>
      <c r="M18" s="216">
        <v>48</v>
      </c>
      <c r="N18" s="216">
        <v>7</v>
      </c>
      <c r="O18" s="216">
        <v>142</v>
      </c>
      <c r="P18" s="216">
        <v>45</v>
      </c>
      <c r="Q18" s="216">
        <v>5</v>
      </c>
      <c r="R18" s="216">
        <v>3</v>
      </c>
      <c r="S18" s="333">
        <v>3</v>
      </c>
      <c r="T18" s="333">
        <v>4</v>
      </c>
      <c r="U18" s="333">
        <v>10</v>
      </c>
      <c r="V18" s="333">
        <v>20</v>
      </c>
      <c r="W18" s="333">
        <v>38</v>
      </c>
      <c r="X18" s="333">
        <v>26</v>
      </c>
      <c r="Y18" s="333">
        <v>94</v>
      </c>
      <c r="Z18" s="333">
        <v>195</v>
      </c>
      <c r="AA18" s="216">
        <v>196</v>
      </c>
      <c r="AB18" s="333">
        <v>0</v>
      </c>
      <c r="AC18" s="333">
        <v>0</v>
      </c>
      <c r="AD18" s="333">
        <v>42</v>
      </c>
      <c r="AE18" s="333">
        <v>73</v>
      </c>
      <c r="AF18" s="333">
        <v>287</v>
      </c>
      <c r="AG18" s="333">
        <v>402</v>
      </c>
      <c r="AH18" s="216">
        <v>438</v>
      </c>
      <c r="AI18" s="333">
        <v>17</v>
      </c>
      <c r="AJ18" s="333">
        <v>49</v>
      </c>
      <c r="AK18" s="333">
        <v>664</v>
      </c>
      <c r="AL18" s="216">
        <v>322</v>
      </c>
      <c r="AM18" s="216">
        <v>322</v>
      </c>
      <c r="AN18" s="216">
        <v>10</v>
      </c>
      <c r="AO18" s="216">
        <v>0</v>
      </c>
      <c r="AP18" s="216">
        <v>59</v>
      </c>
      <c r="AQ18" s="216">
        <v>31</v>
      </c>
      <c r="AR18" s="216">
        <v>484</v>
      </c>
      <c r="AS18" s="216">
        <v>33</v>
      </c>
      <c r="AT18" s="216">
        <v>21</v>
      </c>
      <c r="AU18" s="216">
        <v>321</v>
      </c>
      <c r="AV18" s="216">
        <v>14</v>
      </c>
      <c r="AW18" s="216">
        <v>113</v>
      </c>
      <c r="AX18" s="216">
        <v>10207</v>
      </c>
      <c r="AY18" s="216">
        <v>4539</v>
      </c>
      <c r="AZ18" s="216">
        <v>690</v>
      </c>
      <c r="BA18" s="216">
        <v>1535</v>
      </c>
      <c r="BB18" s="216">
        <v>472</v>
      </c>
      <c r="BC18" s="216">
        <v>-1</v>
      </c>
      <c r="BD18" s="216">
        <v>17442</v>
      </c>
      <c r="BE18" s="216">
        <v>1305</v>
      </c>
      <c r="BF18" s="216">
        <v>1340</v>
      </c>
      <c r="BG18" s="216">
        <v>1903</v>
      </c>
      <c r="BH18" s="216">
        <v>3396</v>
      </c>
      <c r="BI18" s="216">
        <v>0</v>
      </c>
      <c r="BJ18" s="216">
        <v>0</v>
      </c>
      <c r="BK18" s="216">
        <v>0</v>
      </c>
      <c r="BL18" s="216">
        <v>25386</v>
      </c>
      <c r="BM18" s="216">
        <v>-1401</v>
      </c>
      <c r="BN18" s="216">
        <v>0</v>
      </c>
      <c r="BO18" s="216">
        <v>0</v>
      </c>
      <c r="BP18" s="216">
        <v>-1193</v>
      </c>
      <c r="BQ18" s="216">
        <v>-2594</v>
      </c>
      <c r="BR18" s="216">
        <v>22792</v>
      </c>
      <c r="BS18" s="216">
        <v>3611</v>
      </c>
      <c r="BT18" s="216">
        <v>2650</v>
      </c>
      <c r="BU18" s="216">
        <v>29053</v>
      </c>
      <c r="BV18" s="216" t="s">
        <v>3</v>
      </c>
      <c r="BW18" s="216">
        <v>-50</v>
      </c>
      <c r="BX18" s="333" t="s">
        <v>3</v>
      </c>
      <c r="BY18" s="216">
        <v>0</v>
      </c>
      <c r="BZ18" s="216">
        <v>1149</v>
      </c>
      <c r="CA18" s="216">
        <v>25254</v>
      </c>
      <c r="CB18" s="216">
        <v>0</v>
      </c>
      <c r="CC18" s="216">
        <v>0</v>
      </c>
      <c r="CD18" s="216">
        <v>0</v>
      </c>
      <c r="CE18" s="216">
        <v>26403</v>
      </c>
      <c r="CF18" s="333">
        <v>0</v>
      </c>
      <c r="CG18" s="333">
        <v>0</v>
      </c>
      <c r="CH18" s="333">
        <v>0</v>
      </c>
      <c r="CI18" s="333">
        <v>0</v>
      </c>
      <c r="CJ18" s="333">
        <v>0</v>
      </c>
      <c r="CK18" s="333">
        <v>0</v>
      </c>
      <c r="CL18" s="216">
        <v>-1711</v>
      </c>
      <c r="CM18" s="216">
        <v>0</v>
      </c>
      <c r="CN18" s="216">
        <v>-3</v>
      </c>
      <c r="CO18" s="216">
        <v>-1392</v>
      </c>
      <c r="CP18" s="216">
        <v>-97</v>
      </c>
      <c r="CQ18" s="216">
        <v>4896</v>
      </c>
      <c r="CR18" s="216">
        <v>1000</v>
      </c>
      <c r="CS18" s="216">
        <v>0</v>
      </c>
      <c r="CT18" s="216">
        <v>2693</v>
      </c>
      <c r="CU18" s="216">
        <v>0</v>
      </c>
      <c r="CV18" s="216">
        <v>150</v>
      </c>
      <c r="CW18" s="216">
        <v>0</v>
      </c>
      <c r="CX18" s="216">
        <v>0</v>
      </c>
    </row>
    <row r="19" spans="1:102" ht="15" customHeight="1" x14ac:dyDescent="0.2">
      <c r="A19" s="220" t="s">
        <v>81</v>
      </c>
      <c r="B19" s="220" t="s">
        <v>97</v>
      </c>
      <c r="C19" s="219" t="s">
        <v>96</v>
      </c>
      <c r="D19" s="216">
        <v>3</v>
      </c>
      <c r="E19" s="216">
        <v>34</v>
      </c>
      <c r="F19" s="216">
        <v>5</v>
      </c>
      <c r="G19" s="216">
        <v>0</v>
      </c>
      <c r="H19" s="216">
        <v>42</v>
      </c>
      <c r="I19" s="216">
        <v>11</v>
      </c>
      <c r="J19" s="216">
        <v>53</v>
      </c>
      <c r="K19" s="216">
        <v>3</v>
      </c>
      <c r="L19" s="216">
        <v>15</v>
      </c>
      <c r="M19" s="216">
        <v>46</v>
      </c>
      <c r="N19" s="216">
        <v>13</v>
      </c>
      <c r="O19" s="216">
        <v>130</v>
      </c>
      <c r="P19" s="216">
        <v>44</v>
      </c>
      <c r="Q19" s="216">
        <v>4</v>
      </c>
      <c r="R19" s="216">
        <v>5</v>
      </c>
      <c r="S19" s="333">
        <v>2</v>
      </c>
      <c r="T19" s="333">
        <v>4</v>
      </c>
      <c r="U19" s="333">
        <v>7</v>
      </c>
      <c r="V19" s="333">
        <v>23</v>
      </c>
      <c r="W19" s="333">
        <v>45</v>
      </c>
      <c r="X19" s="333">
        <v>39</v>
      </c>
      <c r="Y19" s="333">
        <v>147</v>
      </c>
      <c r="Z19" s="333">
        <v>267</v>
      </c>
      <c r="AA19" s="216">
        <v>267</v>
      </c>
      <c r="AB19" s="333">
        <v>0</v>
      </c>
      <c r="AC19" s="333">
        <v>0</v>
      </c>
      <c r="AD19" s="333">
        <v>40</v>
      </c>
      <c r="AE19" s="333">
        <v>78</v>
      </c>
      <c r="AF19" s="333">
        <v>321</v>
      </c>
      <c r="AG19" s="333">
        <v>439</v>
      </c>
      <c r="AH19" s="216">
        <v>471</v>
      </c>
      <c r="AI19" s="333">
        <v>25</v>
      </c>
      <c r="AJ19" s="333">
        <v>72</v>
      </c>
      <c r="AK19" s="333">
        <v>803</v>
      </c>
      <c r="AL19" s="216">
        <v>524</v>
      </c>
      <c r="AM19" s="216">
        <v>534</v>
      </c>
      <c r="AN19" s="216">
        <v>17</v>
      </c>
      <c r="AO19" s="216">
        <v>2</v>
      </c>
      <c r="AP19" s="216">
        <v>70</v>
      </c>
      <c r="AQ19" s="216">
        <v>22</v>
      </c>
      <c r="AR19" s="216">
        <v>479</v>
      </c>
      <c r="AS19" s="216">
        <v>8</v>
      </c>
      <c r="AT19" s="216">
        <v>51</v>
      </c>
      <c r="AU19" s="216">
        <v>146</v>
      </c>
      <c r="AV19" s="216">
        <v>49</v>
      </c>
      <c r="AW19" s="216">
        <v>11</v>
      </c>
      <c r="AX19" s="216">
        <v>12785</v>
      </c>
      <c r="AY19" s="216">
        <v>4540</v>
      </c>
      <c r="AZ19" s="216">
        <v>804</v>
      </c>
      <c r="BA19" s="216">
        <v>2263</v>
      </c>
      <c r="BB19" s="216">
        <v>340</v>
      </c>
      <c r="BC19" s="216">
        <v>1605</v>
      </c>
      <c r="BD19" s="216">
        <v>22337</v>
      </c>
      <c r="BE19" s="216">
        <v>1476</v>
      </c>
      <c r="BF19" s="216">
        <v>1605</v>
      </c>
      <c r="BG19" s="216">
        <v>2752</v>
      </c>
      <c r="BH19" s="216">
        <v>1322</v>
      </c>
      <c r="BI19" s="216">
        <v>0</v>
      </c>
      <c r="BJ19" s="216">
        <v>0</v>
      </c>
      <c r="BK19" s="216">
        <v>0</v>
      </c>
      <c r="BL19" s="216">
        <v>29492</v>
      </c>
      <c r="BM19" s="216">
        <v>-1136</v>
      </c>
      <c r="BN19" s="216">
        <v>0</v>
      </c>
      <c r="BO19" s="216">
        <v>0</v>
      </c>
      <c r="BP19" s="216">
        <v>-1308</v>
      </c>
      <c r="BQ19" s="216">
        <v>-2444</v>
      </c>
      <c r="BR19" s="216">
        <v>27048</v>
      </c>
      <c r="BS19" s="216">
        <v>1605</v>
      </c>
      <c r="BT19" s="216">
        <v>2</v>
      </c>
      <c r="BU19" s="216">
        <v>28655</v>
      </c>
      <c r="BV19" s="216">
        <v>0</v>
      </c>
      <c r="BW19" s="216">
        <v>0</v>
      </c>
      <c r="BX19" s="333" t="s">
        <v>3</v>
      </c>
      <c r="BY19" s="216">
        <v>0</v>
      </c>
      <c r="BZ19" s="216">
        <v>1197</v>
      </c>
      <c r="CA19" s="216">
        <v>25817</v>
      </c>
      <c r="CB19" s="216">
        <v>358</v>
      </c>
      <c r="CC19" s="216">
        <v>1281</v>
      </c>
      <c r="CD19" s="216">
        <v>0</v>
      </c>
      <c r="CE19" s="216">
        <v>28653</v>
      </c>
      <c r="CF19" s="333">
        <v>21.888053467000834</v>
      </c>
      <c r="CG19" s="333">
        <v>26.393461672541346</v>
      </c>
      <c r="CH19" s="333">
        <v>26.256983240223462</v>
      </c>
      <c r="CI19" s="333">
        <v>100</v>
      </c>
      <c r="CJ19" s="333">
        <v>0</v>
      </c>
      <c r="CK19" s="333">
        <v>29.494293791226049</v>
      </c>
      <c r="CL19" s="216">
        <v>-1867</v>
      </c>
      <c r="CM19" s="216">
        <v>-202</v>
      </c>
      <c r="CN19" s="216">
        <v>0</v>
      </c>
      <c r="CO19" s="216">
        <v>-1521</v>
      </c>
      <c r="CP19" s="216">
        <v>0</v>
      </c>
      <c r="CQ19" s="216">
        <v>6715</v>
      </c>
      <c r="CR19" s="216">
        <v>2220</v>
      </c>
      <c r="CS19" s="216">
        <v>0</v>
      </c>
      <c r="CT19" s="216">
        <v>5345</v>
      </c>
      <c r="CU19" s="216">
        <v>2</v>
      </c>
      <c r="CV19" s="216">
        <v>1563</v>
      </c>
      <c r="CW19" s="216">
        <v>0</v>
      </c>
      <c r="CX19" s="216">
        <v>48</v>
      </c>
    </row>
    <row r="20" spans="1:102" ht="15" customHeight="1" x14ac:dyDescent="0.2">
      <c r="A20" s="220" t="s">
        <v>81</v>
      </c>
      <c r="B20" s="220" t="s">
        <v>95</v>
      </c>
      <c r="C20" s="219" t="s">
        <v>94</v>
      </c>
      <c r="D20" s="216">
        <v>3</v>
      </c>
      <c r="E20" s="216">
        <v>14</v>
      </c>
      <c r="F20" s="216">
        <v>5</v>
      </c>
      <c r="G20" s="216">
        <v>0</v>
      </c>
      <c r="H20" s="216">
        <v>22</v>
      </c>
      <c r="I20" s="216">
        <v>3</v>
      </c>
      <c r="J20" s="216">
        <v>26</v>
      </c>
      <c r="K20" s="216">
        <v>2</v>
      </c>
      <c r="L20" s="216">
        <v>28</v>
      </c>
      <c r="M20" s="216">
        <v>36</v>
      </c>
      <c r="N20" s="216">
        <v>6</v>
      </c>
      <c r="O20" s="216">
        <v>98</v>
      </c>
      <c r="P20" s="216">
        <v>50</v>
      </c>
      <c r="Q20" s="216">
        <v>4</v>
      </c>
      <c r="R20" s="216">
        <v>3</v>
      </c>
      <c r="S20" s="333">
        <v>2</v>
      </c>
      <c r="T20" s="333">
        <v>5</v>
      </c>
      <c r="U20" s="333">
        <v>9</v>
      </c>
      <c r="V20" s="333">
        <v>17</v>
      </c>
      <c r="W20" s="333">
        <v>50</v>
      </c>
      <c r="X20" s="333">
        <v>30</v>
      </c>
      <c r="Y20" s="333">
        <v>122</v>
      </c>
      <c r="Z20" s="333">
        <v>235</v>
      </c>
      <c r="AA20" s="216">
        <v>241</v>
      </c>
      <c r="AB20" s="333">
        <v>0</v>
      </c>
      <c r="AC20" s="333">
        <v>0</v>
      </c>
      <c r="AD20" s="333">
        <v>8</v>
      </c>
      <c r="AE20" s="333">
        <v>25</v>
      </c>
      <c r="AF20" s="333">
        <v>117</v>
      </c>
      <c r="AG20" s="333">
        <v>149</v>
      </c>
      <c r="AH20" s="216">
        <v>196</v>
      </c>
      <c r="AI20" s="333">
        <v>13</v>
      </c>
      <c r="AJ20" s="333">
        <v>56</v>
      </c>
      <c r="AK20" s="333">
        <v>453</v>
      </c>
      <c r="AL20" s="216">
        <v>391</v>
      </c>
      <c r="AM20" s="216">
        <v>409</v>
      </c>
      <c r="AN20" s="216">
        <v>18</v>
      </c>
      <c r="AO20" s="216">
        <v>0</v>
      </c>
      <c r="AP20" s="216">
        <v>70</v>
      </c>
      <c r="AQ20" s="216">
        <v>62</v>
      </c>
      <c r="AR20" s="216">
        <v>245</v>
      </c>
      <c r="AS20" s="216">
        <v>0</v>
      </c>
      <c r="AT20" s="216">
        <v>24</v>
      </c>
      <c r="AU20" s="216">
        <v>76</v>
      </c>
      <c r="AV20" s="216">
        <v>91</v>
      </c>
      <c r="AW20" s="216">
        <v>7</v>
      </c>
      <c r="AX20" s="216">
        <v>12235</v>
      </c>
      <c r="AY20" s="216">
        <v>1705</v>
      </c>
      <c r="AZ20" s="216">
        <v>783</v>
      </c>
      <c r="BA20" s="216">
        <v>2023</v>
      </c>
      <c r="BB20" s="216">
        <v>564</v>
      </c>
      <c r="BC20" s="216">
        <v>54</v>
      </c>
      <c r="BD20" s="216">
        <v>17364</v>
      </c>
      <c r="BE20" s="216">
        <v>1070</v>
      </c>
      <c r="BF20" s="216">
        <v>635</v>
      </c>
      <c r="BG20" s="216">
        <v>3036</v>
      </c>
      <c r="BH20" s="216">
        <v>2263</v>
      </c>
      <c r="BI20" s="216">
        <v>0</v>
      </c>
      <c r="BJ20" s="216">
        <v>0</v>
      </c>
      <c r="BK20" s="216">
        <v>0</v>
      </c>
      <c r="BL20" s="216">
        <v>24368</v>
      </c>
      <c r="BM20" s="216">
        <v>-439</v>
      </c>
      <c r="BN20" s="216">
        <v>0</v>
      </c>
      <c r="BO20" s="216">
        <v>0</v>
      </c>
      <c r="BP20" s="216">
        <v>-392</v>
      </c>
      <c r="BQ20" s="216">
        <v>-831</v>
      </c>
      <c r="BR20" s="216">
        <v>23537</v>
      </c>
      <c r="BS20" s="216">
        <v>2292</v>
      </c>
      <c r="BT20" s="216">
        <v>-1938</v>
      </c>
      <c r="BU20" s="216">
        <v>23891</v>
      </c>
      <c r="BV20" s="216">
        <v>0</v>
      </c>
      <c r="BW20" s="216">
        <v>-26</v>
      </c>
      <c r="BX20" s="333">
        <v>16.2</v>
      </c>
      <c r="BY20" s="216">
        <v>0</v>
      </c>
      <c r="BZ20" s="216">
        <v>2235</v>
      </c>
      <c r="CA20" s="216">
        <v>17504</v>
      </c>
      <c r="CB20" s="216">
        <v>25</v>
      </c>
      <c r="CC20" s="216">
        <v>0</v>
      </c>
      <c r="CD20" s="216">
        <v>6065</v>
      </c>
      <c r="CE20" s="216">
        <v>25829</v>
      </c>
      <c r="CF20" s="333">
        <v>8.7695749440715876</v>
      </c>
      <c r="CG20" s="333">
        <v>8.7637111517367465</v>
      </c>
      <c r="CH20" s="333">
        <v>8</v>
      </c>
      <c r="CI20" s="333">
        <v>0</v>
      </c>
      <c r="CJ20" s="333">
        <v>8.7551525144270403</v>
      </c>
      <c r="CK20" s="333">
        <v>8.7614696658794369</v>
      </c>
      <c r="CL20" s="216">
        <v>-1360.1980699999999</v>
      </c>
      <c r="CM20" s="216">
        <v>0</v>
      </c>
      <c r="CN20" s="216">
        <v>0</v>
      </c>
      <c r="CO20" s="216">
        <v>-1091.40887</v>
      </c>
      <c r="CP20" s="216">
        <v>0</v>
      </c>
      <c r="CQ20" s="216">
        <v>6463.0618899999999</v>
      </c>
      <c r="CR20" s="216">
        <v>1712.74449</v>
      </c>
      <c r="CS20" s="216">
        <v>0</v>
      </c>
      <c r="CT20" s="216">
        <v>5724.1994400000003</v>
      </c>
      <c r="CU20" s="216">
        <v>0</v>
      </c>
      <c r="CV20" s="216" t="s">
        <v>3</v>
      </c>
      <c r="CW20" s="216" t="s">
        <v>3</v>
      </c>
      <c r="CX20" s="216" t="s">
        <v>3</v>
      </c>
    </row>
    <row r="21" spans="1:102" ht="15" customHeight="1" x14ac:dyDescent="0.2">
      <c r="A21" s="220" t="s">
        <v>81</v>
      </c>
      <c r="B21" s="220" t="s">
        <v>93</v>
      </c>
      <c r="C21" s="219" t="s">
        <v>92</v>
      </c>
      <c r="D21" s="216">
        <v>1</v>
      </c>
      <c r="E21" s="216">
        <v>11</v>
      </c>
      <c r="F21" s="216">
        <v>3</v>
      </c>
      <c r="G21" s="216">
        <v>0</v>
      </c>
      <c r="H21" s="216">
        <v>15</v>
      </c>
      <c r="I21" s="216">
        <v>7</v>
      </c>
      <c r="J21" s="216">
        <v>22</v>
      </c>
      <c r="K21" s="216">
        <v>0</v>
      </c>
      <c r="L21" s="216">
        <v>11</v>
      </c>
      <c r="M21" s="216">
        <v>18</v>
      </c>
      <c r="N21" s="216">
        <v>3</v>
      </c>
      <c r="O21" s="216">
        <v>54</v>
      </c>
      <c r="P21" s="216">
        <v>21</v>
      </c>
      <c r="Q21" s="216">
        <v>3</v>
      </c>
      <c r="R21" s="216">
        <v>3</v>
      </c>
      <c r="S21" s="333">
        <v>2</v>
      </c>
      <c r="T21" s="333">
        <v>1</v>
      </c>
      <c r="U21" s="333">
        <v>3</v>
      </c>
      <c r="V21" s="333">
        <v>15</v>
      </c>
      <c r="W21" s="333">
        <v>19</v>
      </c>
      <c r="X21" s="333">
        <v>24</v>
      </c>
      <c r="Y21" s="333">
        <v>73</v>
      </c>
      <c r="Z21" s="333">
        <v>137</v>
      </c>
      <c r="AA21" s="216">
        <v>137</v>
      </c>
      <c r="AB21" s="333">
        <v>0</v>
      </c>
      <c r="AC21" s="333">
        <v>0</v>
      </c>
      <c r="AD21" s="333">
        <v>12</v>
      </c>
      <c r="AE21" s="333">
        <v>27</v>
      </c>
      <c r="AF21" s="333">
        <v>80</v>
      </c>
      <c r="AG21" s="333">
        <v>119</v>
      </c>
      <c r="AH21" s="216">
        <v>155</v>
      </c>
      <c r="AI21" s="333">
        <v>17</v>
      </c>
      <c r="AJ21" s="333">
        <v>33</v>
      </c>
      <c r="AK21" s="333">
        <v>306</v>
      </c>
      <c r="AL21" s="216">
        <v>350</v>
      </c>
      <c r="AM21" s="216">
        <v>361</v>
      </c>
      <c r="AN21" s="216">
        <v>9</v>
      </c>
      <c r="AO21" s="216">
        <v>0</v>
      </c>
      <c r="AP21" s="216">
        <v>47</v>
      </c>
      <c r="AQ21" s="216">
        <v>10</v>
      </c>
      <c r="AR21" s="216">
        <v>178</v>
      </c>
      <c r="AS21" s="216">
        <v>12</v>
      </c>
      <c r="AT21" s="216">
        <v>21</v>
      </c>
      <c r="AU21" s="216">
        <v>117</v>
      </c>
      <c r="AV21" s="216">
        <v>57</v>
      </c>
      <c r="AW21" s="216">
        <v>18</v>
      </c>
      <c r="AX21" s="216">
        <v>7111</v>
      </c>
      <c r="AY21" s="216">
        <v>1397</v>
      </c>
      <c r="AZ21" s="216">
        <v>649</v>
      </c>
      <c r="BA21" s="216">
        <v>1034</v>
      </c>
      <c r="BB21" s="216">
        <v>144</v>
      </c>
      <c r="BC21" s="216">
        <v>82</v>
      </c>
      <c r="BD21" s="216">
        <v>10417</v>
      </c>
      <c r="BE21" s="216">
        <v>1625</v>
      </c>
      <c r="BF21" s="216">
        <v>223</v>
      </c>
      <c r="BG21" s="216">
        <v>1469</v>
      </c>
      <c r="BH21" s="216">
        <v>5</v>
      </c>
      <c r="BI21" s="216">
        <v>0</v>
      </c>
      <c r="BJ21" s="216">
        <v>389</v>
      </c>
      <c r="BK21" s="216">
        <v>0</v>
      </c>
      <c r="BL21" s="216">
        <v>14128</v>
      </c>
      <c r="BM21" s="216">
        <v>-1986</v>
      </c>
      <c r="BN21" s="216">
        <v>0</v>
      </c>
      <c r="BO21" s="216">
        <v>0</v>
      </c>
      <c r="BP21" s="216">
        <v>-960</v>
      </c>
      <c r="BQ21" s="216">
        <v>-2946</v>
      </c>
      <c r="BR21" s="216">
        <v>11182</v>
      </c>
      <c r="BS21" s="216">
        <v>1552</v>
      </c>
      <c r="BT21" s="216">
        <v>-2499</v>
      </c>
      <c r="BU21" s="216">
        <v>10235</v>
      </c>
      <c r="BV21" s="216" t="s">
        <v>3</v>
      </c>
      <c r="BW21" s="216" t="s">
        <v>3</v>
      </c>
      <c r="BX21" s="333">
        <v>18.5</v>
      </c>
      <c r="BY21" s="216">
        <v>0</v>
      </c>
      <c r="BZ21" s="216">
        <v>374</v>
      </c>
      <c r="CA21" s="216">
        <v>12360</v>
      </c>
      <c r="CB21" s="216">
        <v>0</v>
      </c>
      <c r="CC21" s="216">
        <v>0</v>
      </c>
      <c r="CD21" s="216">
        <v>0</v>
      </c>
      <c r="CE21" s="216">
        <v>12734</v>
      </c>
      <c r="CF21" s="333">
        <v>0</v>
      </c>
      <c r="CG21" s="333">
        <v>0</v>
      </c>
      <c r="CH21" s="333">
        <v>0</v>
      </c>
      <c r="CI21" s="333">
        <v>0</v>
      </c>
      <c r="CJ21" s="333">
        <v>0</v>
      </c>
      <c r="CK21" s="333">
        <v>0</v>
      </c>
      <c r="CL21" s="216">
        <v>-973</v>
      </c>
      <c r="CM21" s="216">
        <v>-23</v>
      </c>
      <c r="CN21" s="216">
        <v>0</v>
      </c>
      <c r="CO21" s="216">
        <v>-755</v>
      </c>
      <c r="CP21" s="216">
        <v>-63</v>
      </c>
      <c r="CQ21" s="216">
        <v>5000</v>
      </c>
      <c r="CR21" s="216">
        <v>1131</v>
      </c>
      <c r="CS21" s="216">
        <v>0</v>
      </c>
      <c r="CT21" s="216">
        <v>4317</v>
      </c>
      <c r="CU21" s="216">
        <v>153</v>
      </c>
      <c r="CV21" s="216">
        <v>315</v>
      </c>
      <c r="CW21" s="216">
        <v>0</v>
      </c>
      <c r="CX21" s="216">
        <v>0</v>
      </c>
    </row>
    <row r="22" spans="1:102" ht="15" customHeight="1" x14ac:dyDescent="0.2">
      <c r="A22" s="220" t="s">
        <v>81</v>
      </c>
      <c r="B22" s="220" t="s">
        <v>91</v>
      </c>
      <c r="C22" s="219" t="s">
        <v>90</v>
      </c>
      <c r="D22" s="216">
        <v>0</v>
      </c>
      <c r="E22" s="216">
        <v>0</v>
      </c>
      <c r="F22" s="216">
        <v>24</v>
      </c>
      <c r="G22" s="216">
        <v>0</v>
      </c>
      <c r="H22" s="216">
        <v>24</v>
      </c>
      <c r="I22" s="216">
        <v>0</v>
      </c>
      <c r="J22" s="216">
        <v>35</v>
      </c>
      <c r="K22" s="216">
        <v>2</v>
      </c>
      <c r="L22" s="216">
        <v>5</v>
      </c>
      <c r="M22" s="216">
        <v>35</v>
      </c>
      <c r="N22" s="216">
        <v>4</v>
      </c>
      <c r="O22" s="216">
        <v>81</v>
      </c>
      <c r="P22" s="216">
        <v>90</v>
      </c>
      <c r="Q22" s="216">
        <v>5</v>
      </c>
      <c r="R22" s="216">
        <v>4</v>
      </c>
      <c r="S22" s="333">
        <v>3</v>
      </c>
      <c r="T22" s="333">
        <v>3</v>
      </c>
      <c r="U22" s="333">
        <v>9</v>
      </c>
      <c r="V22" s="333">
        <v>26</v>
      </c>
      <c r="W22" s="333">
        <v>49</v>
      </c>
      <c r="X22" s="333">
        <v>37</v>
      </c>
      <c r="Y22" s="333">
        <v>103</v>
      </c>
      <c r="Z22" s="333">
        <v>230</v>
      </c>
      <c r="AA22" s="216">
        <v>230</v>
      </c>
      <c r="AB22" s="333">
        <v>0</v>
      </c>
      <c r="AC22" s="333">
        <v>0</v>
      </c>
      <c r="AD22" s="333">
        <v>20</v>
      </c>
      <c r="AE22" s="333">
        <v>44</v>
      </c>
      <c r="AF22" s="333">
        <v>142</v>
      </c>
      <c r="AG22" s="333">
        <v>206</v>
      </c>
      <c r="AH22" s="216">
        <v>332</v>
      </c>
      <c r="AI22" s="333">
        <v>0</v>
      </c>
      <c r="AJ22" s="333">
        <v>69</v>
      </c>
      <c r="AK22" s="333">
        <v>505</v>
      </c>
      <c r="AL22" s="216">
        <v>362</v>
      </c>
      <c r="AM22" s="216">
        <v>370</v>
      </c>
      <c r="AN22" s="216">
        <v>6</v>
      </c>
      <c r="AO22" s="216">
        <v>1</v>
      </c>
      <c r="AP22" s="216">
        <v>36</v>
      </c>
      <c r="AQ22" s="216">
        <v>15</v>
      </c>
      <c r="AR22" s="216">
        <v>456</v>
      </c>
      <c r="AS22" s="216">
        <v>15</v>
      </c>
      <c r="AT22" s="216">
        <v>43</v>
      </c>
      <c r="AU22" s="216">
        <v>352</v>
      </c>
      <c r="AV22" s="216">
        <v>123</v>
      </c>
      <c r="AW22" s="216">
        <v>23</v>
      </c>
      <c r="AX22" s="216">
        <v>11407</v>
      </c>
      <c r="AY22" s="216">
        <v>3461</v>
      </c>
      <c r="AZ22" s="216">
        <v>0</v>
      </c>
      <c r="BA22" s="216">
        <v>1868</v>
      </c>
      <c r="BB22" s="216">
        <v>385</v>
      </c>
      <c r="BC22" s="216">
        <v>110</v>
      </c>
      <c r="BD22" s="216">
        <v>17231</v>
      </c>
      <c r="BE22" s="216">
        <v>201</v>
      </c>
      <c r="BF22" s="216">
        <v>1152</v>
      </c>
      <c r="BG22" s="216">
        <v>2152</v>
      </c>
      <c r="BH22" s="216">
        <v>2435</v>
      </c>
      <c r="BI22" s="216">
        <v>569</v>
      </c>
      <c r="BJ22" s="216">
        <v>35</v>
      </c>
      <c r="BK22" s="216">
        <v>881</v>
      </c>
      <c r="BL22" s="216">
        <v>24656</v>
      </c>
      <c r="BM22" s="216">
        <v>-121</v>
      </c>
      <c r="BN22" s="216">
        <v>-32</v>
      </c>
      <c r="BO22" s="216">
        <v>0</v>
      </c>
      <c r="BP22" s="216">
        <v>-871</v>
      </c>
      <c r="BQ22" s="216">
        <v>-1024</v>
      </c>
      <c r="BR22" s="216">
        <v>23632</v>
      </c>
      <c r="BS22" s="216">
        <v>117</v>
      </c>
      <c r="BT22" s="216">
        <v>5325</v>
      </c>
      <c r="BU22" s="216">
        <v>29074</v>
      </c>
      <c r="BV22" s="216" t="s">
        <v>3</v>
      </c>
      <c r="BW22" s="216">
        <v>-4</v>
      </c>
      <c r="BX22" s="333">
        <v>19.899999999999999</v>
      </c>
      <c r="BY22" s="216">
        <v>0</v>
      </c>
      <c r="BZ22" s="216">
        <v>1000</v>
      </c>
      <c r="CA22" s="216">
        <v>22749</v>
      </c>
      <c r="CB22" s="216">
        <v>0</v>
      </c>
      <c r="CC22" s="216">
        <v>0</v>
      </c>
      <c r="CD22" s="216">
        <v>0</v>
      </c>
      <c r="CE22" s="216">
        <v>23749</v>
      </c>
      <c r="CF22" s="333">
        <v>0</v>
      </c>
      <c r="CG22" s="333">
        <v>10.255395841575455</v>
      </c>
      <c r="CH22" s="333">
        <v>0</v>
      </c>
      <c r="CI22" s="333">
        <v>0</v>
      </c>
      <c r="CJ22" s="333">
        <v>0</v>
      </c>
      <c r="CK22" s="333">
        <v>9.8235715188007919</v>
      </c>
      <c r="CL22" s="216">
        <v>-1599</v>
      </c>
      <c r="CM22" s="216">
        <v>-59</v>
      </c>
      <c r="CN22" s="216">
        <v>84</v>
      </c>
      <c r="CO22" s="216">
        <v>-1351</v>
      </c>
      <c r="CP22" s="216">
        <v>-1</v>
      </c>
      <c r="CQ22" s="216">
        <v>5211</v>
      </c>
      <c r="CR22" s="216">
        <v>1282</v>
      </c>
      <c r="CS22" s="216">
        <v>28</v>
      </c>
      <c r="CT22" s="216">
        <v>3595</v>
      </c>
      <c r="CU22" s="216">
        <v>275</v>
      </c>
      <c r="CV22" s="216">
        <v>3778</v>
      </c>
      <c r="CW22" s="216">
        <v>0</v>
      </c>
      <c r="CX22" s="216">
        <v>0</v>
      </c>
    </row>
    <row r="23" spans="1:102" ht="15" customHeight="1" x14ac:dyDescent="0.2">
      <c r="A23" s="220" t="s">
        <v>81</v>
      </c>
      <c r="B23" s="220" t="s">
        <v>89</v>
      </c>
      <c r="C23" s="219" t="s">
        <v>88</v>
      </c>
      <c r="D23" s="216">
        <v>0</v>
      </c>
      <c r="E23" s="216">
        <v>29</v>
      </c>
      <c r="F23" s="216">
        <v>6</v>
      </c>
      <c r="G23" s="216">
        <v>0</v>
      </c>
      <c r="H23" s="216">
        <v>35</v>
      </c>
      <c r="I23" s="216">
        <v>14</v>
      </c>
      <c r="J23" s="216">
        <v>37</v>
      </c>
      <c r="K23" s="216">
        <v>2</v>
      </c>
      <c r="L23" s="216">
        <v>19</v>
      </c>
      <c r="M23" s="216">
        <v>31</v>
      </c>
      <c r="N23" s="216">
        <v>2</v>
      </c>
      <c r="O23" s="216">
        <v>91</v>
      </c>
      <c r="P23" s="216">
        <v>64</v>
      </c>
      <c r="Q23" s="216">
        <v>3</v>
      </c>
      <c r="R23" s="216">
        <v>3</v>
      </c>
      <c r="S23" s="333">
        <v>2</v>
      </c>
      <c r="T23" s="333">
        <v>4</v>
      </c>
      <c r="U23" s="333">
        <v>7</v>
      </c>
      <c r="V23" s="333">
        <v>21</v>
      </c>
      <c r="W23" s="333">
        <v>39</v>
      </c>
      <c r="X23" s="333">
        <v>27</v>
      </c>
      <c r="Y23" s="333">
        <v>101</v>
      </c>
      <c r="Z23" s="333">
        <v>200</v>
      </c>
      <c r="AA23" s="216">
        <v>205</v>
      </c>
      <c r="AB23" s="333">
        <v>0</v>
      </c>
      <c r="AC23" s="333">
        <v>0</v>
      </c>
      <c r="AD23" s="333">
        <v>30</v>
      </c>
      <c r="AE23" s="333">
        <v>71</v>
      </c>
      <c r="AF23" s="333">
        <v>243</v>
      </c>
      <c r="AG23" s="333">
        <v>344</v>
      </c>
      <c r="AH23" s="216">
        <v>397</v>
      </c>
      <c r="AI23" s="333">
        <v>0</v>
      </c>
      <c r="AJ23" s="333">
        <v>57</v>
      </c>
      <c r="AK23" s="333">
        <v>600</v>
      </c>
      <c r="AL23" s="216">
        <v>383</v>
      </c>
      <c r="AM23" s="216">
        <v>387</v>
      </c>
      <c r="AN23" s="216">
        <v>8</v>
      </c>
      <c r="AO23" s="216">
        <v>1</v>
      </c>
      <c r="AP23" s="216">
        <v>67</v>
      </c>
      <c r="AQ23" s="216">
        <v>33</v>
      </c>
      <c r="AR23" s="216">
        <v>386</v>
      </c>
      <c r="AS23" s="216">
        <v>20</v>
      </c>
      <c r="AT23" s="216">
        <v>24</v>
      </c>
      <c r="AU23" s="216">
        <v>173</v>
      </c>
      <c r="AV23" s="216">
        <v>90</v>
      </c>
      <c r="AW23" s="216">
        <v>14</v>
      </c>
      <c r="AX23" s="216">
        <v>9702</v>
      </c>
      <c r="AY23" s="216">
        <v>3717</v>
      </c>
      <c r="AZ23" s="216">
        <v>0</v>
      </c>
      <c r="BA23" s="216">
        <v>1939</v>
      </c>
      <c r="BB23" s="216">
        <v>221</v>
      </c>
      <c r="BC23" s="216">
        <v>103</v>
      </c>
      <c r="BD23" s="216">
        <v>15682</v>
      </c>
      <c r="BE23" s="216">
        <v>1108</v>
      </c>
      <c r="BF23" s="216">
        <v>1543</v>
      </c>
      <c r="BG23" s="216">
        <v>5493</v>
      </c>
      <c r="BH23" s="216">
        <v>2297</v>
      </c>
      <c r="BI23" s="216">
        <v>819</v>
      </c>
      <c r="BJ23" s="216">
        <v>0</v>
      </c>
      <c r="BK23" s="216">
        <v>0</v>
      </c>
      <c r="BL23" s="216">
        <v>26942</v>
      </c>
      <c r="BM23" s="216">
        <v>-2539</v>
      </c>
      <c r="BN23" s="216">
        <v>0</v>
      </c>
      <c r="BO23" s="216">
        <v>-137</v>
      </c>
      <c r="BP23" s="216">
        <v>-340</v>
      </c>
      <c r="BQ23" s="216">
        <v>-3016</v>
      </c>
      <c r="BR23" s="216">
        <v>23926</v>
      </c>
      <c r="BS23" s="216">
        <v>2851</v>
      </c>
      <c r="BT23" s="216">
        <v>467</v>
      </c>
      <c r="BU23" s="216">
        <v>27244</v>
      </c>
      <c r="BV23" s="216">
        <v>0</v>
      </c>
      <c r="BW23" s="216">
        <v>0</v>
      </c>
      <c r="BX23" s="333">
        <v>26</v>
      </c>
      <c r="BY23" s="216">
        <v>0</v>
      </c>
      <c r="BZ23" s="216">
        <v>1483</v>
      </c>
      <c r="CA23" s="216">
        <v>24941</v>
      </c>
      <c r="CB23" s="216">
        <v>303</v>
      </c>
      <c r="CC23" s="216">
        <v>50</v>
      </c>
      <c r="CD23" s="216">
        <v>0</v>
      </c>
      <c r="CE23" s="216">
        <v>26777</v>
      </c>
      <c r="CF23" s="333">
        <v>7.0128118678354685</v>
      </c>
      <c r="CG23" s="333">
        <v>8.792750892105369</v>
      </c>
      <c r="CH23" s="333">
        <v>0</v>
      </c>
      <c r="CI23" s="333">
        <v>0</v>
      </c>
      <c r="CJ23" s="333">
        <v>0</v>
      </c>
      <c r="CK23" s="333">
        <v>8.578257459760243</v>
      </c>
      <c r="CL23" s="216">
        <v>-1541</v>
      </c>
      <c r="CM23" s="216">
        <v>0</v>
      </c>
      <c r="CN23" s="216">
        <v>0</v>
      </c>
      <c r="CO23" s="216">
        <v>-1244</v>
      </c>
      <c r="CP23" s="216">
        <v>0</v>
      </c>
      <c r="CQ23" s="216">
        <v>5641</v>
      </c>
      <c r="CR23" s="216">
        <v>640</v>
      </c>
      <c r="CS23" s="216">
        <v>0</v>
      </c>
      <c r="CT23" s="216">
        <v>3496</v>
      </c>
      <c r="CU23" s="216">
        <v>500</v>
      </c>
      <c r="CV23" s="216">
        <v>3880</v>
      </c>
      <c r="CW23" s="216">
        <v>1460</v>
      </c>
      <c r="CX23" s="216">
        <v>0</v>
      </c>
    </row>
    <row r="24" spans="1:102" ht="15" customHeight="1" x14ac:dyDescent="0.2">
      <c r="A24" s="220" t="s">
        <v>81</v>
      </c>
      <c r="B24" s="220" t="s">
        <v>87</v>
      </c>
      <c r="C24" s="219" t="s">
        <v>86</v>
      </c>
      <c r="D24" s="216">
        <v>18</v>
      </c>
      <c r="E24" s="216">
        <v>7</v>
      </c>
      <c r="F24" s="216">
        <v>1</v>
      </c>
      <c r="G24" s="216">
        <v>0</v>
      </c>
      <c r="H24" s="216">
        <v>26</v>
      </c>
      <c r="I24" s="216">
        <v>8</v>
      </c>
      <c r="J24" s="216">
        <v>30</v>
      </c>
      <c r="K24" s="216">
        <v>2</v>
      </c>
      <c r="L24" s="343">
        <v>39</v>
      </c>
      <c r="M24" s="216">
        <v>39</v>
      </c>
      <c r="N24" s="216">
        <v>5</v>
      </c>
      <c r="O24" s="216">
        <v>117</v>
      </c>
      <c r="P24" s="216">
        <v>79</v>
      </c>
      <c r="Q24" s="216">
        <v>7</v>
      </c>
      <c r="R24" s="216">
        <v>3</v>
      </c>
      <c r="S24" s="333">
        <v>2</v>
      </c>
      <c r="T24" s="333">
        <v>5</v>
      </c>
      <c r="U24" s="333">
        <v>8</v>
      </c>
      <c r="V24" s="333">
        <v>20</v>
      </c>
      <c r="W24" s="333">
        <v>104</v>
      </c>
      <c r="X24" s="333">
        <v>90</v>
      </c>
      <c r="Y24" s="333">
        <v>240</v>
      </c>
      <c r="Z24" s="333">
        <v>469</v>
      </c>
      <c r="AA24" s="216">
        <v>482</v>
      </c>
      <c r="AB24" s="333">
        <v>0</v>
      </c>
      <c r="AC24" s="333">
        <v>0</v>
      </c>
      <c r="AD24" s="333">
        <v>13</v>
      </c>
      <c r="AE24" s="333">
        <v>16</v>
      </c>
      <c r="AF24" s="333">
        <v>61</v>
      </c>
      <c r="AG24" s="333">
        <v>89</v>
      </c>
      <c r="AH24" s="216">
        <v>119</v>
      </c>
      <c r="AI24" s="333">
        <v>23</v>
      </c>
      <c r="AJ24" s="333">
        <v>58</v>
      </c>
      <c r="AK24" s="333">
        <v>639</v>
      </c>
      <c r="AL24" s="216">
        <v>914</v>
      </c>
      <c r="AM24" s="216">
        <v>920</v>
      </c>
      <c r="AN24" s="216">
        <v>24</v>
      </c>
      <c r="AO24" s="216">
        <v>2</v>
      </c>
      <c r="AP24" s="216">
        <v>135</v>
      </c>
      <c r="AQ24" s="216">
        <v>53</v>
      </c>
      <c r="AR24" s="216">
        <v>374</v>
      </c>
      <c r="AS24" s="216">
        <v>0</v>
      </c>
      <c r="AT24" s="216">
        <v>77</v>
      </c>
      <c r="AU24" s="216">
        <v>70</v>
      </c>
      <c r="AV24" s="216">
        <v>0</v>
      </c>
      <c r="AW24" s="216">
        <v>0</v>
      </c>
      <c r="AX24" s="216">
        <v>25496</v>
      </c>
      <c r="AY24" s="216">
        <v>1449</v>
      </c>
      <c r="AZ24" s="216">
        <v>1122</v>
      </c>
      <c r="BA24" s="216">
        <v>2533</v>
      </c>
      <c r="BB24" s="216">
        <v>471</v>
      </c>
      <c r="BC24" s="216">
        <v>405</v>
      </c>
      <c r="BD24" s="216">
        <v>31476</v>
      </c>
      <c r="BE24" s="216">
        <v>42</v>
      </c>
      <c r="BF24" s="216">
        <v>873</v>
      </c>
      <c r="BG24" s="216">
        <v>2334</v>
      </c>
      <c r="BH24" s="216">
        <v>6391</v>
      </c>
      <c r="BI24" s="216">
        <v>0</v>
      </c>
      <c r="BJ24" s="216">
        <v>0</v>
      </c>
      <c r="BK24" s="216">
        <v>279</v>
      </c>
      <c r="BL24" s="216">
        <v>41395</v>
      </c>
      <c r="BM24" s="216">
        <v>-1005</v>
      </c>
      <c r="BN24" s="216">
        <v>0</v>
      </c>
      <c r="BO24" s="216">
        <v>0</v>
      </c>
      <c r="BP24" s="216">
        <v>-1114</v>
      </c>
      <c r="BQ24" s="216">
        <v>-2119</v>
      </c>
      <c r="BR24" s="216">
        <v>39276</v>
      </c>
      <c r="BS24" s="216">
        <v>1411</v>
      </c>
      <c r="BT24" s="216">
        <v>-3421</v>
      </c>
      <c r="BU24" s="216">
        <v>37266</v>
      </c>
      <c r="BV24" s="216">
        <v>0</v>
      </c>
      <c r="BW24" s="216">
        <v>0</v>
      </c>
      <c r="BX24" s="333">
        <v>14.8</v>
      </c>
      <c r="BY24" s="216">
        <v>0</v>
      </c>
      <c r="BZ24" s="216">
        <v>1786</v>
      </c>
      <c r="CA24" s="216">
        <v>30112</v>
      </c>
      <c r="CB24" s="216">
        <v>124</v>
      </c>
      <c r="CC24" s="216">
        <v>0</v>
      </c>
      <c r="CD24" s="216">
        <v>8665</v>
      </c>
      <c r="CE24" s="216">
        <v>40687</v>
      </c>
      <c r="CF24" s="333">
        <v>0</v>
      </c>
      <c r="CG24" s="333">
        <v>0</v>
      </c>
      <c r="CH24" s="333">
        <v>0</v>
      </c>
      <c r="CI24" s="333">
        <v>0</v>
      </c>
      <c r="CJ24" s="333">
        <v>73.756491633006348</v>
      </c>
      <c r="CK24" s="333">
        <v>15.707719910536536</v>
      </c>
      <c r="CL24" s="216">
        <v>-2933</v>
      </c>
      <c r="CM24" s="216">
        <v>0</v>
      </c>
      <c r="CN24" s="216">
        <v>0</v>
      </c>
      <c r="CO24" s="216">
        <v>-2275</v>
      </c>
      <c r="CP24" s="216">
        <v>0</v>
      </c>
      <c r="CQ24" s="216">
        <v>13008</v>
      </c>
      <c r="CR24" s="216">
        <v>2178</v>
      </c>
      <c r="CS24" s="216">
        <v>0</v>
      </c>
      <c r="CT24" s="216">
        <v>9978</v>
      </c>
      <c r="CU24" s="216">
        <v>1303</v>
      </c>
      <c r="CV24" s="216">
        <v>0</v>
      </c>
      <c r="CW24" s="216">
        <v>0</v>
      </c>
      <c r="CX24" s="216">
        <v>0</v>
      </c>
    </row>
    <row r="25" spans="1:102" ht="15" customHeight="1" x14ac:dyDescent="0.2">
      <c r="A25" s="220" t="s">
        <v>81</v>
      </c>
      <c r="B25" s="220" t="s">
        <v>85</v>
      </c>
      <c r="C25" s="219" t="s">
        <v>84</v>
      </c>
      <c r="D25" s="216">
        <v>5</v>
      </c>
      <c r="E25" s="216">
        <v>9</v>
      </c>
      <c r="F25" s="216">
        <v>3</v>
      </c>
      <c r="G25" s="216">
        <v>0</v>
      </c>
      <c r="H25" s="216">
        <v>17</v>
      </c>
      <c r="I25" s="216">
        <v>0</v>
      </c>
      <c r="J25" s="216">
        <v>23</v>
      </c>
      <c r="K25" s="216">
        <v>1</v>
      </c>
      <c r="L25" s="216">
        <v>3</v>
      </c>
      <c r="M25" s="216">
        <v>14</v>
      </c>
      <c r="N25" s="216">
        <v>7</v>
      </c>
      <c r="O25" s="216">
        <v>48</v>
      </c>
      <c r="P25" s="216">
        <v>40</v>
      </c>
      <c r="Q25" s="216">
        <v>5</v>
      </c>
      <c r="R25" s="216">
        <v>6</v>
      </c>
      <c r="S25" s="333">
        <v>2</v>
      </c>
      <c r="T25" s="333">
        <v>3</v>
      </c>
      <c r="U25" s="333">
        <v>5</v>
      </c>
      <c r="V25" s="333">
        <v>13</v>
      </c>
      <c r="W25" s="333">
        <v>32</v>
      </c>
      <c r="X25" s="333">
        <v>50</v>
      </c>
      <c r="Y25" s="333">
        <v>137</v>
      </c>
      <c r="Z25" s="333">
        <v>242</v>
      </c>
      <c r="AA25" s="216">
        <v>261</v>
      </c>
      <c r="AB25" s="333">
        <v>0</v>
      </c>
      <c r="AC25" s="333">
        <v>0</v>
      </c>
      <c r="AD25" s="333">
        <v>12</v>
      </c>
      <c r="AE25" s="333">
        <v>14</v>
      </c>
      <c r="AF25" s="333">
        <v>55</v>
      </c>
      <c r="AG25" s="333">
        <v>82</v>
      </c>
      <c r="AH25" s="216">
        <v>140</v>
      </c>
      <c r="AI25" s="333">
        <v>17</v>
      </c>
      <c r="AJ25" s="333">
        <v>56</v>
      </c>
      <c r="AK25" s="333">
        <v>396</v>
      </c>
      <c r="AL25" s="216">
        <v>358</v>
      </c>
      <c r="AM25" s="216">
        <v>363</v>
      </c>
      <c r="AN25" s="216">
        <v>8</v>
      </c>
      <c r="AO25" s="216">
        <v>0</v>
      </c>
      <c r="AP25" s="216">
        <v>139</v>
      </c>
      <c r="AQ25" s="216">
        <v>150</v>
      </c>
      <c r="AR25" s="216">
        <v>257</v>
      </c>
      <c r="AS25" s="216">
        <v>4</v>
      </c>
      <c r="AT25" s="216">
        <v>0</v>
      </c>
      <c r="AU25" s="216">
        <v>0</v>
      </c>
      <c r="AV25" s="216">
        <v>4</v>
      </c>
      <c r="AW25" s="216">
        <v>1</v>
      </c>
      <c r="AX25" s="216">
        <v>12234</v>
      </c>
      <c r="AY25" s="216">
        <v>1246</v>
      </c>
      <c r="AZ25" s="216">
        <v>744</v>
      </c>
      <c r="BA25" s="216">
        <v>1602</v>
      </c>
      <c r="BB25" s="216">
        <v>638</v>
      </c>
      <c r="BC25" s="216">
        <v>286</v>
      </c>
      <c r="BD25" s="216">
        <v>16750</v>
      </c>
      <c r="BE25" s="216">
        <v>36</v>
      </c>
      <c r="BF25" s="216">
        <v>981</v>
      </c>
      <c r="BG25" s="216">
        <v>2243</v>
      </c>
      <c r="BH25" s="216">
        <v>2238</v>
      </c>
      <c r="BI25" s="216">
        <v>0</v>
      </c>
      <c r="BJ25" s="216">
        <v>40</v>
      </c>
      <c r="BK25" s="216">
        <v>0</v>
      </c>
      <c r="BL25" s="216">
        <v>22288</v>
      </c>
      <c r="BM25" s="216">
        <v>-165</v>
      </c>
      <c r="BN25" s="216">
        <v>0</v>
      </c>
      <c r="BO25" s="216">
        <v>0</v>
      </c>
      <c r="BP25" s="216">
        <v>-523</v>
      </c>
      <c r="BQ25" s="216">
        <v>-688</v>
      </c>
      <c r="BR25" s="216">
        <v>21600</v>
      </c>
      <c r="BS25" s="216">
        <v>877</v>
      </c>
      <c r="BT25" s="216">
        <v>4400</v>
      </c>
      <c r="BU25" s="216">
        <v>26877</v>
      </c>
      <c r="BV25" s="216">
        <v>0</v>
      </c>
      <c r="BW25" s="216">
        <v>0</v>
      </c>
      <c r="BX25" s="333">
        <v>19.100000000000001</v>
      </c>
      <c r="BY25" s="216">
        <v>0</v>
      </c>
      <c r="BZ25" s="216">
        <v>4758</v>
      </c>
      <c r="CA25" s="216">
        <v>17288</v>
      </c>
      <c r="CB25" s="216">
        <v>431</v>
      </c>
      <c r="CC25" s="216">
        <v>0</v>
      </c>
      <c r="CD25" s="216">
        <v>0</v>
      </c>
      <c r="CE25" s="216">
        <v>22477</v>
      </c>
      <c r="CF25" s="333">
        <v>39.827658680117693</v>
      </c>
      <c r="CG25" s="333">
        <v>41.08630263766775</v>
      </c>
      <c r="CH25" s="333">
        <v>38.747099767981439</v>
      </c>
      <c r="CI25" s="333">
        <v>0</v>
      </c>
      <c r="CJ25" s="333">
        <v>0</v>
      </c>
      <c r="CK25" s="333">
        <v>40.775014459224984</v>
      </c>
      <c r="CL25" s="216">
        <v>-1372</v>
      </c>
      <c r="CM25" s="216">
        <v>0</v>
      </c>
      <c r="CN25" s="216">
        <v>0</v>
      </c>
      <c r="CO25" s="216">
        <v>-1097</v>
      </c>
      <c r="CP25" s="216">
        <v>-51</v>
      </c>
      <c r="CQ25" s="216">
        <v>6211</v>
      </c>
      <c r="CR25" s="216">
        <v>807</v>
      </c>
      <c r="CS25" s="216">
        <v>146</v>
      </c>
      <c r="CT25" s="216">
        <v>4644</v>
      </c>
      <c r="CU25" s="216">
        <v>687</v>
      </c>
      <c r="CV25" s="216">
        <v>684</v>
      </c>
      <c r="CW25" s="216">
        <v>2053</v>
      </c>
      <c r="CX25" s="216">
        <v>0</v>
      </c>
    </row>
    <row r="26" spans="1:102" ht="15" customHeight="1" x14ac:dyDescent="0.2">
      <c r="A26" s="220" t="s">
        <v>81</v>
      </c>
      <c r="B26" s="220" t="s">
        <v>83</v>
      </c>
      <c r="C26" s="219" t="s">
        <v>82</v>
      </c>
      <c r="D26" s="216">
        <v>1</v>
      </c>
      <c r="E26" s="216">
        <v>15</v>
      </c>
      <c r="F26" s="216">
        <v>9</v>
      </c>
      <c r="G26" s="216">
        <v>0</v>
      </c>
      <c r="H26" s="216">
        <v>25</v>
      </c>
      <c r="I26" s="216">
        <v>3</v>
      </c>
      <c r="J26" s="216">
        <v>48</v>
      </c>
      <c r="K26" s="216">
        <v>2</v>
      </c>
      <c r="L26" s="216">
        <v>8</v>
      </c>
      <c r="M26" s="216">
        <v>36</v>
      </c>
      <c r="N26" s="216">
        <v>5</v>
      </c>
      <c r="O26" s="216">
        <v>99</v>
      </c>
      <c r="P26" s="216">
        <v>13</v>
      </c>
      <c r="Q26" s="216">
        <v>2</v>
      </c>
      <c r="R26" s="216">
        <v>4</v>
      </c>
      <c r="S26" s="333">
        <v>3</v>
      </c>
      <c r="T26" s="333">
        <v>3</v>
      </c>
      <c r="U26" s="333">
        <v>7</v>
      </c>
      <c r="V26" s="333">
        <v>24</v>
      </c>
      <c r="W26" s="333">
        <v>59</v>
      </c>
      <c r="X26" s="333">
        <v>50</v>
      </c>
      <c r="Y26" s="333">
        <v>175</v>
      </c>
      <c r="Z26" s="333">
        <v>321</v>
      </c>
      <c r="AA26" s="216">
        <v>322</v>
      </c>
      <c r="AB26" s="333">
        <v>0</v>
      </c>
      <c r="AC26" s="333">
        <v>0</v>
      </c>
      <c r="AD26" s="333">
        <v>16</v>
      </c>
      <c r="AE26" s="333">
        <v>55</v>
      </c>
      <c r="AF26" s="333">
        <v>128</v>
      </c>
      <c r="AG26" s="333">
        <v>199</v>
      </c>
      <c r="AH26" s="216">
        <v>261</v>
      </c>
      <c r="AI26" s="333">
        <v>0</v>
      </c>
      <c r="AJ26" s="333">
        <v>87</v>
      </c>
      <c r="AK26" s="333">
        <v>606</v>
      </c>
      <c r="AL26" s="216">
        <v>485</v>
      </c>
      <c r="AM26" s="216">
        <v>500</v>
      </c>
      <c r="AN26" s="216">
        <v>19</v>
      </c>
      <c r="AO26" s="216">
        <v>1</v>
      </c>
      <c r="AP26" s="216">
        <v>66</v>
      </c>
      <c r="AQ26" s="216">
        <v>17</v>
      </c>
      <c r="AR26" s="216">
        <v>449</v>
      </c>
      <c r="AS26" s="216">
        <v>15</v>
      </c>
      <c r="AT26" s="216">
        <v>57</v>
      </c>
      <c r="AU26" s="216">
        <v>192</v>
      </c>
      <c r="AV26" s="216">
        <v>41</v>
      </c>
      <c r="AW26" s="216">
        <v>14</v>
      </c>
      <c r="AX26" s="216">
        <v>15657</v>
      </c>
      <c r="AY26" s="216">
        <v>3078</v>
      </c>
      <c r="AZ26" s="216">
        <v>0</v>
      </c>
      <c r="BA26" s="216">
        <v>3948</v>
      </c>
      <c r="BB26" s="216">
        <v>519</v>
      </c>
      <c r="BC26" s="216">
        <v>252</v>
      </c>
      <c r="BD26" s="216">
        <v>23454</v>
      </c>
      <c r="BE26" s="216">
        <v>98</v>
      </c>
      <c r="BF26" s="216">
        <v>1079</v>
      </c>
      <c r="BG26" s="216">
        <v>2239</v>
      </c>
      <c r="BH26" s="216">
        <v>2136</v>
      </c>
      <c r="BI26" s="216">
        <v>1650</v>
      </c>
      <c r="BJ26" s="216">
        <v>0</v>
      </c>
      <c r="BK26" s="216">
        <v>0</v>
      </c>
      <c r="BL26" s="216">
        <v>30656</v>
      </c>
      <c r="BM26" s="216">
        <v>-1305</v>
      </c>
      <c r="BN26" s="216">
        <v>0</v>
      </c>
      <c r="BO26" s="216">
        <v>0</v>
      </c>
      <c r="BP26" s="216">
        <v>-1892</v>
      </c>
      <c r="BQ26" s="216">
        <v>-3197</v>
      </c>
      <c r="BR26" s="216">
        <v>27459</v>
      </c>
      <c r="BS26" s="216">
        <v>970</v>
      </c>
      <c r="BT26" s="216">
        <v>106</v>
      </c>
      <c r="BU26" s="216">
        <v>28535</v>
      </c>
      <c r="BV26" s="216">
        <v>0</v>
      </c>
      <c r="BW26" s="216">
        <v>0</v>
      </c>
      <c r="BX26" s="333" t="s">
        <v>3</v>
      </c>
      <c r="BY26" s="216">
        <v>0</v>
      </c>
      <c r="BZ26" s="216">
        <v>4177</v>
      </c>
      <c r="CA26" s="216">
        <v>23751</v>
      </c>
      <c r="CB26" s="216">
        <v>501</v>
      </c>
      <c r="CC26" s="216">
        <v>0</v>
      </c>
      <c r="CD26" s="216">
        <v>0</v>
      </c>
      <c r="CE26" s="216">
        <v>28429</v>
      </c>
      <c r="CF26" s="333">
        <v>0</v>
      </c>
      <c r="CG26" s="333">
        <v>0</v>
      </c>
      <c r="CH26" s="333">
        <v>0</v>
      </c>
      <c r="CI26" s="333">
        <v>0</v>
      </c>
      <c r="CJ26" s="333">
        <v>0</v>
      </c>
      <c r="CK26" s="333">
        <v>0</v>
      </c>
      <c r="CL26" s="216">
        <v>-2016</v>
      </c>
      <c r="CM26" s="216">
        <v>-39</v>
      </c>
      <c r="CN26" s="216">
        <v>0</v>
      </c>
      <c r="CO26" s="216">
        <v>-1635</v>
      </c>
      <c r="CP26" s="216">
        <v>-16</v>
      </c>
      <c r="CQ26" s="216">
        <v>7314</v>
      </c>
      <c r="CR26" s="216">
        <v>2621</v>
      </c>
      <c r="CS26" s="216">
        <v>0</v>
      </c>
      <c r="CT26" s="216">
        <v>6229</v>
      </c>
      <c r="CU26" s="216">
        <v>736</v>
      </c>
      <c r="CV26" s="216">
        <v>0</v>
      </c>
      <c r="CW26" s="216">
        <v>0</v>
      </c>
      <c r="CX26" s="216">
        <v>0</v>
      </c>
    </row>
    <row r="27" spans="1:102" ht="15" customHeight="1" x14ac:dyDescent="0.2">
      <c r="A27" s="220" t="s">
        <v>81</v>
      </c>
      <c r="B27" s="220" t="s">
        <v>80</v>
      </c>
      <c r="C27" s="219" t="s">
        <v>79</v>
      </c>
      <c r="D27" s="216" t="s">
        <v>3</v>
      </c>
      <c r="E27" s="216" t="s">
        <v>3</v>
      </c>
      <c r="F27" s="216" t="s">
        <v>3</v>
      </c>
      <c r="G27" s="216" t="s">
        <v>3</v>
      </c>
      <c r="H27" s="216" t="s">
        <v>3</v>
      </c>
      <c r="I27" s="216" t="s">
        <v>3</v>
      </c>
      <c r="J27" s="216" t="s">
        <v>3</v>
      </c>
      <c r="K27" s="216" t="s">
        <v>3</v>
      </c>
      <c r="L27" s="216" t="s">
        <v>3</v>
      </c>
      <c r="M27" s="216" t="s">
        <v>3</v>
      </c>
      <c r="N27" s="216" t="s">
        <v>3</v>
      </c>
      <c r="O27" s="216" t="s">
        <v>3</v>
      </c>
      <c r="P27" s="216" t="s">
        <v>3</v>
      </c>
      <c r="Q27" s="216" t="s">
        <v>3</v>
      </c>
      <c r="R27" s="216" t="s">
        <v>3</v>
      </c>
      <c r="S27" s="333">
        <v>0</v>
      </c>
      <c r="T27" s="333">
        <v>0</v>
      </c>
      <c r="U27" s="333">
        <v>0</v>
      </c>
      <c r="V27" s="333">
        <v>0</v>
      </c>
      <c r="W27" s="333">
        <v>0</v>
      </c>
      <c r="X27" s="333">
        <v>0</v>
      </c>
      <c r="Y27" s="333">
        <v>0</v>
      </c>
      <c r="Z27" s="333">
        <v>0</v>
      </c>
      <c r="AA27" s="216">
        <v>0</v>
      </c>
      <c r="AB27" s="333">
        <v>0</v>
      </c>
      <c r="AC27" s="333">
        <v>1</v>
      </c>
      <c r="AD27" s="333">
        <v>6</v>
      </c>
      <c r="AE27" s="333">
        <v>6</v>
      </c>
      <c r="AF27" s="333">
        <v>0</v>
      </c>
      <c r="AG27" s="333">
        <v>13</v>
      </c>
      <c r="AH27" s="216">
        <v>37</v>
      </c>
      <c r="AI27" s="333">
        <v>0</v>
      </c>
      <c r="AJ27" s="333">
        <v>0</v>
      </c>
      <c r="AK27" s="333">
        <v>13</v>
      </c>
      <c r="AL27" s="216" t="s">
        <v>3</v>
      </c>
      <c r="AM27" s="216" t="s">
        <v>3</v>
      </c>
      <c r="AN27" s="216" t="s">
        <v>3</v>
      </c>
      <c r="AO27" s="216" t="s">
        <v>3</v>
      </c>
      <c r="AP27" s="216" t="s">
        <v>3</v>
      </c>
      <c r="AQ27" s="216" t="s">
        <v>3</v>
      </c>
      <c r="AR27" s="216" t="s">
        <v>3</v>
      </c>
      <c r="AS27" s="216" t="s">
        <v>3</v>
      </c>
      <c r="AT27" s="216" t="s">
        <v>3</v>
      </c>
      <c r="AU27" s="216" t="s">
        <v>3</v>
      </c>
      <c r="AV27" s="216" t="s">
        <v>3</v>
      </c>
      <c r="AW27" s="216" t="s">
        <v>3</v>
      </c>
      <c r="AX27" s="216" t="s">
        <v>3</v>
      </c>
      <c r="AY27" s="216" t="s">
        <v>3</v>
      </c>
      <c r="AZ27" s="216" t="s">
        <v>3</v>
      </c>
      <c r="BA27" s="216" t="s">
        <v>3</v>
      </c>
      <c r="BB27" s="216" t="s">
        <v>3</v>
      </c>
      <c r="BC27" s="216" t="s">
        <v>3</v>
      </c>
      <c r="BD27" s="216" t="s">
        <v>3</v>
      </c>
      <c r="BE27" s="216" t="s">
        <v>3</v>
      </c>
      <c r="BF27" s="216" t="s">
        <v>3</v>
      </c>
      <c r="BG27" s="216" t="s">
        <v>3</v>
      </c>
      <c r="BH27" s="216" t="s">
        <v>3</v>
      </c>
      <c r="BI27" s="216" t="s">
        <v>3</v>
      </c>
      <c r="BJ27" s="216" t="s">
        <v>3</v>
      </c>
      <c r="BK27" s="216" t="s">
        <v>3</v>
      </c>
      <c r="BL27" s="216" t="s">
        <v>3</v>
      </c>
      <c r="BM27" s="216" t="s">
        <v>3</v>
      </c>
      <c r="BN27" s="216" t="s">
        <v>3</v>
      </c>
      <c r="BO27" s="216" t="s">
        <v>3</v>
      </c>
      <c r="BP27" s="216" t="s">
        <v>3</v>
      </c>
      <c r="BQ27" s="216" t="s">
        <v>3</v>
      </c>
      <c r="BR27" s="216" t="s">
        <v>3</v>
      </c>
      <c r="BS27" s="216" t="s">
        <v>3</v>
      </c>
      <c r="BT27" s="216" t="s">
        <v>3</v>
      </c>
      <c r="BU27" s="216" t="s">
        <v>3</v>
      </c>
      <c r="BV27" s="216" t="s">
        <v>3</v>
      </c>
      <c r="BW27" s="216" t="s">
        <v>3</v>
      </c>
      <c r="BX27" s="333" t="s">
        <v>3</v>
      </c>
      <c r="BY27" s="216">
        <v>0</v>
      </c>
      <c r="BZ27" s="216" t="s">
        <v>3</v>
      </c>
      <c r="CA27" s="216" t="s">
        <v>3</v>
      </c>
      <c r="CB27" s="216" t="s">
        <v>3</v>
      </c>
      <c r="CC27" s="216" t="s">
        <v>3</v>
      </c>
      <c r="CD27" s="216" t="s">
        <v>3</v>
      </c>
      <c r="CE27" s="216" t="s">
        <v>3</v>
      </c>
      <c r="CF27" s="333" t="s">
        <v>3</v>
      </c>
      <c r="CG27" s="333" t="s">
        <v>3</v>
      </c>
      <c r="CH27" s="333" t="s">
        <v>3</v>
      </c>
      <c r="CI27" s="333" t="s">
        <v>3</v>
      </c>
      <c r="CJ27" s="333" t="s">
        <v>3</v>
      </c>
      <c r="CK27" s="333" t="s">
        <v>3</v>
      </c>
      <c r="CL27" s="216" t="s">
        <v>3</v>
      </c>
      <c r="CM27" s="216" t="s">
        <v>3</v>
      </c>
      <c r="CN27" s="216" t="s">
        <v>3</v>
      </c>
      <c r="CO27" s="216" t="s">
        <v>3</v>
      </c>
      <c r="CP27" s="216" t="s">
        <v>3</v>
      </c>
      <c r="CQ27" s="216" t="s">
        <v>3</v>
      </c>
      <c r="CR27" s="216" t="s">
        <v>3</v>
      </c>
      <c r="CS27" s="216" t="s">
        <v>3</v>
      </c>
      <c r="CT27" s="216" t="s">
        <v>3</v>
      </c>
      <c r="CU27" s="216" t="s">
        <v>3</v>
      </c>
      <c r="CV27" s="216" t="s">
        <v>3</v>
      </c>
      <c r="CW27" s="216" t="s">
        <v>3</v>
      </c>
      <c r="CX27" s="216" t="s">
        <v>3</v>
      </c>
    </row>
    <row r="28" spans="1:102" ht="15" customHeight="1" x14ac:dyDescent="0.2">
      <c r="A28" s="218" t="s">
        <v>32</v>
      </c>
      <c r="B28" s="218" t="s">
        <v>78</v>
      </c>
      <c r="C28" s="217" t="s">
        <v>77</v>
      </c>
      <c r="D28" s="216">
        <v>7</v>
      </c>
      <c r="E28" s="216">
        <v>11</v>
      </c>
      <c r="F28" s="216">
        <v>3</v>
      </c>
      <c r="G28" s="216">
        <v>0</v>
      </c>
      <c r="H28" s="216">
        <v>21</v>
      </c>
      <c r="I28" s="216">
        <v>8</v>
      </c>
      <c r="J28" s="216">
        <v>34</v>
      </c>
      <c r="K28" s="216">
        <v>4</v>
      </c>
      <c r="L28" s="343">
        <v>19</v>
      </c>
      <c r="M28" s="216">
        <v>33</v>
      </c>
      <c r="N28" s="216">
        <v>6</v>
      </c>
      <c r="O28" s="216">
        <v>93</v>
      </c>
      <c r="P28" s="343">
        <v>42</v>
      </c>
      <c r="Q28" s="216">
        <v>8</v>
      </c>
      <c r="R28" s="216">
        <v>3</v>
      </c>
      <c r="S28" s="333">
        <v>8</v>
      </c>
      <c r="T28" s="333">
        <v>4</v>
      </c>
      <c r="U28" s="333">
        <v>8</v>
      </c>
      <c r="V28" s="333">
        <v>18</v>
      </c>
      <c r="W28" s="333">
        <v>91</v>
      </c>
      <c r="X28" s="333">
        <v>54</v>
      </c>
      <c r="Y28" s="333">
        <v>303</v>
      </c>
      <c r="Z28" s="333">
        <v>486</v>
      </c>
      <c r="AA28" s="216">
        <v>492</v>
      </c>
      <c r="AB28" s="333">
        <v>0</v>
      </c>
      <c r="AC28" s="333">
        <v>0</v>
      </c>
      <c r="AD28" s="333">
        <v>8</v>
      </c>
      <c r="AE28" s="333">
        <v>27</v>
      </c>
      <c r="AF28" s="333">
        <v>107</v>
      </c>
      <c r="AG28" s="333">
        <v>143</v>
      </c>
      <c r="AH28" s="216">
        <v>201</v>
      </c>
      <c r="AI28" s="333">
        <v>34</v>
      </c>
      <c r="AJ28" s="333">
        <v>122</v>
      </c>
      <c r="AK28" s="333">
        <v>784</v>
      </c>
      <c r="AL28" s="216">
        <v>855</v>
      </c>
      <c r="AM28" s="216">
        <v>871</v>
      </c>
      <c r="AN28" s="216">
        <v>43</v>
      </c>
      <c r="AO28" s="216">
        <v>3</v>
      </c>
      <c r="AP28" s="216">
        <v>140</v>
      </c>
      <c r="AQ28" s="216">
        <v>15</v>
      </c>
      <c r="AR28" s="216">
        <v>475</v>
      </c>
      <c r="AS28" s="216">
        <v>23</v>
      </c>
      <c r="AT28" s="216">
        <v>85</v>
      </c>
      <c r="AU28" s="216">
        <v>114</v>
      </c>
      <c r="AV28" s="216">
        <v>8</v>
      </c>
      <c r="AW28" s="216">
        <v>50</v>
      </c>
      <c r="AX28" s="216">
        <v>22240</v>
      </c>
      <c r="AY28" s="216">
        <v>2091</v>
      </c>
      <c r="AZ28" s="216">
        <v>1572</v>
      </c>
      <c r="BA28" s="216">
        <v>4260</v>
      </c>
      <c r="BB28" s="216">
        <v>324</v>
      </c>
      <c r="BC28" s="216">
        <v>2281</v>
      </c>
      <c r="BD28" s="216">
        <v>32768</v>
      </c>
      <c r="BE28" s="216">
        <v>2936</v>
      </c>
      <c r="BF28" s="216">
        <v>1301</v>
      </c>
      <c r="BG28" s="216">
        <v>5033</v>
      </c>
      <c r="BH28" s="216">
        <v>0</v>
      </c>
      <c r="BI28" s="216">
        <v>0</v>
      </c>
      <c r="BJ28" s="216">
        <v>0</v>
      </c>
      <c r="BK28" s="216">
        <v>0</v>
      </c>
      <c r="BL28" s="216">
        <v>42038</v>
      </c>
      <c r="BM28" s="216">
        <v>-2163</v>
      </c>
      <c r="BN28" s="216">
        <v>0</v>
      </c>
      <c r="BO28" s="216">
        <v>0</v>
      </c>
      <c r="BP28" s="216">
        <v>-416</v>
      </c>
      <c r="BQ28" s="216">
        <v>-2579</v>
      </c>
      <c r="BR28" s="216">
        <v>39459</v>
      </c>
      <c r="BS28" s="216">
        <v>2970</v>
      </c>
      <c r="BT28" s="216">
        <v>5267</v>
      </c>
      <c r="BU28" s="216">
        <v>47696</v>
      </c>
      <c r="BV28" s="216">
        <v>0</v>
      </c>
      <c r="BW28" s="216">
        <v>0</v>
      </c>
      <c r="BX28" s="333">
        <v>14.7</v>
      </c>
      <c r="BY28" s="216">
        <v>371</v>
      </c>
      <c r="BZ28" s="216">
        <v>4366.6873777120745</v>
      </c>
      <c r="CA28" s="216">
        <v>36919.447041175699</v>
      </c>
      <c r="CB28" s="216">
        <v>87.628918648636898</v>
      </c>
      <c r="CC28" s="216">
        <v>749.91906169833464</v>
      </c>
      <c r="CD28" s="216">
        <v>305.31760076525069</v>
      </c>
      <c r="CE28" s="216">
        <v>42428.999999999993</v>
      </c>
      <c r="CF28" s="333">
        <v>100</v>
      </c>
      <c r="CG28" s="333">
        <v>100</v>
      </c>
      <c r="CH28" s="333">
        <v>100</v>
      </c>
      <c r="CI28" s="333">
        <v>100</v>
      </c>
      <c r="CJ28" s="333">
        <v>100</v>
      </c>
      <c r="CK28" s="333">
        <v>100</v>
      </c>
      <c r="CL28" s="216">
        <v>-2952.1279900000004</v>
      </c>
      <c r="CM28" s="216">
        <v>-239.69711999999998</v>
      </c>
      <c r="CN28" s="216">
        <v>-81.741720000000001</v>
      </c>
      <c r="CO28" s="216">
        <v>-2343.02432</v>
      </c>
      <c r="CP28" s="216">
        <v>-823.79309999999998</v>
      </c>
      <c r="CQ28" s="216">
        <v>13187.15978</v>
      </c>
      <c r="CR28" s="216">
        <v>1698.50324</v>
      </c>
      <c r="CS28" s="216">
        <v>159.77802</v>
      </c>
      <c r="CT28" s="216">
        <v>8605.0567900000005</v>
      </c>
      <c r="CU28" s="216">
        <v>1277.24397</v>
      </c>
      <c r="CV28" s="216">
        <v>7373</v>
      </c>
      <c r="CW28" s="216">
        <v>1500</v>
      </c>
      <c r="CX28" s="216">
        <v>1655</v>
      </c>
    </row>
    <row r="29" spans="1:102" ht="15" customHeight="1" x14ac:dyDescent="0.2">
      <c r="A29" s="218" t="s">
        <v>32</v>
      </c>
      <c r="B29" s="218" t="s">
        <v>76</v>
      </c>
      <c r="C29" s="217" t="s">
        <v>75</v>
      </c>
      <c r="D29" s="216">
        <v>3</v>
      </c>
      <c r="E29" s="216">
        <v>8</v>
      </c>
      <c r="F29" s="216">
        <v>3</v>
      </c>
      <c r="G29" s="216">
        <v>0</v>
      </c>
      <c r="H29" s="216">
        <v>14</v>
      </c>
      <c r="I29" s="216">
        <v>6</v>
      </c>
      <c r="J29" s="216">
        <v>22</v>
      </c>
      <c r="K29" s="216">
        <v>2</v>
      </c>
      <c r="L29" s="216">
        <v>14</v>
      </c>
      <c r="M29" s="216">
        <v>28</v>
      </c>
      <c r="N29" s="216">
        <v>8</v>
      </c>
      <c r="O29" s="216">
        <v>74</v>
      </c>
      <c r="P29" s="216">
        <v>39</v>
      </c>
      <c r="Q29" s="216">
        <v>4</v>
      </c>
      <c r="R29" s="216">
        <v>2</v>
      </c>
      <c r="S29" s="333">
        <v>2</v>
      </c>
      <c r="T29" s="333">
        <v>4</v>
      </c>
      <c r="U29" s="333">
        <v>9</v>
      </c>
      <c r="V29" s="333">
        <v>13</v>
      </c>
      <c r="W29" s="333">
        <v>38</v>
      </c>
      <c r="X29" s="333">
        <v>45</v>
      </c>
      <c r="Y29" s="333">
        <v>172</v>
      </c>
      <c r="Z29" s="333">
        <v>283</v>
      </c>
      <c r="AA29" s="216">
        <v>283</v>
      </c>
      <c r="AB29" s="333">
        <v>0</v>
      </c>
      <c r="AC29" s="333">
        <v>0</v>
      </c>
      <c r="AD29" s="333">
        <v>9</v>
      </c>
      <c r="AE29" s="333">
        <v>15</v>
      </c>
      <c r="AF29" s="333">
        <v>86</v>
      </c>
      <c r="AG29" s="333">
        <v>110</v>
      </c>
      <c r="AH29" s="216">
        <v>138</v>
      </c>
      <c r="AI29" s="333">
        <v>21</v>
      </c>
      <c r="AJ29" s="333">
        <v>123</v>
      </c>
      <c r="AK29" s="333">
        <v>536</v>
      </c>
      <c r="AL29" s="216">
        <v>420</v>
      </c>
      <c r="AM29" s="216">
        <v>430</v>
      </c>
      <c r="AN29" s="216">
        <v>17</v>
      </c>
      <c r="AO29" s="216">
        <v>1</v>
      </c>
      <c r="AP29" s="216">
        <v>83</v>
      </c>
      <c r="AQ29" s="216">
        <v>10</v>
      </c>
      <c r="AR29" s="216">
        <v>281</v>
      </c>
      <c r="AS29" s="216">
        <v>4</v>
      </c>
      <c r="AT29" s="216">
        <v>60</v>
      </c>
      <c r="AU29" s="216">
        <v>108</v>
      </c>
      <c r="AV29" s="216">
        <v>44</v>
      </c>
      <c r="AW29" s="216">
        <v>13</v>
      </c>
      <c r="AX29" s="216">
        <v>13747</v>
      </c>
      <c r="AY29" s="216">
        <v>1745</v>
      </c>
      <c r="AZ29" s="216">
        <v>1018</v>
      </c>
      <c r="BA29" s="216">
        <v>3804</v>
      </c>
      <c r="BB29" s="216">
        <v>429</v>
      </c>
      <c r="BC29" s="216">
        <v>312</v>
      </c>
      <c r="BD29" s="216">
        <v>21055</v>
      </c>
      <c r="BE29" s="216">
        <v>1208</v>
      </c>
      <c r="BF29" s="216">
        <v>684</v>
      </c>
      <c r="BG29" s="216">
        <v>2627</v>
      </c>
      <c r="BH29" s="216">
        <v>1002</v>
      </c>
      <c r="BI29" s="216">
        <v>545</v>
      </c>
      <c r="BJ29" s="216">
        <v>0</v>
      </c>
      <c r="BK29" s="216">
        <v>321</v>
      </c>
      <c r="BL29" s="216">
        <v>27442</v>
      </c>
      <c r="BM29" s="216">
        <v>-208</v>
      </c>
      <c r="BN29" s="216">
        <v>-50</v>
      </c>
      <c r="BO29" s="216">
        <v>0</v>
      </c>
      <c r="BP29" s="216">
        <v>-492</v>
      </c>
      <c r="BQ29" s="216">
        <v>-750</v>
      </c>
      <c r="BR29" s="216">
        <v>26692</v>
      </c>
      <c r="BS29" s="216">
        <v>1010</v>
      </c>
      <c r="BT29" s="216">
        <v>-2011</v>
      </c>
      <c r="BU29" s="216">
        <v>25691</v>
      </c>
      <c r="BV29" s="216">
        <v>0</v>
      </c>
      <c r="BW29" s="216">
        <v>0</v>
      </c>
      <c r="BX29" s="333">
        <v>17.3</v>
      </c>
      <c r="BY29" s="216">
        <v>97</v>
      </c>
      <c r="BZ29" s="216">
        <v>1611</v>
      </c>
      <c r="CA29" s="216">
        <v>22452</v>
      </c>
      <c r="CB29" s="216">
        <v>450</v>
      </c>
      <c r="CC29" s="216">
        <v>1625</v>
      </c>
      <c r="CD29" s="216">
        <v>1564</v>
      </c>
      <c r="CE29" s="216">
        <v>27702</v>
      </c>
      <c r="CF29" s="333">
        <v>0</v>
      </c>
      <c r="CG29" s="333">
        <v>0</v>
      </c>
      <c r="CH29" s="333">
        <v>0</v>
      </c>
      <c r="CI29" s="333">
        <v>0</v>
      </c>
      <c r="CJ29" s="333">
        <v>0</v>
      </c>
      <c r="CK29" s="333">
        <v>0</v>
      </c>
      <c r="CL29" s="216">
        <v>-1609</v>
      </c>
      <c r="CM29" s="216">
        <v>-88</v>
      </c>
      <c r="CN29" s="216">
        <v>-5</v>
      </c>
      <c r="CO29" s="216">
        <v>-1313</v>
      </c>
      <c r="CP29" s="216">
        <v>-73</v>
      </c>
      <c r="CQ29" s="216">
        <v>6201</v>
      </c>
      <c r="CR29" s="216">
        <v>2252</v>
      </c>
      <c r="CS29" s="216">
        <v>48</v>
      </c>
      <c r="CT29" s="216">
        <v>5413</v>
      </c>
      <c r="CU29" s="216">
        <v>846</v>
      </c>
      <c r="CV29" s="216">
        <v>12248</v>
      </c>
      <c r="CW29" s="216">
        <v>2600</v>
      </c>
      <c r="CX29" s="216">
        <v>212</v>
      </c>
    </row>
    <row r="30" spans="1:102" ht="15" customHeight="1" x14ac:dyDescent="0.2">
      <c r="A30" s="218" t="s">
        <v>32</v>
      </c>
      <c r="B30" s="218" t="s">
        <v>74</v>
      </c>
      <c r="C30" s="217" t="s">
        <v>73</v>
      </c>
      <c r="D30" s="216">
        <v>11</v>
      </c>
      <c r="E30" s="216">
        <v>6</v>
      </c>
      <c r="F30" s="216">
        <v>1</v>
      </c>
      <c r="G30" s="216">
        <v>0</v>
      </c>
      <c r="H30" s="216">
        <v>18</v>
      </c>
      <c r="I30" s="216">
        <v>5</v>
      </c>
      <c r="J30" s="216">
        <v>21</v>
      </c>
      <c r="K30" s="216">
        <v>1</v>
      </c>
      <c r="L30" s="216">
        <v>14</v>
      </c>
      <c r="M30" s="216">
        <v>28</v>
      </c>
      <c r="N30" s="216">
        <v>7</v>
      </c>
      <c r="O30" s="216">
        <v>71</v>
      </c>
      <c r="P30" s="216">
        <v>53</v>
      </c>
      <c r="Q30" s="216">
        <v>7</v>
      </c>
      <c r="R30" s="216">
        <v>4</v>
      </c>
      <c r="S30" s="333">
        <v>3</v>
      </c>
      <c r="T30" s="333">
        <v>3</v>
      </c>
      <c r="U30" s="333">
        <v>8</v>
      </c>
      <c r="V30" s="333">
        <v>24</v>
      </c>
      <c r="W30" s="333">
        <v>53</v>
      </c>
      <c r="X30" s="333">
        <v>72</v>
      </c>
      <c r="Y30" s="333">
        <v>218</v>
      </c>
      <c r="Z30" s="333">
        <v>381</v>
      </c>
      <c r="AA30" s="216">
        <v>381</v>
      </c>
      <c r="AB30" s="333">
        <v>0</v>
      </c>
      <c r="AC30" s="333">
        <v>0</v>
      </c>
      <c r="AD30" s="333">
        <v>5</v>
      </c>
      <c r="AE30" s="333">
        <v>10</v>
      </c>
      <c r="AF30" s="333">
        <v>36</v>
      </c>
      <c r="AG30" s="333">
        <v>51</v>
      </c>
      <c r="AH30" s="216">
        <v>75</v>
      </c>
      <c r="AI30" s="333">
        <v>38</v>
      </c>
      <c r="AJ30" s="333">
        <v>140</v>
      </c>
      <c r="AK30" s="333">
        <v>609</v>
      </c>
      <c r="AL30" s="216">
        <v>480</v>
      </c>
      <c r="AM30" s="216">
        <v>485</v>
      </c>
      <c r="AN30" s="216">
        <v>11</v>
      </c>
      <c r="AO30" s="216">
        <v>1</v>
      </c>
      <c r="AP30" s="216">
        <v>67</v>
      </c>
      <c r="AQ30" s="216">
        <v>5</v>
      </c>
      <c r="AR30" s="216">
        <v>338</v>
      </c>
      <c r="AS30" s="216">
        <v>9</v>
      </c>
      <c r="AT30" s="216">
        <v>66</v>
      </c>
      <c r="AU30" s="216">
        <v>64</v>
      </c>
      <c r="AV30" s="216">
        <v>44</v>
      </c>
      <c r="AW30" s="216">
        <v>15</v>
      </c>
      <c r="AX30" s="216">
        <v>17417</v>
      </c>
      <c r="AY30" s="216">
        <v>550</v>
      </c>
      <c r="AZ30" s="216">
        <v>0</v>
      </c>
      <c r="BA30" s="216">
        <v>5685</v>
      </c>
      <c r="BB30" s="216">
        <v>458</v>
      </c>
      <c r="BC30" s="216">
        <v>137</v>
      </c>
      <c r="BD30" s="216">
        <v>24247</v>
      </c>
      <c r="BE30" s="216">
        <v>2306</v>
      </c>
      <c r="BF30" s="216">
        <v>939</v>
      </c>
      <c r="BG30" s="216">
        <v>3291</v>
      </c>
      <c r="BH30" s="216">
        <v>0</v>
      </c>
      <c r="BI30" s="216">
        <v>2030</v>
      </c>
      <c r="BJ30" s="216">
        <v>591</v>
      </c>
      <c r="BK30" s="216">
        <v>590</v>
      </c>
      <c r="BL30" s="216">
        <v>33994</v>
      </c>
      <c r="BM30" s="216">
        <v>-686</v>
      </c>
      <c r="BN30" s="216">
        <v>-1258</v>
      </c>
      <c r="BO30" s="216">
        <v>-3</v>
      </c>
      <c r="BP30" s="216">
        <v>-579</v>
      </c>
      <c r="BQ30" s="216">
        <v>-2526</v>
      </c>
      <c r="BR30" s="216">
        <v>31468</v>
      </c>
      <c r="BS30" s="216">
        <v>1053</v>
      </c>
      <c r="BT30" s="216">
        <v>6058</v>
      </c>
      <c r="BU30" s="216">
        <v>38579</v>
      </c>
      <c r="BV30" s="216">
        <v>0</v>
      </c>
      <c r="BW30" s="216">
        <v>0</v>
      </c>
      <c r="BX30" s="333">
        <v>13.7</v>
      </c>
      <c r="BY30" s="216">
        <v>158</v>
      </c>
      <c r="BZ30" s="216" t="s">
        <v>3</v>
      </c>
      <c r="CA30" s="216" t="s">
        <v>3</v>
      </c>
      <c r="CB30" s="216">
        <v>149</v>
      </c>
      <c r="CC30" s="216">
        <v>694</v>
      </c>
      <c r="CD30" s="216">
        <v>394</v>
      </c>
      <c r="CE30" s="216">
        <v>32521</v>
      </c>
      <c r="CF30" s="333" t="s">
        <v>3</v>
      </c>
      <c r="CG30" s="333" t="s">
        <v>3</v>
      </c>
      <c r="CH30" s="333">
        <v>100</v>
      </c>
      <c r="CI30" s="333">
        <v>100</v>
      </c>
      <c r="CJ30" s="333">
        <v>100</v>
      </c>
      <c r="CK30" s="333">
        <v>100</v>
      </c>
      <c r="CL30" s="216">
        <v>-1997</v>
      </c>
      <c r="CM30" s="216">
        <v>-136</v>
      </c>
      <c r="CN30" s="216">
        <v>0</v>
      </c>
      <c r="CO30" s="216">
        <v>-1663</v>
      </c>
      <c r="CP30" s="216">
        <v>-6</v>
      </c>
      <c r="CQ30" s="216">
        <v>7981</v>
      </c>
      <c r="CR30" s="216">
        <v>2076</v>
      </c>
      <c r="CS30" s="216">
        <v>0</v>
      </c>
      <c r="CT30" s="216">
        <v>6255</v>
      </c>
      <c r="CU30" s="216">
        <v>412</v>
      </c>
      <c r="CV30" s="216">
        <v>7652</v>
      </c>
      <c r="CW30" s="216">
        <v>2344</v>
      </c>
      <c r="CX30" s="216">
        <v>589</v>
      </c>
    </row>
    <row r="31" spans="1:102" ht="15" customHeight="1" x14ac:dyDescent="0.2">
      <c r="A31" s="218" t="s">
        <v>32</v>
      </c>
      <c r="B31" s="218" t="s">
        <v>72</v>
      </c>
      <c r="C31" s="217" t="s">
        <v>71</v>
      </c>
      <c r="D31" s="216">
        <v>6</v>
      </c>
      <c r="E31" s="216">
        <v>10</v>
      </c>
      <c r="F31" s="216">
        <v>4</v>
      </c>
      <c r="G31" s="216">
        <v>0</v>
      </c>
      <c r="H31" s="216">
        <v>20</v>
      </c>
      <c r="I31" s="216">
        <v>0</v>
      </c>
      <c r="J31" s="216">
        <v>30</v>
      </c>
      <c r="K31" s="216">
        <v>2</v>
      </c>
      <c r="L31" s="216">
        <v>4</v>
      </c>
      <c r="M31" s="216">
        <v>33</v>
      </c>
      <c r="N31" s="216">
        <v>9</v>
      </c>
      <c r="O31" s="216">
        <v>78</v>
      </c>
      <c r="P31" s="216">
        <v>43</v>
      </c>
      <c r="Q31" s="216">
        <v>4</v>
      </c>
      <c r="R31" s="216">
        <v>3</v>
      </c>
      <c r="S31" s="333">
        <v>2</v>
      </c>
      <c r="T31" s="333">
        <v>3</v>
      </c>
      <c r="U31" s="333">
        <v>6</v>
      </c>
      <c r="V31" s="333">
        <v>22</v>
      </c>
      <c r="W31" s="333">
        <v>32</v>
      </c>
      <c r="X31" s="333">
        <v>42</v>
      </c>
      <c r="Y31" s="333">
        <v>137</v>
      </c>
      <c r="Z31" s="333">
        <v>244</v>
      </c>
      <c r="AA31" s="216">
        <v>244</v>
      </c>
      <c r="AB31" s="333">
        <v>0</v>
      </c>
      <c r="AC31" s="333">
        <v>0</v>
      </c>
      <c r="AD31" s="333">
        <v>6</v>
      </c>
      <c r="AE31" s="333">
        <v>19</v>
      </c>
      <c r="AF31" s="333">
        <v>76</v>
      </c>
      <c r="AG31" s="333">
        <v>101</v>
      </c>
      <c r="AH31" s="216">
        <v>132</v>
      </c>
      <c r="AI31" s="333">
        <v>0</v>
      </c>
      <c r="AJ31" s="333">
        <v>104</v>
      </c>
      <c r="AK31" s="333">
        <v>449</v>
      </c>
      <c r="AL31" s="216">
        <v>446</v>
      </c>
      <c r="AM31" s="216">
        <v>458</v>
      </c>
      <c r="AN31" s="216">
        <v>13</v>
      </c>
      <c r="AO31" s="216">
        <v>0</v>
      </c>
      <c r="AP31" s="216">
        <v>59</v>
      </c>
      <c r="AQ31" s="216">
        <v>18</v>
      </c>
      <c r="AR31" s="216">
        <v>277</v>
      </c>
      <c r="AS31" s="216">
        <v>0</v>
      </c>
      <c r="AT31" s="216">
        <v>50</v>
      </c>
      <c r="AU31" s="216">
        <v>178</v>
      </c>
      <c r="AV31" s="216">
        <v>95</v>
      </c>
      <c r="AW31" s="216">
        <v>0</v>
      </c>
      <c r="AX31" s="216">
        <v>13300</v>
      </c>
      <c r="AY31" s="216">
        <v>1208</v>
      </c>
      <c r="AZ31" s="216">
        <v>0</v>
      </c>
      <c r="BA31" s="216">
        <v>4250</v>
      </c>
      <c r="BB31" s="216">
        <v>485</v>
      </c>
      <c r="BC31" s="216">
        <v>711</v>
      </c>
      <c r="BD31" s="216">
        <v>19954</v>
      </c>
      <c r="BE31" s="216">
        <v>1441</v>
      </c>
      <c r="BF31" s="216">
        <v>658</v>
      </c>
      <c r="BG31" s="216">
        <v>3817</v>
      </c>
      <c r="BH31" s="216">
        <v>0</v>
      </c>
      <c r="BI31" s="216">
        <v>685</v>
      </c>
      <c r="BJ31" s="216">
        <v>0</v>
      </c>
      <c r="BK31" s="216">
        <v>2591</v>
      </c>
      <c r="BL31" s="216">
        <v>29146</v>
      </c>
      <c r="BM31" s="216">
        <v>-1089</v>
      </c>
      <c r="BN31" s="216">
        <v>0</v>
      </c>
      <c r="BO31" s="216">
        <v>0</v>
      </c>
      <c r="BP31" s="216">
        <v>-1241</v>
      </c>
      <c r="BQ31" s="216">
        <v>-2330</v>
      </c>
      <c r="BR31" s="216">
        <v>26816</v>
      </c>
      <c r="BS31" s="216">
        <v>2752</v>
      </c>
      <c r="BT31" s="216">
        <v>3420</v>
      </c>
      <c r="BU31" s="216">
        <v>32988</v>
      </c>
      <c r="BV31" s="216">
        <v>0</v>
      </c>
      <c r="BW31" s="216">
        <v>-52</v>
      </c>
      <c r="BX31" s="333">
        <v>15.5</v>
      </c>
      <c r="BY31" s="216">
        <v>0</v>
      </c>
      <c r="BZ31" s="216">
        <v>960</v>
      </c>
      <c r="CA31" s="216">
        <v>27009</v>
      </c>
      <c r="CB31" s="216">
        <v>0</v>
      </c>
      <c r="CC31" s="216">
        <v>1221</v>
      </c>
      <c r="CD31" s="216">
        <v>378</v>
      </c>
      <c r="CE31" s="216">
        <v>29568</v>
      </c>
      <c r="CF31" s="333">
        <v>0</v>
      </c>
      <c r="CG31" s="333">
        <v>0</v>
      </c>
      <c r="CH31" s="333">
        <v>0</v>
      </c>
      <c r="CI31" s="333">
        <v>0</v>
      </c>
      <c r="CJ31" s="333">
        <v>0</v>
      </c>
      <c r="CK31" s="333">
        <v>0</v>
      </c>
      <c r="CL31" s="216">
        <v>-1539</v>
      </c>
      <c r="CM31" s="216">
        <v>-20</v>
      </c>
      <c r="CN31" s="216">
        <v>-59</v>
      </c>
      <c r="CO31" s="216">
        <v>-1262</v>
      </c>
      <c r="CP31" s="216">
        <v>0</v>
      </c>
      <c r="CQ31" s="216">
        <v>6819</v>
      </c>
      <c r="CR31" s="216">
        <v>925</v>
      </c>
      <c r="CS31" s="216">
        <v>0</v>
      </c>
      <c r="CT31" s="216">
        <v>4864</v>
      </c>
      <c r="CU31" s="216">
        <v>345</v>
      </c>
      <c r="CV31" s="216">
        <v>8994</v>
      </c>
      <c r="CW31" s="216">
        <v>2165</v>
      </c>
      <c r="CX31" s="216">
        <v>2921</v>
      </c>
    </row>
    <row r="32" spans="1:102" ht="15" customHeight="1" x14ac:dyDescent="0.2">
      <c r="A32" s="218" t="s">
        <v>32</v>
      </c>
      <c r="B32" s="218" t="s">
        <v>70</v>
      </c>
      <c r="C32" s="217" t="s">
        <v>69</v>
      </c>
      <c r="D32" s="216">
        <v>3</v>
      </c>
      <c r="E32" s="216">
        <v>19</v>
      </c>
      <c r="F32" s="216">
        <v>4</v>
      </c>
      <c r="G32" s="216">
        <v>1</v>
      </c>
      <c r="H32" s="216">
        <v>27</v>
      </c>
      <c r="I32" s="216">
        <v>7</v>
      </c>
      <c r="J32" s="216">
        <v>36</v>
      </c>
      <c r="K32" s="216">
        <v>2</v>
      </c>
      <c r="L32" s="216">
        <v>5</v>
      </c>
      <c r="M32" s="216">
        <v>42</v>
      </c>
      <c r="N32" s="216">
        <v>3</v>
      </c>
      <c r="O32" s="216">
        <v>88</v>
      </c>
      <c r="P32" s="216">
        <v>0</v>
      </c>
      <c r="Q32" s="216">
        <v>4</v>
      </c>
      <c r="R32" s="216">
        <v>3</v>
      </c>
      <c r="S32" s="333">
        <v>2</v>
      </c>
      <c r="T32" s="333">
        <v>3</v>
      </c>
      <c r="U32" s="333">
        <v>9</v>
      </c>
      <c r="V32" s="333">
        <v>28</v>
      </c>
      <c r="W32" s="333">
        <v>44</v>
      </c>
      <c r="X32" s="333">
        <v>30</v>
      </c>
      <c r="Y32" s="333">
        <v>134</v>
      </c>
      <c r="Z32" s="333">
        <v>250</v>
      </c>
      <c r="AA32" s="216">
        <v>250</v>
      </c>
      <c r="AB32" s="333">
        <v>0</v>
      </c>
      <c r="AC32" s="333">
        <v>0</v>
      </c>
      <c r="AD32" s="333">
        <v>15</v>
      </c>
      <c r="AE32" s="333">
        <v>29</v>
      </c>
      <c r="AF32" s="333">
        <v>85</v>
      </c>
      <c r="AG32" s="333">
        <v>128</v>
      </c>
      <c r="AH32" s="216">
        <v>227</v>
      </c>
      <c r="AI32" s="333">
        <v>40</v>
      </c>
      <c r="AJ32" s="333">
        <v>127</v>
      </c>
      <c r="AK32" s="333">
        <v>545</v>
      </c>
      <c r="AL32" s="216">
        <v>413</v>
      </c>
      <c r="AM32" s="216">
        <v>426</v>
      </c>
      <c r="AN32" s="216">
        <v>8</v>
      </c>
      <c r="AO32" s="216">
        <v>0</v>
      </c>
      <c r="AP32" s="216">
        <v>55</v>
      </c>
      <c r="AQ32" s="216">
        <v>9</v>
      </c>
      <c r="AR32" s="216">
        <v>345</v>
      </c>
      <c r="AS32" s="216">
        <v>37</v>
      </c>
      <c r="AT32" s="216">
        <v>19</v>
      </c>
      <c r="AU32" s="216">
        <v>182</v>
      </c>
      <c r="AV32" s="216">
        <v>118</v>
      </c>
      <c r="AW32" s="216">
        <v>25</v>
      </c>
      <c r="AX32" s="216">
        <v>12486</v>
      </c>
      <c r="AY32" s="216">
        <v>2290</v>
      </c>
      <c r="AZ32" s="216">
        <v>0</v>
      </c>
      <c r="BA32" s="216">
        <v>4990</v>
      </c>
      <c r="BB32" s="216">
        <v>582</v>
      </c>
      <c r="BC32" s="216">
        <v>420</v>
      </c>
      <c r="BD32" s="216">
        <v>20768</v>
      </c>
      <c r="BE32" s="216">
        <v>1200</v>
      </c>
      <c r="BF32" s="216">
        <v>740</v>
      </c>
      <c r="BG32" s="216">
        <v>4095</v>
      </c>
      <c r="BH32" s="216">
        <v>89</v>
      </c>
      <c r="BI32" s="216">
        <v>1603</v>
      </c>
      <c r="BJ32" s="216">
        <v>0</v>
      </c>
      <c r="BK32" s="216">
        <v>1508</v>
      </c>
      <c r="BL32" s="216">
        <v>30003</v>
      </c>
      <c r="BM32" s="216">
        <v>-498</v>
      </c>
      <c r="BN32" s="216">
        <v>-827</v>
      </c>
      <c r="BO32" s="216">
        <v>0</v>
      </c>
      <c r="BP32" s="216">
        <v>-842</v>
      </c>
      <c r="BQ32" s="216">
        <v>-2167</v>
      </c>
      <c r="BR32" s="216">
        <v>27836</v>
      </c>
      <c r="BS32" s="216">
        <v>3668</v>
      </c>
      <c r="BT32" s="216">
        <v>7831</v>
      </c>
      <c r="BU32" s="216">
        <v>39335</v>
      </c>
      <c r="BV32" s="216">
        <v>0</v>
      </c>
      <c r="BW32" s="216">
        <v>0</v>
      </c>
      <c r="BX32" s="333">
        <v>17.8</v>
      </c>
      <c r="BY32" s="216">
        <v>364</v>
      </c>
      <c r="BZ32" s="216">
        <v>1642</v>
      </c>
      <c r="CA32" s="216">
        <v>27082</v>
      </c>
      <c r="CB32" s="216">
        <v>427</v>
      </c>
      <c r="CC32" s="216">
        <v>2200</v>
      </c>
      <c r="CD32" s="216">
        <v>153</v>
      </c>
      <c r="CE32" s="216">
        <v>31504</v>
      </c>
      <c r="CF32" s="333">
        <v>60.779537149817301</v>
      </c>
      <c r="CG32" s="333">
        <v>8.8435122959899566</v>
      </c>
      <c r="CH32" s="333">
        <v>17.56440281030445</v>
      </c>
      <c r="CI32" s="333">
        <v>68.045454545454547</v>
      </c>
      <c r="CJ32" s="333">
        <v>16.33986928104575</v>
      </c>
      <c r="CK32" s="333">
        <v>15.839258506856272</v>
      </c>
      <c r="CL32" s="216">
        <v>-1597</v>
      </c>
      <c r="CM32" s="216">
        <v>-127</v>
      </c>
      <c r="CN32" s="216">
        <v>0</v>
      </c>
      <c r="CO32" s="216">
        <v>-1325</v>
      </c>
      <c r="CP32" s="216">
        <v>0</v>
      </c>
      <c r="CQ32" s="216">
        <v>6340</v>
      </c>
      <c r="CR32" s="216">
        <v>713</v>
      </c>
      <c r="CS32" s="216">
        <v>0</v>
      </c>
      <c r="CT32" s="216">
        <v>4004</v>
      </c>
      <c r="CU32" s="216">
        <v>576</v>
      </c>
      <c r="CV32" s="216">
        <v>9593</v>
      </c>
      <c r="CW32" s="216">
        <v>2423</v>
      </c>
      <c r="CX32" s="216">
        <v>336</v>
      </c>
    </row>
    <row r="33" spans="1:102" ht="15" customHeight="1" x14ac:dyDescent="0.2">
      <c r="A33" s="218" t="s">
        <v>32</v>
      </c>
      <c r="B33" s="218" t="s">
        <v>68</v>
      </c>
      <c r="C33" s="217" t="s">
        <v>67</v>
      </c>
      <c r="D33" s="216">
        <v>7</v>
      </c>
      <c r="E33" s="216">
        <v>11</v>
      </c>
      <c r="F33" s="216">
        <v>10</v>
      </c>
      <c r="G33" s="216">
        <v>0</v>
      </c>
      <c r="H33" s="216">
        <v>28</v>
      </c>
      <c r="I33" s="216">
        <v>6</v>
      </c>
      <c r="J33" s="216">
        <v>37</v>
      </c>
      <c r="K33" s="216">
        <v>3</v>
      </c>
      <c r="L33" s="216">
        <v>10</v>
      </c>
      <c r="M33" s="216">
        <v>34</v>
      </c>
      <c r="N33" s="216">
        <v>14</v>
      </c>
      <c r="O33" s="216">
        <v>98</v>
      </c>
      <c r="P33" s="216">
        <v>131</v>
      </c>
      <c r="Q33" s="216">
        <v>11</v>
      </c>
      <c r="R33" s="216">
        <v>4</v>
      </c>
      <c r="S33" s="333">
        <v>2</v>
      </c>
      <c r="T33" s="333">
        <v>4</v>
      </c>
      <c r="U33" s="333">
        <v>8</v>
      </c>
      <c r="V33" s="333">
        <v>31</v>
      </c>
      <c r="W33" s="333">
        <v>58</v>
      </c>
      <c r="X33" s="333">
        <v>54</v>
      </c>
      <c r="Y33" s="333">
        <v>212</v>
      </c>
      <c r="Z33" s="333">
        <v>369</v>
      </c>
      <c r="AA33" s="216">
        <v>397</v>
      </c>
      <c r="AB33" s="333">
        <v>0</v>
      </c>
      <c r="AC33" s="333">
        <v>0</v>
      </c>
      <c r="AD33" s="333">
        <v>11</v>
      </c>
      <c r="AE33" s="333">
        <v>30</v>
      </c>
      <c r="AF33" s="333">
        <v>124</v>
      </c>
      <c r="AG33" s="333">
        <v>165</v>
      </c>
      <c r="AH33" s="216">
        <v>274</v>
      </c>
      <c r="AI33" s="333" t="s">
        <v>619</v>
      </c>
      <c r="AJ33" s="333">
        <v>197</v>
      </c>
      <c r="AK33" s="333">
        <v>730</v>
      </c>
      <c r="AL33" s="216">
        <v>826</v>
      </c>
      <c r="AM33" s="216">
        <v>846</v>
      </c>
      <c r="AN33" s="216">
        <v>29</v>
      </c>
      <c r="AO33" s="216">
        <v>0</v>
      </c>
      <c r="AP33" s="216">
        <v>76</v>
      </c>
      <c r="AQ33" s="216">
        <v>16</v>
      </c>
      <c r="AR33" s="216">
        <v>503</v>
      </c>
      <c r="AS33" s="216">
        <v>13</v>
      </c>
      <c r="AT33" s="216">
        <v>71</v>
      </c>
      <c r="AU33" s="216">
        <v>170</v>
      </c>
      <c r="AV33" s="216">
        <v>53</v>
      </c>
      <c r="AW33" s="216">
        <v>13</v>
      </c>
      <c r="AX33" s="216">
        <v>18647</v>
      </c>
      <c r="AY33" s="216">
        <v>2749</v>
      </c>
      <c r="AZ33" s="216">
        <v>0</v>
      </c>
      <c r="BA33" s="216">
        <v>7308</v>
      </c>
      <c r="BB33" s="216">
        <v>412</v>
      </c>
      <c r="BC33" s="216">
        <v>336</v>
      </c>
      <c r="BD33" s="216">
        <v>29452</v>
      </c>
      <c r="BE33" s="216">
        <v>2741</v>
      </c>
      <c r="BF33" s="216">
        <v>1170</v>
      </c>
      <c r="BG33" s="216">
        <v>4272</v>
      </c>
      <c r="BH33" s="216">
        <v>133</v>
      </c>
      <c r="BI33" s="216">
        <v>810</v>
      </c>
      <c r="BJ33" s="216">
        <v>1011</v>
      </c>
      <c r="BK33" s="216">
        <v>1096</v>
      </c>
      <c r="BL33" s="216">
        <v>40685</v>
      </c>
      <c r="BM33" s="216">
        <v>-444</v>
      </c>
      <c r="BN33" s="216">
        <v>0</v>
      </c>
      <c r="BO33" s="216">
        <v>0</v>
      </c>
      <c r="BP33" s="216">
        <v>-1876</v>
      </c>
      <c r="BQ33" s="216">
        <v>-2320</v>
      </c>
      <c r="BR33" s="216">
        <v>38365</v>
      </c>
      <c r="BS33" s="216">
        <v>2337</v>
      </c>
      <c r="BT33" s="216">
        <v>-2961</v>
      </c>
      <c r="BU33" s="216">
        <v>37741</v>
      </c>
      <c r="BV33" s="216">
        <v>0</v>
      </c>
      <c r="BW33" s="216">
        <v>-1349</v>
      </c>
      <c r="BX33" s="333">
        <v>18.3</v>
      </c>
      <c r="BY33" s="216">
        <v>574</v>
      </c>
      <c r="BZ33" s="216">
        <v>11813</v>
      </c>
      <c r="CA33" s="216">
        <v>27864</v>
      </c>
      <c r="CB33" s="216">
        <v>0</v>
      </c>
      <c r="CC33" s="216">
        <v>1025</v>
      </c>
      <c r="CD33" s="216">
        <v>0</v>
      </c>
      <c r="CE33" s="216">
        <v>40702</v>
      </c>
      <c r="CF33" s="333">
        <v>5.5701345974773551</v>
      </c>
      <c r="CG33" s="333">
        <v>15.439276485788115</v>
      </c>
      <c r="CH33" s="333">
        <v>0</v>
      </c>
      <c r="CI33" s="333">
        <v>5.1707317073170733</v>
      </c>
      <c r="CJ33" s="333">
        <v>0</v>
      </c>
      <c r="CK33" s="333">
        <v>12.316348091002899</v>
      </c>
      <c r="CL33" s="216">
        <v>-2434</v>
      </c>
      <c r="CM33" s="216">
        <v>0</v>
      </c>
      <c r="CN33" s="216">
        <v>0</v>
      </c>
      <c r="CO33" s="216">
        <v>-2023</v>
      </c>
      <c r="CP33" s="216">
        <v>-592</v>
      </c>
      <c r="CQ33" s="216">
        <v>12405</v>
      </c>
      <c r="CR33" s="216">
        <v>3102</v>
      </c>
      <c r="CS33" s="216">
        <v>0</v>
      </c>
      <c r="CT33" s="216">
        <v>10458</v>
      </c>
      <c r="CU33" s="216">
        <v>291</v>
      </c>
      <c r="CV33" s="216">
        <v>19741</v>
      </c>
      <c r="CW33" s="216">
        <v>7987</v>
      </c>
      <c r="CX33" s="216">
        <v>585</v>
      </c>
    </row>
    <row r="34" spans="1:102" ht="15" customHeight="1" x14ac:dyDescent="0.2">
      <c r="A34" s="218" t="s">
        <v>32</v>
      </c>
      <c r="B34" s="218" t="s">
        <v>66</v>
      </c>
      <c r="C34" s="217" t="s">
        <v>65</v>
      </c>
      <c r="D34" s="216">
        <v>6</v>
      </c>
      <c r="E34" s="216">
        <v>6</v>
      </c>
      <c r="F34" s="216">
        <v>2</v>
      </c>
      <c r="G34" s="216">
        <v>0</v>
      </c>
      <c r="H34" s="216">
        <v>14</v>
      </c>
      <c r="I34" s="216">
        <v>3</v>
      </c>
      <c r="J34" s="216">
        <v>19</v>
      </c>
      <c r="K34" s="216">
        <v>4</v>
      </c>
      <c r="L34" s="216">
        <v>9</v>
      </c>
      <c r="M34" s="216">
        <v>20</v>
      </c>
      <c r="N34" s="216">
        <v>5</v>
      </c>
      <c r="O34" s="216">
        <v>57</v>
      </c>
      <c r="P34" s="216">
        <v>37</v>
      </c>
      <c r="Q34" s="216">
        <v>6</v>
      </c>
      <c r="R34" s="216">
        <v>2</v>
      </c>
      <c r="S34" s="333">
        <v>3</v>
      </c>
      <c r="T34" s="333">
        <v>0</v>
      </c>
      <c r="U34" s="333">
        <v>6</v>
      </c>
      <c r="V34" s="333">
        <v>13</v>
      </c>
      <c r="W34" s="333">
        <v>51</v>
      </c>
      <c r="X34" s="333">
        <v>52</v>
      </c>
      <c r="Y34" s="333">
        <v>200</v>
      </c>
      <c r="Z34" s="333">
        <v>325</v>
      </c>
      <c r="AA34" s="216">
        <v>325</v>
      </c>
      <c r="AB34" s="333">
        <v>0</v>
      </c>
      <c r="AC34" s="333">
        <v>0</v>
      </c>
      <c r="AD34" s="333">
        <v>6</v>
      </c>
      <c r="AE34" s="333">
        <v>14</v>
      </c>
      <c r="AF34" s="333">
        <v>72</v>
      </c>
      <c r="AG34" s="333">
        <v>92</v>
      </c>
      <c r="AH34" s="216">
        <v>121</v>
      </c>
      <c r="AI34" s="333">
        <v>21</v>
      </c>
      <c r="AJ34" s="333">
        <v>104</v>
      </c>
      <c r="AK34" s="333">
        <v>541</v>
      </c>
      <c r="AL34" s="216">
        <v>669</v>
      </c>
      <c r="AM34" s="216">
        <v>679</v>
      </c>
      <c r="AN34" s="216">
        <v>21</v>
      </c>
      <c r="AO34" s="216">
        <v>0</v>
      </c>
      <c r="AP34" s="216">
        <v>91</v>
      </c>
      <c r="AQ34" s="216">
        <v>0</v>
      </c>
      <c r="AR34" s="216">
        <v>259</v>
      </c>
      <c r="AS34" s="216">
        <v>10</v>
      </c>
      <c r="AT34" s="216">
        <v>0</v>
      </c>
      <c r="AU34" s="216">
        <v>0</v>
      </c>
      <c r="AV34" s="216">
        <v>0</v>
      </c>
      <c r="AW34" s="216">
        <v>0</v>
      </c>
      <c r="AX34" s="216">
        <v>14876</v>
      </c>
      <c r="AY34" s="216">
        <v>1014</v>
      </c>
      <c r="AZ34" s="216">
        <v>895</v>
      </c>
      <c r="BA34" s="216">
        <v>3353</v>
      </c>
      <c r="BB34" s="216">
        <v>1096</v>
      </c>
      <c r="BC34" s="216">
        <v>578</v>
      </c>
      <c r="BD34" s="216">
        <v>21812</v>
      </c>
      <c r="BE34" s="216">
        <v>1654</v>
      </c>
      <c r="BF34" s="216">
        <v>894</v>
      </c>
      <c r="BG34" s="216">
        <v>2278</v>
      </c>
      <c r="BH34" s="216">
        <v>428</v>
      </c>
      <c r="BI34" s="216">
        <v>0</v>
      </c>
      <c r="BJ34" s="216">
        <v>0</v>
      </c>
      <c r="BK34" s="216">
        <v>0</v>
      </c>
      <c r="BL34" s="216">
        <v>27066</v>
      </c>
      <c r="BM34" s="216">
        <v>-488</v>
      </c>
      <c r="BN34" s="216">
        <v>0</v>
      </c>
      <c r="BO34" s="216">
        <v>0</v>
      </c>
      <c r="BP34" s="216">
        <v>-1029</v>
      </c>
      <c r="BQ34" s="216">
        <v>-1517</v>
      </c>
      <c r="BR34" s="216">
        <v>25549</v>
      </c>
      <c r="BS34" s="216">
        <v>726</v>
      </c>
      <c r="BT34" s="216">
        <v>3352</v>
      </c>
      <c r="BU34" s="216">
        <v>29627</v>
      </c>
      <c r="BV34" s="216">
        <v>0</v>
      </c>
      <c r="BW34" s="216">
        <v>0</v>
      </c>
      <c r="BX34" s="333">
        <v>16.100000000000001</v>
      </c>
      <c r="BY34" s="216">
        <v>54</v>
      </c>
      <c r="BZ34" s="216">
        <v>3901</v>
      </c>
      <c r="CA34" s="216">
        <v>22172</v>
      </c>
      <c r="CB34" s="216">
        <v>0</v>
      </c>
      <c r="CC34" s="216">
        <v>202</v>
      </c>
      <c r="CD34" s="216">
        <v>0</v>
      </c>
      <c r="CE34" s="216">
        <v>26275</v>
      </c>
      <c r="CF34" s="333">
        <v>15.585747244296332</v>
      </c>
      <c r="CG34" s="333">
        <v>25.581814901677792</v>
      </c>
      <c r="CH34" s="333">
        <v>0</v>
      </c>
      <c r="CI34" s="333">
        <v>0</v>
      </c>
      <c r="CJ34" s="333">
        <v>0</v>
      </c>
      <c r="CK34" s="333">
        <v>23.901046622264509</v>
      </c>
      <c r="CL34" s="216">
        <v>-1766</v>
      </c>
      <c r="CM34" s="216">
        <v>0</v>
      </c>
      <c r="CN34" s="216">
        <v>0</v>
      </c>
      <c r="CO34" s="216">
        <v>-1401</v>
      </c>
      <c r="CP34" s="216">
        <v>-64</v>
      </c>
      <c r="CQ34" s="216">
        <v>12059</v>
      </c>
      <c r="CR34" s="216">
        <v>2968</v>
      </c>
      <c r="CS34" s="216">
        <v>136</v>
      </c>
      <c r="CT34" s="216">
        <v>11932</v>
      </c>
      <c r="CU34" s="216">
        <v>221</v>
      </c>
      <c r="CV34" s="216">
        <v>11212</v>
      </c>
      <c r="CW34" s="216">
        <v>1552</v>
      </c>
      <c r="CX34" s="216">
        <v>0</v>
      </c>
    </row>
    <row r="35" spans="1:102" ht="15" customHeight="1" x14ac:dyDescent="0.2">
      <c r="A35" s="218" t="s">
        <v>32</v>
      </c>
      <c r="B35" s="218" t="s">
        <v>64</v>
      </c>
      <c r="C35" s="217" t="s">
        <v>63</v>
      </c>
      <c r="D35" s="216">
        <v>4</v>
      </c>
      <c r="E35" s="216">
        <v>19</v>
      </c>
      <c r="F35" s="216">
        <v>8</v>
      </c>
      <c r="G35" s="216">
        <v>0</v>
      </c>
      <c r="H35" s="216">
        <v>31</v>
      </c>
      <c r="I35" s="216">
        <v>7</v>
      </c>
      <c r="J35" s="216">
        <v>41</v>
      </c>
      <c r="K35" s="216">
        <v>3</v>
      </c>
      <c r="L35" s="216">
        <v>5</v>
      </c>
      <c r="M35" s="216">
        <v>40</v>
      </c>
      <c r="N35" s="216">
        <v>15</v>
      </c>
      <c r="O35" s="216">
        <v>104</v>
      </c>
      <c r="P35" s="216">
        <v>132</v>
      </c>
      <c r="Q35" s="216">
        <v>4</v>
      </c>
      <c r="R35" s="216">
        <v>8</v>
      </c>
      <c r="S35" s="333">
        <v>2</v>
      </c>
      <c r="T35" s="333">
        <v>3</v>
      </c>
      <c r="U35" s="333">
        <v>8</v>
      </c>
      <c r="V35" s="333">
        <v>19</v>
      </c>
      <c r="W35" s="333">
        <v>58</v>
      </c>
      <c r="X35" s="333">
        <v>64</v>
      </c>
      <c r="Y35" s="333">
        <v>185</v>
      </c>
      <c r="Z35" s="333">
        <v>339</v>
      </c>
      <c r="AA35" s="216">
        <v>339</v>
      </c>
      <c r="AB35" s="333">
        <v>0</v>
      </c>
      <c r="AC35" s="333">
        <v>0</v>
      </c>
      <c r="AD35" s="333">
        <v>22</v>
      </c>
      <c r="AE35" s="333">
        <v>42</v>
      </c>
      <c r="AF35" s="333">
        <v>152</v>
      </c>
      <c r="AG35" s="333">
        <v>216</v>
      </c>
      <c r="AH35" s="216">
        <v>325</v>
      </c>
      <c r="AI35" s="333">
        <v>26</v>
      </c>
      <c r="AJ35" s="333">
        <v>145</v>
      </c>
      <c r="AK35" s="333">
        <v>726</v>
      </c>
      <c r="AL35" s="216">
        <v>718</v>
      </c>
      <c r="AM35" s="216">
        <v>730</v>
      </c>
      <c r="AN35" s="216">
        <v>6</v>
      </c>
      <c r="AO35" s="216">
        <v>2</v>
      </c>
      <c r="AP35" s="216">
        <v>65</v>
      </c>
      <c r="AQ35" s="216">
        <v>6</v>
      </c>
      <c r="AR35" s="216">
        <v>465</v>
      </c>
      <c r="AS35" s="216">
        <v>0</v>
      </c>
      <c r="AT35" s="216">
        <v>39</v>
      </c>
      <c r="AU35" s="216">
        <v>207</v>
      </c>
      <c r="AV35" s="216">
        <v>30</v>
      </c>
      <c r="AW35" s="216">
        <v>0</v>
      </c>
      <c r="AX35" s="216">
        <v>16533</v>
      </c>
      <c r="AY35" s="216">
        <v>2999</v>
      </c>
      <c r="AZ35" s="216">
        <v>1014</v>
      </c>
      <c r="BA35" s="216">
        <v>6333</v>
      </c>
      <c r="BB35" s="216">
        <v>372</v>
      </c>
      <c r="BC35" s="216">
        <v>303</v>
      </c>
      <c r="BD35" s="216">
        <v>27554</v>
      </c>
      <c r="BE35" s="216">
        <v>2884</v>
      </c>
      <c r="BF35" s="216">
        <v>1240</v>
      </c>
      <c r="BG35" s="216">
        <v>3218</v>
      </c>
      <c r="BH35" s="216">
        <v>525</v>
      </c>
      <c r="BI35" s="216">
        <v>0</v>
      </c>
      <c r="BJ35" s="216">
        <v>0</v>
      </c>
      <c r="BK35" s="216">
        <v>0</v>
      </c>
      <c r="BL35" s="216">
        <v>35421</v>
      </c>
      <c r="BM35" s="216">
        <v>-254</v>
      </c>
      <c r="BN35" s="216">
        <v>0</v>
      </c>
      <c r="BO35" s="216">
        <v>0</v>
      </c>
      <c r="BP35" s="216">
        <v>-517</v>
      </c>
      <c r="BQ35" s="216">
        <v>-771</v>
      </c>
      <c r="BR35" s="216">
        <v>34650</v>
      </c>
      <c r="BS35" s="216">
        <v>1153</v>
      </c>
      <c r="BT35" s="216">
        <v>12431</v>
      </c>
      <c r="BU35" s="216">
        <v>48234</v>
      </c>
      <c r="BV35" s="216">
        <v>0</v>
      </c>
      <c r="BW35" s="216">
        <v>-28</v>
      </c>
      <c r="BX35" s="333">
        <v>12.8</v>
      </c>
      <c r="BY35" s="216">
        <v>167</v>
      </c>
      <c r="BZ35" s="216">
        <v>5627</v>
      </c>
      <c r="CA35" s="216">
        <v>28330</v>
      </c>
      <c r="CB35" s="216">
        <v>135</v>
      </c>
      <c r="CC35" s="216">
        <v>559</v>
      </c>
      <c r="CD35" s="216">
        <v>1152</v>
      </c>
      <c r="CE35" s="216">
        <v>35803</v>
      </c>
      <c r="CF35" s="333">
        <v>7.1263550737515544</v>
      </c>
      <c r="CG35" s="333">
        <v>7.3138016237204377</v>
      </c>
      <c r="CH35" s="333">
        <v>8.8888888888888893</v>
      </c>
      <c r="CI35" s="333">
        <v>13.595706618962433</v>
      </c>
      <c r="CJ35" s="333">
        <v>-1.6493055555555556</v>
      </c>
      <c r="CK35" s="333">
        <v>7.099963690193559</v>
      </c>
      <c r="CL35" s="216">
        <v>-2200</v>
      </c>
      <c r="CM35" s="216">
        <v>-311</v>
      </c>
      <c r="CN35" s="216">
        <v>0</v>
      </c>
      <c r="CO35" s="216">
        <v>-1479</v>
      </c>
      <c r="CP35" s="216">
        <v>-95</v>
      </c>
      <c r="CQ35" s="216">
        <v>10776</v>
      </c>
      <c r="CR35" s="216">
        <v>1268</v>
      </c>
      <c r="CS35" s="216">
        <v>5</v>
      </c>
      <c r="CT35" s="216">
        <v>7964</v>
      </c>
      <c r="CU35" s="216">
        <v>461</v>
      </c>
      <c r="CV35" s="216">
        <v>22068</v>
      </c>
      <c r="CW35" s="216">
        <v>2500</v>
      </c>
      <c r="CX35" s="216">
        <v>246</v>
      </c>
    </row>
    <row r="36" spans="1:102" ht="15" customHeight="1" x14ac:dyDescent="0.2">
      <c r="A36" s="218" t="s">
        <v>32</v>
      </c>
      <c r="B36" s="218" t="s">
        <v>62</v>
      </c>
      <c r="C36" s="217" t="s">
        <v>61</v>
      </c>
      <c r="D36" s="216">
        <v>3</v>
      </c>
      <c r="E36" s="216">
        <v>71</v>
      </c>
      <c r="F36" s="216">
        <v>9</v>
      </c>
      <c r="G36" s="216">
        <v>2</v>
      </c>
      <c r="H36" s="216">
        <v>85</v>
      </c>
      <c r="I36" s="216">
        <v>11</v>
      </c>
      <c r="J36" s="343">
        <v>121</v>
      </c>
      <c r="K36" s="343">
        <v>7</v>
      </c>
      <c r="L36" s="343">
        <v>154</v>
      </c>
      <c r="M36" s="343">
        <v>82</v>
      </c>
      <c r="N36" s="343">
        <v>22</v>
      </c>
      <c r="O36" s="343">
        <v>386</v>
      </c>
      <c r="P36" s="343">
        <v>180</v>
      </c>
      <c r="Q36" s="343">
        <v>20</v>
      </c>
      <c r="R36" s="343">
        <v>17</v>
      </c>
      <c r="S36" s="333">
        <v>4</v>
      </c>
      <c r="T36" s="333">
        <v>7</v>
      </c>
      <c r="U36" s="333">
        <v>29</v>
      </c>
      <c r="V36" s="333">
        <v>56</v>
      </c>
      <c r="W36" s="333">
        <v>111</v>
      </c>
      <c r="X36" s="333">
        <v>80</v>
      </c>
      <c r="Y36" s="333">
        <v>270</v>
      </c>
      <c r="Z36" s="333">
        <v>556</v>
      </c>
      <c r="AA36" s="216">
        <v>562</v>
      </c>
      <c r="AB36" s="333">
        <v>0</v>
      </c>
      <c r="AC36" s="333">
        <v>0</v>
      </c>
      <c r="AD36" s="333">
        <v>79</v>
      </c>
      <c r="AE36" s="333">
        <v>183</v>
      </c>
      <c r="AF36" s="333">
        <v>702</v>
      </c>
      <c r="AG36" s="333">
        <v>964</v>
      </c>
      <c r="AH36" s="216">
        <v>1137</v>
      </c>
      <c r="AI36" s="333">
        <v>31</v>
      </c>
      <c r="AJ36" s="333">
        <v>228</v>
      </c>
      <c r="AK36" s="333">
        <v>1780</v>
      </c>
      <c r="AL36" s="216">
        <v>1275</v>
      </c>
      <c r="AM36" s="216">
        <v>1296</v>
      </c>
      <c r="AN36" s="216">
        <v>21</v>
      </c>
      <c r="AO36" s="216">
        <v>7</v>
      </c>
      <c r="AP36" s="216">
        <v>188</v>
      </c>
      <c r="AQ36" s="216">
        <v>73</v>
      </c>
      <c r="AR36" s="216">
        <v>1293</v>
      </c>
      <c r="AS36" s="216">
        <v>97</v>
      </c>
      <c r="AT36" s="216">
        <v>70</v>
      </c>
      <c r="AU36" s="216">
        <v>575</v>
      </c>
      <c r="AV36" s="216">
        <v>188</v>
      </c>
      <c r="AW36" s="216">
        <v>107</v>
      </c>
      <c r="AX36" s="216">
        <v>28481</v>
      </c>
      <c r="AY36" s="216">
        <v>13108</v>
      </c>
      <c r="AZ36" s="216">
        <v>1513</v>
      </c>
      <c r="BA36" s="216">
        <v>9082</v>
      </c>
      <c r="BB36" s="216">
        <v>3179</v>
      </c>
      <c r="BC36" s="216">
        <v>581</v>
      </c>
      <c r="BD36" s="216">
        <v>55944</v>
      </c>
      <c r="BE36" s="216">
        <v>4015</v>
      </c>
      <c r="BF36" s="216">
        <v>4423</v>
      </c>
      <c r="BG36" s="216">
        <v>6644</v>
      </c>
      <c r="BH36" s="216">
        <v>793</v>
      </c>
      <c r="BI36" s="216">
        <v>0</v>
      </c>
      <c r="BJ36" s="216">
        <v>163</v>
      </c>
      <c r="BK36" s="216">
        <v>50</v>
      </c>
      <c r="BL36" s="216">
        <v>72032</v>
      </c>
      <c r="BM36" s="216">
        <v>-4529</v>
      </c>
      <c r="BN36" s="216">
        <v>0</v>
      </c>
      <c r="BO36" s="216">
        <v>-196</v>
      </c>
      <c r="BP36" s="216">
        <v>-1048</v>
      </c>
      <c r="BQ36" s="216">
        <v>-5773</v>
      </c>
      <c r="BR36" s="216">
        <v>66259</v>
      </c>
      <c r="BS36" s="216">
        <v>7714</v>
      </c>
      <c r="BT36" s="216">
        <v>8855</v>
      </c>
      <c r="BU36" s="216">
        <v>82828</v>
      </c>
      <c r="BV36" s="216" t="s">
        <v>3</v>
      </c>
      <c r="BW36" s="216">
        <v>-196</v>
      </c>
      <c r="BX36" s="333">
        <v>19.600000000000001</v>
      </c>
      <c r="BY36" s="216" t="s">
        <v>3</v>
      </c>
      <c r="BZ36" s="216">
        <v>3527</v>
      </c>
      <c r="CA36" s="216">
        <v>69235</v>
      </c>
      <c r="CB36" s="216">
        <v>0</v>
      </c>
      <c r="CC36" s="216">
        <v>1211</v>
      </c>
      <c r="CD36" s="216">
        <v>0</v>
      </c>
      <c r="CE36" s="216">
        <v>73973</v>
      </c>
      <c r="CF36" s="333">
        <v>27.360362914658349</v>
      </c>
      <c r="CG36" s="333">
        <v>28.407597313497508</v>
      </c>
      <c r="CH36" s="333">
        <v>0</v>
      </c>
      <c r="CI36" s="333">
        <v>28.406275805119733</v>
      </c>
      <c r="CJ36" s="333">
        <v>0</v>
      </c>
      <c r="CK36" s="333">
        <v>28.357644005245159</v>
      </c>
      <c r="CL36" s="216">
        <v>-4668</v>
      </c>
      <c r="CM36" s="216">
        <v>-363</v>
      </c>
      <c r="CN36" s="216">
        <v>0</v>
      </c>
      <c r="CO36" s="216">
        <v>-3860</v>
      </c>
      <c r="CP36" s="216">
        <v>-21</v>
      </c>
      <c r="CQ36" s="216">
        <v>16328</v>
      </c>
      <c r="CR36" s="216">
        <v>3167</v>
      </c>
      <c r="CS36" s="216">
        <v>8</v>
      </c>
      <c r="CT36" s="216">
        <v>10591</v>
      </c>
      <c r="CU36" s="216">
        <v>2221</v>
      </c>
      <c r="CV36" s="216">
        <v>24529</v>
      </c>
      <c r="CW36" s="216">
        <v>5282</v>
      </c>
      <c r="CX36" s="216">
        <v>1349</v>
      </c>
    </row>
    <row r="37" spans="1:102" ht="15" customHeight="1" x14ac:dyDescent="0.2">
      <c r="A37" s="218" t="s">
        <v>32</v>
      </c>
      <c r="B37" s="218" t="s">
        <v>359</v>
      </c>
      <c r="C37" s="217" t="s">
        <v>358</v>
      </c>
      <c r="D37" s="216">
        <v>3</v>
      </c>
      <c r="E37" s="216">
        <v>37</v>
      </c>
      <c r="F37" s="216">
        <v>10</v>
      </c>
      <c r="G37" s="216">
        <v>0</v>
      </c>
      <c r="H37" s="216">
        <v>50</v>
      </c>
      <c r="I37" s="216">
        <v>6</v>
      </c>
      <c r="J37" s="216">
        <v>74</v>
      </c>
      <c r="K37" s="216">
        <v>4</v>
      </c>
      <c r="L37" s="216">
        <v>51</v>
      </c>
      <c r="M37" s="216">
        <v>48</v>
      </c>
      <c r="N37" s="216">
        <v>12</v>
      </c>
      <c r="O37" s="216">
        <v>189</v>
      </c>
      <c r="P37" s="216">
        <v>190</v>
      </c>
      <c r="Q37" s="216">
        <v>8</v>
      </c>
      <c r="R37" s="216">
        <v>7</v>
      </c>
      <c r="S37" s="333">
        <v>4</v>
      </c>
      <c r="T37" s="333">
        <v>5</v>
      </c>
      <c r="U37" s="333">
        <v>10</v>
      </c>
      <c r="V37" s="333">
        <v>36</v>
      </c>
      <c r="W37" s="333">
        <v>77</v>
      </c>
      <c r="X37" s="333">
        <v>62</v>
      </c>
      <c r="Y37" s="333">
        <v>237</v>
      </c>
      <c r="Z37" s="333">
        <v>431</v>
      </c>
      <c r="AA37" s="216">
        <v>431</v>
      </c>
      <c r="AB37" s="333">
        <v>0</v>
      </c>
      <c r="AC37" s="333">
        <v>0</v>
      </c>
      <c r="AD37" s="333">
        <v>59</v>
      </c>
      <c r="AE37" s="333">
        <v>93</v>
      </c>
      <c r="AF37" s="333">
        <v>344</v>
      </c>
      <c r="AG37" s="333">
        <v>496</v>
      </c>
      <c r="AH37" s="216">
        <v>609</v>
      </c>
      <c r="AI37" s="333">
        <v>36</v>
      </c>
      <c r="AJ37" s="333">
        <v>234</v>
      </c>
      <c r="AK37" s="333">
        <v>1196</v>
      </c>
      <c r="AL37" s="216">
        <v>870</v>
      </c>
      <c r="AM37" s="216">
        <v>895</v>
      </c>
      <c r="AN37" s="216">
        <v>20</v>
      </c>
      <c r="AO37" s="216">
        <v>3</v>
      </c>
      <c r="AP37" s="216">
        <v>117</v>
      </c>
      <c r="AQ37" s="216">
        <v>47</v>
      </c>
      <c r="AR37" s="216">
        <v>759</v>
      </c>
      <c r="AS37" s="216">
        <v>125</v>
      </c>
      <c r="AT37" s="216" t="s">
        <v>3</v>
      </c>
      <c r="AU37" s="216" t="s">
        <v>3</v>
      </c>
      <c r="AV37" s="216" t="s">
        <v>3</v>
      </c>
      <c r="AW37" s="216" t="s">
        <v>3</v>
      </c>
      <c r="AX37" s="216">
        <v>21488</v>
      </c>
      <c r="AY37" s="216">
        <v>6495</v>
      </c>
      <c r="AZ37" s="216">
        <v>1440</v>
      </c>
      <c r="BA37" s="216">
        <v>8795</v>
      </c>
      <c r="BB37" s="216">
        <v>366</v>
      </c>
      <c r="BC37" s="216">
        <v>2764</v>
      </c>
      <c r="BD37" s="216">
        <v>41348</v>
      </c>
      <c r="BE37" s="216">
        <v>3163</v>
      </c>
      <c r="BF37" s="216">
        <v>1571</v>
      </c>
      <c r="BG37" s="216">
        <v>5408</v>
      </c>
      <c r="BH37" s="216">
        <v>1955</v>
      </c>
      <c r="BI37" s="216">
        <v>0</v>
      </c>
      <c r="BJ37" s="216">
        <v>0</v>
      </c>
      <c r="BK37" s="216">
        <v>282</v>
      </c>
      <c r="BL37" s="216">
        <v>53727</v>
      </c>
      <c r="BM37" s="216">
        <v>-2698</v>
      </c>
      <c r="BN37" s="216">
        <v>0</v>
      </c>
      <c r="BO37" s="216">
        <v>0</v>
      </c>
      <c r="BP37" s="216">
        <v>-992</v>
      </c>
      <c r="BQ37" s="216">
        <v>-3690</v>
      </c>
      <c r="BR37" s="216">
        <v>50037</v>
      </c>
      <c r="BS37" s="216">
        <v>3788</v>
      </c>
      <c r="BT37" s="216">
        <v>7023</v>
      </c>
      <c r="BU37" s="216">
        <v>60848</v>
      </c>
      <c r="BV37" s="216">
        <v>0</v>
      </c>
      <c r="BW37" s="216">
        <v>-38</v>
      </c>
      <c r="BX37" s="333">
        <v>17.600000000000001</v>
      </c>
      <c r="BY37" s="216">
        <v>313</v>
      </c>
      <c r="BZ37" s="216">
        <v>6111</v>
      </c>
      <c r="CA37" s="216">
        <v>40830</v>
      </c>
      <c r="CB37" s="216">
        <v>3</v>
      </c>
      <c r="CC37" s="216">
        <v>5046</v>
      </c>
      <c r="CD37" s="216">
        <v>1835</v>
      </c>
      <c r="CE37" s="216">
        <v>53825</v>
      </c>
      <c r="CF37" s="333">
        <v>0</v>
      </c>
      <c r="CG37" s="333">
        <v>0</v>
      </c>
      <c r="CH37" s="333">
        <v>0</v>
      </c>
      <c r="CI37" s="333">
        <v>0</v>
      </c>
      <c r="CJ37" s="333">
        <v>0</v>
      </c>
      <c r="CK37" s="333">
        <v>0</v>
      </c>
      <c r="CL37" s="216">
        <v>-3141</v>
      </c>
      <c r="CM37" s="216">
        <v>-271</v>
      </c>
      <c r="CN37" s="216">
        <v>0</v>
      </c>
      <c r="CO37" s="216">
        <v>-2662</v>
      </c>
      <c r="CP37" s="216">
        <v>-92</v>
      </c>
      <c r="CQ37" s="216">
        <v>11917</v>
      </c>
      <c r="CR37" s="216">
        <v>1763</v>
      </c>
      <c r="CS37" s="216">
        <v>65</v>
      </c>
      <c r="CT37" s="216">
        <v>7579</v>
      </c>
      <c r="CU37" s="216">
        <v>1228</v>
      </c>
      <c r="CV37" s="216">
        <v>17477</v>
      </c>
      <c r="CW37" s="216">
        <v>10124</v>
      </c>
      <c r="CX37" s="216">
        <v>1056</v>
      </c>
    </row>
    <row r="38" spans="1:102" ht="15" customHeight="1" x14ac:dyDescent="0.2">
      <c r="A38" s="218" t="s">
        <v>32</v>
      </c>
      <c r="B38" s="218" t="s">
        <v>58</v>
      </c>
      <c r="C38" s="217" t="s">
        <v>57</v>
      </c>
      <c r="D38" s="216">
        <v>2</v>
      </c>
      <c r="E38" s="216">
        <v>6</v>
      </c>
      <c r="F38" s="216">
        <v>7</v>
      </c>
      <c r="G38" s="216">
        <v>0</v>
      </c>
      <c r="H38" s="216">
        <v>15</v>
      </c>
      <c r="I38" s="216">
        <v>5</v>
      </c>
      <c r="J38" s="216">
        <v>27</v>
      </c>
      <c r="K38" s="216">
        <v>2</v>
      </c>
      <c r="L38" s="216">
        <v>11</v>
      </c>
      <c r="M38" s="216">
        <v>37</v>
      </c>
      <c r="N38" s="216">
        <v>4</v>
      </c>
      <c r="O38" s="216">
        <v>81</v>
      </c>
      <c r="P38" s="216">
        <v>40</v>
      </c>
      <c r="Q38" s="216">
        <v>5</v>
      </c>
      <c r="R38" s="216">
        <v>4</v>
      </c>
      <c r="S38" s="333">
        <v>4</v>
      </c>
      <c r="T38" s="333">
        <v>3</v>
      </c>
      <c r="U38" s="333">
        <v>4</v>
      </c>
      <c r="V38" s="333">
        <v>23</v>
      </c>
      <c r="W38" s="333">
        <v>43</v>
      </c>
      <c r="X38" s="333">
        <v>50</v>
      </c>
      <c r="Y38" s="333">
        <v>180</v>
      </c>
      <c r="Z38" s="333">
        <v>307</v>
      </c>
      <c r="AA38" s="216">
        <v>307</v>
      </c>
      <c r="AB38" s="333">
        <v>0</v>
      </c>
      <c r="AC38" s="333">
        <v>0</v>
      </c>
      <c r="AD38" s="333">
        <v>12</v>
      </c>
      <c r="AE38" s="333">
        <v>30</v>
      </c>
      <c r="AF38" s="333">
        <v>110</v>
      </c>
      <c r="AG38" s="333">
        <v>152</v>
      </c>
      <c r="AH38" s="216">
        <v>194</v>
      </c>
      <c r="AI38" s="333">
        <v>21</v>
      </c>
      <c r="AJ38" s="333">
        <v>81</v>
      </c>
      <c r="AK38" s="333">
        <v>561</v>
      </c>
      <c r="AL38" s="216">
        <v>587</v>
      </c>
      <c r="AM38" s="216">
        <v>594</v>
      </c>
      <c r="AN38" s="216">
        <v>18</v>
      </c>
      <c r="AO38" s="216">
        <v>1</v>
      </c>
      <c r="AP38" s="216">
        <v>68</v>
      </c>
      <c r="AQ38" s="216">
        <v>3</v>
      </c>
      <c r="AR38" s="216">
        <v>366</v>
      </c>
      <c r="AS38" s="216">
        <v>11</v>
      </c>
      <c r="AT38" s="216">
        <v>29</v>
      </c>
      <c r="AU38" s="216">
        <v>113</v>
      </c>
      <c r="AV38" s="216">
        <v>47</v>
      </c>
      <c r="AW38" s="216">
        <v>12</v>
      </c>
      <c r="AX38" s="216">
        <v>15222</v>
      </c>
      <c r="AY38" s="216">
        <v>1897</v>
      </c>
      <c r="AZ38" s="216">
        <v>843</v>
      </c>
      <c r="BA38" s="216">
        <v>2745</v>
      </c>
      <c r="BB38" s="216">
        <v>354</v>
      </c>
      <c r="BC38" s="216">
        <v>272</v>
      </c>
      <c r="BD38" s="216">
        <v>21333</v>
      </c>
      <c r="BE38" s="216">
        <v>2604</v>
      </c>
      <c r="BF38" s="216">
        <v>648</v>
      </c>
      <c r="BG38" s="216">
        <v>3720</v>
      </c>
      <c r="BH38" s="216">
        <v>339</v>
      </c>
      <c r="BI38" s="216">
        <v>0</v>
      </c>
      <c r="BJ38" s="216">
        <v>0</v>
      </c>
      <c r="BK38" s="216">
        <v>0</v>
      </c>
      <c r="BL38" s="216">
        <v>28644</v>
      </c>
      <c r="BM38" s="216">
        <v>-2334</v>
      </c>
      <c r="BN38" s="216">
        <v>0</v>
      </c>
      <c r="BO38" s="216">
        <v>0</v>
      </c>
      <c r="BP38" s="216">
        <v>-1129</v>
      </c>
      <c r="BQ38" s="216">
        <v>-3463</v>
      </c>
      <c r="BR38" s="216">
        <v>25181</v>
      </c>
      <c r="BS38" s="216">
        <v>1162</v>
      </c>
      <c r="BT38" s="216">
        <v>3714</v>
      </c>
      <c r="BU38" s="216">
        <v>30057</v>
      </c>
      <c r="BV38" s="216">
        <v>0</v>
      </c>
      <c r="BW38" s="216">
        <v>-129</v>
      </c>
      <c r="BX38" s="333">
        <v>16.600000000000001</v>
      </c>
      <c r="BY38" s="216">
        <v>82</v>
      </c>
      <c r="BZ38" s="216">
        <v>5389</v>
      </c>
      <c r="CA38" s="216">
        <v>20383</v>
      </c>
      <c r="CB38" s="216">
        <v>0</v>
      </c>
      <c r="CC38" s="216">
        <v>164</v>
      </c>
      <c r="CD38" s="216">
        <v>407</v>
      </c>
      <c r="CE38" s="216">
        <v>26343</v>
      </c>
      <c r="CF38" s="333">
        <v>16.125440712562629</v>
      </c>
      <c r="CG38" s="333">
        <v>65.770495020360116</v>
      </c>
      <c r="CH38" s="333">
        <v>0</v>
      </c>
      <c r="CI38" s="333">
        <v>0</v>
      </c>
      <c r="CJ38" s="333">
        <v>0</v>
      </c>
      <c r="CK38" s="333">
        <v>54.188968606460918</v>
      </c>
      <c r="CL38" s="216">
        <v>-1933</v>
      </c>
      <c r="CM38" s="216">
        <v>-204</v>
      </c>
      <c r="CN38" s="216">
        <v>0</v>
      </c>
      <c r="CO38" s="216">
        <v>-1573</v>
      </c>
      <c r="CP38" s="216">
        <v>-29</v>
      </c>
      <c r="CQ38" s="216">
        <v>8703</v>
      </c>
      <c r="CR38" s="216">
        <v>2260</v>
      </c>
      <c r="CS38" s="216">
        <v>0</v>
      </c>
      <c r="CT38" s="216">
        <v>7224</v>
      </c>
      <c r="CU38" s="216">
        <v>478</v>
      </c>
      <c r="CV38" s="216">
        <v>3865</v>
      </c>
      <c r="CW38" s="216">
        <v>2824</v>
      </c>
      <c r="CX38" s="216">
        <v>215</v>
      </c>
    </row>
    <row r="39" spans="1:102" ht="15" customHeight="1" x14ac:dyDescent="0.2">
      <c r="A39" s="218" t="s">
        <v>32</v>
      </c>
      <c r="B39" s="218" t="s">
        <v>56</v>
      </c>
      <c r="C39" s="217" t="s">
        <v>55</v>
      </c>
      <c r="D39" s="216">
        <v>6</v>
      </c>
      <c r="E39" s="216">
        <v>12</v>
      </c>
      <c r="F39" s="216">
        <v>6</v>
      </c>
      <c r="G39" s="216">
        <v>0</v>
      </c>
      <c r="H39" s="216">
        <v>24</v>
      </c>
      <c r="I39" s="216">
        <v>3</v>
      </c>
      <c r="J39" s="216">
        <v>41</v>
      </c>
      <c r="K39" s="216">
        <v>3</v>
      </c>
      <c r="L39" s="216">
        <v>2</v>
      </c>
      <c r="M39" s="216">
        <v>33</v>
      </c>
      <c r="N39" s="216">
        <v>10</v>
      </c>
      <c r="O39" s="216">
        <v>89</v>
      </c>
      <c r="P39" s="216">
        <v>78</v>
      </c>
      <c r="Q39" s="216">
        <v>8</v>
      </c>
      <c r="R39" s="216">
        <v>3</v>
      </c>
      <c r="S39" s="333">
        <v>3</v>
      </c>
      <c r="T39" s="333">
        <v>2</v>
      </c>
      <c r="U39" s="333">
        <v>9</v>
      </c>
      <c r="V39" s="333">
        <v>27</v>
      </c>
      <c r="W39" s="333">
        <v>44</v>
      </c>
      <c r="X39" s="333">
        <v>66</v>
      </c>
      <c r="Y39" s="333">
        <v>205</v>
      </c>
      <c r="Z39" s="333">
        <v>356</v>
      </c>
      <c r="AA39" s="216">
        <v>357</v>
      </c>
      <c r="AB39" s="333">
        <v>0</v>
      </c>
      <c r="AC39" s="333">
        <v>0</v>
      </c>
      <c r="AD39" s="333">
        <v>14</v>
      </c>
      <c r="AE39" s="333">
        <v>33</v>
      </c>
      <c r="AF39" s="333">
        <v>149</v>
      </c>
      <c r="AG39" s="333">
        <v>196</v>
      </c>
      <c r="AH39" s="216">
        <v>246</v>
      </c>
      <c r="AI39" s="333">
        <v>38</v>
      </c>
      <c r="AJ39" s="333">
        <v>134</v>
      </c>
      <c r="AK39" s="333">
        <v>724</v>
      </c>
      <c r="AL39" s="216">
        <v>623</v>
      </c>
      <c r="AM39" s="216">
        <v>640</v>
      </c>
      <c r="AN39" s="216">
        <v>17</v>
      </c>
      <c r="AO39" s="216">
        <v>1</v>
      </c>
      <c r="AP39" s="216">
        <v>94</v>
      </c>
      <c r="AQ39" s="216">
        <v>15</v>
      </c>
      <c r="AR39" s="216">
        <v>414</v>
      </c>
      <c r="AS39" s="216">
        <v>3</v>
      </c>
      <c r="AT39" s="216">
        <v>74</v>
      </c>
      <c r="AU39" s="216">
        <v>187</v>
      </c>
      <c r="AV39" s="216">
        <v>81</v>
      </c>
      <c r="AW39" s="216">
        <v>6</v>
      </c>
      <c r="AX39" s="216">
        <v>16406.526389999999</v>
      </c>
      <c r="AY39" s="216">
        <v>2228.1587500000001</v>
      </c>
      <c r="AZ39" s="216">
        <v>40.390879999999925</v>
      </c>
      <c r="BA39" s="216">
        <v>5372.9410899999993</v>
      </c>
      <c r="BB39" s="216">
        <v>877.49306999999999</v>
      </c>
      <c r="BC39" s="216">
        <v>1410.4418299999998</v>
      </c>
      <c r="BD39" s="216">
        <v>26335.952009999997</v>
      </c>
      <c r="BE39" s="216">
        <v>2251.1457999999993</v>
      </c>
      <c r="BF39" s="216">
        <v>1114.4350599999998</v>
      </c>
      <c r="BG39" s="216">
        <v>6962.1851599999991</v>
      </c>
      <c r="BH39" s="216">
        <v>665.91365999999994</v>
      </c>
      <c r="BI39" s="216">
        <v>2393.3607499999998</v>
      </c>
      <c r="BJ39" s="216">
        <v>0</v>
      </c>
      <c r="BK39" s="216">
        <v>995.92789000000016</v>
      </c>
      <c r="BL39" s="216">
        <v>40718.920329999994</v>
      </c>
      <c r="BM39" s="216">
        <v>-1277.05159</v>
      </c>
      <c r="BN39" s="216">
        <v>-1196.6803799999998</v>
      </c>
      <c r="BO39" s="216">
        <v>0</v>
      </c>
      <c r="BP39" s="216">
        <v>-1576.0211200000003</v>
      </c>
      <c r="BQ39" s="216">
        <v>-4049.7530900000002</v>
      </c>
      <c r="BR39" s="216">
        <v>36669.167239999995</v>
      </c>
      <c r="BS39" s="216">
        <v>503.71876000000003</v>
      </c>
      <c r="BT39" s="216">
        <v>0</v>
      </c>
      <c r="BU39" s="216">
        <v>37172.885999999999</v>
      </c>
      <c r="BV39" s="216" t="s">
        <v>3</v>
      </c>
      <c r="BW39" s="216">
        <v>0</v>
      </c>
      <c r="BX39" s="333" t="s">
        <v>3</v>
      </c>
      <c r="BY39" s="216" t="s">
        <v>3</v>
      </c>
      <c r="BZ39" s="216">
        <v>2006.5919857599997</v>
      </c>
      <c r="CA39" s="216">
        <v>34415.288884239999</v>
      </c>
      <c r="CB39" s="216">
        <v>84.193970000000007</v>
      </c>
      <c r="CC39" s="216">
        <v>666.81116000000009</v>
      </c>
      <c r="CD39" s="216">
        <v>0</v>
      </c>
      <c r="CE39" s="216">
        <v>37172.885999999999</v>
      </c>
      <c r="CF39" s="333">
        <v>0</v>
      </c>
      <c r="CG39" s="333">
        <v>0</v>
      </c>
      <c r="CH39" s="333">
        <v>0</v>
      </c>
      <c r="CI39" s="333">
        <v>0</v>
      </c>
      <c r="CJ39" s="333">
        <v>0</v>
      </c>
      <c r="CK39" s="333">
        <v>0</v>
      </c>
      <c r="CL39" s="216">
        <v>-2186.3560300000004</v>
      </c>
      <c r="CM39" s="216">
        <v>-91.971999999999994</v>
      </c>
      <c r="CN39" s="216">
        <v>0</v>
      </c>
      <c r="CO39" s="216">
        <v>-1838.9644000000003</v>
      </c>
      <c r="CP39" s="216">
        <v>0</v>
      </c>
      <c r="CQ39" s="216">
        <v>9064.9976199999983</v>
      </c>
      <c r="CR39" s="216">
        <v>2041.3143700000001</v>
      </c>
      <c r="CS39" s="216">
        <v>0</v>
      </c>
      <c r="CT39" s="216">
        <v>6989.019559999997</v>
      </c>
      <c r="CU39" s="216">
        <v>276.97095000000002</v>
      </c>
      <c r="CV39" s="216">
        <v>17934</v>
      </c>
      <c r="CW39" s="216">
        <v>3142</v>
      </c>
      <c r="CX39" s="216">
        <v>536</v>
      </c>
    </row>
    <row r="40" spans="1:102" ht="15" customHeight="1" x14ac:dyDescent="0.2">
      <c r="A40" s="218" t="s">
        <v>32</v>
      </c>
      <c r="B40" s="218" t="s">
        <v>54</v>
      </c>
      <c r="C40" s="217" t="s">
        <v>53</v>
      </c>
      <c r="D40" s="216">
        <v>13</v>
      </c>
      <c r="E40" s="216">
        <v>34</v>
      </c>
      <c r="F40" s="216">
        <v>3</v>
      </c>
      <c r="G40" s="216">
        <v>0</v>
      </c>
      <c r="H40" s="216">
        <v>50</v>
      </c>
      <c r="I40" s="216">
        <v>8</v>
      </c>
      <c r="J40" s="216">
        <v>75</v>
      </c>
      <c r="K40" s="216">
        <v>5</v>
      </c>
      <c r="L40" s="216">
        <v>22</v>
      </c>
      <c r="M40" s="216">
        <v>32</v>
      </c>
      <c r="N40" s="216">
        <v>13</v>
      </c>
      <c r="O40" s="216">
        <v>147</v>
      </c>
      <c r="P40" s="216">
        <v>145</v>
      </c>
      <c r="Q40" s="216">
        <v>15</v>
      </c>
      <c r="R40" s="216">
        <v>7</v>
      </c>
      <c r="S40" s="333">
        <v>2</v>
      </c>
      <c r="T40" s="333">
        <v>6</v>
      </c>
      <c r="U40" s="333">
        <v>10</v>
      </c>
      <c r="V40" s="333">
        <v>41</v>
      </c>
      <c r="W40" s="333">
        <v>119</v>
      </c>
      <c r="X40" s="333">
        <v>82</v>
      </c>
      <c r="Y40" s="333">
        <v>352</v>
      </c>
      <c r="Z40" s="333">
        <v>612</v>
      </c>
      <c r="AA40" s="216">
        <v>612</v>
      </c>
      <c r="AB40" s="333">
        <v>0</v>
      </c>
      <c r="AC40" s="333">
        <v>6</v>
      </c>
      <c r="AD40" s="333">
        <v>26</v>
      </c>
      <c r="AE40" s="333">
        <v>72</v>
      </c>
      <c r="AF40" s="333">
        <v>301</v>
      </c>
      <c r="AG40" s="333">
        <v>405</v>
      </c>
      <c r="AH40" s="216">
        <v>509</v>
      </c>
      <c r="AI40" s="333">
        <v>32</v>
      </c>
      <c r="AJ40" s="333">
        <v>293</v>
      </c>
      <c r="AK40" s="333">
        <v>1342</v>
      </c>
      <c r="AL40" s="216">
        <v>1280</v>
      </c>
      <c r="AM40" s="216">
        <v>1300</v>
      </c>
      <c r="AN40" s="216">
        <v>53</v>
      </c>
      <c r="AO40" s="216">
        <v>0</v>
      </c>
      <c r="AP40" s="216">
        <v>228</v>
      </c>
      <c r="AQ40" s="216">
        <v>32</v>
      </c>
      <c r="AR40" s="216">
        <v>775</v>
      </c>
      <c r="AS40" s="216">
        <v>44</v>
      </c>
      <c r="AT40" s="216">
        <v>67</v>
      </c>
      <c r="AU40" s="216">
        <v>141</v>
      </c>
      <c r="AV40" s="216">
        <v>71</v>
      </c>
      <c r="AW40" s="216">
        <v>30</v>
      </c>
      <c r="AX40" s="216">
        <v>30348</v>
      </c>
      <c r="AY40" s="216">
        <v>5394</v>
      </c>
      <c r="AZ40" s="216">
        <v>1365</v>
      </c>
      <c r="BA40" s="216">
        <v>13639</v>
      </c>
      <c r="BB40" s="216">
        <v>2002</v>
      </c>
      <c r="BC40" s="216">
        <v>1140</v>
      </c>
      <c r="BD40" s="216">
        <v>53888</v>
      </c>
      <c r="BE40" s="216">
        <v>3963</v>
      </c>
      <c r="BF40" s="216">
        <v>1782</v>
      </c>
      <c r="BG40" s="216">
        <v>7848</v>
      </c>
      <c r="BH40" s="216">
        <v>665</v>
      </c>
      <c r="BI40" s="216">
        <v>0</v>
      </c>
      <c r="BJ40" s="216">
        <v>100</v>
      </c>
      <c r="BK40" s="216">
        <v>2226</v>
      </c>
      <c r="BL40" s="216">
        <v>70472</v>
      </c>
      <c r="BM40" s="216">
        <v>-2441</v>
      </c>
      <c r="BN40" s="216">
        <v>0</v>
      </c>
      <c r="BO40" s="216">
        <v>-500</v>
      </c>
      <c r="BP40" s="216">
        <v>-1858</v>
      </c>
      <c r="BQ40" s="216">
        <v>-4799</v>
      </c>
      <c r="BR40" s="216">
        <v>65673</v>
      </c>
      <c r="BS40" s="216">
        <v>4666</v>
      </c>
      <c r="BT40" s="216">
        <v>-722</v>
      </c>
      <c r="BU40" s="216">
        <v>69617</v>
      </c>
      <c r="BV40" s="216">
        <v>0</v>
      </c>
      <c r="BW40" s="216">
        <v>0</v>
      </c>
      <c r="BX40" s="333">
        <v>16.2</v>
      </c>
      <c r="BY40" s="216">
        <v>972</v>
      </c>
      <c r="BZ40" s="216">
        <v>14044</v>
      </c>
      <c r="CA40" s="216">
        <v>53987</v>
      </c>
      <c r="CB40" s="216">
        <v>655</v>
      </c>
      <c r="CC40" s="216">
        <v>1091</v>
      </c>
      <c r="CD40" s="216">
        <v>562</v>
      </c>
      <c r="CE40" s="216">
        <v>70339</v>
      </c>
      <c r="CF40" s="333">
        <v>2.1361435488464826E-2</v>
      </c>
      <c r="CG40" s="333">
        <v>1.2966084427732604E-2</v>
      </c>
      <c r="CH40" s="333">
        <v>0.15267175572519084</v>
      </c>
      <c r="CI40" s="333">
        <v>9.1659028414298807E-2</v>
      </c>
      <c r="CJ40" s="333">
        <v>0</v>
      </c>
      <c r="CK40" s="333">
        <v>1.7060236852954977E-2</v>
      </c>
      <c r="CL40" s="216">
        <v>-3929</v>
      </c>
      <c r="CM40" s="216">
        <v>-138</v>
      </c>
      <c r="CN40" s="216">
        <v>0</v>
      </c>
      <c r="CO40" s="216">
        <v>-3094</v>
      </c>
      <c r="CP40" s="216">
        <v>0</v>
      </c>
      <c r="CQ40" s="216">
        <v>17707</v>
      </c>
      <c r="CR40" s="216">
        <v>3108</v>
      </c>
      <c r="CS40" s="216">
        <v>7</v>
      </c>
      <c r="CT40" s="216">
        <v>13661</v>
      </c>
      <c r="CU40" s="216">
        <v>2047</v>
      </c>
      <c r="CV40" s="216">
        <v>5459</v>
      </c>
      <c r="CW40" s="216">
        <v>6754</v>
      </c>
      <c r="CX40" s="216">
        <v>848</v>
      </c>
    </row>
    <row r="41" spans="1:102" ht="15" customHeight="1" x14ac:dyDescent="0.2">
      <c r="A41" s="218" t="s">
        <v>32</v>
      </c>
      <c r="B41" s="218" t="s">
        <v>52</v>
      </c>
      <c r="C41" s="217" t="s">
        <v>51</v>
      </c>
      <c r="D41" s="216">
        <v>8</v>
      </c>
      <c r="E41" s="216">
        <v>38</v>
      </c>
      <c r="F41" s="216">
        <v>5</v>
      </c>
      <c r="G41" s="216">
        <v>0</v>
      </c>
      <c r="H41" s="216">
        <v>51</v>
      </c>
      <c r="I41" s="216">
        <v>20</v>
      </c>
      <c r="J41" s="216">
        <v>74</v>
      </c>
      <c r="K41" s="216">
        <v>3</v>
      </c>
      <c r="L41" s="216">
        <v>48</v>
      </c>
      <c r="M41" s="216">
        <v>66</v>
      </c>
      <c r="N41" s="216">
        <v>22</v>
      </c>
      <c r="O41" s="216">
        <v>213</v>
      </c>
      <c r="P41" s="216">
        <v>227</v>
      </c>
      <c r="Q41" s="216">
        <v>11</v>
      </c>
      <c r="R41" s="216">
        <v>9</v>
      </c>
      <c r="S41" s="333">
        <v>3</v>
      </c>
      <c r="T41" s="333">
        <v>4</v>
      </c>
      <c r="U41" s="333">
        <v>19</v>
      </c>
      <c r="V41" s="333">
        <v>41</v>
      </c>
      <c r="W41" s="333">
        <v>95</v>
      </c>
      <c r="X41" s="333">
        <v>87</v>
      </c>
      <c r="Y41" s="333">
        <v>430</v>
      </c>
      <c r="Z41" s="333">
        <v>678</v>
      </c>
      <c r="AA41" s="216">
        <v>687</v>
      </c>
      <c r="AB41" s="333">
        <v>0</v>
      </c>
      <c r="AC41" s="333">
        <v>2</v>
      </c>
      <c r="AD41" s="333">
        <v>40</v>
      </c>
      <c r="AE41" s="333">
        <v>78</v>
      </c>
      <c r="AF41" s="333">
        <v>375</v>
      </c>
      <c r="AG41" s="333">
        <v>495</v>
      </c>
      <c r="AH41" s="216">
        <v>690</v>
      </c>
      <c r="AI41" s="333">
        <v>33</v>
      </c>
      <c r="AJ41" s="333">
        <v>261</v>
      </c>
      <c r="AK41" s="333">
        <v>1467</v>
      </c>
      <c r="AL41" s="216">
        <v>1057</v>
      </c>
      <c r="AM41" s="216">
        <v>1057</v>
      </c>
      <c r="AN41" s="216">
        <v>33</v>
      </c>
      <c r="AO41" s="216">
        <v>2</v>
      </c>
      <c r="AP41" s="216">
        <v>151</v>
      </c>
      <c r="AQ41" s="216">
        <v>52</v>
      </c>
      <c r="AR41" s="216">
        <v>931</v>
      </c>
      <c r="AS41" s="216">
        <v>33</v>
      </c>
      <c r="AT41" s="216">
        <v>85</v>
      </c>
      <c r="AU41" s="216">
        <v>416</v>
      </c>
      <c r="AV41" s="216">
        <v>270</v>
      </c>
      <c r="AW41" s="216">
        <v>44</v>
      </c>
      <c r="AX41" s="216">
        <v>31790</v>
      </c>
      <c r="AY41" s="216">
        <v>6375</v>
      </c>
      <c r="AZ41" s="216">
        <v>1295</v>
      </c>
      <c r="BA41" s="216">
        <v>8463</v>
      </c>
      <c r="BB41" s="216">
        <v>867</v>
      </c>
      <c r="BC41" s="216">
        <v>1879</v>
      </c>
      <c r="BD41" s="216">
        <v>50669</v>
      </c>
      <c r="BE41" s="216">
        <v>4764</v>
      </c>
      <c r="BF41" s="216">
        <v>2540</v>
      </c>
      <c r="BG41" s="216">
        <v>7128</v>
      </c>
      <c r="BH41" s="216">
        <v>0</v>
      </c>
      <c r="BI41" s="216">
        <v>0</v>
      </c>
      <c r="BJ41" s="216">
        <v>1742</v>
      </c>
      <c r="BK41" s="216">
        <v>659</v>
      </c>
      <c r="BL41" s="216">
        <v>67502</v>
      </c>
      <c r="BM41" s="216">
        <v>-2151</v>
      </c>
      <c r="BN41" s="216">
        <v>0</v>
      </c>
      <c r="BO41" s="216">
        <v>-1889</v>
      </c>
      <c r="BP41" s="216">
        <v>-2203</v>
      </c>
      <c r="BQ41" s="216">
        <v>-6243</v>
      </c>
      <c r="BR41" s="216">
        <v>61259</v>
      </c>
      <c r="BS41" s="216">
        <v>5833</v>
      </c>
      <c r="BT41" s="216">
        <v>7708</v>
      </c>
      <c r="BU41" s="216">
        <v>74800</v>
      </c>
      <c r="BV41" s="216">
        <v>0</v>
      </c>
      <c r="BW41" s="216">
        <v>-339</v>
      </c>
      <c r="BX41" s="333">
        <v>14.1</v>
      </c>
      <c r="BY41" s="216">
        <v>645</v>
      </c>
      <c r="BZ41" s="216">
        <v>5209</v>
      </c>
      <c r="CA41" s="216">
        <v>59954</v>
      </c>
      <c r="CB41" s="216">
        <v>173</v>
      </c>
      <c r="CC41" s="216">
        <v>1097</v>
      </c>
      <c r="CD41" s="216">
        <v>659</v>
      </c>
      <c r="CE41" s="216">
        <v>67092</v>
      </c>
      <c r="CF41" s="333">
        <v>21.424457669418313</v>
      </c>
      <c r="CG41" s="333">
        <v>21.421423091036463</v>
      </c>
      <c r="CH41" s="333">
        <v>21.387283236994222</v>
      </c>
      <c r="CI41" s="333">
        <v>0</v>
      </c>
      <c r="CJ41" s="333">
        <v>0</v>
      </c>
      <c r="CK41" s="333">
        <v>20.860907410719609</v>
      </c>
      <c r="CL41" s="216">
        <v>-4108</v>
      </c>
      <c r="CM41" s="216">
        <v>-121</v>
      </c>
      <c r="CN41" s="216">
        <v>0</v>
      </c>
      <c r="CO41" s="216">
        <v>-3373</v>
      </c>
      <c r="CP41" s="216">
        <v>-275</v>
      </c>
      <c r="CQ41" s="216">
        <v>14883</v>
      </c>
      <c r="CR41" s="216">
        <v>2576</v>
      </c>
      <c r="CS41" s="216">
        <v>0</v>
      </c>
      <c r="CT41" s="216">
        <v>9582</v>
      </c>
      <c r="CU41" s="216">
        <v>1359</v>
      </c>
      <c r="CV41" s="216" t="s">
        <v>3</v>
      </c>
      <c r="CW41" s="216" t="s">
        <v>3</v>
      </c>
      <c r="CX41" s="216" t="s">
        <v>3</v>
      </c>
    </row>
    <row r="42" spans="1:102" ht="15" customHeight="1" x14ac:dyDescent="0.2">
      <c r="A42" s="218" t="s">
        <v>32</v>
      </c>
      <c r="B42" s="218" t="s">
        <v>50</v>
      </c>
      <c r="C42" s="217" t="s">
        <v>49</v>
      </c>
      <c r="D42" s="216">
        <v>0</v>
      </c>
      <c r="E42" s="216">
        <v>19</v>
      </c>
      <c r="F42" s="216">
        <v>8</v>
      </c>
      <c r="G42" s="216">
        <v>0</v>
      </c>
      <c r="H42" s="216">
        <v>27</v>
      </c>
      <c r="I42" s="216">
        <v>3</v>
      </c>
      <c r="J42" s="216">
        <v>41</v>
      </c>
      <c r="K42" s="216">
        <v>2</v>
      </c>
      <c r="L42" s="216">
        <v>38</v>
      </c>
      <c r="M42" s="216">
        <v>41</v>
      </c>
      <c r="N42" s="216">
        <v>4</v>
      </c>
      <c r="O42" s="216">
        <v>126</v>
      </c>
      <c r="P42" s="216">
        <v>0</v>
      </c>
      <c r="Q42" s="216">
        <v>6</v>
      </c>
      <c r="R42" s="216">
        <v>2</v>
      </c>
      <c r="S42" s="333">
        <v>3</v>
      </c>
      <c r="T42" s="333">
        <v>4</v>
      </c>
      <c r="U42" s="333">
        <v>11</v>
      </c>
      <c r="V42" s="333">
        <v>20</v>
      </c>
      <c r="W42" s="333">
        <v>52</v>
      </c>
      <c r="X42" s="333">
        <v>31</v>
      </c>
      <c r="Y42" s="333">
        <v>113</v>
      </c>
      <c r="Z42" s="333">
        <v>234</v>
      </c>
      <c r="AA42" s="216">
        <v>234</v>
      </c>
      <c r="AB42" s="333">
        <v>0</v>
      </c>
      <c r="AC42" s="333">
        <v>0</v>
      </c>
      <c r="AD42" s="333">
        <v>15</v>
      </c>
      <c r="AE42" s="333">
        <v>49</v>
      </c>
      <c r="AF42" s="333">
        <v>161</v>
      </c>
      <c r="AG42" s="333">
        <v>225</v>
      </c>
      <c r="AH42" s="216">
        <v>365</v>
      </c>
      <c r="AI42" s="333">
        <v>19</v>
      </c>
      <c r="AJ42" s="333">
        <v>97</v>
      </c>
      <c r="AK42" s="333">
        <v>574</v>
      </c>
      <c r="AL42" s="216">
        <v>497</v>
      </c>
      <c r="AM42" s="216">
        <v>508</v>
      </c>
      <c r="AN42" s="216">
        <v>12</v>
      </c>
      <c r="AO42" s="216">
        <v>0</v>
      </c>
      <c r="AP42" s="216">
        <v>61</v>
      </c>
      <c r="AQ42" s="216">
        <v>23</v>
      </c>
      <c r="AR42" s="216">
        <v>480</v>
      </c>
      <c r="AS42" s="216">
        <v>23</v>
      </c>
      <c r="AT42" s="216">
        <v>47</v>
      </c>
      <c r="AU42" s="216">
        <v>192</v>
      </c>
      <c r="AV42" s="216">
        <v>65</v>
      </c>
      <c r="AW42" s="216">
        <v>14</v>
      </c>
      <c r="AX42" s="216">
        <v>12402</v>
      </c>
      <c r="AY42" s="216">
        <v>3205</v>
      </c>
      <c r="AZ42" s="216">
        <v>746</v>
      </c>
      <c r="BA42" s="216">
        <v>3560</v>
      </c>
      <c r="BB42" s="216">
        <v>437</v>
      </c>
      <c r="BC42" s="216">
        <v>531</v>
      </c>
      <c r="BD42" s="216">
        <v>20881</v>
      </c>
      <c r="BE42" s="216">
        <v>0</v>
      </c>
      <c r="BF42" s="216">
        <v>784</v>
      </c>
      <c r="BG42" s="216">
        <v>3934</v>
      </c>
      <c r="BH42" s="216">
        <v>0</v>
      </c>
      <c r="BI42" s="216">
        <v>2377</v>
      </c>
      <c r="BJ42" s="216">
        <v>0</v>
      </c>
      <c r="BK42" s="216">
        <v>1040</v>
      </c>
      <c r="BL42" s="216">
        <v>29016</v>
      </c>
      <c r="BM42" s="216">
        <v>-1581</v>
      </c>
      <c r="BN42" s="216">
        <v>-37</v>
      </c>
      <c r="BO42" s="216">
        <v>0</v>
      </c>
      <c r="BP42" s="216">
        <v>-366</v>
      </c>
      <c r="BQ42" s="216">
        <v>-1984</v>
      </c>
      <c r="BR42" s="216">
        <v>27032</v>
      </c>
      <c r="BS42" s="216">
        <v>448</v>
      </c>
      <c r="BT42" s="216">
        <v>3290</v>
      </c>
      <c r="BU42" s="216">
        <v>30770</v>
      </c>
      <c r="BV42" s="216">
        <v>0</v>
      </c>
      <c r="BW42" s="216" t="s">
        <v>3</v>
      </c>
      <c r="BX42" s="333">
        <v>14.8</v>
      </c>
      <c r="BY42" s="216">
        <v>290</v>
      </c>
      <c r="BZ42" s="216">
        <v>2820</v>
      </c>
      <c r="CA42" s="216">
        <v>23961</v>
      </c>
      <c r="CB42" s="216">
        <v>64</v>
      </c>
      <c r="CC42" s="216">
        <v>635</v>
      </c>
      <c r="CD42" s="216">
        <v>0</v>
      </c>
      <c r="CE42" s="216">
        <v>27480</v>
      </c>
      <c r="CF42" s="333">
        <v>0</v>
      </c>
      <c r="CG42" s="333">
        <v>0</v>
      </c>
      <c r="CH42" s="333">
        <v>0</v>
      </c>
      <c r="CI42" s="333">
        <v>0</v>
      </c>
      <c r="CJ42" s="333">
        <v>0</v>
      </c>
      <c r="CK42" s="333">
        <v>0</v>
      </c>
      <c r="CL42" s="216">
        <v>-1833</v>
      </c>
      <c r="CM42" s="216">
        <v>-26</v>
      </c>
      <c r="CN42" s="216">
        <v>-4</v>
      </c>
      <c r="CO42" s="216">
        <v>-1481</v>
      </c>
      <c r="CP42" s="216">
        <v>-81</v>
      </c>
      <c r="CQ42" s="216">
        <v>7176</v>
      </c>
      <c r="CR42" s="216">
        <v>1366</v>
      </c>
      <c r="CS42" s="216">
        <v>124</v>
      </c>
      <c r="CT42" s="216">
        <v>5241</v>
      </c>
      <c r="CU42" s="216">
        <v>720</v>
      </c>
      <c r="CV42" s="216">
        <v>11509</v>
      </c>
      <c r="CW42" s="216">
        <v>1838</v>
      </c>
      <c r="CX42" s="216">
        <v>243</v>
      </c>
    </row>
    <row r="43" spans="1:102" ht="15" customHeight="1" x14ac:dyDescent="0.2">
      <c r="A43" s="218" t="s">
        <v>32</v>
      </c>
      <c r="B43" s="218" t="s">
        <v>48</v>
      </c>
      <c r="C43" s="217" t="s">
        <v>47</v>
      </c>
      <c r="D43" s="216">
        <v>7</v>
      </c>
      <c r="E43" s="216">
        <v>19</v>
      </c>
      <c r="F43" s="216">
        <v>3</v>
      </c>
      <c r="G43" s="216">
        <v>0</v>
      </c>
      <c r="H43" s="216">
        <v>29</v>
      </c>
      <c r="I43" s="216">
        <v>0</v>
      </c>
      <c r="J43" s="216">
        <v>43</v>
      </c>
      <c r="K43" s="216">
        <v>4</v>
      </c>
      <c r="L43" s="216">
        <v>3</v>
      </c>
      <c r="M43" s="216">
        <v>36</v>
      </c>
      <c r="N43" s="216">
        <v>6</v>
      </c>
      <c r="O43" s="216">
        <v>92</v>
      </c>
      <c r="P43" s="216">
        <v>117</v>
      </c>
      <c r="Q43" s="216">
        <v>7</v>
      </c>
      <c r="R43" s="216">
        <v>4</v>
      </c>
      <c r="S43" s="333">
        <v>2</v>
      </c>
      <c r="T43" s="333">
        <v>4</v>
      </c>
      <c r="U43" s="333">
        <v>11</v>
      </c>
      <c r="V43" s="333">
        <v>30</v>
      </c>
      <c r="W43" s="333">
        <v>76</v>
      </c>
      <c r="X43" s="333">
        <v>64</v>
      </c>
      <c r="Y43" s="333">
        <v>293</v>
      </c>
      <c r="Z43" s="333">
        <v>480</v>
      </c>
      <c r="AA43" s="216">
        <v>480</v>
      </c>
      <c r="AB43" s="333">
        <v>0</v>
      </c>
      <c r="AC43" s="333">
        <v>0</v>
      </c>
      <c r="AD43" s="333">
        <v>20</v>
      </c>
      <c r="AE43" s="333">
        <v>60</v>
      </c>
      <c r="AF43" s="333">
        <v>260</v>
      </c>
      <c r="AG43" s="333">
        <v>340</v>
      </c>
      <c r="AH43" s="216">
        <v>340</v>
      </c>
      <c r="AI43" s="333">
        <v>25</v>
      </c>
      <c r="AJ43" s="333">
        <v>179</v>
      </c>
      <c r="AK43" s="333">
        <v>1024</v>
      </c>
      <c r="AL43" s="216">
        <v>997</v>
      </c>
      <c r="AM43" s="216">
        <v>1053</v>
      </c>
      <c r="AN43" s="216">
        <v>27</v>
      </c>
      <c r="AO43" s="216">
        <v>4</v>
      </c>
      <c r="AP43" s="216">
        <v>134</v>
      </c>
      <c r="AQ43" s="216">
        <v>8</v>
      </c>
      <c r="AR43" s="216">
        <v>531</v>
      </c>
      <c r="AS43" s="216">
        <v>49</v>
      </c>
      <c r="AT43" s="216">
        <v>48</v>
      </c>
      <c r="AU43" s="216">
        <v>119</v>
      </c>
      <c r="AV43" s="216">
        <v>53</v>
      </c>
      <c r="AW43" s="216">
        <v>14</v>
      </c>
      <c r="AX43" s="216">
        <v>21902</v>
      </c>
      <c r="AY43" s="216">
        <v>3924</v>
      </c>
      <c r="AZ43" s="216">
        <v>1081</v>
      </c>
      <c r="BA43" s="216">
        <v>5832</v>
      </c>
      <c r="BB43" s="216">
        <v>372</v>
      </c>
      <c r="BC43" s="216">
        <v>2060</v>
      </c>
      <c r="BD43" s="216">
        <v>35171</v>
      </c>
      <c r="BE43" s="216">
        <v>2331</v>
      </c>
      <c r="BF43" s="216">
        <v>805</v>
      </c>
      <c r="BG43" s="216">
        <v>3491</v>
      </c>
      <c r="BH43" s="216">
        <v>170</v>
      </c>
      <c r="BI43" s="216">
        <v>0</v>
      </c>
      <c r="BJ43" s="216">
        <v>0</v>
      </c>
      <c r="BK43" s="216">
        <v>0</v>
      </c>
      <c r="BL43" s="216">
        <v>41968</v>
      </c>
      <c r="BM43" s="216">
        <v>-197</v>
      </c>
      <c r="BN43" s="216">
        <v>0</v>
      </c>
      <c r="BO43" s="216">
        <v>0</v>
      </c>
      <c r="BP43" s="216">
        <v>-2250</v>
      </c>
      <c r="BQ43" s="216">
        <v>-2447</v>
      </c>
      <c r="BR43" s="216">
        <v>39521</v>
      </c>
      <c r="BS43" s="216">
        <v>14535</v>
      </c>
      <c r="BT43" s="216">
        <v>7093</v>
      </c>
      <c r="BU43" s="216">
        <v>61149</v>
      </c>
      <c r="BV43" s="216">
        <v>0</v>
      </c>
      <c r="BW43" s="216">
        <v>-1</v>
      </c>
      <c r="BX43" s="333">
        <v>16.8</v>
      </c>
      <c r="BY43" s="216">
        <v>194</v>
      </c>
      <c r="BZ43" s="216">
        <v>3504</v>
      </c>
      <c r="CA43" s="216">
        <v>49892</v>
      </c>
      <c r="CB43" s="216">
        <v>0</v>
      </c>
      <c r="CC43" s="216">
        <v>224</v>
      </c>
      <c r="CD43" s="216">
        <v>436</v>
      </c>
      <c r="CE43" s="216">
        <v>54056</v>
      </c>
      <c r="CF43" s="333">
        <v>0</v>
      </c>
      <c r="CG43" s="333">
        <v>0</v>
      </c>
      <c r="CH43" s="333">
        <v>0</v>
      </c>
      <c r="CI43" s="333">
        <v>0</v>
      </c>
      <c r="CJ43" s="333">
        <v>0</v>
      </c>
      <c r="CK43" s="333">
        <v>0</v>
      </c>
      <c r="CL43" s="216">
        <v>-3033</v>
      </c>
      <c r="CM43" s="216">
        <v>-252</v>
      </c>
      <c r="CN43" s="216">
        <v>-8</v>
      </c>
      <c r="CO43" s="216">
        <v>-2616</v>
      </c>
      <c r="CP43" s="216">
        <v>-145</v>
      </c>
      <c r="CQ43" s="216">
        <v>14578</v>
      </c>
      <c r="CR43" s="216">
        <v>3856</v>
      </c>
      <c r="CS43" s="216">
        <v>0</v>
      </c>
      <c r="CT43" s="216">
        <v>12380</v>
      </c>
      <c r="CU43" s="216">
        <v>473</v>
      </c>
      <c r="CV43" s="216">
        <v>5175</v>
      </c>
      <c r="CW43" s="216">
        <v>5373</v>
      </c>
      <c r="CX43" s="216">
        <v>260</v>
      </c>
    </row>
    <row r="44" spans="1:102" ht="15" customHeight="1" x14ac:dyDescent="0.2">
      <c r="A44" s="218" t="s">
        <v>32</v>
      </c>
      <c r="B44" s="218" t="s">
        <v>46</v>
      </c>
      <c r="C44" s="217" t="s">
        <v>45</v>
      </c>
      <c r="D44" s="216">
        <v>14</v>
      </c>
      <c r="E44" s="216">
        <v>34</v>
      </c>
      <c r="F44" s="216">
        <v>9</v>
      </c>
      <c r="G44" s="216">
        <v>0</v>
      </c>
      <c r="H44" s="216">
        <v>57</v>
      </c>
      <c r="I44" s="216">
        <v>0</v>
      </c>
      <c r="J44" s="216">
        <v>75</v>
      </c>
      <c r="K44" s="216">
        <v>3</v>
      </c>
      <c r="L44" s="216">
        <v>32</v>
      </c>
      <c r="M44" s="216">
        <v>82</v>
      </c>
      <c r="N44" s="216">
        <v>14</v>
      </c>
      <c r="O44" s="216">
        <v>206</v>
      </c>
      <c r="P44" s="216">
        <v>184</v>
      </c>
      <c r="Q44" s="216">
        <v>13</v>
      </c>
      <c r="R44" s="216">
        <v>11</v>
      </c>
      <c r="S44" s="333">
        <v>4</v>
      </c>
      <c r="T44" s="333">
        <v>7</v>
      </c>
      <c r="U44" s="333">
        <v>15</v>
      </c>
      <c r="V44" s="333">
        <v>53</v>
      </c>
      <c r="W44" s="333">
        <v>80</v>
      </c>
      <c r="X44" s="333">
        <v>116</v>
      </c>
      <c r="Y44" s="333">
        <v>406</v>
      </c>
      <c r="Z44" s="333">
        <v>681</v>
      </c>
      <c r="AA44" s="216">
        <v>684</v>
      </c>
      <c r="AB44" s="333">
        <v>0</v>
      </c>
      <c r="AC44" s="333">
        <v>0</v>
      </c>
      <c r="AD44" s="333">
        <v>29</v>
      </c>
      <c r="AE44" s="333">
        <v>77</v>
      </c>
      <c r="AF44" s="333">
        <v>343</v>
      </c>
      <c r="AG44" s="333">
        <v>449</v>
      </c>
      <c r="AH44" s="216">
        <v>449</v>
      </c>
      <c r="AI44" s="333">
        <v>38</v>
      </c>
      <c r="AJ44" s="333">
        <v>254</v>
      </c>
      <c r="AK44" s="333">
        <v>1422</v>
      </c>
      <c r="AL44" s="216">
        <v>1192</v>
      </c>
      <c r="AM44" s="216">
        <v>1227</v>
      </c>
      <c r="AN44" s="216">
        <v>49</v>
      </c>
      <c r="AO44" s="216">
        <v>1</v>
      </c>
      <c r="AP44" s="216">
        <v>194</v>
      </c>
      <c r="AQ44" s="216">
        <v>28</v>
      </c>
      <c r="AR44" s="216">
        <v>749</v>
      </c>
      <c r="AS44" s="216">
        <v>14</v>
      </c>
      <c r="AT44" s="216">
        <v>99</v>
      </c>
      <c r="AU44" s="216">
        <v>353</v>
      </c>
      <c r="AV44" s="216">
        <v>61</v>
      </c>
      <c r="AW44" s="216">
        <v>0</v>
      </c>
      <c r="AX44" s="216">
        <v>32537</v>
      </c>
      <c r="AY44" s="216">
        <v>5148</v>
      </c>
      <c r="AZ44" s="216">
        <v>1222</v>
      </c>
      <c r="BA44" s="216">
        <v>3107</v>
      </c>
      <c r="BB44" s="216">
        <v>3799</v>
      </c>
      <c r="BC44" s="216">
        <v>1313</v>
      </c>
      <c r="BD44" s="216">
        <v>47126</v>
      </c>
      <c r="BE44" s="216">
        <v>4370</v>
      </c>
      <c r="BF44" s="216">
        <v>2846</v>
      </c>
      <c r="BG44" s="216">
        <v>7100</v>
      </c>
      <c r="BH44" s="216">
        <v>6496</v>
      </c>
      <c r="BI44" s="216">
        <v>220</v>
      </c>
      <c r="BJ44" s="216">
        <v>42</v>
      </c>
      <c r="BK44" s="216">
        <v>124</v>
      </c>
      <c r="BL44" s="216">
        <v>68324</v>
      </c>
      <c r="BM44" s="216">
        <v>-2024</v>
      </c>
      <c r="BN44" s="216">
        <v>0</v>
      </c>
      <c r="BO44" s="216">
        <v>0</v>
      </c>
      <c r="BP44" s="216">
        <v>-3234</v>
      </c>
      <c r="BQ44" s="216">
        <v>-5258</v>
      </c>
      <c r="BR44" s="216">
        <v>63066</v>
      </c>
      <c r="BS44" s="216">
        <v>4005</v>
      </c>
      <c r="BT44" s="216">
        <v>10316</v>
      </c>
      <c r="BU44" s="216">
        <v>77387</v>
      </c>
      <c r="BV44" s="216">
        <v>0</v>
      </c>
      <c r="BW44" s="216">
        <v>0</v>
      </c>
      <c r="BX44" s="333">
        <v>12.5</v>
      </c>
      <c r="BY44" s="216">
        <v>0</v>
      </c>
      <c r="BZ44" s="216">
        <v>11361</v>
      </c>
      <c r="CA44" s="216">
        <v>53343</v>
      </c>
      <c r="CB44" s="216">
        <v>522</v>
      </c>
      <c r="CC44" s="216">
        <v>1805</v>
      </c>
      <c r="CD44" s="216">
        <v>40</v>
      </c>
      <c r="CE44" s="216">
        <v>67071</v>
      </c>
      <c r="CF44" s="333">
        <v>16.679869729777309</v>
      </c>
      <c r="CG44" s="333">
        <v>14.421761055808634</v>
      </c>
      <c r="CH44" s="333">
        <v>69.540229885057471</v>
      </c>
      <c r="CI44" s="333">
        <v>88.80886426592798</v>
      </c>
      <c r="CJ44" s="333">
        <v>0</v>
      </c>
      <c r="CK44" s="333">
        <v>17.226521149229921</v>
      </c>
      <c r="CL44" s="216">
        <v>-4409</v>
      </c>
      <c r="CM44" s="216">
        <v>-193</v>
      </c>
      <c r="CN44" s="216">
        <v>0</v>
      </c>
      <c r="CO44" s="216">
        <v>-3587</v>
      </c>
      <c r="CP44" s="216">
        <v>-31</v>
      </c>
      <c r="CQ44" s="216">
        <v>17354</v>
      </c>
      <c r="CR44" s="216">
        <v>6023</v>
      </c>
      <c r="CS44" s="216">
        <v>0</v>
      </c>
      <c r="CT44" s="216">
        <v>15157</v>
      </c>
      <c r="CU44" s="216">
        <v>1368</v>
      </c>
      <c r="CV44" s="216">
        <v>28935</v>
      </c>
      <c r="CW44" s="216">
        <v>4150</v>
      </c>
      <c r="CX44" s="216">
        <v>946</v>
      </c>
    </row>
    <row r="45" spans="1:102" ht="15" customHeight="1" x14ac:dyDescent="0.2">
      <c r="A45" s="218" t="s">
        <v>32</v>
      </c>
      <c r="B45" s="218" t="s">
        <v>44</v>
      </c>
      <c r="C45" s="217" t="s">
        <v>43</v>
      </c>
      <c r="D45" s="216">
        <v>9</v>
      </c>
      <c r="E45" s="216">
        <v>18</v>
      </c>
      <c r="F45" s="216">
        <v>12</v>
      </c>
      <c r="G45" s="216">
        <v>0</v>
      </c>
      <c r="H45" s="216">
        <v>39</v>
      </c>
      <c r="I45" s="216">
        <v>4</v>
      </c>
      <c r="J45" s="216">
        <v>59</v>
      </c>
      <c r="K45" s="216">
        <v>5</v>
      </c>
      <c r="L45" s="216">
        <v>18</v>
      </c>
      <c r="M45" s="216">
        <v>28</v>
      </c>
      <c r="N45" s="216">
        <v>14</v>
      </c>
      <c r="O45" s="216">
        <v>124</v>
      </c>
      <c r="P45" s="216">
        <v>80</v>
      </c>
      <c r="Q45" s="216">
        <v>7</v>
      </c>
      <c r="R45" s="216">
        <v>6</v>
      </c>
      <c r="S45" s="333">
        <v>3</v>
      </c>
      <c r="T45" s="333">
        <v>5</v>
      </c>
      <c r="U45" s="333">
        <v>11</v>
      </c>
      <c r="V45" s="333">
        <v>30</v>
      </c>
      <c r="W45" s="333">
        <v>94</v>
      </c>
      <c r="X45" s="333">
        <v>110</v>
      </c>
      <c r="Y45" s="333">
        <v>351</v>
      </c>
      <c r="Z45" s="333">
        <v>604</v>
      </c>
      <c r="AA45" s="216">
        <v>608</v>
      </c>
      <c r="AB45" s="333">
        <v>0</v>
      </c>
      <c r="AC45" s="333">
        <v>0</v>
      </c>
      <c r="AD45" s="333">
        <v>23</v>
      </c>
      <c r="AE45" s="333">
        <v>71</v>
      </c>
      <c r="AF45" s="333">
        <v>163</v>
      </c>
      <c r="AG45" s="333">
        <v>257</v>
      </c>
      <c r="AH45" s="216">
        <v>405</v>
      </c>
      <c r="AI45" s="333" t="s">
        <v>619</v>
      </c>
      <c r="AJ45" s="333">
        <v>207</v>
      </c>
      <c r="AK45" s="333">
        <v>1068</v>
      </c>
      <c r="AL45" s="216">
        <v>1287</v>
      </c>
      <c r="AM45" s="216">
        <v>1339</v>
      </c>
      <c r="AN45" s="216">
        <v>36</v>
      </c>
      <c r="AO45" s="216">
        <v>2</v>
      </c>
      <c r="AP45" s="216">
        <v>202</v>
      </c>
      <c r="AQ45" s="216">
        <v>9</v>
      </c>
      <c r="AR45" s="216">
        <v>671</v>
      </c>
      <c r="AS45" s="216">
        <v>25</v>
      </c>
      <c r="AT45" s="216">
        <v>68</v>
      </c>
      <c r="AU45" s="216">
        <v>354</v>
      </c>
      <c r="AV45" s="216">
        <v>176</v>
      </c>
      <c r="AW45" s="216">
        <v>31</v>
      </c>
      <c r="AX45" s="216">
        <v>28886</v>
      </c>
      <c r="AY45" s="216">
        <v>4017</v>
      </c>
      <c r="AZ45" s="216">
        <v>90</v>
      </c>
      <c r="BA45" s="216">
        <v>6360</v>
      </c>
      <c r="BB45" s="216">
        <v>794</v>
      </c>
      <c r="BC45" s="216">
        <v>963</v>
      </c>
      <c r="BD45" s="216">
        <v>41110</v>
      </c>
      <c r="BE45" s="216">
        <v>3779</v>
      </c>
      <c r="BF45" s="216">
        <v>1999</v>
      </c>
      <c r="BG45" s="216">
        <v>4542</v>
      </c>
      <c r="BH45" s="216">
        <v>313</v>
      </c>
      <c r="BI45" s="216">
        <v>1148</v>
      </c>
      <c r="BJ45" s="216">
        <v>0</v>
      </c>
      <c r="BK45" s="216">
        <v>636</v>
      </c>
      <c r="BL45" s="216">
        <v>53527</v>
      </c>
      <c r="BM45" s="216">
        <v>-2802</v>
      </c>
      <c r="BN45" s="216">
        <v>0</v>
      </c>
      <c r="BO45" s="216">
        <v>0</v>
      </c>
      <c r="BP45" s="216">
        <v>-1545</v>
      </c>
      <c r="BQ45" s="216">
        <v>-4347</v>
      </c>
      <c r="BR45" s="216">
        <v>49180</v>
      </c>
      <c r="BS45" s="216">
        <v>4386</v>
      </c>
      <c r="BT45" s="216">
        <v>-7845</v>
      </c>
      <c r="BU45" s="216">
        <v>45721</v>
      </c>
      <c r="BV45" s="216">
        <v>0</v>
      </c>
      <c r="BW45" s="216">
        <v>0</v>
      </c>
      <c r="BX45" s="333">
        <v>14.2</v>
      </c>
      <c r="BY45" s="216">
        <v>-313</v>
      </c>
      <c r="BZ45" s="216" t="s">
        <v>3</v>
      </c>
      <c r="CA45" s="216" t="s">
        <v>3</v>
      </c>
      <c r="CB45" s="216" t="s">
        <v>3</v>
      </c>
      <c r="CC45" s="216" t="s">
        <v>3</v>
      </c>
      <c r="CD45" s="216" t="s">
        <v>3</v>
      </c>
      <c r="CE45" s="216">
        <v>53566</v>
      </c>
      <c r="CF45" s="333" t="s">
        <v>3</v>
      </c>
      <c r="CG45" s="333" t="s">
        <v>3</v>
      </c>
      <c r="CH45" s="333" t="s">
        <v>3</v>
      </c>
      <c r="CI45" s="333" t="s">
        <v>3</v>
      </c>
      <c r="CJ45" s="333" t="s">
        <v>3</v>
      </c>
      <c r="CK45" s="333" t="s">
        <v>3</v>
      </c>
      <c r="CL45" s="216">
        <v>-3692</v>
      </c>
      <c r="CM45" s="216">
        <v>-179</v>
      </c>
      <c r="CN45" s="216">
        <v>0</v>
      </c>
      <c r="CO45" s="216">
        <v>-2923</v>
      </c>
      <c r="CP45" s="216">
        <v>-52</v>
      </c>
      <c r="CQ45" s="216">
        <v>18452</v>
      </c>
      <c r="CR45" s="216">
        <v>3593</v>
      </c>
      <c r="CS45" s="216">
        <v>0</v>
      </c>
      <c r="CT45" s="216">
        <v>15199</v>
      </c>
      <c r="CU45" s="216">
        <v>1138</v>
      </c>
      <c r="CV45" s="216">
        <v>7456</v>
      </c>
      <c r="CW45" s="216">
        <v>10446</v>
      </c>
      <c r="CX45" s="216">
        <v>1763</v>
      </c>
    </row>
    <row r="46" spans="1:102" ht="15" customHeight="1" x14ac:dyDescent="0.2">
      <c r="A46" s="218" t="s">
        <v>32</v>
      </c>
      <c r="B46" s="218" t="s">
        <v>42</v>
      </c>
      <c r="C46" s="217" t="s">
        <v>41</v>
      </c>
      <c r="D46" s="216">
        <v>7</v>
      </c>
      <c r="E46" s="216">
        <v>6</v>
      </c>
      <c r="F46" s="216">
        <v>7</v>
      </c>
      <c r="G46" s="216">
        <v>0</v>
      </c>
      <c r="H46" s="216">
        <v>20</v>
      </c>
      <c r="I46" s="216">
        <v>1</v>
      </c>
      <c r="J46" s="216">
        <v>30</v>
      </c>
      <c r="K46" s="216">
        <v>2</v>
      </c>
      <c r="L46" s="216">
        <v>18</v>
      </c>
      <c r="M46" s="216">
        <v>37</v>
      </c>
      <c r="N46" s="216">
        <v>10</v>
      </c>
      <c r="O46" s="216">
        <v>97</v>
      </c>
      <c r="P46" s="216">
        <v>66</v>
      </c>
      <c r="Q46" s="216">
        <v>3</v>
      </c>
      <c r="R46" s="216">
        <v>5</v>
      </c>
      <c r="S46" s="333">
        <v>3</v>
      </c>
      <c r="T46" s="333">
        <v>3</v>
      </c>
      <c r="U46" s="333">
        <v>5</v>
      </c>
      <c r="V46" s="333">
        <v>20</v>
      </c>
      <c r="W46" s="333">
        <v>56</v>
      </c>
      <c r="X46" s="333">
        <v>66</v>
      </c>
      <c r="Y46" s="333">
        <v>202</v>
      </c>
      <c r="Z46" s="333">
        <v>355</v>
      </c>
      <c r="AA46" s="216">
        <v>376</v>
      </c>
      <c r="AB46" s="333">
        <v>0</v>
      </c>
      <c r="AC46" s="333">
        <v>0</v>
      </c>
      <c r="AD46" s="333">
        <v>11</v>
      </c>
      <c r="AE46" s="333">
        <v>21</v>
      </c>
      <c r="AF46" s="333">
        <v>96</v>
      </c>
      <c r="AG46" s="333">
        <v>128</v>
      </c>
      <c r="AH46" s="216">
        <v>200</v>
      </c>
      <c r="AI46" s="333">
        <v>26</v>
      </c>
      <c r="AJ46" s="333">
        <v>105</v>
      </c>
      <c r="AK46" s="333">
        <v>614</v>
      </c>
      <c r="AL46" s="216">
        <v>638</v>
      </c>
      <c r="AM46" s="216">
        <v>648</v>
      </c>
      <c r="AN46" s="216">
        <v>16</v>
      </c>
      <c r="AO46" s="216">
        <v>0</v>
      </c>
      <c r="AP46" s="216">
        <v>104</v>
      </c>
      <c r="AQ46" s="216">
        <v>19</v>
      </c>
      <c r="AR46" s="216">
        <v>383</v>
      </c>
      <c r="AS46" s="216">
        <v>9</v>
      </c>
      <c r="AT46" s="216">
        <v>46</v>
      </c>
      <c r="AU46" s="216">
        <v>199</v>
      </c>
      <c r="AV46" s="216">
        <v>54</v>
      </c>
      <c r="AW46" s="216">
        <v>5</v>
      </c>
      <c r="AX46" s="216">
        <v>17119</v>
      </c>
      <c r="AY46" s="216">
        <v>1746</v>
      </c>
      <c r="AZ46" s="216">
        <v>1054</v>
      </c>
      <c r="BA46" s="216">
        <v>4386</v>
      </c>
      <c r="BB46" s="216">
        <v>448</v>
      </c>
      <c r="BC46" s="216">
        <v>535</v>
      </c>
      <c r="BD46" s="216">
        <v>25288</v>
      </c>
      <c r="BE46" s="216">
        <v>2108</v>
      </c>
      <c r="BF46" s="216">
        <v>1034</v>
      </c>
      <c r="BG46" s="216">
        <v>3402</v>
      </c>
      <c r="BH46" s="216">
        <v>191</v>
      </c>
      <c r="BI46" s="216">
        <v>0</v>
      </c>
      <c r="BJ46" s="216">
        <v>0</v>
      </c>
      <c r="BK46" s="216">
        <v>0</v>
      </c>
      <c r="BL46" s="216">
        <v>32023</v>
      </c>
      <c r="BM46" s="216">
        <v>-1636</v>
      </c>
      <c r="BN46" s="216">
        <v>0</v>
      </c>
      <c r="BO46" s="216">
        <v>-207</v>
      </c>
      <c r="BP46" s="216">
        <v>-445</v>
      </c>
      <c r="BQ46" s="216">
        <v>-2288</v>
      </c>
      <c r="BR46" s="216">
        <v>29735</v>
      </c>
      <c r="BS46" s="216">
        <v>2060</v>
      </c>
      <c r="BT46" s="216">
        <v>9452</v>
      </c>
      <c r="BU46" s="216">
        <v>41247</v>
      </c>
      <c r="BV46" s="216" t="s">
        <v>3</v>
      </c>
      <c r="BW46" s="216" t="s">
        <v>3</v>
      </c>
      <c r="BX46" s="333" t="s">
        <v>3</v>
      </c>
      <c r="BY46" s="216" t="s">
        <v>3</v>
      </c>
      <c r="BZ46" s="216">
        <v>3753</v>
      </c>
      <c r="CA46" s="216">
        <v>26834</v>
      </c>
      <c r="CB46" s="216">
        <v>509</v>
      </c>
      <c r="CC46" s="216">
        <v>693</v>
      </c>
      <c r="CD46" s="216">
        <v>6</v>
      </c>
      <c r="CE46" s="216">
        <v>31795</v>
      </c>
      <c r="CF46" s="333" t="s">
        <v>3</v>
      </c>
      <c r="CG46" s="333" t="s">
        <v>3</v>
      </c>
      <c r="CH46" s="333" t="s">
        <v>3</v>
      </c>
      <c r="CI46" s="333" t="s">
        <v>3</v>
      </c>
      <c r="CJ46" s="333" t="s">
        <v>3</v>
      </c>
      <c r="CK46" s="333" t="s">
        <v>3</v>
      </c>
      <c r="CL46" s="216">
        <v>-2293</v>
      </c>
      <c r="CM46" s="216">
        <v>-40</v>
      </c>
      <c r="CN46" s="216">
        <v>0</v>
      </c>
      <c r="CO46" s="216">
        <v>-1820</v>
      </c>
      <c r="CP46" s="216">
        <v>-6</v>
      </c>
      <c r="CQ46" s="216">
        <v>10118</v>
      </c>
      <c r="CR46" s="216">
        <v>2500</v>
      </c>
      <c r="CS46" s="216">
        <v>0</v>
      </c>
      <c r="CT46" s="216">
        <v>8459</v>
      </c>
      <c r="CU46" s="216">
        <v>120</v>
      </c>
      <c r="CV46" s="216">
        <v>12117</v>
      </c>
      <c r="CW46" s="216">
        <v>2000</v>
      </c>
      <c r="CX46" s="216">
        <v>579</v>
      </c>
    </row>
    <row r="47" spans="1:102" ht="15" customHeight="1" x14ac:dyDescent="0.2">
      <c r="A47" s="218" t="s">
        <v>32</v>
      </c>
      <c r="B47" s="218" t="s">
        <v>40</v>
      </c>
      <c r="C47" s="217" t="s">
        <v>39</v>
      </c>
      <c r="D47" s="216">
        <v>5</v>
      </c>
      <c r="E47" s="216">
        <v>24</v>
      </c>
      <c r="F47" s="216">
        <v>7</v>
      </c>
      <c r="G47" s="216">
        <v>2</v>
      </c>
      <c r="H47" s="216">
        <v>38</v>
      </c>
      <c r="I47" s="216">
        <v>2</v>
      </c>
      <c r="J47" s="216">
        <v>40</v>
      </c>
      <c r="K47" s="216">
        <v>3</v>
      </c>
      <c r="L47" s="216">
        <v>32</v>
      </c>
      <c r="M47" s="216">
        <v>41</v>
      </c>
      <c r="N47" s="216">
        <v>7</v>
      </c>
      <c r="O47" s="216">
        <v>123</v>
      </c>
      <c r="P47" s="216">
        <v>58</v>
      </c>
      <c r="Q47" s="216">
        <v>5</v>
      </c>
      <c r="R47" s="216">
        <v>4</v>
      </c>
      <c r="S47" s="333">
        <v>3</v>
      </c>
      <c r="T47" s="333">
        <v>2</v>
      </c>
      <c r="U47" s="333">
        <v>8</v>
      </c>
      <c r="V47" s="333">
        <v>16</v>
      </c>
      <c r="W47" s="333">
        <v>55</v>
      </c>
      <c r="X47" s="333">
        <v>52</v>
      </c>
      <c r="Y47" s="333">
        <v>156</v>
      </c>
      <c r="Z47" s="333">
        <v>292</v>
      </c>
      <c r="AA47" s="216">
        <v>293</v>
      </c>
      <c r="AB47" s="333">
        <v>0</v>
      </c>
      <c r="AC47" s="333">
        <v>0</v>
      </c>
      <c r="AD47" s="333">
        <v>29</v>
      </c>
      <c r="AE47" s="333">
        <v>59</v>
      </c>
      <c r="AF47" s="333">
        <v>212</v>
      </c>
      <c r="AG47" s="333">
        <v>300</v>
      </c>
      <c r="AH47" s="216">
        <v>367</v>
      </c>
      <c r="AI47" s="333">
        <v>14</v>
      </c>
      <c r="AJ47" s="333">
        <v>79</v>
      </c>
      <c r="AK47" s="333">
        <v>685</v>
      </c>
      <c r="AL47" s="216">
        <v>556</v>
      </c>
      <c r="AM47" s="216" t="s">
        <v>3</v>
      </c>
      <c r="AN47" s="216">
        <v>10</v>
      </c>
      <c r="AO47" s="216">
        <v>3</v>
      </c>
      <c r="AP47" s="216">
        <v>76</v>
      </c>
      <c r="AQ47" s="216">
        <v>14</v>
      </c>
      <c r="AR47" s="216">
        <v>472</v>
      </c>
      <c r="AS47" s="216">
        <v>32</v>
      </c>
      <c r="AT47" s="216">
        <v>31</v>
      </c>
      <c r="AU47" s="216">
        <v>217</v>
      </c>
      <c r="AV47" s="216">
        <v>79</v>
      </c>
      <c r="AW47" s="216">
        <v>36</v>
      </c>
      <c r="AX47" s="216">
        <v>14628</v>
      </c>
      <c r="AY47" s="216">
        <v>2816</v>
      </c>
      <c r="AZ47" s="216">
        <v>697</v>
      </c>
      <c r="BA47" s="216">
        <v>2947</v>
      </c>
      <c r="BB47" s="216">
        <v>966</v>
      </c>
      <c r="BC47" s="216">
        <v>184</v>
      </c>
      <c r="BD47" s="216">
        <v>22238</v>
      </c>
      <c r="BE47" s="216">
        <v>2921</v>
      </c>
      <c r="BF47" s="216">
        <v>1297</v>
      </c>
      <c r="BG47" s="216">
        <v>2775</v>
      </c>
      <c r="BH47" s="216">
        <v>241</v>
      </c>
      <c r="BI47" s="216">
        <v>0</v>
      </c>
      <c r="BJ47" s="216">
        <v>0</v>
      </c>
      <c r="BK47" s="216">
        <v>0</v>
      </c>
      <c r="BL47" s="216">
        <v>29472</v>
      </c>
      <c r="BM47" s="216">
        <v>-1171</v>
      </c>
      <c r="BN47" s="216">
        <v>0</v>
      </c>
      <c r="BO47" s="216">
        <v>0</v>
      </c>
      <c r="BP47" s="216">
        <v>-439</v>
      </c>
      <c r="BQ47" s="216">
        <v>-1610</v>
      </c>
      <c r="BR47" s="216">
        <v>27862</v>
      </c>
      <c r="BS47" s="216">
        <v>3444</v>
      </c>
      <c r="BT47" s="216">
        <v>3593</v>
      </c>
      <c r="BU47" s="216">
        <v>34899</v>
      </c>
      <c r="BV47" s="216">
        <v>0</v>
      </c>
      <c r="BW47" s="216">
        <v>0</v>
      </c>
      <c r="BX47" s="333" t="s">
        <v>3</v>
      </c>
      <c r="BY47" s="216" t="s">
        <v>3</v>
      </c>
      <c r="BZ47" s="216">
        <v>2495</v>
      </c>
      <c r="CA47" s="216">
        <v>27738</v>
      </c>
      <c r="CB47" s="216">
        <v>0</v>
      </c>
      <c r="CC47" s="216">
        <v>1073</v>
      </c>
      <c r="CD47" s="216">
        <v>0</v>
      </c>
      <c r="CE47" s="216">
        <v>31306</v>
      </c>
      <c r="CF47" s="333">
        <v>23.406813627254508</v>
      </c>
      <c r="CG47" s="333">
        <v>23.574158194534572</v>
      </c>
      <c r="CH47" s="333">
        <v>0</v>
      </c>
      <c r="CI47" s="333">
        <v>18.54613233923579</v>
      </c>
      <c r="CJ47" s="333">
        <v>0</v>
      </c>
      <c r="CK47" s="333">
        <v>23.388487829808984</v>
      </c>
      <c r="CL47" s="216">
        <v>-2076</v>
      </c>
      <c r="CM47" s="216">
        <v>-80</v>
      </c>
      <c r="CN47" s="216">
        <v>0</v>
      </c>
      <c r="CO47" s="216">
        <v>-1704</v>
      </c>
      <c r="CP47" s="216">
        <v>-56</v>
      </c>
      <c r="CQ47" s="216">
        <v>7979</v>
      </c>
      <c r="CR47" s="216">
        <v>1136</v>
      </c>
      <c r="CS47" s="216">
        <v>0</v>
      </c>
      <c r="CT47" s="216">
        <v>5199</v>
      </c>
      <c r="CU47" s="216">
        <v>735</v>
      </c>
      <c r="CV47" s="216">
        <v>4002</v>
      </c>
      <c r="CW47" s="216">
        <v>4160</v>
      </c>
      <c r="CX47" s="216">
        <v>227</v>
      </c>
    </row>
    <row r="48" spans="1:102" ht="15" customHeight="1" x14ac:dyDescent="0.2">
      <c r="A48" s="218" t="s">
        <v>32</v>
      </c>
      <c r="B48" s="218" t="s">
        <v>38</v>
      </c>
      <c r="C48" s="217" t="s">
        <v>37</v>
      </c>
      <c r="D48" s="216">
        <v>8</v>
      </c>
      <c r="E48" s="216">
        <v>12</v>
      </c>
      <c r="F48" s="216">
        <v>4</v>
      </c>
      <c r="G48" s="216">
        <v>0</v>
      </c>
      <c r="H48" s="216">
        <v>24</v>
      </c>
      <c r="I48" s="343">
        <v>0</v>
      </c>
      <c r="J48" s="216">
        <v>30</v>
      </c>
      <c r="K48" s="216">
        <v>2</v>
      </c>
      <c r="L48" s="216">
        <v>4</v>
      </c>
      <c r="M48" s="216">
        <v>3</v>
      </c>
      <c r="N48" s="216">
        <v>4</v>
      </c>
      <c r="O48" s="216">
        <v>43</v>
      </c>
      <c r="P48" s="216">
        <v>63</v>
      </c>
      <c r="Q48" s="216">
        <v>6</v>
      </c>
      <c r="R48" s="216">
        <v>4</v>
      </c>
      <c r="S48" s="333">
        <v>3</v>
      </c>
      <c r="T48" s="333">
        <v>4</v>
      </c>
      <c r="U48" s="333">
        <v>9</v>
      </c>
      <c r="V48" s="333">
        <v>24</v>
      </c>
      <c r="W48" s="333">
        <v>76</v>
      </c>
      <c r="X48" s="333">
        <v>69</v>
      </c>
      <c r="Y48" s="333">
        <v>269</v>
      </c>
      <c r="Z48" s="333">
        <v>454</v>
      </c>
      <c r="AA48" s="216">
        <v>455</v>
      </c>
      <c r="AB48" s="333">
        <v>0</v>
      </c>
      <c r="AC48" s="333">
        <v>0</v>
      </c>
      <c r="AD48" s="333">
        <v>17</v>
      </c>
      <c r="AE48" s="333">
        <v>43</v>
      </c>
      <c r="AF48" s="333">
        <v>198</v>
      </c>
      <c r="AG48" s="333">
        <v>258</v>
      </c>
      <c r="AH48" s="216">
        <v>258</v>
      </c>
      <c r="AI48" s="333">
        <v>26</v>
      </c>
      <c r="AJ48" s="333">
        <v>152</v>
      </c>
      <c r="AK48" s="333">
        <v>890</v>
      </c>
      <c r="AL48" s="216" t="s">
        <v>3</v>
      </c>
      <c r="AM48" s="216" t="s">
        <v>3</v>
      </c>
      <c r="AN48" s="216">
        <v>12</v>
      </c>
      <c r="AO48" s="216">
        <v>2</v>
      </c>
      <c r="AP48" s="216" t="s">
        <v>3</v>
      </c>
      <c r="AQ48" s="216" t="s">
        <v>3</v>
      </c>
      <c r="AR48" s="216" t="s">
        <v>3</v>
      </c>
      <c r="AS48" s="216" t="s">
        <v>3</v>
      </c>
      <c r="AT48" s="216" t="s">
        <v>3</v>
      </c>
      <c r="AU48" s="216" t="s">
        <v>3</v>
      </c>
      <c r="AV48" s="216" t="s">
        <v>3</v>
      </c>
      <c r="AW48" s="216" t="s">
        <v>3</v>
      </c>
      <c r="AX48" s="216">
        <v>21505</v>
      </c>
      <c r="AY48" s="216">
        <v>2805</v>
      </c>
      <c r="AZ48" s="216">
        <v>1090</v>
      </c>
      <c r="BA48" s="216">
        <v>6147</v>
      </c>
      <c r="BB48" s="216">
        <v>426</v>
      </c>
      <c r="BC48" s="216">
        <v>1533</v>
      </c>
      <c r="BD48" s="216">
        <v>33506</v>
      </c>
      <c r="BE48" s="216">
        <v>2402</v>
      </c>
      <c r="BF48" s="216">
        <v>1548</v>
      </c>
      <c r="BG48" s="216">
        <v>4113</v>
      </c>
      <c r="BH48" s="216">
        <v>159</v>
      </c>
      <c r="BI48" s="216">
        <v>39</v>
      </c>
      <c r="BJ48" s="216">
        <v>0</v>
      </c>
      <c r="BK48" s="216">
        <v>0</v>
      </c>
      <c r="BL48" s="216">
        <v>41767</v>
      </c>
      <c r="BM48" s="216">
        <v>-2072</v>
      </c>
      <c r="BN48" s="216">
        <v>0</v>
      </c>
      <c r="BO48" s="216">
        <v>0</v>
      </c>
      <c r="BP48" s="216">
        <v>-176</v>
      </c>
      <c r="BQ48" s="216">
        <v>-2248</v>
      </c>
      <c r="BR48" s="216">
        <v>39519</v>
      </c>
      <c r="BS48" s="216">
        <v>2974</v>
      </c>
      <c r="BT48" s="216">
        <v>8017</v>
      </c>
      <c r="BU48" s="216">
        <v>50510</v>
      </c>
      <c r="BV48" s="216">
        <v>0</v>
      </c>
      <c r="BW48" s="216">
        <v>0</v>
      </c>
      <c r="BX48" s="333">
        <v>14.8</v>
      </c>
      <c r="BY48" s="216">
        <v>201</v>
      </c>
      <c r="BZ48" s="216" t="s">
        <v>3</v>
      </c>
      <c r="CA48" s="216" t="s">
        <v>3</v>
      </c>
      <c r="CB48" s="216" t="s">
        <v>3</v>
      </c>
      <c r="CC48" s="216" t="s">
        <v>3</v>
      </c>
      <c r="CD48" s="216" t="s">
        <v>3</v>
      </c>
      <c r="CE48" s="216">
        <v>42493</v>
      </c>
      <c r="CF48" s="333" t="s">
        <v>3</v>
      </c>
      <c r="CG48" s="333" t="s">
        <v>3</v>
      </c>
      <c r="CH48" s="333" t="s">
        <v>3</v>
      </c>
      <c r="CI48" s="333" t="s">
        <v>3</v>
      </c>
      <c r="CJ48" s="333" t="s">
        <v>3</v>
      </c>
      <c r="CK48" s="333" t="s">
        <v>3</v>
      </c>
      <c r="CL48" s="216" t="s">
        <v>3</v>
      </c>
      <c r="CM48" s="216" t="s">
        <v>3</v>
      </c>
      <c r="CN48" s="216" t="s">
        <v>3</v>
      </c>
      <c r="CO48" s="216" t="s">
        <v>3</v>
      </c>
      <c r="CP48" s="216" t="s">
        <v>3</v>
      </c>
      <c r="CQ48" s="216" t="s">
        <v>3</v>
      </c>
      <c r="CR48" s="216" t="s">
        <v>3</v>
      </c>
      <c r="CS48" s="216" t="s">
        <v>3</v>
      </c>
      <c r="CT48" s="216" t="s">
        <v>3</v>
      </c>
      <c r="CU48" s="216" t="s">
        <v>3</v>
      </c>
      <c r="CV48" s="216">
        <v>4894</v>
      </c>
      <c r="CW48" s="216">
        <v>7837</v>
      </c>
      <c r="CX48" s="216">
        <v>578</v>
      </c>
    </row>
    <row r="49" spans="1:102" ht="15" customHeight="1" x14ac:dyDescent="0.2">
      <c r="A49" s="218" t="s">
        <v>32</v>
      </c>
      <c r="B49" s="218" t="s">
        <v>36</v>
      </c>
      <c r="C49" s="217" t="s">
        <v>35</v>
      </c>
      <c r="D49" s="216">
        <v>1</v>
      </c>
      <c r="E49" s="216">
        <v>19</v>
      </c>
      <c r="F49" s="216">
        <v>3</v>
      </c>
      <c r="G49" s="216">
        <v>0</v>
      </c>
      <c r="H49" s="216">
        <v>23</v>
      </c>
      <c r="I49" s="216">
        <v>0</v>
      </c>
      <c r="J49" s="216">
        <v>28</v>
      </c>
      <c r="K49" s="216">
        <v>2</v>
      </c>
      <c r="L49" s="216">
        <v>20</v>
      </c>
      <c r="M49" s="216">
        <v>25</v>
      </c>
      <c r="N49" s="216">
        <v>2</v>
      </c>
      <c r="O49" s="216">
        <v>77</v>
      </c>
      <c r="P49" s="216">
        <v>29</v>
      </c>
      <c r="Q49" s="216">
        <v>2</v>
      </c>
      <c r="R49" s="216">
        <v>5</v>
      </c>
      <c r="S49" s="333">
        <v>3</v>
      </c>
      <c r="T49" s="333">
        <v>5</v>
      </c>
      <c r="U49" s="333">
        <v>7</v>
      </c>
      <c r="V49" s="333">
        <v>11</v>
      </c>
      <c r="W49" s="333">
        <v>27</v>
      </c>
      <c r="X49" s="333">
        <v>23</v>
      </c>
      <c r="Y49" s="333">
        <v>98</v>
      </c>
      <c r="Z49" s="333">
        <v>174</v>
      </c>
      <c r="AA49" s="216">
        <v>174</v>
      </c>
      <c r="AB49" s="333">
        <v>0</v>
      </c>
      <c r="AC49" s="333">
        <v>0</v>
      </c>
      <c r="AD49" s="333">
        <v>22</v>
      </c>
      <c r="AE49" s="333">
        <v>62</v>
      </c>
      <c r="AF49" s="333">
        <v>258</v>
      </c>
      <c r="AG49" s="333">
        <v>342</v>
      </c>
      <c r="AH49" s="216">
        <v>342</v>
      </c>
      <c r="AI49" s="333">
        <v>19</v>
      </c>
      <c r="AJ49" s="333">
        <v>115</v>
      </c>
      <c r="AK49" s="333">
        <v>650</v>
      </c>
      <c r="AL49" s="216">
        <v>325</v>
      </c>
      <c r="AM49" s="216">
        <v>335</v>
      </c>
      <c r="AN49" s="216">
        <v>13</v>
      </c>
      <c r="AO49" s="216">
        <v>3</v>
      </c>
      <c r="AP49" s="216">
        <v>43</v>
      </c>
      <c r="AQ49" s="216">
        <v>26</v>
      </c>
      <c r="AR49" s="216">
        <v>439</v>
      </c>
      <c r="AS49" s="216">
        <v>9</v>
      </c>
      <c r="AT49" s="216">
        <v>20</v>
      </c>
      <c r="AU49" s="216">
        <v>154</v>
      </c>
      <c r="AV49" s="216">
        <v>12</v>
      </c>
      <c r="AW49" s="216">
        <v>22</v>
      </c>
      <c r="AX49" s="216">
        <v>8665</v>
      </c>
      <c r="AY49" s="216">
        <v>3020</v>
      </c>
      <c r="AZ49" s="216">
        <v>722</v>
      </c>
      <c r="BA49" s="216">
        <v>2714</v>
      </c>
      <c r="BB49" s="216">
        <v>299</v>
      </c>
      <c r="BC49" s="216">
        <v>29</v>
      </c>
      <c r="BD49" s="216">
        <v>15449</v>
      </c>
      <c r="BE49" s="216">
        <v>997</v>
      </c>
      <c r="BF49" s="216">
        <v>744</v>
      </c>
      <c r="BG49" s="216">
        <v>2219</v>
      </c>
      <c r="BH49" s="216">
        <v>272</v>
      </c>
      <c r="BI49" s="216">
        <v>0</v>
      </c>
      <c r="BJ49" s="216">
        <v>0</v>
      </c>
      <c r="BK49" s="216">
        <v>993</v>
      </c>
      <c r="BL49" s="216">
        <v>20674</v>
      </c>
      <c r="BM49" s="216">
        <v>-189</v>
      </c>
      <c r="BN49" s="216">
        <v>0</v>
      </c>
      <c r="BO49" s="216">
        <v>0</v>
      </c>
      <c r="BP49" s="216">
        <v>-182</v>
      </c>
      <c r="BQ49" s="216">
        <v>-371</v>
      </c>
      <c r="BR49" s="216">
        <v>20303</v>
      </c>
      <c r="BS49" s="216">
        <v>2228</v>
      </c>
      <c r="BT49" s="216">
        <v>714</v>
      </c>
      <c r="BU49" s="216">
        <v>23245</v>
      </c>
      <c r="BV49" s="216">
        <v>0</v>
      </c>
      <c r="BW49" s="216">
        <v>0</v>
      </c>
      <c r="BX49" s="333">
        <v>13.9</v>
      </c>
      <c r="BY49" s="216">
        <v>104</v>
      </c>
      <c r="BZ49" s="216">
        <v>1529</v>
      </c>
      <c r="CA49" s="216">
        <v>20452</v>
      </c>
      <c r="CB49" s="216">
        <v>73</v>
      </c>
      <c r="CC49" s="216">
        <v>456</v>
      </c>
      <c r="CD49" s="216">
        <v>21</v>
      </c>
      <c r="CE49" s="216">
        <v>22531</v>
      </c>
      <c r="CF49" s="333">
        <v>0</v>
      </c>
      <c r="CG49" s="333">
        <v>0</v>
      </c>
      <c r="CH49" s="333">
        <v>0</v>
      </c>
      <c r="CI49" s="333">
        <v>0</v>
      </c>
      <c r="CJ49" s="333">
        <v>0</v>
      </c>
      <c r="CK49" s="333">
        <v>0</v>
      </c>
      <c r="CL49" s="216">
        <v>-1307</v>
      </c>
      <c r="CM49" s="216">
        <v>0</v>
      </c>
      <c r="CN49" s="216">
        <v>0</v>
      </c>
      <c r="CO49" s="216">
        <v>-1114</v>
      </c>
      <c r="CP49" s="216">
        <v>-32</v>
      </c>
      <c r="CQ49" s="216">
        <v>4495</v>
      </c>
      <c r="CR49" s="216">
        <v>1193</v>
      </c>
      <c r="CS49" s="216">
        <v>0</v>
      </c>
      <c r="CT49" s="216">
        <v>3235</v>
      </c>
      <c r="CU49" s="216">
        <v>309</v>
      </c>
      <c r="CV49" s="216">
        <v>15917</v>
      </c>
      <c r="CW49" s="216">
        <v>888</v>
      </c>
      <c r="CX49" s="216">
        <v>0</v>
      </c>
    </row>
    <row r="50" spans="1:102" ht="15" customHeight="1" x14ac:dyDescent="0.2">
      <c r="A50" s="218" t="s">
        <v>32</v>
      </c>
      <c r="B50" s="218" t="s">
        <v>34</v>
      </c>
      <c r="C50" s="217" t="s">
        <v>33</v>
      </c>
      <c r="D50" s="344">
        <v>8</v>
      </c>
      <c r="E50" s="344">
        <v>23</v>
      </c>
      <c r="F50" s="216">
        <v>2</v>
      </c>
      <c r="G50" s="216">
        <v>0</v>
      </c>
      <c r="H50" s="216">
        <v>33</v>
      </c>
      <c r="I50" s="216">
        <v>0</v>
      </c>
      <c r="J50" s="216">
        <v>40</v>
      </c>
      <c r="K50" s="216">
        <v>2</v>
      </c>
      <c r="L50" s="216">
        <v>11</v>
      </c>
      <c r="M50" s="216">
        <v>42</v>
      </c>
      <c r="N50" s="216">
        <v>7</v>
      </c>
      <c r="O50" s="216">
        <v>102</v>
      </c>
      <c r="P50" s="216">
        <v>73</v>
      </c>
      <c r="Q50" s="216">
        <v>9</v>
      </c>
      <c r="R50" s="216">
        <v>4</v>
      </c>
      <c r="S50" s="333">
        <v>2</v>
      </c>
      <c r="T50" s="333">
        <v>2</v>
      </c>
      <c r="U50" s="333">
        <v>8</v>
      </c>
      <c r="V50" s="333">
        <v>25</v>
      </c>
      <c r="W50" s="333">
        <v>61</v>
      </c>
      <c r="X50" s="333">
        <v>45</v>
      </c>
      <c r="Y50" s="333">
        <v>170</v>
      </c>
      <c r="Z50" s="333">
        <v>313</v>
      </c>
      <c r="AA50" s="216">
        <v>313</v>
      </c>
      <c r="AB50" s="333">
        <v>0</v>
      </c>
      <c r="AC50" s="333">
        <v>0</v>
      </c>
      <c r="AD50" s="333">
        <v>27</v>
      </c>
      <c r="AE50" s="333">
        <v>69</v>
      </c>
      <c r="AF50" s="333">
        <v>259</v>
      </c>
      <c r="AG50" s="333">
        <v>355</v>
      </c>
      <c r="AH50" s="216">
        <v>355</v>
      </c>
      <c r="AI50" s="333">
        <v>0</v>
      </c>
      <c r="AJ50" s="333">
        <v>225</v>
      </c>
      <c r="AK50" s="333">
        <v>893</v>
      </c>
      <c r="AL50" s="216">
        <v>715</v>
      </c>
      <c r="AM50" s="216">
        <v>737</v>
      </c>
      <c r="AN50" s="216">
        <v>20</v>
      </c>
      <c r="AO50" s="216">
        <v>2</v>
      </c>
      <c r="AP50" s="216">
        <v>68</v>
      </c>
      <c r="AQ50" s="216">
        <v>23</v>
      </c>
      <c r="AR50" s="216">
        <v>505</v>
      </c>
      <c r="AS50" s="216">
        <v>36</v>
      </c>
      <c r="AT50" s="216">
        <v>29</v>
      </c>
      <c r="AU50" s="216">
        <v>414</v>
      </c>
      <c r="AV50" s="216">
        <v>151</v>
      </c>
      <c r="AW50" s="216">
        <v>67</v>
      </c>
      <c r="AX50" s="216">
        <v>16219</v>
      </c>
      <c r="AY50" s="216">
        <v>4268</v>
      </c>
      <c r="AZ50" s="216">
        <v>0</v>
      </c>
      <c r="BA50" s="216">
        <v>7113</v>
      </c>
      <c r="BB50" s="216">
        <v>425</v>
      </c>
      <c r="BC50" s="216">
        <v>488</v>
      </c>
      <c r="BD50" s="216">
        <v>28513</v>
      </c>
      <c r="BE50" s="216">
        <v>2990</v>
      </c>
      <c r="BF50" s="216">
        <v>935</v>
      </c>
      <c r="BG50" s="216">
        <v>6993</v>
      </c>
      <c r="BH50" s="216">
        <v>319</v>
      </c>
      <c r="BI50" s="216">
        <v>1053</v>
      </c>
      <c r="BJ50" s="216">
        <v>489</v>
      </c>
      <c r="BK50" s="216">
        <v>0</v>
      </c>
      <c r="BL50" s="216">
        <v>41292</v>
      </c>
      <c r="BM50" s="216">
        <v>-3566</v>
      </c>
      <c r="BN50" s="216">
        <v>0</v>
      </c>
      <c r="BO50" s="216">
        <v>-363</v>
      </c>
      <c r="BP50" s="216">
        <v>-1677</v>
      </c>
      <c r="BQ50" s="216">
        <v>-5606</v>
      </c>
      <c r="BR50" s="216">
        <v>35686</v>
      </c>
      <c r="BS50" s="216">
        <v>2936</v>
      </c>
      <c r="BT50" s="216">
        <v>4173</v>
      </c>
      <c r="BU50" s="216">
        <v>42795</v>
      </c>
      <c r="BV50" s="216">
        <v>0</v>
      </c>
      <c r="BW50" s="216">
        <v>0</v>
      </c>
      <c r="BX50" s="333">
        <v>16.7</v>
      </c>
      <c r="BY50" s="216">
        <v>271</v>
      </c>
      <c r="BZ50" s="216">
        <v>16314</v>
      </c>
      <c r="CA50" s="216">
        <v>22025</v>
      </c>
      <c r="CB50" s="216">
        <v>-37</v>
      </c>
      <c r="CC50" s="216">
        <v>320</v>
      </c>
      <c r="CD50" s="216">
        <v>0</v>
      </c>
      <c r="CE50" s="216">
        <v>38622</v>
      </c>
      <c r="CF50" s="333">
        <v>8.5693269584406018</v>
      </c>
      <c r="CG50" s="333">
        <v>8.567536889897843</v>
      </c>
      <c r="CH50" s="333">
        <v>8.1081081081081088</v>
      </c>
      <c r="CI50" s="333">
        <v>8.4375</v>
      </c>
      <c r="CJ50" s="333">
        <v>0</v>
      </c>
      <c r="CK50" s="333">
        <v>8.56765574025167</v>
      </c>
      <c r="CL50" s="216">
        <v>-2160</v>
      </c>
      <c r="CM50" s="216">
        <v>-100</v>
      </c>
      <c r="CN50" s="216">
        <v>0</v>
      </c>
      <c r="CO50" s="216">
        <v>-1818</v>
      </c>
      <c r="CP50" s="216">
        <v>-21</v>
      </c>
      <c r="CQ50" s="216">
        <v>10529</v>
      </c>
      <c r="CR50" s="216">
        <v>2486</v>
      </c>
      <c r="CS50" s="216">
        <v>13</v>
      </c>
      <c r="CT50" s="216">
        <v>8929</v>
      </c>
      <c r="CU50" s="216">
        <v>981</v>
      </c>
      <c r="CV50" s="216">
        <v>16014</v>
      </c>
      <c r="CW50" s="216">
        <v>1906</v>
      </c>
      <c r="CX50" s="216">
        <v>0</v>
      </c>
    </row>
    <row r="51" spans="1:102" ht="15" customHeight="1" x14ac:dyDescent="0.2">
      <c r="A51" s="220" t="s">
        <v>17</v>
      </c>
      <c r="B51" s="220" t="s">
        <v>29</v>
      </c>
      <c r="C51" s="219" t="s">
        <v>28</v>
      </c>
      <c r="D51" s="216">
        <v>41</v>
      </c>
      <c r="E51" s="216">
        <v>0</v>
      </c>
      <c r="F51" s="216">
        <v>0</v>
      </c>
      <c r="G51" s="216">
        <v>0</v>
      </c>
      <c r="H51" s="216">
        <v>41</v>
      </c>
      <c r="I51" s="216">
        <v>7</v>
      </c>
      <c r="J51" s="216">
        <v>54</v>
      </c>
      <c r="K51" s="216">
        <v>6</v>
      </c>
      <c r="L51" s="216">
        <v>11</v>
      </c>
      <c r="M51" s="216">
        <v>0</v>
      </c>
      <c r="N51" s="216">
        <v>12</v>
      </c>
      <c r="O51" s="216">
        <v>83</v>
      </c>
      <c r="P51" s="216">
        <v>121</v>
      </c>
      <c r="Q51" s="216">
        <v>12</v>
      </c>
      <c r="R51" s="216">
        <v>7</v>
      </c>
      <c r="S51" s="333">
        <v>4</v>
      </c>
      <c r="T51" s="333">
        <v>5</v>
      </c>
      <c r="U51" s="333">
        <v>10</v>
      </c>
      <c r="V51" s="333">
        <v>58</v>
      </c>
      <c r="W51" s="333">
        <v>201</v>
      </c>
      <c r="X51" s="333">
        <v>179</v>
      </c>
      <c r="Y51" s="333">
        <v>827</v>
      </c>
      <c r="Z51" s="333">
        <v>1284</v>
      </c>
      <c r="AA51" s="216">
        <v>1285</v>
      </c>
      <c r="AB51" s="333">
        <v>0</v>
      </c>
      <c r="AC51" s="333">
        <v>0</v>
      </c>
      <c r="AD51" s="333">
        <v>1</v>
      </c>
      <c r="AE51" s="333">
        <v>0</v>
      </c>
      <c r="AF51" s="333">
        <v>6</v>
      </c>
      <c r="AG51" s="333">
        <v>7</v>
      </c>
      <c r="AH51" s="216">
        <v>7</v>
      </c>
      <c r="AI51" s="333" t="s">
        <v>619</v>
      </c>
      <c r="AJ51" s="333">
        <v>421</v>
      </c>
      <c r="AK51" s="333">
        <v>1711</v>
      </c>
      <c r="AL51" s="216">
        <v>2735</v>
      </c>
      <c r="AM51" s="216">
        <v>2825</v>
      </c>
      <c r="AN51" s="216">
        <v>72</v>
      </c>
      <c r="AO51" s="216">
        <v>7</v>
      </c>
      <c r="AP51" s="216">
        <v>292</v>
      </c>
      <c r="AQ51" s="216">
        <v>2</v>
      </c>
      <c r="AR51" s="216">
        <v>946</v>
      </c>
      <c r="AS51" s="216">
        <v>0</v>
      </c>
      <c r="AT51" s="216">
        <v>155</v>
      </c>
      <c r="AU51" s="216">
        <v>136</v>
      </c>
      <c r="AV51" s="216">
        <v>63</v>
      </c>
      <c r="AW51" s="216">
        <v>4</v>
      </c>
      <c r="AX51" s="216">
        <v>52521</v>
      </c>
      <c r="AY51" s="216">
        <v>0</v>
      </c>
      <c r="AZ51" s="216">
        <v>0</v>
      </c>
      <c r="BA51" s="216">
        <v>5863</v>
      </c>
      <c r="BB51" s="216">
        <v>585</v>
      </c>
      <c r="BC51" s="216">
        <v>259</v>
      </c>
      <c r="BD51" s="216">
        <v>59228</v>
      </c>
      <c r="BE51" s="216">
        <v>3156</v>
      </c>
      <c r="BF51" s="216">
        <v>1349</v>
      </c>
      <c r="BG51" s="216">
        <v>3338</v>
      </c>
      <c r="BH51" s="216">
        <v>15819</v>
      </c>
      <c r="BI51" s="216">
        <v>1975</v>
      </c>
      <c r="BJ51" s="216">
        <v>0</v>
      </c>
      <c r="BK51" s="216">
        <v>0</v>
      </c>
      <c r="BL51" s="216">
        <v>84865</v>
      </c>
      <c r="BM51" s="216">
        <v>-1029</v>
      </c>
      <c r="BN51" s="216">
        <v>0</v>
      </c>
      <c r="BO51" s="216">
        <v>0</v>
      </c>
      <c r="BP51" s="216">
        <v>-1141</v>
      </c>
      <c r="BQ51" s="216">
        <v>-2170</v>
      </c>
      <c r="BR51" s="216">
        <v>82695</v>
      </c>
      <c r="BS51" s="216">
        <v>4162</v>
      </c>
      <c r="BT51" s="216">
        <v>-17110</v>
      </c>
      <c r="BU51" s="216">
        <v>69747</v>
      </c>
      <c r="BV51" s="216">
        <v>0</v>
      </c>
      <c r="BW51" s="216">
        <v>0</v>
      </c>
      <c r="BX51" s="333">
        <v>21.2</v>
      </c>
      <c r="BY51" s="216">
        <v>0</v>
      </c>
      <c r="BZ51" s="216">
        <v>15271</v>
      </c>
      <c r="CA51" s="216">
        <v>70757</v>
      </c>
      <c r="CB51" s="216">
        <v>829</v>
      </c>
      <c r="CC51" s="216">
        <v>0</v>
      </c>
      <c r="CD51" s="216">
        <v>0</v>
      </c>
      <c r="CE51" s="216">
        <v>86857</v>
      </c>
      <c r="CF51" s="333">
        <v>12.553205422041779</v>
      </c>
      <c r="CG51" s="333">
        <v>19.501957403507781</v>
      </c>
      <c r="CH51" s="333">
        <v>12.424607961399277</v>
      </c>
      <c r="CI51" s="333">
        <v>0</v>
      </c>
      <c r="CJ51" s="333">
        <v>0</v>
      </c>
      <c r="CK51" s="333">
        <v>18.21269442877373</v>
      </c>
      <c r="CL51" s="216">
        <v>-5834</v>
      </c>
      <c r="CM51" s="216">
        <v>-443</v>
      </c>
      <c r="CN51" s="216">
        <v>429</v>
      </c>
      <c r="CO51" s="216">
        <v>-4700</v>
      </c>
      <c r="CP51" s="216">
        <v>-39</v>
      </c>
      <c r="CQ51" s="216">
        <v>37440</v>
      </c>
      <c r="CR51" s="216">
        <v>8051</v>
      </c>
      <c r="CS51" s="216">
        <v>127</v>
      </c>
      <c r="CT51" s="216">
        <v>35031</v>
      </c>
      <c r="CU51" s="216">
        <v>0</v>
      </c>
      <c r="CV51" s="216">
        <v>26529</v>
      </c>
      <c r="CW51" s="216">
        <v>14461</v>
      </c>
      <c r="CX51" s="216">
        <v>1334</v>
      </c>
    </row>
    <row r="52" spans="1:102" ht="15" customHeight="1" x14ac:dyDescent="0.2">
      <c r="A52" s="220" t="s">
        <v>17</v>
      </c>
      <c r="B52" s="220" t="s">
        <v>27</v>
      </c>
      <c r="C52" s="219" t="s">
        <v>26</v>
      </c>
      <c r="D52" s="216">
        <v>14</v>
      </c>
      <c r="E52" s="216">
        <v>0</v>
      </c>
      <c r="F52" s="216">
        <v>9</v>
      </c>
      <c r="G52" s="216">
        <v>0</v>
      </c>
      <c r="H52" s="216">
        <v>23</v>
      </c>
      <c r="I52" s="216">
        <v>7</v>
      </c>
      <c r="J52" s="216">
        <v>29</v>
      </c>
      <c r="K52" s="216">
        <v>4</v>
      </c>
      <c r="L52" s="216">
        <v>34</v>
      </c>
      <c r="M52" s="216">
        <v>50</v>
      </c>
      <c r="N52" s="216">
        <v>18</v>
      </c>
      <c r="O52" s="216">
        <v>135</v>
      </c>
      <c r="P52" s="216">
        <v>115</v>
      </c>
      <c r="Q52" s="216">
        <v>10</v>
      </c>
      <c r="R52" s="216">
        <v>6</v>
      </c>
      <c r="S52" s="333">
        <v>2</v>
      </c>
      <c r="T52" s="333">
        <v>6</v>
      </c>
      <c r="U52" s="333">
        <v>12</v>
      </c>
      <c r="V52" s="333">
        <v>27</v>
      </c>
      <c r="W52" s="333">
        <v>130</v>
      </c>
      <c r="X52" s="333">
        <v>17</v>
      </c>
      <c r="Y52" s="333">
        <v>437</v>
      </c>
      <c r="Z52" s="333">
        <v>631</v>
      </c>
      <c r="AA52" s="216">
        <v>632</v>
      </c>
      <c r="AB52" s="333">
        <v>0</v>
      </c>
      <c r="AC52" s="333">
        <v>0</v>
      </c>
      <c r="AD52" s="333">
        <v>15</v>
      </c>
      <c r="AE52" s="333">
        <v>1</v>
      </c>
      <c r="AF52" s="333">
        <v>39</v>
      </c>
      <c r="AG52" s="333">
        <v>54</v>
      </c>
      <c r="AH52" s="216">
        <v>152</v>
      </c>
      <c r="AI52" s="333">
        <v>31</v>
      </c>
      <c r="AJ52" s="333">
        <v>289</v>
      </c>
      <c r="AK52" s="333">
        <v>1005</v>
      </c>
      <c r="AL52" s="216">
        <v>1940</v>
      </c>
      <c r="AM52" s="216">
        <v>1950</v>
      </c>
      <c r="AN52" s="216">
        <v>42</v>
      </c>
      <c r="AO52" s="216">
        <v>3</v>
      </c>
      <c r="AP52" s="216">
        <v>288</v>
      </c>
      <c r="AQ52" s="216">
        <v>2</v>
      </c>
      <c r="AR52" s="216">
        <v>560</v>
      </c>
      <c r="AS52" s="216">
        <v>0</v>
      </c>
      <c r="AT52" s="216">
        <v>89</v>
      </c>
      <c r="AU52" s="216">
        <v>58</v>
      </c>
      <c r="AV52" s="216">
        <v>19</v>
      </c>
      <c r="AW52" s="216">
        <v>1</v>
      </c>
      <c r="AX52" s="216">
        <v>35821</v>
      </c>
      <c r="AY52" s="216">
        <v>657</v>
      </c>
      <c r="AZ52" s="216">
        <v>1307</v>
      </c>
      <c r="BA52" s="216">
        <v>9126</v>
      </c>
      <c r="BB52" s="216">
        <v>567</v>
      </c>
      <c r="BC52" s="216">
        <v>260</v>
      </c>
      <c r="BD52" s="216">
        <v>47738</v>
      </c>
      <c r="BE52" s="216">
        <v>2839</v>
      </c>
      <c r="BF52" s="216">
        <v>3069</v>
      </c>
      <c r="BG52" s="216">
        <v>4210</v>
      </c>
      <c r="BH52" s="216">
        <v>640</v>
      </c>
      <c r="BI52" s="216">
        <v>836</v>
      </c>
      <c r="BJ52" s="216">
        <v>0</v>
      </c>
      <c r="BK52" s="216">
        <v>3098</v>
      </c>
      <c r="BL52" s="216">
        <v>62430</v>
      </c>
      <c r="BM52" s="216">
        <v>-8482</v>
      </c>
      <c r="BN52" s="216">
        <v>-379</v>
      </c>
      <c r="BO52" s="216">
        <v>-476</v>
      </c>
      <c r="BP52" s="216">
        <v>-2448</v>
      </c>
      <c r="BQ52" s="216">
        <v>-11785</v>
      </c>
      <c r="BR52" s="216">
        <v>50645</v>
      </c>
      <c r="BS52" s="216">
        <v>6036</v>
      </c>
      <c r="BT52" s="216">
        <v>6239</v>
      </c>
      <c r="BU52" s="216">
        <v>62920</v>
      </c>
      <c r="BV52" s="216">
        <v>0</v>
      </c>
      <c r="BW52" s="216">
        <v>0</v>
      </c>
      <c r="BX52" s="333">
        <v>15.2</v>
      </c>
      <c r="BY52" s="216">
        <v>2869</v>
      </c>
      <c r="BZ52" s="216">
        <v>6769</v>
      </c>
      <c r="CA52" s="216">
        <v>48051</v>
      </c>
      <c r="CB52" s="216">
        <v>0</v>
      </c>
      <c r="CC52" s="216">
        <v>1129</v>
      </c>
      <c r="CD52" s="216">
        <v>732</v>
      </c>
      <c r="CE52" s="216">
        <v>56681</v>
      </c>
      <c r="CF52" s="333">
        <v>29.54646181119811</v>
      </c>
      <c r="CG52" s="333">
        <v>29.135709974818425</v>
      </c>
      <c r="CH52" s="333">
        <v>0</v>
      </c>
      <c r="CI52" s="333">
        <v>44.286979627989368</v>
      </c>
      <c r="CJ52" s="333">
        <v>0</v>
      </c>
      <c r="CK52" s="333">
        <v>29.110283869374214</v>
      </c>
      <c r="CL52" s="216">
        <v>-3816</v>
      </c>
      <c r="CM52" s="216">
        <v>-352</v>
      </c>
      <c r="CN52" s="216">
        <v>0</v>
      </c>
      <c r="CO52" s="216">
        <v>-2868</v>
      </c>
      <c r="CP52" s="216">
        <v>-141</v>
      </c>
      <c r="CQ52" s="216">
        <v>28694</v>
      </c>
      <c r="CR52" s="216">
        <v>4903</v>
      </c>
      <c r="CS52" s="216">
        <v>0</v>
      </c>
      <c r="CT52" s="216">
        <v>26420</v>
      </c>
      <c r="CU52" s="216">
        <v>1738</v>
      </c>
      <c r="CV52" s="216">
        <v>29858</v>
      </c>
      <c r="CW52" s="216">
        <v>2000</v>
      </c>
      <c r="CX52" s="216">
        <v>1170</v>
      </c>
    </row>
    <row r="53" spans="1:102" ht="15" customHeight="1" x14ac:dyDescent="0.2">
      <c r="A53" s="220" t="s">
        <v>17</v>
      </c>
      <c r="B53" s="220" t="s">
        <v>25</v>
      </c>
      <c r="C53" s="219" t="s">
        <v>24</v>
      </c>
      <c r="D53" s="216">
        <v>14</v>
      </c>
      <c r="E53" s="216">
        <v>4</v>
      </c>
      <c r="F53" s="216">
        <v>3</v>
      </c>
      <c r="G53" s="216">
        <v>0</v>
      </c>
      <c r="H53" s="216">
        <v>21</v>
      </c>
      <c r="I53" s="216">
        <v>1</v>
      </c>
      <c r="J53" s="216">
        <v>27</v>
      </c>
      <c r="K53" s="216">
        <v>2</v>
      </c>
      <c r="L53" s="216">
        <v>11</v>
      </c>
      <c r="M53" s="216">
        <v>30</v>
      </c>
      <c r="N53" s="216">
        <v>5</v>
      </c>
      <c r="O53" s="216">
        <v>75</v>
      </c>
      <c r="P53" s="216">
        <v>117</v>
      </c>
      <c r="Q53" s="216">
        <v>4</v>
      </c>
      <c r="R53" s="216">
        <v>3</v>
      </c>
      <c r="S53" s="333">
        <v>3</v>
      </c>
      <c r="T53" s="333">
        <v>3</v>
      </c>
      <c r="U53" s="333">
        <v>11</v>
      </c>
      <c r="V53" s="333">
        <v>23</v>
      </c>
      <c r="W53" s="333">
        <v>88</v>
      </c>
      <c r="X53" s="333">
        <v>81</v>
      </c>
      <c r="Y53" s="333">
        <v>358</v>
      </c>
      <c r="Z53" s="333">
        <v>566</v>
      </c>
      <c r="AA53" s="216">
        <v>567</v>
      </c>
      <c r="AB53" s="333">
        <v>0</v>
      </c>
      <c r="AC53" s="333">
        <v>0</v>
      </c>
      <c r="AD53" s="333">
        <v>8</v>
      </c>
      <c r="AE53" s="333">
        <v>14</v>
      </c>
      <c r="AF53" s="333">
        <v>45</v>
      </c>
      <c r="AG53" s="333">
        <v>67</v>
      </c>
      <c r="AH53" s="216">
        <v>67</v>
      </c>
      <c r="AI53" s="333">
        <v>25</v>
      </c>
      <c r="AJ53" s="333">
        <v>194</v>
      </c>
      <c r="AK53" s="333">
        <v>852</v>
      </c>
      <c r="AL53" s="216">
        <v>1276</v>
      </c>
      <c r="AM53" s="216">
        <v>1301</v>
      </c>
      <c r="AN53" s="216">
        <v>21</v>
      </c>
      <c r="AO53" s="216">
        <v>0</v>
      </c>
      <c r="AP53" s="216">
        <v>144</v>
      </c>
      <c r="AQ53" s="216">
        <v>2</v>
      </c>
      <c r="AR53" s="216">
        <v>437</v>
      </c>
      <c r="AS53" s="216">
        <v>9</v>
      </c>
      <c r="AT53" s="216">
        <v>53</v>
      </c>
      <c r="AU53" s="216">
        <v>38</v>
      </c>
      <c r="AV53" s="216">
        <v>6</v>
      </c>
      <c r="AW53" s="216">
        <v>0</v>
      </c>
      <c r="AX53" s="216">
        <v>27272</v>
      </c>
      <c r="AY53" s="216">
        <v>1247</v>
      </c>
      <c r="AZ53" s="216">
        <v>1142</v>
      </c>
      <c r="BA53" s="216">
        <v>6748</v>
      </c>
      <c r="BB53" s="216">
        <v>474</v>
      </c>
      <c r="BC53" s="216">
        <v>1306</v>
      </c>
      <c r="BD53" s="216">
        <v>38189</v>
      </c>
      <c r="BE53" s="216">
        <v>3004</v>
      </c>
      <c r="BF53" s="216">
        <v>990</v>
      </c>
      <c r="BG53" s="216">
        <v>4346</v>
      </c>
      <c r="BH53" s="216">
        <v>129</v>
      </c>
      <c r="BI53" s="216">
        <v>0</v>
      </c>
      <c r="BJ53" s="216">
        <v>614</v>
      </c>
      <c r="BK53" s="216">
        <v>0</v>
      </c>
      <c r="BL53" s="216">
        <v>47272</v>
      </c>
      <c r="BM53" s="216">
        <v>-441</v>
      </c>
      <c r="BN53" s="216">
        <v>0</v>
      </c>
      <c r="BO53" s="216">
        <v>0</v>
      </c>
      <c r="BP53" s="216">
        <v>-896</v>
      </c>
      <c r="BQ53" s="216">
        <v>-1337</v>
      </c>
      <c r="BR53" s="216">
        <v>45935</v>
      </c>
      <c r="BS53" s="216">
        <v>4255</v>
      </c>
      <c r="BT53" s="216">
        <v>6736</v>
      </c>
      <c r="BU53" s="216">
        <v>56926</v>
      </c>
      <c r="BV53" s="216">
        <v>0</v>
      </c>
      <c r="BW53" s="216">
        <v>-17</v>
      </c>
      <c r="BX53" s="333">
        <v>13.4</v>
      </c>
      <c r="BY53" s="216">
        <v>555</v>
      </c>
      <c r="BZ53" s="216">
        <v>3326</v>
      </c>
      <c r="CA53" s="216">
        <v>29579</v>
      </c>
      <c r="CB53" s="216">
        <v>707</v>
      </c>
      <c r="CC53" s="216">
        <v>199</v>
      </c>
      <c r="CD53" s="216">
        <v>16379</v>
      </c>
      <c r="CE53" s="216">
        <v>50190</v>
      </c>
      <c r="CF53" s="333">
        <v>100</v>
      </c>
      <c r="CG53" s="333">
        <v>100</v>
      </c>
      <c r="CH53" s="333">
        <v>100</v>
      </c>
      <c r="CI53" s="333">
        <v>100</v>
      </c>
      <c r="CJ53" s="333">
        <v>100</v>
      </c>
      <c r="CK53" s="333">
        <v>100</v>
      </c>
      <c r="CL53" s="216">
        <v>-3252</v>
      </c>
      <c r="CM53" s="216">
        <v>-20</v>
      </c>
      <c r="CN53" s="216">
        <v>0</v>
      </c>
      <c r="CO53" s="216">
        <v>-2570</v>
      </c>
      <c r="CP53" s="216">
        <v>-22</v>
      </c>
      <c r="CQ53" s="216">
        <v>20021</v>
      </c>
      <c r="CR53" s="216">
        <v>2753</v>
      </c>
      <c r="CS53" s="216">
        <v>516</v>
      </c>
      <c r="CT53" s="216">
        <v>17426</v>
      </c>
      <c r="CU53" s="216">
        <v>670</v>
      </c>
      <c r="CV53" s="216">
        <v>21058</v>
      </c>
      <c r="CW53" s="216">
        <v>3781</v>
      </c>
      <c r="CX53" s="216">
        <v>177</v>
      </c>
    </row>
    <row r="54" spans="1:102" ht="15" customHeight="1" x14ac:dyDescent="0.2">
      <c r="A54" s="220" t="s">
        <v>17</v>
      </c>
      <c r="B54" s="220" t="s">
        <v>23</v>
      </c>
      <c r="C54" s="219" t="s">
        <v>22</v>
      </c>
      <c r="D54" s="216">
        <v>16</v>
      </c>
      <c r="E54" s="216">
        <v>1</v>
      </c>
      <c r="F54" s="216">
        <v>0</v>
      </c>
      <c r="G54" s="216">
        <v>0</v>
      </c>
      <c r="H54" s="216">
        <v>17</v>
      </c>
      <c r="I54" s="216">
        <v>10</v>
      </c>
      <c r="J54" s="216">
        <v>24</v>
      </c>
      <c r="K54" s="216">
        <v>3</v>
      </c>
      <c r="L54" s="216">
        <v>10</v>
      </c>
      <c r="M54" s="216">
        <v>3</v>
      </c>
      <c r="N54" s="216">
        <v>10</v>
      </c>
      <c r="O54" s="216">
        <v>50</v>
      </c>
      <c r="P54" s="216">
        <v>85</v>
      </c>
      <c r="Q54" s="216">
        <v>6</v>
      </c>
      <c r="R54" s="216">
        <v>11</v>
      </c>
      <c r="S54" s="333">
        <v>3</v>
      </c>
      <c r="T54" s="333">
        <v>4</v>
      </c>
      <c r="U54" s="333">
        <v>13</v>
      </c>
      <c r="V54" s="333">
        <v>22</v>
      </c>
      <c r="W54" s="333">
        <v>90</v>
      </c>
      <c r="X54" s="333">
        <v>112</v>
      </c>
      <c r="Y54" s="333">
        <v>332</v>
      </c>
      <c r="Z54" s="333">
        <v>577</v>
      </c>
      <c r="AA54" s="216">
        <v>580</v>
      </c>
      <c r="AB54" s="333">
        <v>0</v>
      </c>
      <c r="AC54" s="333">
        <v>0</v>
      </c>
      <c r="AD54" s="333">
        <v>5</v>
      </c>
      <c r="AE54" s="333">
        <v>4</v>
      </c>
      <c r="AF54" s="333">
        <v>26</v>
      </c>
      <c r="AG54" s="333">
        <v>35</v>
      </c>
      <c r="AH54" s="216">
        <v>38</v>
      </c>
      <c r="AI54" s="333">
        <v>29</v>
      </c>
      <c r="AJ54" s="333">
        <v>177</v>
      </c>
      <c r="AK54" s="333">
        <v>816</v>
      </c>
      <c r="AL54" s="216">
        <v>1358</v>
      </c>
      <c r="AM54" s="216">
        <v>1394</v>
      </c>
      <c r="AN54" s="216">
        <v>36</v>
      </c>
      <c r="AO54" s="216">
        <v>1</v>
      </c>
      <c r="AP54" s="216">
        <v>172</v>
      </c>
      <c r="AQ54" s="216">
        <v>3</v>
      </c>
      <c r="AR54" s="216">
        <v>346</v>
      </c>
      <c r="AS54" s="216">
        <v>1</v>
      </c>
      <c r="AT54" s="216">
        <v>62</v>
      </c>
      <c r="AU54" s="216">
        <v>15</v>
      </c>
      <c r="AV54" s="216">
        <v>8</v>
      </c>
      <c r="AW54" s="216">
        <v>1</v>
      </c>
      <c r="AX54" s="216">
        <v>31130</v>
      </c>
      <c r="AY54" s="216">
        <v>42</v>
      </c>
      <c r="AZ54" s="216">
        <v>1131</v>
      </c>
      <c r="BA54" s="216">
        <v>6167</v>
      </c>
      <c r="BB54" s="216">
        <v>258</v>
      </c>
      <c r="BC54" s="216">
        <v>896</v>
      </c>
      <c r="BD54" s="216">
        <v>39624</v>
      </c>
      <c r="BE54" s="216">
        <v>2377</v>
      </c>
      <c r="BF54" s="216">
        <v>1114</v>
      </c>
      <c r="BG54" s="216">
        <v>6080</v>
      </c>
      <c r="BH54" s="216">
        <v>283</v>
      </c>
      <c r="BI54" s="216">
        <v>0</v>
      </c>
      <c r="BJ54" s="216">
        <v>0</v>
      </c>
      <c r="BK54" s="216">
        <v>1468</v>
      </c>
      <c r="BL54" s="216">
        <v>50946</v>
      </c>
      <c r="BM54" s="216">
        <v>-5486</v>
      </c>
      <c r="BN54" s="216">
        <v>0</v>
      </c>
      <c r="BO54" s="216">
        <v>0</v>
      </c>
      <c r="BP54" s="216">
        <v>-2239</v>
      </c>
      <c r="BQ54" s="216">
        <v>-7725</v>
      </c>
      <c r="BR54" s="216">
        <v>43221</v>
      </c>
      <c r="BS54" s="216">
        <v>3574</v>
      </c>
      <c r="BT54" s="216">
        <v>-14360</v>
      </c>
      <c r="BU54" s="216">
        <v>32435</v>
      </c>
      <c r="BV54" s="216">
        <v>0</v>
      </c>
      <c r="BW54" s="216">
        <v>0</v>
      </c>
      <c r="BX54" s="333">
        <v>17.5</v>
      </c>
      <c r="BY54" s="216">
        <v>0</v>
      </c>
      <c r="BZ54" s="216">
        <v>7707</v>
      </c>
      <c r="CA54" s="216">
        <v>38170</v>
      </c>
      <c r="CB54" s="216">
        <v>0</v>
      </c>
      <c r="CC54" s="216">
        <v>141</v>
      </c>
      <c r="CD54" s="216">
        <v>777</v>
      </c>
      <c r="CE54" s="216">
        <v>46795</v>
      </c>
      <c r="CF54" s="333">
        <v>23.134812508109512</v>
      </c>
      <c r="CG54" s="333">
        <v>25.294734084359444</v>
      </c>
      <c r="CH54" s="333">
        <v>0</v>
      </c>
      <c r="CI54" s="333">
        <v>0</v>
      </c>
      <c r="CJ54" s="333">
        <v>0</v>
      </c>
      <c r="CK54" s="333">
        <v>24.44278234854151</v>
      </c>
      <c r="CL54" s="216">
        <v>-3230</v>
      </c>
      <c r="CM54" s="216">
        <v>-45</v>
      </c>
      <c r="CN54" s="216">
        <v>0</v>
      </c>
      <c r="CO54" s="216">
        <v>-2537</v>
      </c>
      <c r="CP54" s="216">
        <v>-180</v>
      </c>
      <c r="CQ54" s="216">
        <v>20838</v>
      </c>
      <c r="CR54" s="216">
        <v>5017</v>
      </c>
      <c r="CS54" s="216">
        <v>0</v>
      </c>
      <c r="CT54" s="216">
        <v>19863</v>
      </c>
      <c r="CU54" s="216">
        <v>1954</v>
      </c>
      <c r="CV54" s="216">
        <v>22609</v>
      </c>
      <c r="CW54" s="216">
        <v>3943</v>
      </c>
      <c r="CX54" s="216">
        <v>11141</v>
      </c>
    </row>
    <row r="55" spans="1:102" ht="15" customHeight="1" x14ac:dyDescent="0.2">
      <c r="A55" s="220" t="s">
        <v>17</v>
      </c>
      <c r="B55" s="220" t="s">
        <v>21</v>
      </c>
      <c r="C55" s="219" t="s">
        <v>20</v>
      </c>
      <c r="D55" s="216">
        <v>38</v>
      </c>
      <c r="E55" s="216">
        <v>0</v>
      </c>
      <c r="F55" s="216">
        <v>0</v>
      </c>
      <c r="G55" s="216">
        <v>0</v>
      </c>
      <c r="H55" s="216">
        <v>38</v>
      </c>
      <c r="I55" s="216">
        <v>1</v>
      </c>
      <c r="J55" s="216">
        <v>41</v>
      </c>
      <c r="K55" s="216">
        <v>4</v>
      </c>
      <c r="L55" s="216">
        <v>24</v>
      </c>
      <c r="M55" s="216">
        <v>0</v>
      </c>
      <c r="N55" s="216">
        <v>11</v>
      </c>
      <c r="O55" s="216">
        <v>80</v>
      </c>
      <c r="P55" s="216">
        <v>104</v>
      </c>
      <c r="Q55" s="216">
        <v>14</v>
      </c>
      <c r="R55" s="216">
        <v>10</v>
      </c>
      <c r="S55" s="333">
        <v>3</v>
      </c>
      <c r="T55" s="333">
        <v>6</v>
      </c>
      <c r="U55" s="333">
        <v>11</v>
      </c>
      <c r="V55" s="333">
        <v>49</v>
      </c>
      <c r="W55" s="333">
        <v>236</v>
      </c>
      <c r="X55" s="333">
        <v>260</v>
      </c>
      <c r="Y55" s="333">
        <v>837</v>
      </c>
      <c r="Z55" s="333">
        <v>1402</v>
      </c>
      <c r="AA55" s="216">
        <v>1404</v>
      </c>
      <c r="AB55" s="333">
        <v>0</v>
      </c>
      <c r="AC55" s="333">
        <v>0</v>
      </c>
      <c r="AD55" s="333">
        <v>6</v>
      </c>
      <c r="AE55" s="333">
        <v>0</v>
      </c>
      <c r="AF55" s="333">
        <v>0</v>
      </c>
      <c r="AG55" s="333">
        <v>6</v>
      </c>
      <c r="AH55" s="216">
        <v>6</v>
      </c>
      <c r="AI55" s="333">
        <v>58</v>
      </c>
      <c r="AJ55" s="333">
        <v>348</v>
      </c>
      <c r="AK55" s="333">
        <v>1814</v>
      </c>
      <c r="AL55" s="216">
        <v>2511</v>
      </c>
      <c r="AM55" s="216">
        <v>2513</v>
      </c>
      <c r="AN55" s="216">
        <v>41</v>
      </c>
      <c r="AO55" s="216">
        <v>2</v>
      </c>
      <c r="AP55" s="216">
        <v>292</v>
      </c>
      <c r="AQ55" s="216">
        <v>8</v>
      </c>
      <c r="AR55" s="216">
        <v>979</v>
      </c>
      <c r="AS55" s="216">
        <v>3</v>
      </c>
      <c r="AT55" s="216">
        <v>241</v>
      </c>
      <c r="AU55" s="216">
        <v>134</v>
      </c>
      <c r="AV55" s="216">
        <v>90</v>
      </c>
      <c r="AW55" s="216">
        <v>1</v>
      </c>
      <c r="AX55" s="216">
        <v>64216</v>
      </c>
      <c r="AY55" s="216">
        <v>0</v>
      </c>
      <c r="AZ55" s="216">
        <v>314</v>
      </c>
      <c r="BA55" s="216">
        <v>13188</v>
      </c>
      <c r="BB55" s="216">
        <v>3077</v>
      </c>
      <c r="BC55" s="216">
        <v>635</v>
      </c>
      <c r="BD55" s="216">
        <v>81430</v>
      </c>
      <c r="BE55" s="216">
        <v>4832</v>
      </c>
      <c r="BF55" s="216">
        <v>1306</v>
      </c>
      <c r="BG55" s="216">
        <v>8583</v>
      </c>
      <c r="BH55" s="216">
        <v>508</v>
      </c>
      <c r="BI55" s="216">
        <v>3686</v>
      </c>
      <c r="BJ55" s="216">
        <v>0</v>
      </c>
      <c r="BK55" s="216">
        <v>0</v>
      </c>
      <c r="BL55" s="216">
        <v>100345</v>
      </c>
      <c r="BM55" s="216">
        <v>-1961</v>
      </c>
      <c r="BN55" s="216">
        <v>-1106</v>
      </c>
      <c r="BO55" s="216">
        <v>0</v>
      </c>
      <c r="BP55" s="216">
        <v>-3112</v>
      </c>
      <c r="BQ55" s="216">
        <v>-6179</v>
      </c>
      <c r="BR55" s="216">
        <v>94166</v>
      </c>
      <c r="BS55" s="216">
        <v>8843</v>
      </c>
      <c r="BT55" s="216">
        <v>15429</v>
      </c>
      <c r="BU55" s="216">
        <v>118438</v>
      </c>
      <c r="BV55" s="216">
        <v>0</v>
      </c>
      <c r="BW55" s="216">
        <v>0</v>
      </c>
      <c r="BX55" s="333">
        <v>18.600000000000001</v>
      </c>
      <c r="BY55" s="216">
        <v>595</v>
      </c>
      <c r="BZ55" s="216">
        <v>11987</v>
      </c>
      <c r="CA55" s="216">
        <v>88165</v>
      </c>
      <c r="CB55" s="216">
        <v>89</v>
      </c>
      <c r="CC55" s="216">
        <v>2106</v>
      </c>
      <c r="CD55" s="216">
        <v>662</v>
      </c>
      <c r="CE55" s="216">
        <v>103009</v>
      </c>
      <c r="CF55" s="333">
        <v>0</v>
      </c>
      <c r="CG55" s="333">
        <v>0</v>
      </c>
      <c r="CH55" s="333">
        <v>0</v>
      </c>
      <c r="CI55" s="333">
        <v>0</v>
      </c>
      <c r="CJ55" s="333">
        <v>0</v>
      </c>
      <c r="CK55" s="333">
        <v>0</v>
      </c>
      <c r="CL55" s="216">
        <v>-6957</v>
      </c>
      <c r="CM55" s="216">
        <v>-327</v>
      </c>
      <c r="CN55" s="216">
        <v>0</v>
      </c>
      <c r="CO55" s="216">
        <v>-5561</v>
      </c>
      <c r="CP55" s="216">
        <v>0</v>
      </c>
      <c r="CQ55" s="216">
        <v>37757</v>
      </c>
      <c r="CR55" s="216">
        <v>4407</v>
      </c>
      <c r="CS55" s="216">
        <v>50</v>
      </c>
      <c r="CT55" s="216">
        <v>29369</v>
      </c>
      <c r="CU55" s="216">
        <v>1569</v>
      </c>
      <c r="CV55" s="216">
        <v>43734</v>
      </c>
      <c r="CW55" s="216">
        <v>9236</v>
      </c>
      <c r="CX55" s="216">
        <v>426</v>
      </c>
    </row>
    <row r="56" spans="1:102" ht="15" customHeight="1" x14ac:dyDescent="0.2">
      <c r="A56" s="220" t="s">
        <v>17</v>
      </c>
      <c r="B56" s="220" t="s">
        <v>19</v>
      </c>
      <c r="C56" s="219" t="s">
        <v>18</v>
      </c>
      <c r="D56" s="216">
        <v>25</v>
      </c>
      <c r="E56" s="216">
        <v>8</v>
      </c>
      <c r="F56" s="216">
        <v>7</v>
      </c>
      <c r="G56" s="216">
        <v>0</v>
      </c>
      <c r="H56" s="216">
        <v>40</v>
      </c>
      <c r="I56" s="216">
        <v>11</v>
      </c>
      <c r="J56" s="216">
        <v>56</v>
      </c>
      <c r="K56" s="216">
        <v>7</v>
      </c>
      <c r="L56" s="216">
        <v>14</v>
      </c>
      <c r="M56" s="216">
        <v>7</v>
      </c>
      <c r="N56" s="216">
        <v>17</v>
      </c>
      <c r="O56" s="216">
        <v>101</v>
      </c>
      <c r="P56" s="216">
        <v>261</v>
      </c>
      <c r="Q56" s="216">
        <v>6</v>
      </c>
      <c r="R56" s="216">
        <v>10</v>
      </c>
      <c r="S56" s="333">
        <v>3</v>
      </c>
      <c r="T56" s="333">
        <v>3</v>
      </c>
      <c r="U56" s="333">
        <v>12</v>
      </c>
      <c r="V56" s="333">
        <v>41</v>
      </c>
      <c r="W56" s="333">
        <v>162</v>
      </c>
      <c r="X56" s="333">
        <v>145</v>
      </c>
      <c r="Y56" s="333">
        <v>586</v>
      </c>
      <c r="Z56" s="333">
        <v>952</v>
      </c>
      <c r="AA56" s="216">
        <v>965</v>
      </c>
      <c r="AB56" s="333">
        <v>0</v>
      </c>
      <c r="AC56" s="333">
        <v>0</v>
      </c>
      <c r="AD56" s="333">
        <v>8</v>
      </c>
      <c r="AE56" s="333">
        <v>9</v>
      </c>
      <c r="AF56" s="333">
        <v>58</v>
      </c>
      <c r="AG56" s="333">
        <v>76</v>
      </c>
      <c r="AH56" s="216">
        <v>136</v>
      </c>
      <c r="AI56" s="333">
        <v>45</v>
      </c>
      <c r="AJ56" s="333">
        <v>272</v>
      </c>
      <c r="AK56" s="333">
        <v>1344</v>
      </c>
      <c r="AL56" s="216">
        <v>2354</v>
      </c>
      <c r="AM56" s="216">
        <v>2403</v>
      </c>
      <c r="AN56" s="216">
        <v>65</v>
      </c>
      <c r="AO56" s="216">
        <v>5</v>
      </c>
      <c r="AP56" s="216">
        <v>248</v>
      </c>
      <c r="AQ56" s="216">
        <v>29</v>
      </c>
      <c r="AR56" s="216">
        <v>778</v>
      </c>
      <c r="AS56" s="216">
        <v>0</v>
      </c>
      <c r="AT56" s="216">
        <v>108</v>
      </c>
      <c r="AU56" s="216">
        <v>117</v>
      </c>
      <c r="AV56" s="216">
        <v>62</v>
      </c>
      <c r="AW56" s="216">
        <v>0</v>
      </c>
      <c r="AX56" s="216">
        <v>45716</v>
      </c>
      <c r="AY56" s="216">
        <v>1495</v>
      </c>
      <c r="AZ56" s="216">
        <v>1787</v>
      </c>
      <c r="BA56" s="216">
        <v>8835</v>
      </c>
      <c r="BB56" s="216">
        <v>761</v>
      </c>
      <c r="BC56" s="216">
        <v>2689</v>
      </c>
      <c r="BD56" s="216">
        <v>61283</v>
      </c>
      <c r="BE56" s="216">
        <v>3872</v>
      </c>
      <c r="BF56" s="216">
        <v>2092</v>
      </c>
      <c r="BG56" s="216">
        <v>2570</v>
      </c>
      <c r="BH56" s="216">
        <v>2453</v>
      </c>
      <c r="BI56" s="216">
        <v>0</v>
      </c>
      <c r="BJ56" s="216">
        <v>0</v>
      </c>
      <c r="BK56" s="216">
        <v>0</v>
      </c>
      <c r="BL56" s="216">
        <v>72270</v>
      </c>
      <c r="BM56" s="216">
        <v>-2056</v>
      </c>
      <c r="BN56" s="216">
        <v>0</v>
      </c>
      <c r="BO56" s="216">
        <v>0</v>
      </c>
      <c r="BP56" s="216">
        <v>-1318</v>
      </c>
      <c r="BQ56" s="216">
        <v>-3374</v>
      </c>
      <c r="BR56" s="216">
        <v>68896</v>
      </c>
      <c r="BS56" s="216">
        <v>6016</v>
      </c>
      <c r="BT56" s="216">
        <v>-20724</v>
      </c>
      <c r="BU56" s="216">
        <v>54188</v>
      </c>
      <c r="BV56" s="216">
        <v>0</v>
      </c>
      <c r="BW56" s="216">
        <v>-12</v>
      </c>
      <c r="BX56" s="333">
        <v>17.2</v>
      </c>
      <c r="BY56" s="216">
        <v>0</v>
      </c>
      <c r="BZ56" s="216">
        <v>4325</v>
      </c>
      <c r="CA56" s="216">
        <v>67645</v>
      </c>
      <c r="CB56" s="216">
        <v>0</v>
      </c>
      <c r="CC56" s="216">
        <v>678</v>
      </c>
      <c r="CD56" s="216">
        <v>2264</v>
      </c>
      <c r="CE56" s="216">
        <v>74912</v>
      </c>
      <c r="CF56" s="333">
        <v>24.277456647398843</v>
      </c>
      <c r="CG56" s="333">
        <v>24.290043610022913</v>
      </c>
      <c r="CH56" s="333">
        <v>0</v>
      </c>
      <c r="CI56" s="333">
        <v>24.336283185840706</v>
      </c>
      <c r="CJ56" s="333">
        <v>0</v>
      </c>
      <c r="CK56" s="333">
        <v>23.555638615976079</v>
      </c>
      <c r="CL56" s="216">
        <v>-5420</v>
      </c>
      <c r="CM56" s="216">
        <v>-403</v>
      </c>
      <c r="CN56" s="216">
        <v>0</v>
      </c>
      <c r="CO56" s="216">
        <v>-4395</v>
      </c>
      <c r="CP56" s="216">
        <v>-19</v>
      </c>
      <c r="CQ56" s="216">
        <v>35208</v>
      </c>
      <c r="CR56" s="216">
        <v>7883</v>
      </c>
      <c r="CS56" s="216">
        <v>0</v>
      </c>
      <c r="CT56" s="216">
        <v>32854</v>
      </c>
      <c r="CU56" s="216">
        <v>1209</v>
      </c>
      <c r="CV56" s="216">
        <v>17955</v>
      </c>
      <c r="CW56" s="216">
        <v>15079</v>
      </c>
      <c r="CX56" s="216">
        <v>262</v>
      </c>
    </row>
    <row r="57" spans="1:102" ht="15" customHeight="1" x14ac:dyDescent="0.2">
      <c r="A57" s="220" t="s">
        <v>17</v>
      </c>
      <c r="B57" s="220" t="s">
        <v>16</v>
      </c>
      <c r="C57" s="219" t="s">
        <v>620</v>
      </c>
      <c r="D57" s="216">
        <v>103</v>
      </c>
      <c r="E57" s="216">
        <v>0</v>
      </c>
      <c r="F57" s="216">
        <v>0</v>
      </c>
      <c r="G57" s="216">
        <v>0</v>
      </c>
      <c r="H57" s="216">
        <v>103</v>
      </c>
      <c r="I57" s="216">
        <v>5</v>
      </c>
      <c r="J57" s="216">
        <v>142</v>
      </c>
      <c r="K57" s="216">
        <v>11</v>
      </c>
      <c r="L57" s="216">
        <v>51</v>
      </c>
      <c r="M57" s="216">
        <v>71</v>
      </c>
      <c r="N57" s="216">
        <v>77</v>
      </c>
      <c r="O57" s="216">
        <v>352</v>
      </c>
      <c r="P57" s="216">
        <v>40</v>
      </c>
      <c r="Q57" s="216">
        <v>44</v>
      </c>
      <c r="R57" s="216">
        <v>34</v>
      </c>
      <c r="S57" s="333">
        <v>8</v>
      </c>
      <c r="T57" s="333">
        <v>18</v>
      </c>
      <c r="U57" s="333">
        <v>61</v>
      </c>
      <c r="V57" s="333">
        <v>143</v>
      </c>
      <c r="W57" s="333">
        <v>635</v>
      </c>
      <c r="X57" s="333">
        <v>562</v>
      </c>
      <c r="Y57" s="333">
        <v>3139</v>
      </c>
      <c r="Z57" s="333">
        <v>4565</v>
      </c>
      <c r="AA57" s="216">
        <v>4577</v>
      </c>
      <c r="AB57" s="333">
        <v>0</v>
      </c>
      <c r="AC57" s="333">
        <v>0</v>
      </c>
      <c r="AD57" s="333">
        <v>0</v>
      </c>
      <c r="AE57" s="333">
        <v>0</v>
      </c>
      <c r="AF57" s="333">
        <v>0</v>
      </c>
      <c r="AG57" s="333">
        <v>0</v>
      </c>
      <c r="AH57" s="216">
        <v>0</v>
      </c>
      <c r="AI57" s="333">
        <v>108</v>
      </c>
      <c r="AJ57" s="333">
        <v>754</v>
      </c>
      <c r="AK57" s="333">
        <v>5428</v>
      </c>
      <c r="AL57" s="216">
        <v>8723</v>
      </c>
      <c r="AM57" s="216">
        <v>8815</v>
      </c>
      <c r="AN57" s="216">
        <v>210</v>
      </c>
      <c r="AO57" s="216">
        <v>8</v>
      </c>
      <c r="AP57" s="216">
        <v>1024</v>
      </c>
      <c r="AQ57" s="216">
        <v>12</v>
      </c>
      <c r="AR57" s="216">
        <v>3111</v>
      </c>
      <c r="AS57" s="216">
        <v>0</v>
      </c>
      <c r="AT57" s="216">
        <v>758</v>
      </c>
      <c r="AU57" s="216">
        <v>374</v>
      </c>
      <c r="AV57" s="216">
        <v>197</v>
      </c>
      <c r="AW57" s="216">
        <v>0</v>
      </c>
      <c r="AX57" s="216">
        <v>249979</v>
      </c>
      <c r="AY57" s="216">
        <v>0</v>
      </c>
      <c r="AZ57" s="216">
        <v>5500</v>
      </c>
      <c r="BA57" s="216">
        <v>46003</v>
      </c>
      <c r="BB57" s="216">
        <v>22657</v>
      </c>
      <c r="BC57" s="216">
        <v>3982</v>
      </c>
      <c r="BD57" s="216">
        <v>328121</v>
      </c>
      <c r="BE57" s="216">
        <v>36059</v>
      </c>
      <c r="BF57" s="216">
        <v>14852</v>
      </c>
      <c r="BG57" s="216">
        <v>29066</v>
      </c>
      <c r="BH57" s="216">
        <v>0</v>
      </c>
      <c r="BI57" s="216">
        <v>0</v>
      </c>
      <c r="BJ57" s="216">
        <v>337</v>
      </c>
      <c r="BK57" s="216">
        <v>0</v>
      </c>
      <c r="BL57" s="216">
        <v>408435</v>
      </c>
      <c r="BM57" s="216">
        <v>-13997</v>
      </c>
      <c r="BN57" s="216">
        <v>0</v>
      </c>
      <c r="BO57" s="216">
        <v>-219</v>
      </c>
      <c r="BP57" s="216">
        <v>-38058</v>
      </c>
      <c r="BQ57" s="216">
        <v>-52274</v>
      </c>
      <c r="BR57" s="216">
        <v>356161</v>
      </c>
      <c r="BS57" s="216">
        <v>19166</v>
      </c>
      <c r="BT57" s="216">
        <v>-76701</v>
      </c>
      <c r="BU57" s="216">
        <v>298626</v>
      </c>
      <c r="BV57" s="216">
        <v>0</v>
      </c>
      <c r="BW57" s="216">
        <v>0</v>
      </c>
      <c r="BX57" s="333">
        <v>14.9</v>
      </c>
      <c r="BY57" s="216">
        <v>4978</v>
      </c>
      <c r="BZ57" s="216">
        <v>130613.79599999999</v>
      </c>
      <c r="CA57" s="216">
        <v>234954.70199999999</v>
      </c>
      <c r="CB57" s="216">
        <v>1876.635</v>
      </c>
      <c r="CC57" s="216">
        <v>7881.8670000000002</v>
      </c>
      <c r="CD57" s="216">
        <v>0</v>
      </c>
      <c r="CE57" s="216">
        <v>375327</v>
      </c>
      <c r="CF57" s="333">
        <v>19.098812502164776</v>
      </c>
      <c r="CG57" s="333">
        <v>19.098812502164776</v>
      </c>
      <c r="CH57" s="333">
        <v>19.09881250216478</v>
      </c>
      <c r="CI57" s="333">
        <v>19.09881250216478</v>
      </c>
      <c r="CJ57" s="333">
        <v>0</v>
      </c>
      <c r="CK57" s="333">
        <v>19.098812502164776</v>
      </c>
      <c r="CL57" s="216">
        <v>-25970</v>
      </c>
      <c r="CM57" s="216">
        <v>-618</v>
      </c>
      <c r="CN57" s="216">
        <v>0</v>
      </c>
      <c r="CO57" s="216">
        <v>-20910</v>
      </c>
      <c r="CP57" s="216">
        <v>-273</v>
      </c>
      <c r="CQ57" s="216">
        <v>136681</v>
      </c>
      <c r="CR57" s="216">
        <v>27307</v>
      </c>
      <c r="CS57" s="216">
        <v>84</v>
      </c>
      <c r="CT57" s="216">
        <v>116301</v>
      </c>
      <c r="CU57" s="216">
        <v>19652</v>
      </c>
      <c r="CV57" s="216">
        <v>15576</v>
      </c>
      <c r="CW57" s="216">
        <v>21489</v>
      </c>
      <c r="CX57" s="216">
        <v>4784</v>
      </c>
    </row>
    <row r="58" spans="1:102" ht="15" customHeight="1" x14ac:dyDescent="0.2">
      <c r="A58" s="218" t="s">
        <v>9</v>
      </c>
      <c r="B58" s="218" t="s">
        <v>14</v>
      </c>
      <c r="C58" s="217" t="s">
        <v>13</v>
      </c>
      <c r="D58" s="216">
        <v>7</v>
      </c>
      <c r="E58" s="216">
        <v>43</v>
      </c>
      <c r="F58" s="216">
        <v>6</v>
      </c>
      <c r="G58" s="216">
        <v>2</v>
      </c>
      <c r="H58" s="216">
        <v>58</v>
      </c>
      <c r="I58" s="216">
        <v>13</v>
      </c>
      <c r="J58" s="216">
        <v>69</v>
      </c>
      <c r="K58" s="216">
        <v>4</v>
      </c>
      <c r="L58" s="216">
        <v>53</v>
      </c>
      <c r="M58" s="216">
        <v>26</v>
      </c>
      <c r="N58" s="216">
        <v>16</v>
      </c>
      <c r="O58" s="216">
        <v>168</v>
      </c>
      <c r="P58" s="216">
        <v>174</v>
      </c>
      <c r="Q58" s="216">
        <v>14</v>
      </c>
      <c r="R58" s="216">
        <v>8</v>
      </c>
      <c r="S58" s="333">
        <v>4</v>
      </c>
      <c r="T58" s="333">
        <v>3</v>
      </c>
      <c r="U58" s="333">
        <v>17</v>
      </c>
      <c r="V58" s="333">
        <v>44</v>
      </c>
      <c r="W58" s="333">
        <v>103</v>
      </c>
      <c r="X58" s="333">
        <v>50</v>
      </c>
      <c r="Y58" s="333">
        <v>163</v>
      </c>
      <c r="Z58" s="333">
        <v>384</v>
      </c>
      <c r="AA58" s="216">
        <v>384</v>
      </c>
      <c r="AB58" s="333">
        <v>0</v>
      </c>
      <c r="AC58" s="333">
        <v>0</v>
      </c>
      <c r="AD58" s="333">
        <v>48.75</v>
      </c>
      <c r="AE58" s="333">
        <v>135.75</v>
      </c>
      <c r="AF58" s="333">
        <v>470.25</v>
      </c>
      <c r="AG58" s="333">
        <v>654.75</v>
      </c>
      <c r="AH58" s="216">
        <v>754</v>
      </c>
      <c r="AI58" s="333">
        <v>25.28</v>
      </c>
      <c r="AJ58" s="333">
        <v>194.06</v>
      </c>
      <c r="AK58" s="333">
        <v>1258.0899999999999</v>
      </c>
      <c r="AL58" s="216">
        <v>735</v>
      </c>
      <c r="AM58" s="216">
        <v>770</v>
      </c>
      <c r="AN58" s="216">
        <v>15</v>
      </c>
      <c r="AO58" s="216">
        <v>4</v>
      </c>
      <c r="AP58" s="216">
        <v>133</v>
      </c>
      <c r="AQ58" s="216">
        <v>24</v>
      </c>
      <c r="AR58" s="216">
        <v>881</v>
      </c>
      <c r="AS58" s="216">
        <v>44</v>
      </c>
      <c r="AT58" s="216">
        <v>34</v>
      </c>
      <c r="AU58" s="216">
        <v>437</v>
      </c>
      <c r="AV58" s="216">
        <v>224</v>
      </c>
      <c r="AW58" s="216">
        <v>27</v>
      </c>
      <c r="AX58" s="216">
        <v>20018</v>
      </c>
      <c r="AY58" s="216">
        <v>6830</v>
      </c>
      <c r="AZ58" s="216">
        <v>1280</v>
      </c>
      <c r="BA58" s="216">
        <v>5438</v>
      </c>
      <c r="BB58" s="216">
        <v>490</v>
      </c>
      <c r="BC58" s="216">
        <v>475</v>
      </c>
      <c r="BD58" s="216">
        <v>34531</v>
      </c>
      <c r="BE58" s="216">
        <v>1968</v>
      </c>
      <c r="BF58" s="216">
        <v>3237</v>
      </c>
      <c r="BG58" s="216">
        <v>7862</v>
      </c>
      <c r="BH58" s="216">
        <v>0</v>
      </c>
      <c r="BI58" s="216">
        <v>0</v>
      </c>
      <c r="BJ58" s="216">
        <v>0</v>
      </c>
      <c r="BK58" s="216">
        <v>0</v>
      </c>
      <c r="BL58" s="216">
        <v>47598</v>
      </c>
      <c r="BM58" s="216">
        <v>-3590</v>
      </c>
      <c r="BN58" s="216">
        <v>0</v>
      </c>
      <c r="BO58" s="216">
        <v>0</v>
      </c>
      <c r="BP58" s="216">
        <v>-1372</v>
      </c>
      <c r="BQ58" s="216">
        <v>-4962</v>
      </c>
      <c r="BR58" s="216">
        <v>42636</v>
      </c>
      <c r="BS58" s="216">
        <v>2644</v>
      </c>
      <c r="BT58" s="216">
        <v>101</v>
      </c>
      <c r="BU58" s="216">
        <v>45381</v>
      </c>
      <c r="BV58" s="216" t="s">
        <v>3</v>
      </c>
      <c r="BW58" s="216" t="s">
        <v>3</v>
      </c>
      <c r="BX58" s="333" t="s">
        <v>3</v>
      </c>
      <c r="BY58" s="216" t="s">
        <v>3</v>
      </c>
      <c r="BZ58" s="216">
        <v>385</v>
      </c>
      <c r="CA58" s="216">
        <v>43726</v>
      </c>
      <c r="CB58" s="216">
        <v>338</v>
      </c>
      <c r="CC58" s="216">
        <v>355</v>
      </c>
      <c r="CD58" s="216">
        <v>476</v>
      </c>
      <c r="CE58" s="216">
        <v>45280</v>
      </c>
      <c r="CF58" s="333">
        <v>100</v>
      </c>
      <c r="CG58" s="333">
        <v>100</v>
      </c>
      <c r="CH58" s="333">
        <v>100</v>
      </c>
      <c r="CI58" s="333">
        <v>100</v>
      </c>
      <c r="CJ58" s="333">
        <v>100</v>
      </c>
      <c r="CK58" s="333">
        <v>100</v>
      </c>
      <c r="CL58" s="216">
        <v>-3241</v>
      </c>
      <c r="CM58" s="216">
        <v>-314</v>
      </c>
      <c r="CN58" s="216">
        <v>0</v>
      </c>
      <c r="CO58" s="216">
        <v>-2519</v>
      </c>
      <c r="CP58" s="216">
        <v>-109</v>
      </c>
      <c r="CQ58" s="216">
        <v>10752</v>
      </c>
      <c r="CR58" s="216">
        <v>3234</v>
      </c>
      <c r="CS58" s="216">
        <v>0</v>
      </c>
      <c r="CT58" s="216">
        <v>7803</v>
      </c>
      <c r="CU58" s="216">
        <v>300</v>
      </c>
      <c r="CV58" s="216" t="s">
        <v>3</v>
      </c>
      <c r="CW58" s="216" t="s">
        <v>3</v>
      </c>
      <c r="CX58" s="216" t="s">
        <v>3</v>
      </c>
    </row>
    <row r="59" spans="1:102" ht="15" customHeight="1" x14ac:dyDescent="0.2">
      <c r="A59" s="218" t="s">
        <v>9</v>
      </c>
      <c r="B59" s="218" t="s">
        <v>11</v>
      </c>
      <c r="C59" s="217" t="s">
        <v>10</v>
      </c>
      <c r="D59" s="216">
        <v>0</v>
      </c>
      <c r="E59" s="216">
        <v>36</v>
      </c>
      <c r="F59" s="216">
        <v>8</v>
      </c>
      <c r="G59" s="216">
        <v>0</v>
      </c>
      <c r="H59" s="216">
        <v>44</v>
      </c>
      <c r="I59" s="216">
        <v>10</v>
      </c>
      <c r="J59" s="216">
        <v>54</v>
      </c>
      <c r="K59" s="216">
        <v>3</v>
      </c>
      <c r="L59" s="216">
        <v>27</v>
      </c>
      <c r="M59" s="216">
        <v>10</v>
      </c>
      <c r="N59" s="216">
        <v>3</v>
      </c>
      <c r="O59" s="216">
        <v>97</v>
      </c>
      <c r="P59" s="216">
        <v>113</v>
      </c>
      <c r="Q59" s="216">
        <v>12</v>
      </c>
      <c r="R59" s="216">
        <v>3</v>
      </c>
      <c r="S59" s="333">
        <v>3</v>
      </c>
      <c r="T59" s="333">
        <v>4</v>
      </c>
      <c r="U59" s="333">
        <v>11</v>
      </c>
      <c r="V59" s="333">
        <v>23</v>
      </c>
      <c r="W59" s="333">
        <v>45</v>
      </c>
      <c r="X59" s="333">
        <v>49.67</v>
      </c>
      <c r="Y59" s="333">
        <v>122</v>
      </c>
      <c r="Z59" s="333">
        <v>257.67</v>
      </c>
      <c r="AA59" s="216">
        <v>263</v>
      </c>
      <c r="AB59" s="333">
        <v>0</v>
      </c>
      <c r="AC59" s="333">
        <v>0</v>
      </c>
      <c r="AD59" s="333">
        <v>36.25</v>
      </c>
      <c r="AE59" s="333">
        <v>64.25</v>
      </c>
      <c r="AF59" s="333">
        <v>269.25</v>
      </c>
      <c r="AG59" s="333">
        <v>369.75</v>
      </c>
      <c r="AH59" s="216">
        <v>443</v>
      </c>
      <c r="AI59" s="333">
        <v>32.75</v>
      </c>
      <c r="AJ59" s="333">
        <v>146</v>
      </c>
      <c r="AK59" s="333">
        <v>806.17000000000007</v>
      </c>
      <c r="AL59" s="216">
        <v>404</v>
      </c>
      <c r="AM59" s="216">
        <v>420</v>
      </c>
      <c r="AN59" s="216">
        <v>15</v>
      </c>
      <c r="AO59" s="216">
        <v>1</v>
      </c>
      <c r="AP59" s="216">
        <v>74</v>
      </c>
      <c r="AQ59" s="216">
        <v>7</v>
      </c>
      <c r="AR59" s="216">
        <v>465</v>
      </c>
      <c r="AS59" s="216">
        <v>33</v>
      </c>
      <c r="AT59" s="216">
        <v>17</v>
      </c>
      <c r="AU59" s="216">
        <v>0</v>
      </c>
      <c r="AV59" s="216">
        <v>237</v>
      </c>
      <c r="AW59" s="216">
        <v>0</v>
      </c>
      <c r="AX59" s="216">
        <v>13141</v>
      </c>
      <c r="AY59" s="216">
        <v>3896</v>
      </c>
      <c r="AZ59" s="216">
        <v>1370</v>
      </c>
      <c r="BA59" s="216">
        <v>5090</v>
      </c>
      <c r="BB59" s="216">
        <v>311</v>
      </c>
      <c r="BC59" s="216">
        <v>553</v>
      </c>
      <c r="BD59" s="216">
        <v>24361</v>
      </c>
      <c r="BE59" s="216">
        <v>1630</v>
      </c>
      <c r="BF59" s="216">
        <v>1008</v>
      </c>
      <c r="BG59" s="216">
        <v>4430</v>
      </c>
      <c r="BH59" s="216">
        <v>828</v>
      </c>
      <c r="BI59" s="216">
        <v>135</v>
      </c>
      <c r="BJ59" s="216">
        <v>94</v>
      </c>
      <c r="BK59" s="216">
        <v>0</v>
      </c>
      <c r="BL59" s="216">
        <v>32486</v>
      </c>
      <c r="BM59" s="216">
        <v>-1430</v>
      </c>
      <c r="BN59" s="216">
        <v>0</v>
      </c>
      <c r="BO59" s="216">
        <v>0</v>
      </c>
      <c r="BP59" s="216">
        <v>-438</v>
      </c>
      <c r="BQ59" s="216">
        <v>-1868</v>
      </c>
      <c r="BR59" s="216">
        <v>30618</v>
      </c>
      <c r="BS59" s="216">
        <v>2636</v>
      </c>
      <c r="BT59" s="216">
        <v>-920</v>
      </c>
      <c r="BU59" s="216">
        <v>32334</v>
      </c>
      <c r="BV59" s="216">
        <v>0</v>
      </c>
      <c r="BW59" s="216">
        <v>-5</v>
      </c>
      <c r="BX59" s="333">
        <v>14.7</v>
      </c>
      <c r="BY59" s="216">
        <v>695</v>
      </c>
      <c r="BZ59" s="216">
        <v>0</v>
      </c>
      <c r="CA59" s="216">
        <v>33254</v>
      </c>
      <c r="CB59" s="216">
        <v>0</v>
      </c>
      <c r="CC59" s="216">
        <v>0</v>
      </c>
      <c r="CD59" s="216">
        <v>0</v>
      </c>
      <c r="CE59" s="216">
        <v>33254</v>
      </c>
      <c r="CF59" s="333">
        <v>0</v>
      </c>
      <c r="CG59" s="333">
        <v>23.759547723582124</v>
      </c>
      <c r="CH59" s="333">
        <v>0</v>
      </c>
      <c r="CI59" s="333">
        <v>0</v>
      </c>
      <c r="CJ59" s="333">
        <v>0</v>
      </c>
      <c r="CK59" s="333">
        <v>23.759547723582124</v>
      </c>
      <c r="CL59" s="216">
        <v>-1940</v>
      </c>
      <c r="CM59" s="216">
        <v>-56</v>
      </c>
      <c r="CN59" s="216">
        <v>0</v>
      </c>
      <c r="CO59" s="216">
        <v>-1535</v>
      </c>
      <c r="CP59" s="216">
        <v>-131</v>
      </c>
      <c r="CQ59" s="216">
        <v>6639</v>
      </c>
      <c r="CR59" s="216">
        <v>1066</v>
      </c>
      <c r="CS59" s="216">
        <v>0</v>
      </c>
      <c r="CT59" s="216">
        <v>4043</v>
      </c>
      <c r="CU59" s="216">
        <v>404</v>
      </c>
      <c r="CV59" s="216">
        <v>748</v>
      </c>
      <c r="CW59" s="216">
        <v>2150</v>
      </c>
      <c r="CX59" s="216">
        <v>0</v>
      </c>
    </row>
    <row r="60" spans="1:102" ht="15" customHeight="1" x14ac:dyDescent="0.2">
      <c r="A60" s="218" t="s">
        <v>9</v>
      </c>
      <c r="B60" s="218" t="s">
        <v>8</v>
      </c>
      <c r="C60" s="217" t="s">
        <v>7</v>
      </c>
      <c r="D60" s="216">
        <v>11</v>
      </c>
      <c r="E60" s="216">
        <v>27</v>
      </c>
      <c r="F60" s="216">
        <v>9</v>
      </c>
      <c r="G60" s="216">
        <v>0</v>
      </c>
      <c r="H60" s="216">
        <v>47</v>
      </c>
      <c r="I60" s="216">
        <v>9</v>
      </c>
      <c r="J60" s="216">
        <v>61</v>
      </c>
      <c r="K60" s="216">
        <v>4</v>
      </c>
      <c r="L60" s="216">
        <v>58</v>
      </c>
      <c r="M60" s="216">
        <v>103</v>
      </c>
      <c r="N60" s="216">
        <v>63</v>
      </c>
      <c r="O60" s="216">
        <v>289</v>
      </c>
      <c r="P60" s="216">
        <v>127</v>
      </c>
      <c r="Q60" s="216">
        <v>11</v>
      </c>
      <c r="R60" s="216">
        <v>11</v>
      </c>
      <c r="S60" s="333">
        <v>3</v>
      </c>
      <c r="T60" s="333">
        <v>5</v>
      </c>
      <c r="U60" s="333">
        <v>21</v>
      </c>
      <c r="V60" s="333">
        <v>57</v>
      </c>
      <c r="W60" s="333">
        <v>138</v>
      </c>
      <c r="X60" s="333">
        <v>91</v>
      </c>
      <c r="Y60" s="333">
        <v>507</v>
      </c>
      <c r="Z60" s="333">
        <v>822</v>
      </c>
      <c r="AA60" s="216">
        <v>823</v>
      </c>
      <c r="AB60" s="333">
        <v>0</v>
      </c>
      <c r="AC60" s="333">
        <v>0</v>
      </c>
      <c r="AD60" s="333">
        <v>30.6</v>
      </c>
      <c r="AE60" s="333">
        <v>107.5</v>
      </c>
      <c r="AF60" s="333">
        <v>312.89999999999998</v>
      </c>
      <c r="AG60" s="333">
        <v>451</v>
      </c>
      <c r="AH60" s="216">
        <v>620</v>
      </c>
      <c r="AI60" s="333">
        <v>38.4</v>
      </c>
      <c r="AJ60" s="333">
        <v>265.10000000000002</v>
      </c>
      <c r="AK60" s="333">
        <v>1576.5</v>
      </c>
      <c r="AL60" s="216">
        <v>1281</v>
      </c>
      <c r="AM60" s="216">
        <v>1317</v>
      </c>
      <c r="AN60" s="216">
        <v>24</v>
      </c>
      <c r="AO60" s="216">
        <v>6</v>
      </c>
      <c r="AP60" s="216">
        <v>217</v>
      </c>
      <c r="AQ60" s="216">
        <v>27</v>
      </c>
      <c r="AR60" s="216">
        <v>972</v>
      </c>
      <c r="AS60" s="216">
        <v>33</v>
      </c>
      <c r="AT60" s="216">
        <v>63</v>
      </c>
      <c r="AU60" s="216">
        <v>328</v>
      </c>
      <c r="AV60" s="216">
        <v>103</v>
      </c>
      <c r="AW60" s="216">
        <v>34</v>
      </c>
      <c r="AX60" s="216">
        <v>37795.944960000001</v>
      </c>
      <c r="AY60" s="216">
        <v>5285.6189799999993</v>
      </c>
      <c r="AZ60" s="216">
        <v>1347.6856700000001</v>
      </c>
      <c r="BA60" s="216">
        <v>9026.2183800000003</v>
      </c>
      <c r="BB60" s="216">
        <v>1374.78791</v>
      </c>
      <c r="BC60" s="216">
        <v>655.43142999999998</v>
      </c>
      <c r="BD60" s="216">
        <v>55485.687329999993</v>
      </c>
      <c r="BE60" s="216">
        <v>5664.9212800000014</v>
      </c>
      <c r="BF60" s="216">
        <v>1120.6843200000003</v>
      </c>
      <c r="BG60" s="216">
        <v>3777.948910000001</v>
      </c>
      <c r="BH60" s="216">
        <v>53.974080000000001</v>
      </c>
      <c r="BI60" s="216">
        <v>206.76848999999982</v>
      </c>
      <c r="BJ60" s="216">
        <v>0</v>
      </c>
      <c r="BK60" s="216">
        <v>973.65371097022637</v>
      </c>
      <c r="BL60" s="216">
        <v>67283.638120970238</v>
      </c>
      <c r="BM60" s="216">
        <v>0</v>
      </c>
      <c r="BN60" s="216">
        <v>-64.033954999999935</v>
      </c>
      <c r="BO60" s="216">
        <v>0</v>
      </c>
      <c r="BP60" s="216">
        <v>-1819.9271350000004</v>
      </c>
      <c r="BQ60" s="216">
        <v>-1883.9610900000002</v>
      </c>
      <c r="BR60" s="216">
        <v>65399.677030970241</v>
      </c>
      <c r="BS60" s="216">
        <v>3624.5000000000009</v>
      </c>
      <c r="BT60" s="216">
        <v>-1460</v>
      </c>
      <c r="BU60" s="216">
        <v>67564.177030970241</v>
      </c>
      <c r="BV60" s="216">
        <v>0</v>
      </c>
      <c r="BW60" s="216">
        <v>0</v>
      </c>
      <c r="BX60" s="333">
        <v>15.2</v>
      </c>
      <c r="BY60" s="216">
        <v>272.59999999999991</v>
      </c>
      <c r="BZ60" s="216">
        <v>0</v>
      </c>
      <c r="CA60" s="216">
        <v>69024.177030970241</v>
      </c>
      <c r="CB60" s="216">
        <v>0</v>
      </c>
      <c r="CC60" s="216">
        <v>0</v>
      </c>
      <c r="CD60" s="216">
        <v>0</v>
      </c>
      <c r="CE60" s="216">
        <v>69024.177030970241</v>
      </c>
      <c r="CF60" s="333">
        <v>0</v>
      </c>
      <c r="CG60" s="333">
        <v>0</v>
      </c>
      <c r="CH60" s="333">
        <v>0</v>
      </c>
      <c r="CI60" s="333">
        <v>0</v>
      </c>
      <c r="CJ60" s="333">
        <v>0</v>
      </c>
      <c r="CK60" s="333">
        <v>0</v>
      </c>
      <c r="CL60" s="216">
        <v>-5347.0118399999992</v>
      </c>
      <c r="CM60" s="216">
        <v>-379.34976</v>
      </c>
      <c r="CN60" s="216">
        <v>-138.23419000000015</v>
      </c>
      <c r="CO60" s="216">
        <v>-3965.920889999712</v>
      </c>
      <c r="CP60" s="216">
        <v>-681.13938999999993</v>
      </c>
      <c r="CQ60" s="216">
        <v>18980.803759999995</v>
      </c>
      <c r="CR60" s="216">
        <v>2982.7013400000005</v>
      </c>
      <c r="CS60" s="216">
        <v>86.588940000000008</v>
      </c>
      <c r="CT60" s="216">
        <v>11538.437970000285</v>
      </c>
      <c r="CU60" s="216">
        <v>608.91804999999988</v>
      </c>
      <c r="CV60" s="216">
        <v>15591</v>
      </c>
      <c r="CW60" s="216">
        <v>3000</v>
      </c>
      <c r="CX60" s="216">
        <v>38</v>
      </c>
    </row>
    <row r="61" spans="1:102"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333">
        <v>4</v>
      </c>
      <c r="T61" s="333">
        <v>34</v>
      </c>
      <c r="U61" s="333">
        <v>74</v>
      </c>
      <c r="V61" s="333">
        <v>153</v>
      </c>
      <c r="W61" s="333">
        <v>602</v>
      </c>
      <c r="X61" s="333">
        <v>689</v>
      </c>
      <c r="Y61" s="333">
        <v>1988</v>
      </c>
      <c r="Z61" s="333">
        <v>3544</v>
      </c>
      <c r="AA61" s="216">
        <v>3546</v>
      </c>
      <c r="AB61" s="333">
        <v>0</v>
      </c>
      <c r="AC61" s="333">
        <v>0</v>
      </c>
      <c r="AD61" s="333">
        <v>246</v>
      </c>
      <c r="AE61" s="333">
        <v>477</v>
      </c>
      <c r="AF61" s="333">
        <v>1822</v>
      </c>
      <c r="AG61" s="333">
        <v>2545</v>
      </c>
      <c r="AH61" s="216">
        <v>2863</v>
      </c>
      <c r="AI61" s="333">
        <v>184</v>
      </c>
      <c r="AJ61" s="333">
        <v>759</v>
      </c>
      <c r="AK61" s="333">
        <v>7032</v>
      </c>
      <c r="AL61" s="216" t="s">
        <v>3</v>
      </c>
      <c r="AM61" s="216" t="s">
        <v>3</v>
      </c>
      <c r="AN61" s="216" t="s">
        <v>3</v>
      </c>
      <c r="AO61" s="216" t="s">
        <v>3</v>
      </c>
      <c r="AP61" s="216" t="s">
        <v>3</v>
      </c>
      <c r="AQ61" s="216" t="s">
        <v>3</v>
      </c>
      <c r="AR61" s="216" t="s">
        <v>3</v>
      </c>
      <c r="AS61" s="216" t="s">
        <v>3</v>
      </c>
      <c r="AT61" s="216" t="s">
        <v>3</v>
      </c>
      <c r="AU61" s="216" t="s">
        <v>3</v>
      </c>
      <c r="AV61" s="216" t="s">
        <v>3</v>
      </c>
      <c r="AW61" s="216" t="s">
        <v>3</v>
      </c>
      <c r="AX61" s="216" t="s">
        <v>3</v>
      </c>
      <c r="AY61" s="216" t="s">
        <v>3</v>
      </c>
      <c r="AZ61" s="216" t="s">
        <v>3</v>
      </c>
      <c r="BA61" s="216" t="s">
        <v>3</v>
      </c>
      <c r="BB61" s="216" t="s">
        <v>3</v>
      </c>
      <c r="BC61" s="216" t="s">
        <v>3</v>
      </c>
      <c r="BD61" s="216" t="s">
        <v>3</v>
      </c>
      <c r="BE61" s="216" t="s">
        <v>3</v>
      </c>
      <c r="BF61" s="216" t="s">
        <v>3</v>
      </c>
      <c r="BG61" s="216" t="s">
        <v>3</v>
      </c>
      <c r="BH61" s="216" t="s">
        <v>3</v>
      </c>
      <c r="BI61" s="216" t="s">
        <v>3</v>
      </c>
      <c r="BJ61" s="216" t="s">
        <v>3</v>
      </c>
      <c r="BK61" s="216" t="s">
        <v>3</v>
      </c>
      <c r="BL61" s="216" t="s">
        <v>3</v>
      </c>
      <c r="BM61" s="216" t="s">
        <v>3</v>
      </c>
      <c r="BN61" s="216" t="s">
        <v>3</v>
      </c>
      <c r="BO61" s="216" t="s">
        <v>3</v>
      </c>
      <c r="BP61" s="216" t="s">
        <v>3</v>
      </c>
      <c r="BQ61" s="216" t="s">
        <v>3</v>
      </c>
      <c r="BR61" s="216" t="s">
        <v>3</v>
      </c>
      <c r="BS61" s="216" t="s">
        <v>3</v>
      </c>
      <c r="BT61" s="216" t="s">
        <v>3</v>
      </c>
      <c r="BU61" s="216" t="s">
        <v>3</v>
      </c>
      <c r="BV61" s="216" t="s">
        <v>3</v>
      </c>
      <c r="BW61" s="216" t="s">
        <v>3</v>
      </c>
      <c r="BX61" s="333" t="s">
        <v>3</v>
      </c>
      <c r="BY61" s="216" t="s">
        <v>3</v>
      </c>
      <c r="BZ61" s="216" t="s">
        <v>3</v>
      </c>
      <c r="CA61" s="216" t="s">
        <v>3</v>
      </c>
      <c r="CB61" s="216" t="s">
        <v>3</v>
      </c>
      <c r="CC61" s="216" t="s">
        <v>3</v>
      </c>
      <c r="CD61" s="216" t="s">
        <v>3</v>
      </c>
      <c r="CE61" s="216" t="s">
        <v>3</v>
      </c>
      <c r="CF61" s="333" t="s">
        <v>3</v>
      </c>
      <c r="CG61" s="333" t="s">
        <v>3</v>
      </c>
      <c r="CH61" s="333" t="s">
        <v>3</v>
      </c>
      <c r="CI61" s="333" t="s">
        <v>3</v>
      </c>
      <c r="CJ61" s="333" t="s">
        <v>3</v>
      </c>
      <c r="CK61" s="333" t="s">
        <v>3</v>
      </c>
      <c r="CL61" s="216" t="s">
        <v>3</v>
      </c>
      <c r="CM61" s="216" t="s">
        <v>3</v>
      </c>
      <c r="CN61" s="216" t="s">
        <v>3</v>
      </c>
      <c r="CO61" s="216" t="s">
        <v>3</v>
      </c>
      <c r="CP61" s="216" t="s">
        <v>3</v>
      </c>
      <c r="CQ61" s="216" t="s">
        <v>3</v>
      </c>
      <c r="CR61" s="216" t="s">
        <v>3</v>
      </c>
      <c r="CS61" s="216" t="s">
        <v>3</v>
      </c>
      <c r="CT61" s="216" t="s">
        <v>3</v>
      </c>
      <c r="CU61" s="216" t="s">
        <v>3</v>
      </c>
      <c r="CV61" s="216" t="s">
        <v>3</v>
      </c>
      <c r="CW61" s="216" t="s">
        <v>3</v>
      </c>
      <c r="CX61" s="216" t="s">
        <v>3</v>
      </c>
    </row>
    <row r="62" spans="1:102" ht="15" customHeight="1" x14ac:dyDescent="0.2">
      <c r="A62" s="218" t="s">
        <v>2</v>
      </c>
      <c r="B62" s="218" t="s">
        <v>1</v>
      </c>
      <c r="C62" s="217" t="s">
        <v>0</v>
      </c>
      <c r="D62" s="216">
        <v>8</v>
      </c>
      <c r="E62" s="216">
        <v>44</v>
      </c>
      <c r="F62" s="216">
        <v>15</v>
      </c>
      <c r="G62" s="216">
        <v>1</v>
      </c>
      <c r="H62" s="216">
        <v>68</v>
      </c>
      <c r="I62" s="216">
        <v>12</v>
      </c>
      <c r="J62" s="216">
        <v>112</v>
      </c>
      <c r="K62" s="216">
        <v>4</v>
      </c>
      <c r="L62" s="216">
        <v>35</v>
      </c>
      <c r="M62" s="216">
        <v>96</v>
      </c>
      <c r="N62" s="216">
        <v>9</v>
      </c>
      <c r="O62" s="216">
        <v>256</v>
      </c>
      <c r="P62" s="216">
        <v>93</v>
      </c>
      <c r="Q62" s="216">
        <v>15</v>
      </c>
      <c r="R62" s="216">
        <v>9</v>
      </c>
      <c r="S62" s="333">
        <v>4</v>
      </c>
      <c r="T62" s="333">
        <v>7</v>
      </c>
      <c r="U62" s="333">
        <v>44</v>
      </c>
      <c r="V62" s="333">
        <v>68</v>
      </c>
      <c r="W62" s="333">
        <v>117</v>
      </c>
      <c r="X62" s="333">
        <v>154</v>
      </c>
      <c r="Y62" s="333">
        <v>450</v>
      </c>
      <c r="Z62" s="333">
        <v>844</v>
      </c>
      <c r="AA62" s="216">
        <v>844</v>
      </c>
      <c r="AB62" s="333">
        <v>0</v>
      </c>
      <c r="AC62" s="333">
        <v>0</v>
      </c>
      <c r="AD62" s="333">
        <v>54</v>
      </c>
      <c r="AE62" s="333">
        <v>189</v>
      </c>
      <c r="AF62" s="333">
        <v>713</v>
      </c>
      <c r="AG62" s="333">
        <v>956</v>
      </c>
      <c r="AH62" s="216">
        <v>956</v>
      </c>
      <c r="AI62" s="333">
        <v>53.5</v>
      </c>
      <c r="AJ62" s="333">
        <v>227.7</v>
      </c>
      <c r="AK62" s="333">
        <v>2081.1999999999998</v>
      </c>
      <c r="AL62" s="216">
        <v>1216</v>
      </c>
      <c r="AM62" s="216">
        <v>1354</v>
      </c>
      <c r="AN62" s="216">
        <v>48</v>
      </c>
      <c r="AO62" s="216">
        <v>22</v>
      </c>
      <c r="AP62" s="216">
        <v>267</v>
      </c>
      <c r="AQ62" s="216">
        <v>37</v>
      </c>
      <c r="AR62" s="216">
        <v>1200</v>
      </c>
      <c r="AS62" s="216">
        <v>233</v>
      </c>
      <c r="AT62" s="216">
        <v>42</v>
      </c>
      <c r="AU62" s="216">
        <v>123</v>
      </c>
      <c r="AV62" s="216">
        <v>49</v>
      </c>
      <c r="AW62" s="216">
        <v>59</v>
      </c>
      <c r="AX62" s="216">
        <v>39372</v>
      </c>
      <c r="AY62" s="216">
        <v>11851</v>
      </c>
      <c r="AZ62" s="216">
        <v>2278</v>
      </c>
      <c r="BA62" s="216">
        <v>7139</v>
      </c>
      <c r="BB62" s="216">
        <v>2537</v>
      </c>
      <c r="BC62" s="216">
        <v>491</v>
      </c>
      <c r="BD62" s="216">
        <v>63668</v>
      </c>
      <c r="BE62" s="216">
        <v>4402</v>
      </c>
      <c r="BF62" s="216">
        <v>1381</v>
      </c>
      <c r="BG62" s="216">
        <v>5510</v>
      </c>
      <c r="BH62" s="216">
        <v>0</v>
      </c>
      <c r="BI62" s="216">
        <v>0</v>
      </c>
      <c r="BJ62" s="216">
        <v>0</v>
      </c>
      <c r="BK62" s="216">
        <v>-77</v>
      </c>
      <c r="BL62" s="216">
        <v>74884</v>
      </c>
      <c r="BM62" s="216">
        <v>0</v>
      </c>
      <c r="BN62" s="216">
        <v>0</v>
      </c>
      <c r="BO62" s="216">
        <v>0</v>
      </c>
      <c r="BP62" s="216">
        <v>-435</v>
      </c>
      <c r="BQ62" s="216">
        <v>-435</v>
      </c>
      <c r="BR62" s="216">
        <v>74449</v>
      </c>
      <c r="BS62" s="216">
        <v>2822</v>
      </c>
      <c r="BT62" s="216">
        <v>43450</v>
      </c>
      <c r="BU62" s="216">
        <v>120721</v>
      </c>
      <c r="BV62" s="216">
        <v>0</v>
      </c>
      <c r="BW62" s="216">
        <v>0</v>
      </c>
      <c r="BX62" s="333">
        <v>18</v>
      </c>
      <c r="BY62" s="216">
        <v>120</v>
      </c>
      <c r="BZ62" s="216">
        <v>4320</v>
      </c>
      <c r="CA62" s="216">
        <v>71585</v>
      </c>
      <c r="CB62" s="216">
        <v>831</v>
      </c>
      <c r="CC62" s="216">
        <v>535</v>
      </c>
      <c r="CD62" s="216">
        <v>0</v>
      </c>
      <c r="CE62" s="216">
        <v>77271</v>
      </c>
      <c r="CF62" s="333">
        <v>10.208333333333334</v>
      </c>
      <c r="CG62" s="333">
        <v>13.047426136760496</v>
      </c>
      <c r="CH62" s="333">
        <v>13.237063778580024</v>
      </c>
      <c r="CI62" s="333">
        <v>0</v>
      </c>
      <c r="CJ62" s="333">
        <v>0</v>
      </c>
      <c r="CK62" s="333">
        <v>12.800403773731414</v>
      </c>
      <c r="CL62" s="216">
        <v>-8594</v>
      </c>
      <c r="CM62" s="216">
        <v>-881</v>
      </c>
      <c r="CN62" s="216">
        <v>0</v>
      </c>
      <c r="CO62" s="216">
        <v>-5669</v>
      </c>
      <c r="CP62" s="216">
        <v>-94</v>
      </c>
      <c r="CQ62" s="216">
        <v>15013</v>
      </c>
      <c r="CR62" s="216">
        <v>4198</v>
      </c>
      <c r="CS62" s="216">
        <v>0</v>
      </c>
      <c r="CT62" s="216">
        <v>3973</v>
      </c>
      <c r="CU62" s="216">
        <v>2976</v>
      </c>
      <c r="CV62" s="216">
        <v>0</v>
      </c>
      <c r="CW62" s="216">
        <v>0</v>
      </c>
      <c r="CX62" s="216">
        <v>85713</v>
      </c>
    </row>
    <row r="63" spans="1:102" ht="15" customHeight="1" x14ac:dyDescent="0.2">
      <c r="C63" s="215"/>
      <c r="D63" s="215"/>
      <c r="E63" s="215"/>
      <c r="F63" s="215"/>
      <c r="G63" s="215"/>
      <c r="H63" s="215"/>
      <c r="I63" s="215"/>
      <c r="J63" s="215"/>
      <c r="K63" s="215"/>
      <c r="L63" s="215"/>
      <c r="M63" s="215"/>
      <c r="N63" s="215"/>
      <c r="O63" s="215"/>
      <c r="P63" s="215"/>
      <c r="Q63" s="215"/>
      <c r="R63" s="215"/>
      <c r="S63" s="334"/>
      <c r="T63" s="334"/>
      <c r="U63" s="334"/>
      <c r="V63" s="334"/>
      <c r="W63" s="334"/>
      <c r="X63" s="334"/>
      <c r="Y63" s="334"/>
      <c r="Z63" s="334"/>
      <c r="AA63" s="273"/>
      <c r="AB63" s="334"/>
      <c r="AC63" s="334"/>
      <c r="AD63" s="334"/>
      <c r="AE63" s="334"/>
      <c r="AF63" s="334"/>
      <c r="AG63" s="334"/>
      <c r="AH63" s="273"/>
      <c r="AI63" s="334"/>
      <c r="AJ63" s="335"/>
      <c r="AK63" s="335"/>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15"/>
      <c r="BN63" s="215"/>
      <c r="BO63" s="215"/>
      <c r="BP63" s="215"/>
      <c r="BQ63" s="273"/>
      <c r="BR63" s="273"/>
      <c r="BS63" s="273"/>
      <c r="BT63" s="273"/>
      <c r="BU63" s="273"/>
      <c r="BV63" s="273"/>
      <c r="BW63" s="273"/>
      <c r="BX63" s="273"/>
      <c r="BY63" s="273"/>
      <c r="BZ63" s="273"/>
      <c r="CA63" s="273"/>
      <c r="CB63" s="273"/>
      <c r="CC63" s="273"/>
      <c r="CD63" s="273"/>
      <c r="CE63" s="273"/>
      <c r="CF63" s="335"/>
      <c r="CG63" s="335"/>
      <c r="CH63" s="335"/>
      <c r="CI63" s="334"/>
      <c r="CJ63" s="334"/>
      <c r="CK63" s="334"/>
      <c r="CL63" s="215"/>
      <c r="CM63" s="215"/>
      <c r="CN63" s="215"/>
      <c r="CO63" s="273"/>
      <c r="CP63" s="273"/>
      <c r="CQ63" s="273"/>
      <c r="CR63" s="273"/>
      <c r="CS63" s="273"/>
      <c r="CT63" s="273"/>
      <c r="CU63" s="273"/>
      <c r="CV63" s="273"/>
      <c r="CW63" s="273"/>
      <c r="CX63" s="273"/>
    </row>
    <row r="64" spans="1:102" s="209" customFormat="1" ht="15" customHeight="1" x14ac:dyDescent="0.2">
      <c r="A64" s="214" t="s">
        <v>357</v>
      </c>
      <c r="C64" s="214"/>
      <c r="D64" s="213"/>
      <c r="E64" s="213"/>
      <c r="F64" s="213"/>
      <c r="G64" s="213"/>
      <c r="H64" s="213"/>
      <c r="I64" s="213"/>
      <c r="J64" s="213"/>
      <c r="K64" s="213"/>
      <c r="L64" s="213"/>
      <c r="M64" s="213"/>
      <c r="N64" s="213"/>
      <c r="O64" s="213"/>
      <c r="P64" s="213"/>
      <c r="Q64" s="213"/>
      <c r="R64" s="213"/>
      <c r="S64" s="336"/>
      <c r="T64" s="336"/>
      <c r="U64" s="336"/>
      <c r="V64" s="336"/>
      <c r="W64" s="336"/>
      <c r="X64" s="336"/>
      <c r="Y64" s="336"/>
      <c r="Z64" s="336"/>
      <c r="AA64" s="211"/>
      <c r="AB64" s="336"/>
      <c r="AC64" s="336"/>
      <c r="AD64" s="336"/>
      <c r="AE64" s="336"/>
      <c r="AF64" s="336"/>
      <c r="AG64" s="336"/>
      <c r="AH64" s="211"/>
      <c r="AI64" s="336"/>
      <c r="AJ64" s="337"/>
      <c r="AK64" s="337"/>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214"/>
      <c r="BN64" s="214"/>
      <c r="BO64" s="214"/>
      <c r="BP64" s="214"/>
      <c r="BQ64" s="338"/>
      <c r="BR64" s="338"/>
      <c r="BS64" s="338"/>
      <c r="BT64" s="338"/>
      <c r="BU64" s="338"/>
      <c r="BV64" s="338"/>
      <c r="BW64" s="338"/>
      <c r="BX64" s="338"/>
      <c r="BY64" s="338"/>
      <c r="BZ64" s="338"/>
      <c r="CA64" s="338"/>
      <c r="CB64" s="338"/>
      <c r="CC64" s="338"/>
      <c r="CD64" s="338"/>
      <c r="CE64" s="338"/>
      <c r="CF64" s="339"/>
      <c r="CG64" s="339"/>
      <c r="CH64" s="339"/>
      <c r="CI64" s="340"/>
      <c r="CJ64" s="340"/>
      <c r="CK64" s="340"/>
      <c r="CL64" s="214"/>
      <c r="CM64" s="214"/>
      <c r="CN64" s="214"/>
      <c r="CO64" s="338"/>
      <c r="CP64" s="338"/>
      <c r="CQ64" s="338"/>
      <c r="CR64" s="338"/>
      <c r="CS64" s="338"/>
      <c r="CT64" s="338"/>
      <c r="CU64" s="338"/>
      <c r="CV64" s="338"/>
      <c r="CW64" s="338"/>
      <c r="CX64" s="338"/>
    </row>
    <row r="65" spans="2:102" s="209" customFormat="1" ht="15" customHeight="1" x14ac:dyDescent="0.2">
      <c r="B65" s="212" t="s">
        <v>356</v>
      </c>
      <c r="C65" s="211" t="s">
        <v>355</v>
      </c>
      <c r="D65" s="210">
        <v>208</v>
      </c>
      <c r="E65" s="210">
        <v>686</v>
      </c>
      <c r="F65" s="210">
        <v>217</v>
      </c>
      <c r="G65" s="210">
        <v>5</v>
      </c>
      <c r="H65" s="210">
        <v>1116</v>
      </c>
      <c r="I65" s="210">
        <v>192</v>
      </c>
      <c r="J65" s="210">
        <v>1550</v>
      </c>
      <c r="K65" s="210">
        <v>96</v>
      </c>
      <c r="L65" s="210">
        <v>706</v>
      </c>
      <c r="M65" s="210">
        <v>1371</v>
      </c>
      <c r="N65" s="210">
        <v>286</v>
      </c>
      <c r="O65" s="210">
        <v>4009</v>
      </c>
      <c r="P65" s="210">
        <v>2715</v>
      </c>
      <c r="Q65" s="210">
        <v>238</v>
      </c>
      <c r="R65" s="210">
        <v>165</v>
      </c>
      <c r="S65" s="341">
        <v>102</v>
      </c>
      <c r="T65" s="341">
        <v>134</v>
      </c>
      <c r="U65" s="341">
        <v>327</v>
      </c>
      <c r="V65" s="341">
        <v>870</v>
      </c>
      <c r="W65" s="341">
        <v>2086</v>
      </c>
      <c r="X65" s="341">
        <v>1946</v>
      </c>
      <c r="Y65" s="341">
        <v>7139</v>
      </c>
      <c r="Z65" s="341">
        <v>12603</v>
      </c>
      <c r="AA65" s="210">
        <v>12739</v>
      </c>
      <c r="AB65" s="341">
        <v>0</v>
      </c>
      <c r="AC65" s="341">
        <v>25</v>
      </c>
      <c r="AD65" s="341">
        <v>768</v>
      </c>
      <c r="AE65" s="341">
        <v>1791</v>
      </c>
      <c r="AF65" s="341">
        <v>6934</v>
      </c>
      <c r="AG65" s="341">
        <v>9517</v>
      </c>
      <c r="AH65" s="210">
        <v>11807</v>
      </c>
      <c r="AI65" s="341">
        <v>765</v>
      </c>
      <c r="AJ65" s="341">
        <v>4596</v>
      </c>
      <c r="AK65" s="341">
        <v>27481</v>
      </c>
      <c r="AL65" s="210">
        <v>23604</v>
      </c>
      <c r="AM65" s="210">
        <v>24144</v>
      </c>
      <c r="AN65" s="210">
        <v>700</v>
      </c>
      <c r="AO65" s="210">
        <v>49</v>
      </c>
      <c r="AP65" s="210">
        <v>3587</v>
      </c>
      <c r="AQ65" s="210">
        <v>1436</v>
      </c>
      <c r="AR65" s="210" t="s">
        <v>3</v>
      </c>
      <c r="AS65" s="210" t="s">
        <v>3</v>
      </c>
      <c r="AT65" s="210">
        <v>1709</v>
      </c>
      <c r="AU65" s="210">
        <v>7104</v>
      </c>
      <c r="AV65" s="210" t="s">
        <v>3</v>
      </c>
      <c r="AW65" s="210" t="s">
        <v>3</v>
      </c>
      <c r="AX65" s="210">
        <v>617418.52639000001</v>
      </c>
      <c r="AY65" s="210">
        <v>117417.09654735385</v>
      </c>
      <c r="AZ65" s="210">
        <v>25146.390879999999</v>
      </c>
      <c r="BA65" s="210">
        <v>156496.94108999998</v>
      </c>
      <c r="BB65" s="210">
        <v>24995.339959867692</v>
      </c>
      <c r="BC65" s="210">
        <v>24343.44183</v>
      </c>
      <c r="BD65" s="210">
        <v>965817.73669722152</v>
      </c>
      <c r="BE65" s="210">
        <v>73021.145799999998</v>
      </c>
      <c r="BF65" s="210">
        <v>46118.435060000003</v>
      </c>
      <c r="BG65" s="210">
        <v>135710.18515999999</v>
      </c>
      <c r="BH65" s="210">
        <v>48532.913659999998</v>
      </c>
      <c r="BI65" s="210">
        <v>16472.36075</v>
      </c>
      <c r="BJ65" s="210">
        <v>4850</v>
      </c>
      <c r="BK65" s="210">
        <v>16391.927889999999</v>
      </c>
      <c r="BL65" s="210">
        <v>1306914.7050172216</v>
      </c>
      <c r="BM65" s="210">
        <v>-52569.051590000003</v>
      </c>
      <c r="BN65" s="210">
        <v>-3400.6803799999998</v>
      </c>
      <c r="BO65" s="210">
        <v>-3661</v>
      </c>
      <c r="BP65" s="210">
        <v>-38295.021120000005</v>
      </c>
      <c r="BQ65" s="210">
        <v>-97925.753089999998</v>
      </c>
      <c r="BR65" s="210">
        <v>1208988.9519272214</v>
      </c>
      <c r="BS65" s="210">
        <v>100748.71876</v>
      </c>
      <c r="BT65" s="210">
        <v>115567</v>
      </c>
      <c r="BU65" s="210">
        <v>1425304.6706872215</v>
      </c>
      <c r="BV65" s="210" t="s">
        <v>3</v>
      </c>
      <c r="BW65" s="210" t="s">
        <v>3</v>
      </c>
      <c r="BX65" s="341" t="s">
        <v>3</v>
      </c>
      <c r="BY65" s="210" t="s">
        <v>3</v>
      </c>
      <c r="BZ65" s="210">
        <v>160848.56297783833</v>
      </c>
      <c r="CA65" s="210">
        <v>1088926.2421505046</v>
      </c>
      <c r="CB65" s="210">
        <v>5291.6114057049735</v>
      </c>
      <c r="CC65" s="210">
        <v>27996.465429864402</v>
      </c>
      <c r="CD65" s="210">
        <v>26674.788723309175</v>
      </c>
      <c r="CE65" s="210">
        <v>1309737.6706872215</v>
      </c>
      <c r="CF65" s="341" t="s">
        <v>3</v>
      </c>
      <c r="CG65" s="341" t="s">
        <v>3</v>
      </c>
      <c r="CH65" s="341" t="s">
        <v>3</v>
      </c>
      <c r="CI65" s="341" t="s">
        <v>3</v>
      </c>
      <c r="CJ65" s="341" t="s">
        <v>3</v>
      </c>
      <c r="CK65" s="341" t="s">
        <v>3</v>
      </c>
      <c r="CL65" s="210">
        <v>-81839.05562491226</v>
      </c>
      <c r="CM65" s="210">
        <v>-3476.7828458172985</v>
      </c>
      <c r="CN65" s="210">
        <v>-81.892588818518576</v>
      </c>
      <c r="CO65" s="210">
        <v>-66364.828348409908</v>
      </c>
      <c r="CP65" s="210">
        <v>-2826.5863104099694</v>
      </c>
      <c r="CQ65" s="210">
        <v>342167.28174162476</v>
      </c>
      <c r="CR65" s="210">
        <v>75008.250922500345</v>
      </c>
      <c r="CS65" s="210">
        <v>784.01574965922259</v>
      </c>
      <c r="CT65" s="210">
        <v>263370.40269541636</v>
      </c>
      <c r="CU65" s="210">
        <v>23269.860135891169</v>
      </c>
      <c r="CV65" s="210">
        <v>304298.74515453988</v>
      </c>
      <c r="CW65" s="210">
        <v>98383.045804717549</v>
      </c>
      <c r="CX65" s="210">
        <v>16257.169822449681</v>
      </c>
    </row>
    <row r="66" spans="2:102" s="209" customFormat="1" ht="15" customHeight="1" x14ac:dyDescent="0.2">
      <c r="B66" s="212" t="s">
        <v>354</v>
      </c>
      <c r="C66" s="211" t="s">
        <v>353</v>
      </c>
      <c r="D66" s="210">
        <v>148</v>
      </c>
      <c r="E66" s="210">
        <v>13</v>
      </c>
      <c r="F66" s="210">
        <v>19</v>
      </c>
      <c r="G66" s="210">
        <v>0</v>
      </c>
      <c r="H66" s="210">
        <v>180</v>
      </c>
      <c r="I66" s="210">
        <v>37</v>
      </c>
      <c r="J66" s="210">
        <v>231</v>
      </c>
      <c r="K66" s="210">
        <v>26</v>
      </c>
      <c r="L66" s="210">
        <v>104</v>
      </c>
      <c r="M66" s="210">
        <v>90</v>
      </c>
      <c r="N66" s="210">
        <v>73</v>
      </c>
      <c r="O66" s="210">
        <v>524</v>
      </c>
      <c r="P66" s="210">
        <v>803</v>
      </c>
      <c r="Q66" s="210">
        <v>52</v>
      </c>
      <c r="R66" s="210">
        <v>47</v>
      </c>
      <c r="S66" s="341">
        <v>18</v>
      </c>
      <c r="T66" s="341">
        <v>27</v>
      </c>
      <c r="U66" s="341">
        <v>69</v>
      </c>
      <c r="V66" s="341">
        <v>220</v>
      </c>
      <c r="W66" s="341">
        <v>906</v>
      </c>
      <c r="X66" s="341">
        <v>794</v>
      </c>
      <c r="Y66" s="341">
        <v>3377</v>
      </c>
      <c r="Z66" s="341">
        <v>5412</v>
      </c>
      <c r="AA66" s="210">
        <v>5433</v>
      </c>
      <c r="AB66" s="341">
        <v>0</v>
      </c>
      <c r="AC66" s="341">
        <v>0</v>
      </c>
      <c r="AD66" s="341">
        <v>43</v>
      </c>
      <c r="AE66" s="341">
        <v>28</v>
      </c>
      <c r="AF66" s="341">
        <v>173</v>
      </c>
      <c r="AG66" s="341">
        <v>243</v>
      </c>
      <c r="AH66" s="210">
        <v>406</v>
      </c>
      <c r="AI66" s="341">
        <v>188</v>
      </c>
      <c r="AJ66" s="341">
        <v>1701</v>
      </c>
      <c r="AK66" s="341">
        <v>7542</v>
      </c>
      <c r="AL66" s="210">
        <v>12174</v>
      </c>
      <c r="AM66" s="210">
        <v>12386</v>
      </c>
      <c r="AN66" s="210">
        <v>277</v>
      </c>
      <c r="AO66" s="210">
        <v>18</v>
      </c>
      <c r="AP66" s="210">
        <v>1436</v>
      </c>
      <c r="AQ66" s="210">
        <v>46</v>
      </c>
      <c r="AR66" s="210" t="s">
        <v>3</v>
      </c>
      <c r="AS66" s="210" t="s">
        <v>3</v>
      </c>
      <c r="AT66" s="210">
        <v>708</v>
      </c>
      <c r="AU66" s="210">
        <v>498</v>
      </c>
      <c r="AV66" s="210" t="s">
        <v>3</v>
      </c>
      <c r="AW66" s="210" t="s">
        <v>3</v>
      </c>
      <c r="AX66" s="210">
        <v>256676</v>
      </c>
      <c r="AY66" s="210">
        <v>3441</v>
      </c>
      <c r="AZ66" s="210">
        <v>5681</v>
      </c>
      <c r="BA66" s="210">
        <v>49927</v>
      </c>
      <c r="BB66" s="210">
        <v>5722</v>
      </c>
      <c r="BC66" s="210">
        <v>6045</v>
      </c>
      <c r="BD66" s="210">
        <v>327492</v>
      </c>
      <c r="BE66" s="210">
        <v>20080</v>
      </c>
      <c r="BF66" s="210">
        <v>9920</v>
      </c>
      <c r="BG66" s="210">
        <v>29127</v>
      </c>
      <c r="BH66" s="210">
        <v>19832</v>
      </c>
      <c r="BI66" s="210">
        <v>6497</v>
      </c>
      <c r="BJ66" s="210">
        <v>614</v>
      </c>
      <c r="BK66" s="210">
        <v>4566</v>
      </c>
      <c r="BL66" s="210">
        <v>418128</v>
      </c>
      <c r="BM66" s="210">
        <v>-19455</v>
      </c>
      <c r="BN66" s="210">
        <v>-1485</v>
      </c>
      <c r="BO66" s="210">
        <v>-476</v>
      </c>
      <c r="BP66" s="210">
        <v>-11154</v>
      </c>
      <c r="BQ66" s="210">
        <v>-32570</v>
      </c>
      <c r="BR66" s="210">
        <v>385558</v>
      </c>
      <c r="BS66" s="210">
        <v>32886</v>
      </c>
      <c r="BT66" s="210">
        <v>-23790</v>
      </c>
      <c r="BU66" s="210">
        <v>394654</v>
      </c>
      <c r="BV66" s="210" t="s">
        <v>3</v>
      </c>
      <c r="BW66" s="210" t="s">
        <v>3</v>
      </c>
      <c r="BX66" s="341" t="s">
        <v>3</v>
      </c>
      <c r="BY66" s="210" t="s">
        <v>3</v>
      </c>
      <c r="BZ66" s="210">
        <v>49385</v>
      </c>
      <c r="CA66" s="210">
        <v>342367</v>
      </c>
      <c r="CB66" s="210">
        <v>1625</v>
      </c>
      <c r="CC66" s="210">
        <v>4253</v>
      </c>
      <c r="CD66" s="210">
        <v>20814</v>
      </c>
      <c r="CE66" s="210">
        <v>418444</v>
      </c>
      <c r="CF66" s="341" t="s">
        <v>3</v>
      </c>
      <c r="CG66" s="341" t="s">
        <v>3</v>
      </c>
      <c r="CH66" s="341" t="s">
        <v>3</v>
      </c>
      <c r="CI66" s="341" t="s">
        <v>3</v>
      </c>
      <c r="CJ66" s="341" t="s">
        <v>3</v>
      </c>
      <c r="CK66" s="341" t="s">
        <v>3</v>
      </c>
      <c r="CL66" s="210">
        <v>-28509</v>
      </c>
      <c r="CM66" s="210">
        <v>-1590</v>
      </c>
      <c r="CN66" s="210">
        <v>429</v>
      </c>
      <c r="CO66" s="210">
        <v>-22631</v>
      </c>
      <c r="CP66" s="210">
        <v>-401</v>
      </c>
      <c r="CQ66" s="210">
        <v>179958</v>
      </c>
      <c r="CR66" s="210">
        <v>33014</v>
      </c>
      <c r="CS66" s="210">
        <v>693</v>
      </c>
      <c r="CT66" s="210">
        <v>160963</v>
      </c>
      <c r="CU66" s="210">
        <v>7140</v>
      </c>
      <c r="CV66" s="210">
        <v>161743</v>
      </c>
      <c r="CW66" s="210">
        <v>48500</v>
      </c>
      <c r="CX66" s="210">
        <v>14510</v>
      </c>
    </row>
    <row r="67" spans="2:102" s="209" customFormat="1" ht="15" customHeight="1" x14ac:dyDescent="0.2">
      <c r="B67" s="212" t="s">
        <v>352</v>
      </c>
      <c r="C67" s="211" t="s">
        <v>351</v>
      </c>
      <c r="D67" s="210">
        <v>459</v>
      </c>
      <c r="E67" s="210">
        <v>699</v>
      </c>
      <c r="F67" s="210">
        <v>236</v>
      </c>
      <c r="G67" s="210">
        <v>5</v>
      </c>
      <c r="H67" s="210">
        <v>1399</v>
      </c>
      <c r="I67" s="210">
        <v>234</v>
      </c>
      <c r="J67" s="210">
        <v>1923</v>
      </c>
      <c r="K67" s="210">
        <v>133</v>
      </c>
      <c r="L67" s="210">
        <v>861</v>
      </c>
      <c r="M67" s="210">
        <v>1532</v>
      </c>
      <c r="N67" s="210">
        <v>436</v>
      </c>
      <c r="O67" s="210">
        <v>4885</v>
      </c>
      <c r="P67" s="210">
        <v>3558</v>
      </c>
      <c r="Q67" s="210">
        <v>334</v>
      </c>
      <c r="R67" s="210">
        <v>246</v>
      </c>
      <c r="S67" s="341">
        <v>128</v>
      </c>
      <c r="T67" s="341">
        <v>179</v>
      </c>
      <c r="U67" s="341">
        <v>456</v>
      </c>
      <c r="V67" s="341">
        <v>1233</v>
      </c>
      <c r="W67" s="341">
        <v>3627</v>
      </c>
      <c r="X67" s="341">
        <v>3302</v>
      </c>
      <c r="Y67" s="341">
        <v>13655</v>
      </c>
      <c r="Z67" s="341">
        <v>22580</v>
      </c>
      <c r="AA67" s="210">
        <v>22749</v>
      </c>
      <c r="AB67" s="341">
        <v>0</v>
      </c>
      <c r="AC67" s="341">
        <v>25</v>
      </c>
      <c r="AD67" s="341">
        <v>810</v>
      </c>
      <c r="AE67" s="341">
        <v>1819</v>
      </c>
      <c r="AF67" s="341">
        <v>7107</v>
      </c>
      <c r="AG67" s="341">
        <v>9760</v>
      </c>
      <c r="AH67" s="210">
        <v>12213</v>
      </c>
      <c r="AI67" s="341">
        <v>1061</v>
      </c>
      <c r="AJ67" s="341">
        <v>7050</v>
      </c>
      <c r="AK67" s="341">
        <v>40451</v>
      </c>
      <c r="AL67" s="210">
        <v>44501</v>
      </c>
      <c r="AM67" s="210">
        <v>45345</v>
      </c>
      <c r="AN67" s="210">
        <v>1187</v>
      </c>
      <c r="AO67" s="210">
        <v>75</v>
      </c>
      <c r="AP67" s="210">
        <v>6047</v>
      </c>
      <c r="AQ67" s="210">
        <v>1494</v>
      </c>
      <c r="AR67" s="210" t="s">
        <v>3</v>
      </c>
      <c r="AS67" s="210" t="s">
        <v>3</v>
      </c>
      <c r="AT67" s="210">
        <v>3175</v>
      </c>
      <c r="AU67" s="210">
        <v>7976</v>
      </c>
      <c r="AV67" s="210" t="s">
        <v>3</v>
      </c>
      <c r="AW67" s="210" t="s">
        <v>3</v>
      </c>
      <c r="AX67" s="210">
        <v>1124073.52639</v>
      </c>
      <c r="AY67" s="210">
        <v>120858.09654735385</v>
      </c>
      <c r="AZ67" s="210">
        <v>36327.390879999999</v>
      </c>
      <c r="BA67" s="210">
        <v>252426.94108999998</v>
      </c>
      <c r="BB67" s="210">
        <v>53374.339959867692</v>
      </c>
      <c r="BC67" s="210">
        <v>34370.441829999996</v>
      </c>
      <c r="BD67" s="210">
        <v>1621430.7366972216</v>
      </c>
      <c r="BE67" s="210">
        <v>129160.1458</v>
      </c>
      <c r="BF67" s="210">
        <v>70890.435060000003</v>
      </c>
      <c r="BG67" s="210">
        <v>193903.18515999999</v>
      </c>
      <c r="BH67" s="210">
        <v>68364.913659999991</v>
      </c>
      <c r="BI67" s="210">
        <v>22969.36075</v>
      </c>
      <c r="BJ67" s="210">
        <v>5801</v>
      </c>
      <c r="BK67" s="210">
        <v>20957.927889999999</v>
      </c>
      <c r="BL67" s="210">
        <v>2133477.7050172216</v>
      </c>
      <c r="BM67" s="210">
        <v>-86021.051590000003</v>
      </c>
      <c r="BN67" s="210">
        <v>-4885.6803799999998</v>
      </c>
      <c r="BO67" s="210">
        <v>-4356</v>
      </c>
      <c r="BP67" s="210">
        <v>-87507.021120000005</v>
      </c>
      <c r="BQ67" s="210">
        <v>-182769.75309000001</v>
      </c>
      <c r="BR67" s="210">
        <v>1950707.9519272214</v>
      </c>
      <c r="BS67" s="210">
        <v>152800.71876000002</v>
      </c>
      <c r="BT67" s="210">
        <v>15076</v>
      </c>
      <c r="BU67" s="210">
        <v>2118584.6706872215</v>
      </c>
      <c r="BV67" s="210" t="s">
        <v>3</v>
      </c>
      <c r="BW67" s="210" t="s">
        <v>3</v>
      </c>
      <c r="BX67" s="341" t="s">
        <v>3</v>
      </c>
      <c r="BY67" s="210" t="s">
        <v>3</v>
      </c>
      <c r="BZ67" s="210">
        <v>340847.3589778383</v>
      </c>
      <c r="CA67" s="210">
        <v>1666247.9441505047</v>
      </c>
      <c r="CB67" s="210">
        <v>8793.2464057049729</v>
      </c>
      <c r="CC67" s="210">
        <v>40131.3324298644</v>
      </c>
      <c r="CD67" s="210">
        <v>47488.788723309175</v>
      </c>
      <c r="CE67" s="210">
        <v>2103508.6706872215</v>
      </c>
      <c r="CF67" s="341" t="s">
        <v>3</v>
      </c>
      <c r="CG67" s="341" t="s">
        <v>3</v>
      </c>
      <c r="CH67" s="341" t="s">
        <v>3</v>
      </c>
      <c r="CI67" s="341" t="s">
        <v>3</v>
      </c>
      <c r="CJ67" s="341" t="s">
        <v>3</v>
      </c>
      <c r="CK67" s="341" t="s">
        <v>3</v>
      </c>
      <c r="CL67" s="210">
        <v>-136318.05562491226</v>
      </c>
      <c r="CM67" s="210">
        <v>-5684.7828458172989</v>
      </c>
      <c r="CN67" s="210">
        <v>347.10741118148144</v>
      </c>
      <c r="CO67" s="210">
        <v>-109905.82834840991</v>
      </c>
      <c r="CP67" s="210">
        <v>-3500.5863104099694</v>
      </c>
      <c r="CQ67" s="210">
        <v>658806.2817416247</v>
      </c>
      <c r="CR67" s="210">
        <v>135329.25092250033</v>
      </c>
      <c r="CS67" s="210">
        <v>1561.0157496592226</v>
      </c>
      <c r="CT67" s="210">
        <v>540634.40269541636</v>
      </c>
      <c r="CU67" s="210">
        <v>50061.860135891169</v>
      </c>
      <c r="CV67" s="210">
        <v>481617.74515453988</v>
      </c>
      <c r="CW67" s="210">
        <v>168372.04580471755</v>
      </c>
      <c r="CX67" s="210">
        <v>35551.169822449679</v>
      </c>
    </row>
    <row r="68" spans="2:102" s="209" customFormat="1" ht="15" customHeight="1" x14ac:dyDescent="0.2">
      <c r="B68" s="212" t="s">
        <v>350</v>
      </c>
      <c r="C68" s="211" t="s">
        <v>349</v>
      </c>
      <c r="D68" s="210">
        <v>18</v>
      </c>
      <c r="E68" s="210">
        <v>106</v>
      </c>
      <c r="F68" s="210">
        <v>23</v>
      </c>
      <c r="G68" s="210">
        <v>2</v>
      </c>
      <c r="H68" s="210">
        <v>149</v>
      </c>
      <c r="I68" s="210">
        <v>32</v>
      </c>
      <c r="J68" s="210">
        <v>184</v>
      </c>
      <c r="K68" s="210">
        <v>11</v>
      </c>
      <c r="L68" s="210">
        <v>138</v>
      </c>
      <c r="M68" s="210">
        <v>139</v>
      </c>
      <c r="N68" s="210">
        <v>82</v>
      </c>
      <c r="O68" s="210">
        <v>554</v>
      </c>
      <c r="P68" s="210">
        <v>414</v>
      </c>
      <c r="Q68" s="210">
        <v>37</v>
      </c>
      <c r="R68" s="210">
        <v>22</v>
      </c>
      <c r="S68" s="341">
        <v>10</v>
      </c>
      <c r="T68" s="341">
        <v>12</v>
      </c>
      <c r="U68" s="341">
        <v>49</v>
      </c>
      <c r="V68" s="341">
        <v>124</v>
      </c>
      <c r="W68" s="341">
        <v>286</v>
      </c>
      <c r="X68" s="341">
        <v>190.67000000000002</v>
      </c>
      <c r="Y68" s="341">
        <v>792</v>
      </c>
      <c r="Z68" s="341">
        <v>1463.67</v>
      </c>
      <c r="AA68" s="210">
        <v>1470</v>
      </c>
      <c r="AB68" s="341">
        <v>0</v>
      </c>
      <c r="AC68" s="341">
        <v>0</v>
      </c>
      <c r="AD68" s="341">
        <v>115.6</v>
      </c>
      <c r="AE68" s="341">
        <v>307.5</v>
      </c>
      <c r="AF68" s="341">
        <v>1052.4000000000001</v>
      </c>
      <c r="AG68" s="341">
        <v>1475.5</v>
      </c>
      <c r="AH68" s="210">
        <v>1817</v>
      </c>
      <c r="AI68" s="341">
        <v>96.43</v>
      </c>
      <c r="AJ68" s="341">
        <v>605.16000000000008</v>
      </c>
      <c r="AK68" s="341">
        <v>3640.76</v>
      </c>
      <c r="AL68" s="210">
        <v>2420</v>
      </c>
      <c r="AM68" s="210">
        <v>2507</v>
      </c>
      <c r="AN68" s="210">
        <v>54</v>
      </c>
      <c r="AO68" s="210">
        <v>11</v>
      </c>
      <c r="AP68" s="210">
        <v>424</v>
      </c>
      <c r="AQ68" s="210">
        <v>58</v>
      </c>
      <c r="AR68" s="210" t="s">
        <v>3</v>
      </c>
      <c r="AS68" s="210" t="s">
        <v>3</v>
      </c>
      <c r="AT68" s="210">
        <v>114</v>
      </c>
      <c r="AU68" s="210">
        <v>765</v>
      </c>
      <c r="AV68" s="210" t="s">
        <v>3</v>
      </c>
      <c r="AW68" s="210" t="s">
        <v>3</v>
      </c>
      <c r="AX68" s="210">
        <v>70954.944959999993</v>
      </c>
      <c r="AY68" s="210">
        <v>16011.618979999999</v>
      </c>
      <c r="AZ68" s="210">
        <v>3997.6856699999998</v>
      </c>
      <c r="BA68" s="210">
        <v>19554.218379999998</v>
      </c>
      <c r="BB68" s="210">
        <v>2175.78791</v>
      </c>
      <c r="BC68" s="210">
        <v>1683.4314300000001</v>
      </c>
      <c r="BD68" s="210">
        <v>114377.68732999999</v>
      </c>
      <c r="BE68" s="210">
        <v>9262.9212800000023</v>
      </c>
      <c r="BF68" s="210">
        <v>5365.6843200000003</v>
      </c>
      <c r="BG68" s="210">
        <v>16069.948910000001</v>
      </c>
      <c r="BH68" s="210">
        <v>881.97407999999996</v>
      </c>
      <c r="BI68" s="210">
        <v>341.76848999999982</v>
      </c>
      <c r="BJ68" s="210">
        <v>94</v>
      </c>
      <c r="BK68" s="210">
        <v>973.65371097022637</v>
      </c>
      <c r="BL68" s="210">
        <v>147367.63812097022</v>
      </c>
      <c r="BM68" s="210">
        <v>-5020</v>
      </c>
      <c r="BN68" s="210">
        <v>-64.033954999999935</v>
      </c>
      <c r="BO68" s="210">
        <v>0</v>
      </c>
      <c r="BP68" s="210">
        <v>-3629.9271350000004</v>
      </c>
      <c r="BQ68" s="210">
        <v>-8713.9610900000007</v>
      </c>
      <c r="BR68" s="210">
        <v>138653.67703097023</v>
      </c>
      <c r="BS68" s="210">
        <v>8904.5</v>
      </c>
      <c r="BT68" s="210">
        <v>-2279</v>
      </c>
      <c r="BU68" s="210">
        <v>145279.17703097023</v>
      </c>
      <c r="BV68" s="210" t="s">
        <v>3</v>
      </c>
      <c r="BW68" s="210" t="s">
        <v>3</v>
      </c>
      <c r="BX68" s="341" t="s">
        <v>3</v>
      </c>
      <c r="BY68" s="210" t="s">
        <v>3</v>
      </c>
      <c r="BZ68" s="210">
        <v>385</v>
      </c>
      <c r="CA68" s="210">
        <v>146004.17703097023</v>
      </c>
      <c r="CB68" s="210">
        <v>338</v>
      </c>
      <c r="CC68" s="210">
        <v>355</v>
      </c>
      <c r="CD68" s="210">
        <v>476</v>
      </c>
      <c r="CE68" s="210">
        <v>147558.17703097023</v>
      </c>
      <c r="CF68" s="341" t="s">
        <v>3</v>
      </c>
      <c r="CG68" s="341" t="s">
        <v>3</v>
      </c>
      <c r="CH68" s="341" t="s">
        <v>3</v>
      </c>
      <c r="CI68" s="341" t="s">
        <v>3</v>
      </c>
      <c r="CJ68" s="341" t="s">
        <v>3</v>
      </c>
      <c r="CK68" s="341" t="s">
        <v>3</v>
      </c>
      <c r="CL68" s="210">
        <v>-10528.011839999999</v>
      </c>
      <c r="CM68" s="210">
        <v>-749.34976000000006</v>
      </c>
      <c r="CN68" s="210">
        <v>-138.23419000000015</v>
      </c>
      <c r="CO68" s="210">
        <v>-8019.920889999712</v>
      </c>
      <c r="CP68" s="210">
        <v>-921.13938999999993</v>
      </c>
      <c r="CQ68" s="210">
        <v>36371.803759999995</v>
      </c>
      <c r="CR68" s="210">
        <v>7282.7013400000005</v>
      </c>
      <c r="CS68" s="210">
        <v>86.588940000000008</v>
      </c>
      <c r="CT68" s="210">
        <v>23384.437970000283</v>
      </c>
      <c r="CU68" s="210">
        <v>1312.9180499999998</v>
      </c>
      <c r="CV68" s="210">
        <v>26068.489102517062</v>
      </c>
      <c r="CW68" s="210">
        <v>5445.1490423424084</v>
      </c>
      <c r="CX68" s="210">
        <v>332942.13238423719</v>
      </c>
    </row>
    <row r="69" spans="2:102" s="209" customFormat="1" ht="15" customHeight="1" x14ac:dyDescent="0.2">
      <c r="B69" s="212" t="s">
        <v>348</v>
      </c>
      <c r="C69" s="211" t="s">
        <v>347</v>
      </c>
      <c r="D69" s="210">
        <v>477</v>
      </c>
      <c r="E69" s="210">
        <v>805</v>
      </c>
      <c r="F69" s="210">
        <v>259</v>
      </c>
      <c r="G69" s="210">
        <v>7</v>
      </c>
      <c r="H69" s="210">
        <v>1548</v>
      </c>
      <c r="I69" s="210">
        <v>266</v>
      </c>
      <c r="J69" s="210">
        <v>2107</v>
      </c>
      <c r="K69" s="210">
        <v>144</v>
      </c>
      <c r="L69" s="210">
        <v>999</v>
      </c>
      <c r="M69" s="210">
        <v>1671</v>
      </c>
      <c r="N69" s="210">
        <v>518</v>
      </c>
      <c r="O69" s="210">
        <v>5439</v>
      </c>
      <c r="P69" s="210">
        <v>3972</v>
      </c>
      <c r="Q69" s="210">
        <v>371</v>
      </c>
      <c r="R69" s="210">
        <v>268</v>
      </c>
      <c r="S69" s="341">
        <v>138</v>
      </c>
      <c r="T69" s="341">
        <v>191</v>
      </c>
      <c r="U69" s="341">
        <v>505</v>
      </c>
      <c r="V69" s="341">
        <v>1357</v>
      </c>
      <c r="W69" s="341">
        <v>3913</v>
      </c>
      <c r="X69" s="341">
        <v>3492.67</v>
      </c>
      <c r="Y69" s="341">
        <v>14447</v>
      </c>
      <c r="Z69" s="341">
        <v>24043.67</v>
      </c>
      <c r="AA69" s="210">
        <v>24219</v>
      </c>
      <c r="AB69" s="341">
        <v>0</v>
      </c>
      <c r="AC69" s="341">
        <v>25</v>
      </c>
      <c r="AD69" s="341">
        <v>925.6</v>
      </c>
      <c r="AE69" s="341">
        <v>2126.5</v>
      </c>
      <c r="AF69" s="341">
        <v>8159.4</v>
      </c>
      <c r="AG69" s="341">
        <v>11235.5</v>
      </c>
      <c r="AH69" s="210">
        <v>14030</v>
      </c>
      <c r="AI69" s="341">
        <v>1157.43</v>
      </c>
      <c r="AJ69" s="341">
        <v>7655.16</v>
      </c>
      <c r="AK69" s="341">
        <v>44091.76</v>
      </c>
      <c r="AL69" s="210">
        <v>46921</v>
      </c>
      <c r="AM69" s="210">
        <v>47852</v>
      </c>
      <c r="AN69" s="210">
        <v>1241</v>
      </c>
      <c r="AO69" s="210">
        <v>86</v>
      </c>
      <c r="AP69" s="210">
        <v>6471</v>
      </c>
      <c r="AQ69" s="210">
        <v>1552</v>
      </c>
      <c r="AR69" s="210" t="s">
        <v>3</v>
      </c>
      <c r="AS69" s="210" t="s">
        <v>3</v>
      </c>
      <c r="AT69" s="210">
        <v>3289</v>
      </c>
      <c r="AU69" s="210">
        <v>8741</v>
      </c>
      <c r="AV69" s="210" t="s">
        <v>3</v>
      </c>
      <c r="AW69" s="210" t="s">
        <v>3</v>
      </c>
      <c r="AX69" s="210">
        <v>1195028.47135</v>
      </c>
      <c r="AY69" s="210">
        <v>136869.71552735384</v>
      </c>
      <c r="AZ69" s="210">
        <v>40325.076549999998</v>
      </c>
      <c r="BA69" s="210">
        <v>271981.15946999996</v>
      </c>
      <c r="BB69" s="210">
        <v>55550.127869867691</v>
      </c>
      <c r="BC69" s="210">
        <v>36053.873259999993</v>
      </c>
      <c r="BD69" s="210">
        <v>1735808.4240272217</v>
      </c>
      <c r="BE69" s="210">
        <v>138423.06708000001</v>
      </c>
      <c r="BF69" s="210">
        <v>76256.119380000004</v>
      </c>
      <c r="BG69" s="210">
        <v>209973.13407</v>
      </c>
      <c r="BH69" s="210">
        <v>69246.887739999991</v>
      </c>
      <c r="BI69" s="210">
        <v>23311.129239999998</v>
      </c>
      <c r="BJ69" s="210">
        <v>5895</v>
      </c>
      <c r="BK69" s="210">
        <v>21931.581600970225</v>
      </c>
      <c r="BL69" s="210">
        <v>2280845.3431381918</v>
      </c>
      <c r="BM69" s="210">
        <v>-91041.051590000003</v>
      </c>
      <c r="BN69" s="210">
        <v>-4949.7143349999997</v>
      </c>
      <c r="BO69" s="210">
        <v>-4356</v>
      </c>
      <c r="BP69" s="210">
        <v>-91136.94825500001</v>
      </c>
      <c r="BQ69" s="210">
        <v>-191483.71418000001</v>
      </c>
      <c r="BR69" s="210">
        <v>2089361.6289581917</v>
      </c>
      <c r="BS69" s="210">
        <v>161705.21876000002</v>
      </c>
      <c r="BT69" s="210">
        <v>12797</v>
      </c>
      <c r="BU69" s="210">
        <v>2263863.8477181918</v>
      </c>
      <c r="BV69" s="210" t="s">
        <v>3</v>
      </c>
      <c r="BW69" s="210" t="s">
        <v>3</v>
      </c>
      <c r="BX69" s="341" t="s">
        <v>3</v>
      </c>
      <c r="BY69" s="210" t="s">
        <v>3</v>
      </c>
      <c r="BZ69" s="210">
        <v>341232.3589778383</v>
      </c>
      <c r="CA69" s="210">
        <v>1812252.121181475</v>
      </c>
      <c r="CB69" s="210">
        <v>9131.2464057049729</v>
      </c>
      <c r="CC69" s="210">
        <v>40486.3324298644</v>
      </c>
      <c r="CD69" s="210">
        <v>47964.788723309175</v>
      </c>
      <c r="CE69" s="210">
        <v>2251066.8477181918</v>
      </c>
      <c r="CF69" s="341" t="s">
        <v>3</v>
      </c>
      <c r="CG69" s="341" t="s">
        <v>3</v>
      </c>
      <c r="CH69" s="341" t="s">
        <v>3</v>
      </c>
      <c r="CI69" s="341" t="s">
        <v>3</v>
      </c>
      <c r="CJ69" s="341" t="s">
        <v>3</v>
      </c>
      <c r="CK69" s="341" t="s">
        <v>3</v>
      </c>
      <c r="CL69" s="210">
        <v>-146846.06746491225</v>
      </c>
      <c r="CM69" s="210">
        <v>-6434.132605817299</v>
      </c>
      <c r="CN69" s="210">
        <v>208.87322118148128</v>
      </c>
      <c r="CO69" s="210">
        <v>-117925.74923840963</v>
      </c>
      <c r="CP69" s="210">
        <v>-4421.7257004099692</v>
      </c>
      <c r="CQ69" s="210">
        <v>695178.08550162474</v>
      </c>
      <c r="CR69" s="210">
        <v>142611.95226250033</v>
      </c>
      <c r="CS69" s="210">
        <v>1647.6046896592227</v>
      </c>
      <c r="CT69" s="210">
        <v>564018.84066541668</v>
      </c>
      <c r="CU69" s="210">
        <v>51374.778185891169</v>
      </c>
      <c r="CV69" s="210">
        <v>507686.23425705696</v>
      </c>
      <c r="CW69" s="210">
        <v>173817.19484705996</v>
      </c>
      <c r="CX69" s="210">
        <v>368493.30220668687</v>
      </c>
    </row>
    <row r="70" spans="2:102" s="209" customFormat="1" ht="15" customHeight="1" x14ac:dyDescent="0.2">
      <c r="B70" s="212" t="s">
        <v>346</v>
      </c>
      <c r="C70" s="211" t="s">
        <v>345</v>
      </c>
      <c r="D70" s="210">
        <v>559</v>
      </c>
      <c r="E70" s="210">
        <v>1089</v>
      </c>
      <c r="F70" s="210">
        <v>274</v>
      </c>
      <c r="G70" s="210">
        <v>50</v>
      </c>
      <c r="H70" s="210">
        <v>1972</v>
      </c>
      <c r="I70" s="210">
        <v>278</v>
      </c>
      <c r="J70" s="210">
        <v>2657</v>
      </c>
      <c r="K70" s="210" t="s">
        <v>3</v>
      </c>
      <c r="L70" s="210" t="s">
        <v>3</v>
      </c>
      <c r="M70" s="210" t="s">
        <v>3</v>
      </c>
      <c r="N70" s="210">
        <v>541</v>
      </c>
      <c r="O70" s="210">
        <v>6287</v>
      </c>
      <c r="P70" s="210">
        <v>4876</v>
      </c>
      <c r="Q70" s="210">
        <v>451</v>
      </c>
      <c r="R70" s="210">
        <v>319</v>
      </c>
      <c r="S70" s="341">
        <v>146</v>
      </c>
      <c r="T70" s="341">
        <v>232</v>
      </c>
      <c r="U70" s="341">
        <v>623</v>
      </c>
      <c r="V70" s="341">
        <v>1578</v>
      </c>
      <c r="W70" s="341">
        <v>4632</v>
      </c>
      <c r="X70" s="341">
        <v>4335.67</v>
      </c>
      <c r="Y70" s="341">
        <v>16885</v>
      </c>
      <c r="Z70" s="341">
        <v>28431.67</v>
      </c>
      <c r="AA70" s="210">
        <v>28609</v>
      </c>
      <c r="AB70" s="341">
        <v>0</v>
      </c>
      <c r="AC70" s="341">
        <v>25</v>
      </c>
      <c r="AD70" s="341">
        <v>1225.5999999999999</v>
      </c>
      <c r="AE70" s="341">
        <v>2792.5</v>
      </c>
      <c r="AF70" s="341">
        <v>10694.4</v>
      </c>
      <c r="AG70" s="341">
        <v>14736.5</v>
      </c>
      <c r="AH70" s="210">
        <v>17849</v>
      </c>
      <c r="AI70" s="341">
        <v>1394.93</v>
      </c>
      <c r="AJ70" s="341">
        <v>8641.86</v>
      </c>
      <c r="AK70" s="341">
        <v>53204.959999999999</v>
      </c>
      <c r="AL70" s="210">
        <v>53622</v>
      </c>
      <c r="AM70" s="210">
        <v>54790</v>
      </c>
      <c r="AN70" s="210">
        <v>1443</v>
      </c>
      <c r="AO70" s="210">
        <v>138</v>
      </c>
      <c r="AP70" s="210">
        <v>8523</v>
      </c>
      <c r="AQ70" s="210">
        <v>1814</v>
      </c>
      <c r="AR70" s="210" t="s">
        <v>3</v>
      </c>
      <c r="AS70" s="210" t="s">
        <v>3</v>
      </c>
      <c r="AT70" s="210">
        <v>3624</v>
      </c>
      <c r="AU70" s="210">
        <v>9211</v>
      </c>
      <c r="AV70" s="210" t="s">
        <v>3</v>
      </c>
      <c r="AW70" s="210" t="s">
        <v>3</v>
      </c>
      <c r="AX70" s="210">
        <v>1455397.8890359576</v>
      </c>
      <c r="AY70" s="210">
        <v>171788.11516197832</v>
      </c>
      <c r="AZ70" s="210">
        <v>49394.806811025483</v>
      </c>
      <c r="BA70" s="210">
        <v>306899.1618356558</v>
      </c>
      <c r="BB70" s="210">
        <v>59321.729109157081</v>
      </c>
      <c r="BC70" s="210">
        <v>38730.335715098736</v>
      </c>
      <c r="BD70" s="210">
        <v>2081532.0376688733</v>
      </c>
      <c r="BE70" s="210">
        <v>162457.21960760868</v>
      </c>
      <c r="BF70" s="210">
        <v>85814.336043302595</v>
      </c>
      <c r="BG70" s="210">
        <v>236238.85913205805</v>
      </c>
      <c r="BH70" s="210">
        <v>70566.895675320164</v>
      </c>
      <c r="BI70" s="210">
        <v>23311.129239999998</v>
      </c>
      <c r="BJ70" s="210">
        <v>5895</v>
      </c>
      <c r="BK70" s="210">
        <v>24975.721859250625</v>
      </c>
      <c r="BL70" s="210">
        <v>2690791.1992264134</v>
      </c>
      <c r="BM70" s="210">
        <v>-91041.051590000003</v>
      </c>
      <c r="BN70" s="210">
        <v>-4949.7143349999997</v>
      </c>
      <c r="BO70" s="210">
        <v>-4356</v>
      </c>
      <c r="BP70" s="210">
        <v>-95568.981629240516</v>
      </c>
      <c r="BQ70" s="210">
        <v>-195915.74755424052</v>
      </c>
      <c r="BR70" s="210">
        <v>2494875.4516721726</v>
      </c>
      <c r="BS70" s="210">
        <v>191488.77597662926</v>
      </c>
      <c r="BT70" s="210">
        <v>22607.469892501613</v>
      </c>
      <c r="BU70" s="210">
        <v>2708971.6975413039</v>
      </c>
      <c r="BV70" s="210" t="s">
        <v>3</v>
      </c>
      <c r="BW70" s="210" t="s">
        <v>3</v>
      </c>
      <c r="BX70" s="341" t="s">
        <v>3</v>
      </c>
      <c r="BY70" s="210" t="s">
        <v>3</v>
      </c>
      <c r="BZ70" s="210">
        <v>351904.32153164287</v>
      </c>
      <c r="CA70" s="210">
        <v>2164419.2611291087</v>
      </c>
      <c r="CB70" s="210">
        <v>33397.421447108427</v>
      </c>
      <c r="CC70" s="210">
        <v>41558.281220648205</v>
      </c>
      <c r="CD70" s="210">
        <v>95084.942320293674</v>
      </c>
      <c r="CE70" s="210">
        <v>2686364.2276488021</v>
      </c>
      <c r="CF70" s="341" t="s">
        <v>3</v>
      </c>
      <c r="CG70" s="341" t="s">
        <v>3</v>
      </c>
      <c r="CH70" s="341" t="s">
        <v>3</v>
      </c>
      <c r="CI70" s="341" t="s">
        <v>3</v>
      </c>
      <c r="CJ70" s="341" t="s">
        <v>3</v>
      </c>
      <c r="CK70" s="341" t="s">
        <v>3</v>
      </c>
      <c r="CL70" s="210">
        <v>-185585.95567007223</v>
      </c>
      <c r="CM70" s="210">
        <v>-8574.1375983515609</v>
      </c>
      <c r="CN70" s="210">
        <v>208.87322118148128</v>
      </c>
      <c r="CO70" s="210">
        <v>-141869.42876088805</v>
      </c>
      <c r="CP70" s="210">
        <v>-4515.7257004099692</v>
      </c>
      <c r="CQ70" s="210">
        <v>797559.21538551175</v>
      </c>
      <c r="CR70" s="210">
        <v>171565.56396557967</v>
      </c>
      <c r="CS70" s="210">
        <v>1647.6046896592227</v>
      </c>
      <c r="CT70" s="210">
        <v>630436.0095322103</v>
      </c>
      <c r="CU70" s="210">
        <v>56808.667800437259</v>
      </c>
      <c r="CV70" s="210" t="s">
        <v>3</v>
      </c>
      <c r="CW70" s="210" t="s">
        <v>3</v>
      </c>
      <c r="CX70" s="210" t="s">
        <v>3</v>
      </c>
    </row>
    <row r="71" spans="2:102" ht="15" customHeight="1" x14ac:dyDescent="0.2">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342"/>
      <c r="AM71" s="342"/>
      <c r="AN71" s="342"/>
      <c r="AO71" s="342"/>
      <c r="AP71" s="342"/>
      <c r="AQ71" s="342"/>
      <c r="AR71" s="342"/>
      <c r="AS71" s="342"/>
      <c r="AT71" s="342"/>
      <c r="AU71" s="342"/>
      <c r="AV71" s="342"/>
      <c r="AW71" s="342"/>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row>
  </sheetData>
  <autoFilter ref="A12:C12" xr:uid="{00000000-0009-0000-0000-000004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6ACF-8B33-4F2B-ABC5-C80C19F65E47}">
  <sheetPr>
    <tabColor rgb="FFFF0000"/>
  </sheetPr>
  <dimension ref="A1:AQ3713"/>
  <sheetViews>
    <sheetView zoomScale="80" zoomScaleNormal="80" workbookViewId="0">
      <pane ySplit="3" topLeftCell="A10" activePane="bottomLeft" state="frozen"/>
      <selection activeCell="A4" sqref="A4:H4"/>
      <selection pane="bottomLeft" activeCell="A4" sqref="A4:H4"/>
    </sheetView>
  </sheetViews>
  <sheetFormatPr defaultRowHeight="15.5" x14ac:dyDescent="0.35"/>
  <cols>
    <col min="1" max="1" width="10.81640625" style="48" hidden="1" customWidth="1"/>
    <col min="2" max="2" width="22.54296875" style="103" customWidth="1"/>
    <col min="3" max="3" width="2.453125" style="103" hidden="1" customWidth="1"/>
    <col min="4" max="4" width="11.26953125" style="103" hidden="1" customWidth="1"/>
    <col min="5" max="5" width="12.81640625" style="105" hidden="1" customWidth="1"/>
    <col min="6" max="6" width="12.26953125" style="105" hidden="1" customWidth="1"/>
    <col min="7" max="7" width="13.26953125" style="105" hidden="1"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8.81640625" style="103"/>
    <col min="19" max="20" width="8.81640625" style="104"/>
    <col min="21" max="256" width="8.81640625" style="103"/>
    <col min="257" max="257" width="0" style="103" hidden="1" customWidth="1"/>
    <col min="258" max="258" width="22.54296875" style="103" customWidth="1"/>
    <col min="259" max="259" width="2.453125" style="103" customWidth="1"/>
    <col min="260" max="260" width="11.26953125" style="103" customWidth="1"/>
    <col min="261" max="261" width="12.81640625" style="103" customWidth="1"/>
    <col min="262" max="262" width="12.26953125" style="103" customWidth="1"/>
    <col min="263" max="263" width="13.26953125" style="103" customWidth="1"/>
    <col min="264" max="264" width="16.81640625" style="103" bestFit="1" customWidth="1"/>
    <col min="265" max="266" width="12.1796875" style="103" customWidth="1"/>
    <col min="267" max="269" width="13.1796875" style="103" customWidth="1"/>
    <col min="270" max="270" width="13.54296875" style="103" customWidth="1"/>
    <col min="271" max="271" width="12.7265625" style="103" customWidth="1"/>
    <col min="272" max="272" width="11.1796875" style="103" customWidth="1"/>
    <col min="273" max="273" width="7.54296875" style="103" customWidth="1"/>
    <col min="274" max="512" width="8.81640625" style="103"/>
    <col min="513" max="513" width="0" style="103" hidden="1" customWidth="1"/>
    <col min="514" max="514" width="22.54296875" style="103" customWidth="1"/>
    <col min="515" max="515" width="2.453125" style="103" customWidth="1"/>
    <col min="516" max="516" width="11.26953125" style="103" customWidth="1"/>
    <col min="517" max="517" width="12.81640625" style="103" customWidth="1"/>
    <col min="518" max="518" width="12.26953125" style="103" customWidth="1"/>
    <col min="519" max="519" width="13.26953125" style="103" customWidth="1"/>
    <col min="520" max="520" width="16.81640625" style="103" bestFit="1" customWidth="1"/>
    <col min="521" max="522" width="12.1796875" style="103" customWidth="1"/>
    <col min="523" max="525" width="13.1796875" style="103" customWidth="1"/>
    <col min="526" max="526" width="13.54296875" style="103" customWidth="1"/>
    <col min="527" max="527" width="12.7265625" style="103" customWidth="1"/>
    <col min="528" max="528" width="11.1796875" style="103" customWidth="1"/>
    <col min="529" max="529" width="7.54296875" style="103" customWidth="1"/>
    <col min="530" max="768" width="8.81640625" style="103"/>
    <col min="769" max="769" width="0" style="103" hidden="1" customWidth="1"/>
    <col min="770" max="770" width="22.54296875" style="103" customWidth="1"/>
    <col min="771" max="771" width="2.453125" style="103" customWidth="1"/>
    <col min="772" max="772" width="11.26953125" style="103" customWidth="1"/>
    <col min="773" max="773" width="12.81640625" style="103" customWidth="1"/>
    <col min="774" max="774" width="12.26953125" style="103" customWidth="1"/>
    <col min="775" max="775" width="13.26953125" style="103" customWidth="1"/>
    <col min="776" max="776" width="16.81640625" style="103" bestFit="1" customWidth="1"/>
    <col min="777" max="778" width="12.1796875" style="103" customWidth="1"/>
    <col min="779" max="781" width="13.1796875" style="103" customWidth="1"/>
    <col min="782" max="782" width="13.54296875" style="103" customWidth="1"/>
    <col min="783" max="783" width="12.7265625" style="103" customWidth="1"/>
    <col min="784" max="784" width="11.1796875" style="103" customWidth="1"/>
    <col min="785" max="785" width="7.54296875" style="103" customWidth="1"/>
    <col min="786" max="1024" width="8.81640625" style="103"/>
    <col min="1025" max="1025" width="0" style="103" hidden="1" customWidth="1"/>
    <col min="1026" max="1026" width="22.54296875" style="103" customWidth="1"/>
    <col min="1027" max="1027" width="2.453125" style="103" customWidth="1"/>
    <col min="1028" max="1028" width="11.26953125" style="103" customWidth="1"/>
    <col min="1029" max="1029" width="12.81640625" style="103" customWidth="1"/>
    <col min="1030" max="1030" width="12.26953125" style="103" customWidth="1"/>
    <col min="1031" max="1031" width="13.26953125" style="103" customWidth="1"/>
    <col min="1032" max="1032" width="16.81640625" style="103" bestFit="1" customWidth="1"/>
    <col min="1033" max="1034" width="12.1796875" style="103" customWidth="1"/>
    <col min="1035" max="1037" width="13.1796875" style="103" customWidth="1"/>
    <col min="1038" max="1038" width="13.54296875" style="103" customWidth="1"/>
    <col min="1039" max="1039" width="12.7265625" style="103" customWidth="1"/>
    <col min="1040" max="1040" width="11.1796875" style="103" customWidth="1"/>
    <col min="1041" max="1041" width="7.54296875" style="103" customWidth="1"/>
    <col min="1042" max="1280" width="8.81640625" style="103"/>
    <col min="1281" max="1281" width="0" style="103" hidden="1" customWidth="1"/>
    <col min="1282" max="1282" width="22.54296875" style="103" customWidth="1"/>
    <col min="1283" max="1283" width="2.453125" style="103" customWidth="1"/>
    <col min="1284" max="1284" width="11.26953125" style="103" customWidth="1"/>
    <col min="1285" max="1285" width="12.81640625" style="103" customWidth="1"/>
    <col min="1286" max="1286" width="12.26953125" style="103" customWidth="1"/>
    <col min="1287" max="1287" width="13.26953125" style="103" customWidth="1"/>
    <col min="1288" max="1288" width="16.81640625" style="103" bestFit="1" customWidth="1"/>
    <col min="1289" max="1290" width="12.1796875" style="103" customWidth="1"/>
    <col min="1291" max="1293" width="13.1796875" style="103" customWidth="1"/>
    <col min="1294" max="1294" width="13.54296875" style="103" customWidth="1"/>
    <col min="1295" max="1295" width="12.7265625" style="103" customWidth="1"/>
    <col min="1296" max="1296" width="11.1796875" style="103" customWidth="1"/>
    <col min="1297" max="1297" width="7.54296875" style="103" customWidth="1"/>
    <col min="1298" max="1536" width="8.81640625" style="103"/>
    <col min="1537" max="1537" width="0" style="103" hidden="1" customWidth="1"/>
    <col min="1538" max="1538" width="22.54296875" style="103" customWidth="1"/>
    <col min="1539" max="1539" width="2.453125" style="103" customWidth="1"/>
    <col min="1540" max="1540" width="11.26953125" style="103" customWidth="1"/>
    <col min="1541" max="1541" width="12.81640625" style="103" customWidth="1"/>
    <col min="1542" max="1542" width="12.26953125" style="103" customWidth="1"/>
    <col min="1543" max="1543" width="13.26953125" style="103" customWidth="1"/>
    <col min="1544" max="1544" width="16.81640625" style="103" bestFit="1" customWidth="1"/>
    <col min="1545" max="1546" width="12.1796875" style="103" customWidth="1"/>
    <col min="1547" max="1549" width="13.1796875" style="103" customWidth="1"/>
    <col min="1550" max="1550" width="13.54296875" style="103" customWidth="1"/>
    <col min="1551" max="1551" width="12.7265625" style="103" customWidth="1"/>
    <col min="1552" max="1552" width="11.1796875" style="103" customWidth="1"/>
    <col min="1553" max="1553" width="7.54296875" style="103" customWidth="1"/>
    <col min="1554" max="1792" width="8.81640625" style="103"/>
    <col min="1793" max="1793" width="0" style="103" hidden="1" customWidth="1"/>
    <col min="1794" max="1794" width="22.54296875" style="103" customWidth="1"/>
    <col min="1795" max="1795" width="2.453125" style="103" customWidth="1"/>
    <col min="1796" max="1796" width="11.26953125" style="103" customWidth="1"/>
    <col min="1797" max="1797" width="12.81640625" style="103" customWidth="1"/>
    <col min="1798" max="1798" width="12.26953125" style="103" customWidth="1"/>
    <col min="1799" max="1799" width="13.26953125" style="103" customWidth="1"/>
    <col min="1800" max="1800" width="16.81640625" style="103" bestFit="1" customWidth="1"/>
    <col min="1801" max="1802" width="12.1796875" style="103" customWidth="1"/>
    <col min="1803" max="1805" width="13.1796875" style="103" customWidth="1"/>
    <col min="1806" max="1806" width="13.54296875" style="103" customWidth="1"/>
    <col min="1807" max="1807" width="12.7265625" style="103" customWidth="1"/>
    <col min="1808" max="1808" width="11.1796875" style="103" customWidth="1"/>
    <col min="1809" max="1809" width="7.54296875" style="103" customWidth="1"/>
    <col min="1810" max="2048" width="8.81640625" style="103"/>
    <col min="2049" max="2049" width="0" style="103" hidden="1" customWidth="1"/>
    <col min="2050" max="2050" width="22.54296875" style="103" customWidth="1"/>
    <col min="2051" max="2051" width="2.453125" style="103" customWidth="1"/>
    <col min="2052" max="2052" width="11.26953125" style="103" customWidth="1"/>
    <col min="2053" max="2053" width="12.81640625" style="103" customWidth="1"/>
    <col min="2054" max="2054" width="12.26953125" style="103" customWidth="1"/>
    <col min="2055" max="2055" width="13.26953125" style="103" customWidth="1"/>
    <col min="2056" max="2056" width="16.81640625" style="103" bestFit="1" customWidth="1"/>
    <col min="2057" max="2058" width="12.1796875" style="103" customWidth="1"/>
    <col min="2059" max="2061" width="13.1796875" style="103" customWidth="1"/>
    <col min="2062" max="2062" width="13.54296875" style="103" customWidth="1"/>
    <col min="2063" max="2063" width="12.7265625" style="103" customWidth="1"/>
    <col min="2064" max="2064" width="11.1796875" style="103" customWidth="1"/>
    <col min="2065" max="2065" width="7.54296875" style="103" customWidth="1"/>
    <col min="2066" max="2304" width="8.81640625" style="103"/>
    <col min="2305" max="2305" width="0" style="103" hidden="1" customWidth="1"/>
    <col min="2306" max="2306" width="22.54296875" style="103" customWidth="1"/>
    <col min="2307" max="2307" width="2.453125" style="103" customWidth="1"/>
    <col min="2308" max="2308" width="11.26953125" style="103" customWidth="1"/>
    <col min="2309" max="2309" width="12.81640625" style="103" customWidth="1"/>
    <col min="2310" max="2310" width="12.26953125" style="103" customWidth="1"/>
    <col min="2311" max="2311" width="13.26953125" style="103" customWidth="1"/>
    <col min="2312" max="2312" width="16.81640625" style="103" bestFit="1" customWidth="1"/>
    <col min="2313" max="2314" width="12.1796875" style="103" customWidth="1"/>
    <col min="2315" max="2317" width="13.1796875" style="103" customWidth="1"/>
    <col min="2318" max="2318" width="13.54296875" style="103" customWidth="1"/>
    <col min="2319" max="2319" width="12.7265625" style="103" customWidth="1"/>
    <col min="2320" max="2320" width="11.1796875" style="103" customWidth="1"/>
    <col min="2321" max="2321" width="7.54296875" style="103" customWidth="1"/>
    <col min="2322" max="2560" width="8.81640625" style="103"/>
    <col min="2561" max="2561" width="0" style="103" hidden="1" customWidth="1"/>
    <col min="2562" max="2562" width="22.54296875" style="103" customWidth="1"/>
    <col min="2563" max="2563" width="2.453125" style="103" customWidth="1"/>
    <col min="2564" max="2564" width="11.26953125" style="103" customWidth="1"/>
    <col min="2565" max="2565" width="12.81640625" style="103" customWidth="1"/>
    <col min="2566" max="2566" width="12.26953125" style="103" customWidth="1"/>
    <col min="2567" max="2567" width="13.26953125" style="103" customWidth="1"/>
    <col min="2568" max="2568" width="16.81640625" style="103" bestFit="1" customWidth="1"/>
    <col min="2569" max="2570" width="12.1796875" style="103" customWidth="1"/>
    <col min="2571" max="2573" width="13.1796875" style="103" customWidth="1"/>
    <col min="2574" max="2574" width="13.54296875" style="103" customWidth="1"/>
    <col min="2575" max="2575" width="12.7265625" style="103" customWidth="1"/>
    <col min="2576" max="2576" width="11.1796875" style="103" customWidth="1"/>
    <col min="2577" max="2577" width="7.54296875" style="103" customWidth="1"/>
    <col min="2578" max="2816" width="8.81640625" style="103"/>
    <col min="2817" max="2817" width="0" style="103" hidden="1" customWidth="1"/>
    <col min="2818" max="2818" width="22.54296875" style="103" customWidth="1"/>
    <col min="2819" max="2819" width="2.453125" style="103" customWidth="1"/>
    <col min="2820" max="2820" width="11.26953125" style="103" customWidth="1"/>
    <col min="2821" max="2821" width="12.81640625" style="103" customWidth="1"/>
    <col min="2822" max="2822" width="12.26953125" style="103" customWidth="1"/>
    <col min="2823" max="2823" width="13.26953125" style="103" customWidth="1"/>
    <col min="2824" max="2824" width="16.81640625" style="103" bestFit="1" customWidth="1"/>
    <col min="2825" max="2826" width="12.1796875" style="103" customWidth="1"/>
    <col min="2827" max="2829" width="13.1796875" style="103" customWidth="1"/>
    <col min="2830" max="2830" width="13.54296875" style="103" customWidth="1"/>
    <col min="2831" max="2831" width="12.7265625" style="103" customWidth="1"/>
    <col min="2832" max="2832" width="11.1796875" style="103" customWidth="1"/>
    <col min="2833" max="2833" width="7.54296875" style="103" customWidth="1"/>
    <col min="2834" max="3072" width="8.81640625" style="103"/>
    <col min="3073" max="3073" width="0" style="103" hidden="1" customWidth="1"/>
    <col min="3074" max="3074" width="22.54296875" style="103" customWidth="1"/>
    <col min="3075" max="3075" width="2.453125" style="103" customWidth="1"/>
    <col min="3076" max="3076" width="11.26953125" style="103" customWidth="1"/>
    <col min="3077" max="3077" width="12.81640625" style="103" customWidth="1"/>
    <col min="3078" max="3078" width="12.26953125" style="103" customWidth="1"/>
    <col min="3079" max="3079" width="13.26953125" style="103" customWidth="1"/>
    <col min="3080" max="3080" width="16.81640625" style="103" bestFit="1" customWidth="1"/>
    <col min="3081" max="3082" width="12.1796875" style="103" customWidth="1"/>
    <col min="3083" max="3085" width="13.1796875" style="103" customWidth="1"/>
    <col min="3086" max="3086" width="13.54296875" style="103" customWidth="1"/>
    <col min="3087" max="3087" width="12.7265625" style="103" customWidth="1"/>
    <col min="3088" max="3088" width="11.1796875" style="103" customWidth="1"/>
    <col min="3089" max="3089" width="7.54296875" style="103" customWidth="1"/>
    <col min="3090" max="3328" width="8.81640625" style="103"/>
    <col min="3329" max="3329" width="0" style="103" hidden="1" customWidth="1"/>
    <col min="3330" max="3330" width="22.54296875" style="103" customWidth="1"/>
    <col min="3331" max="3331" width="2.453125" style="103" customWidth="1"/>
    <col min="3332" max="3332" width="11.26953125" style="103" customWidth="1"/>
    <col min="3333" max="3333" width="12.81640625" style="103" customWidth="1"/>
    <col min="3334" max="3334" width="12.26953125" style="103" customWidth="1"/>
    <col min="3335" max="3335" width="13.26953125" style="103" customWidth="1"/>
    <col min="3336" max="3336" width="16.81640625" style="103" bestFit="1" customWidth="1"/>
    <col min="3337" max="3338" width="12.1796875" style="103" customWidth="1"/>
    <col min="3339" max="3341" width="13.1796875" style="103" customWidth="1"/>
    <col min="3342" max="3342" width="13.54296875" style="103" customWidth="1"/>
    <col min="3343" max="3343" width="12.7265625" style="103" customWidth="1"/>
    <col min="3344" max="3344" width="11.1796875" style="103" customWidth="1"/>
    <col min="3345" max="3345" width="7.54296875" style="103" customWidth="1"/>
    <col min="3346" max="3584" width="8.81640625" style="103"/>
    <col min="3585" max="3585" width="0" style="103" hidden="1" customWidth="1"/>
    <col min="3586" max="3586" width="22.54296875" style="103" customWidth="1"/>
    <col min="3587" max="3587" width="2.453125" style="103" customWidth="1"/>
    <col min="3588" max="3588" width="11.26953125" style="103" customWidth="1"/>
    <col min="3589" max="3589" width="12.81640625" style="103" customWidth="1"/>
    <col min="3590" max="3590" width="12.26953125" style="103" customWidth="1"/>
    <col min="3591" max="3591" width="13.26953125" style="103" customWidth="1"/>
    <col min="3592" max="3592" width="16.81640625" style="103" bestFit="1" customWidth="1"/>
    <col min="3593" max="3594" width="12.1796875" style="103" customWidth="1"/>
    <col min="3595" max="3597" width="13.1796875" style="103" customWidth="1"/>
    <col min="3598" max="3598" width="13.54296875" style="103" customWidth="1"/>
    <col min="3599" max="3599" width="12.7265625" style="103" customWidth="1"/>
    <col min="3600" max="3600" width="11.1796875" style="103" customWidth="1"/>
    <col min="3601" max="3601" width="7.54296875" style="103" customWidth="1"/>
    <col min="3602" max="3840" width="8.81640625" style="103"/>
    <col min="3841" max="3841" width="0" style="103" hidden="1" customWidth="1"/>
    <col min="3842" max="3842" width="22.54296875" style="103" customWidth="1"/>
    <col min="3843" max="3843" width="2.453125" style="103" customWidth="1"/>
    <col min="3844" max="3844" width="11.26953125" style="103" customWidth="1"/>
    <col min="3845" max="3845" width="12.81640625" style="103" customWidth="1"/>
    <col min="3846" max="3846" width="12.26953125" style="103" customWidth="1"/>
    <col min="3847" max="3847" width="13.26953125" style="103" customWidth="1"/>
    <col min="3848" max="3848" width="16.81640625" style="103" bestFit="1" customWidth="1"/>
    <col min="3849" max="3850" width="12.1796875" style="103" customWidth="1"/>
    <col min="3851" max="3853" width="13.1796875" style="103" customWidth="1"/>
    <col min="3854" max="3854" width="13.54296875" style="103" customWidth="1"/>
    <col min="3855" max="3855" width="12.7265625" style="103" customWidth="1"/>
    <col min="3856" max="3856" width="11.1796875" style="103" customWidth="1"/>
    <col min="3857" max="3857" width="7.54296875" style="103" customWidth="1"/>
    <col min="3858" max="4096" width="8.81640625" style="103"/>
    <col min="4097" max="4097" width="0" style="103" hidden="1" customWidth="1"/>
    <col min="4098" max="4098" width="22.54296875" style="103" customWidth="1"/>
    <col min="4099" max="4099" width="2.453125" style="103" customWidth="1"/>
    <col min="4100" max="4100" width="11.26953125" style="103" customWidth="1"/>
    <col min="4101" max="4101" width="12.81640625" style="103" customWidth="1"/>
    <col min="4102" max="4102" width="12.26953125" style="103" customWidth="1"/>
    <col min="4103" max="4103" width="13.26953125" style="103" customWidth="1"/>
    <col min="4104" max="4104" width="16.81640625" style="103" bestFit="1" customWidth="1"/>
    <col min="4105" max="4106" width="12.1796875" style="103" customWidth="1"/>
    <col min="4107" max="4109" width="13.1796875" style="103" customWidth="1"/>
    <col min="4110" max="4110" width="13.54296875" style="103" customWidth="1"/>
    <col min="4111" max="4111" width="12.7265625" style="103" customWidth="1"/>
    <col min="4112" max="4112" width="11.1796875" style="103" customWidth="1"/>
    <col min="4113" max="4113" width="7.54296875" style="103" customWidth="1"/>
    <col min="4114" max="4352" width="8.81640625" style="103"/>
    <col min="4353" max="4353" width="0" style="103" hidden="1" customWidth="1"/>
    <col min="4354" max="4354" width="22.54296875" style="103" customWidth="1"/>
    <col min="4355" max="4355" width="2.453125" style="103" customWidth="1"/>
    <col min="4356" max="4356" width="11.26953125" style="103" customWidth="1"/>
    <col min="4357" max="4357" width="12.81640625" style="103" customWidth="1"/>
    <col min="4358" max="4358" width="12.26953125" style="103" customWidth="1"/>
    <col min="4359" max="4359" width="13.26953125" style="103" customWidth="1"/>
    <col min="4360" max="4360" width="16.81640625" style="103" bestFit="1" customWidth="1"/>
    <col min="4361" max="4362" width="12.1796875" style="103" customWidth="1"/>
    <col min="4363" max="4365" width="13.1796875" style="103" customWidth="1"/>
    <col min="4366" max="4366" width="13.54296875" style="103" customWidth="1"/>
    <col min="4367" max="4367" width="12.7265625" style="103" customWidth="1"/>
    <col min="4368" max="4368" width="11.1796875" style="103" customWidth="1"/>
    <col min="4369" max="4369" width="7.54296875" style="103" customWidth="1"/>
    <col min="4370" max="4608" width="8.81640625" style="103"/>
    <col min="4609" max="4609" width="0" style="103" hidden="1" customWidth="1"/>
    <col min="4610" max="4610" width="22.54296875" style="103" customWidth="1"/>
    <col min="4611" max="4611" width="2.453125" style="103" customWidth="1"/>
    <col min="4612" max="4612" width="11.26953125" style="103" customWidth="1"/>
    <col min="4613" max="4613" width="12.81640625" style="103" customWidth="1"/>
    <col min="4614" max="4614" width="12.26953125" style="103" customWidth="1"/>
    <col min="4615" max="4615" width="13.26953125" style="103" customWidth="1"/>
    <col min="4616" max="4616" width="16.81640625" style="103" bestFit="1" customWidth="1"/>
    <col min="4617" max="4618" width="12.1796875" style="103" customWidth="1"/>
    <col min="4619" max="4621" width="13.1796875" style="103" customWidth="1"/>
    <col min="4622" max="4622" width="13.54296875" style="103" customWidth="1"/>
    <col min="4623" max="4623" width="12.7265625" style="103" customWidth="1"/>
    <col min="4624" max="4624" width="11.1796875" style="103" customWidth="1"/>
    <col min="4625" max="4625" width="7.54296875" style="103" customWidth="1"/>
    <col min="4626" max="4864" width="8.81640625" style="103"/>
    <col min="4865" max="4865" width="0" style="103" hidden="1" customWidth="1"/>
    <col min="4866" max="4866" width="22.54296875" style="103" customWidth="1"/>
    <col min="4867" max="4867" width="2.453125" style="103" customWidth="1"/>
    <col min="4868" max="4868" width="11.26953125" style="103" customWidth="1"/>
    <col min="4869" max="4869" width="12.81640625" style="103" customWidth="1"/>
    <col min="4870" max="4870" width="12.26953125" style="103" customWidth="1"/>
    <col min="4871" max="4871" width="13.26953125" style="103" customWidth="1"/>
    <col min="4872" max="4872" width="16.81640625" style="103" bestFit="1" customWidth="1"/>
    <col min="4873" max="4874" width="12.1796875" style="103" customWidth="1"/>
    <col min="4875" max="4877" width="13.1796875" style="103" customWidth="1"/>
    <col min="4878" max="4878" width="13.54296875" style="103" customWidth="1"/>
    <col min="4879" max="4879" width="12.7265625" style="103" customWidth="1"/>
    <col min="4880" max="4880" width="11.1796875" style="103" customWidth="1"/>
    <col min="4881" max="4881" width="7.54296875" style="103" customWidth="1"/>
    <col min="4882" max="5120" width="8.81640625" style="103"/>
    <col min="5121" max="5121" width="0" style="103" hidden="1" customWidth="1"/>
    <col min="5122" max="5122" width="22.54296875" style="103" customWidth="1"/>
    <col min="5123" max="5123" width="2.453125" style="103" customWidth="1"/>
    <col min="5124" max="5124" width="11.26953125" style="103" customWidth="1"/>
    <col min="5125" max="5125" width="12.81640625" style="103" customWidth="1"/>
    <col min="5126" max="5126" width="12.26953125" style="103" customWidth="1"/>
    <col min="5127" max="5127" width="13.26953125" style="103" customWidth="1"/>
    <col min="5128" max="5128" width="16.81640625" style="103" bestFit="1" customWidth="1"/>
    <col min="5129" max="5130" width="12.1796875" style="103" customWidth="1"/>
    <col min="5131" max="5133" width="13.1796875" style="103" customWidth="1"/>
    <col min="5134" max="5134" width="13.54296875" style="103" customWidth="1"/>
    <col min="5135" max="5135" width="12.7265625" style="103" customWidth="1"/>
    <col min="5136" max="5136" width="11.1796875" style="103" customWidth="1"/>
    <col min="5137" max="5137" width="7.54296875" style="103" customWidth="1"/>
    <col min="5138" max="5376" width="8.81640625" style="103"/>
    <col min="5377" max="5377" width="0" style="103" hidden="1" customWidth="1"/>
    <col min="5378" max="5378" width="22.54296875" style="103" customWidth="1"/>
    <col min="5379" max="5379" width="2.453125" style="103" customWidth="1"/>
    <col min="5380" max="5380" width="11.26953125" style="103" customWidth="1"/>
    <col min="5381" max="5381" width="12.81640625" style="103" customWidth="1"/>
    <col min="5382" max="5382" width="12.26953125" style="103" customWidth="1"/>
    <col min="5383" max="5383" width="13.26953125" style="103" customWidth="1"/>
    <col min="5384" max="5384" width="16.81640625" style="103" bestFit="1" customWidth="1"/>
    <col min="5385" max="5386" width="12.1796875" style="103" customWidth="1"/>
    <col min="5387" max="5389" width="13.1796875" style="103" customWidth="1"/>
    <col min="5390" max="5390" width="13.54296875" style="103" customWidth="1"/>
    <col min="5391" max="5391" width="12.7265625" style="103" customWidth="1"/>
    <col min="5392" max="5392" width="11.1796875" style="103" customWidth="1"/>
    <col min="5393" max="5393" width="7.54296875" style="103" customWidth="1"/>
    <col min="5394" max="5632" width="8.81640625" style="103"/>
    <col min="5633" max="5633" width="0" style="103" hidden="1" customWidth="1"/>
    <col min="5634" max="5634" width="22.54296875" style="103" customWidth="1"/>
    <col min="5635" max="5635" width="2.453125" style="103" customWidth="1"/>
    <col min="5636" max="5636" width="11.26953125" style="103" customWidth="1"/>
    <col min="5637" max="5637" width="12.81640625" style="103" customWidth="1"/>
    <col min="5638" max="5638" width="12.26953125" style="103" customWidth="1"/>
    <col min="5639" max="5639" width="13.26953125" style="103" customWidth="1"/>
    <col min="5640" max="5640" width="16.81640625" style="103" bestFit="1" customWidth="1"/>
    <col min="5641" max="5642" width="12.1796875" style="103" customWidth="1"/>
    <col min="5643" max="5645" width="13.1796875" style="103" customWidth="1"/>
    <col min="5646" max="5646" width="13.54296875" style="103" customWidth="1"/>
    <col min="5647" max="5647" width="12.7265625" style="103" customWidth="1"/>
    <col min="5648" max="5648" width="11.1796875" style="103" customWidth="1"/>
    <col min="5649" max="5649" width="7.54296875" style="103" customWidth="1"/>
    <col min="5650" max="5888" width="8.81640625" style="103"/>
    <col min="5889" max="5889" width="0" style="103" hidden="1" customWidth="1"/>
    <col min="5890" max="5890" width="22.54296875" style="103" customWidth="1"/>
    <col min="5891" max="5891" width="2.453125" style="103" customWidth="1"/>
    <col min="5892" max="5892" width="11.26953125" style="103" customWidth="1"/>
    <col min="5893" max="5893" width="12.81640625" style="103" customWidth="1"/>
    <col min="5894" max="5894" width="12.26953125" style="103" customWidth="1"/>
    <col min="5895" max="5895" width="13.26953125" style="103" customWidth="1"/>
    <col min="5896" max="5896" width="16.81640625" style="103" bestFit="1" customWidth="1"/>
    <col min="5897" max="5898" width="12.1796875" style="103" customWidth="1"/>
    <col min="5899" max="5901" width="13.1796875" style="103" customWidth="1"/>
    <col min="5902" max="5902" width="13.54296875" style="103" customWidth="1"/>
    <col min="5903" max="5903" width="12.7265625" style="103" customWidth="1"/>
    <col min="5904" max="5904" width="11.1796875" style="103" customWidth="1"/>
    <col min="5905" max="5905" width="7.54296875" style="103" customWidth="1"/>
    <col min="5906" max="6144" width="8.81640625" style="103"/>
    <col min="6145" max="6145" width="0" style="103" hidden="1" customWidth="1"/>
    <col min="6146" max="6146" width="22.54296875" style="103" customWidth="1"/>
    <col min="6147" max="6147" width="2.453125" style="103" customWidth="1"/>
    <col min="6148" max="6148" width="11.26953125" style="103" customWidth="1"/>
    <col min="6149" max="6149" width="12.81640625" style="103" customWidth="1"/>
    <col min="6150" max="6150" width="12.26953125" style="103" customWidth="1"/>
    <col min="6151" max="6151" width="13.26953125" style="103" customWidth="1"/>
    <col min="6152" max="6152" width="16.81640625" style="103" bestFit="1" customWidth="1"/>
    <col min="6153" max="6154" width="12.1796875" style="103" customWidth="1"/>
    <col min="6155" max="6157" width="13.1796875" style="103" customWidth="1"/>
    <col min="6158" max="6158" width="13.54296875" style="103" customWidth="1"/>
    <col min="6159" max="6159" width="12.7265625" style="103" customWidth="1"/>
    <col min="6160" max="6160" width="11.1796875" style="103" customWidth="1"/>
    <col min="6161" max="6161" width="7.54296875" style="103" customWidth="1"/>
    <col min="6162" max="6400" width="8.81640625" style="103"/>
    <col min="6401" max="6401" width="0" style="103" hidden="1" customWidth="1"/>
    <col min="6402" max="6402" width="22.54296875" style="103" customWidth="1"/>
    <col min="6403" max="6403" width="2.453125" style="103" customWidth="1"/>
    <col min="6404" max="6404" width="11.26953125" style="103" customWidth="1"/>
    <col min="6405" max="6405" width="12.81640625" style="103" customWidth="1"/>
    <col min="6406" max="6406" width="12.26953125" style="103" customWidth="1"/>
    <col min="6407" max="6407" width="13.26953125" style="103" customWidth="1"/>
    <col min="6408" max="6408" width="16.81640625" style="103" bestFit="1" customWidth="1"/>
    <col min="6409" max="6410" width="12.1796875" style="103" customWidth="1"/>
    <col min="6411" max="6413" width="13.1796875" style="103" customWidth="1"/>
    <col min="6414" max="6414" width="13.54296875" style="103" customWidth="1"/>
    <col min="6415" max="6415" width="12.7265625" style="103" customWidth="1"/>
    <col min="6416" max="6416" width="11.1796875" style="103" customWidth="1"/>
    <col min="6417" max="6417" width="7.54296875" style="103" customWidth="1"/>
    <col min="6418" max="6656" width="8.81640625" style="103"/>
    <col min="6657" max="6657" width="0" style="103" hidden="1" customWidth="1"/>
    <col min="6658" max="6658" width="22.54296875" style="103" customWidth="1"/>
    <col min="6659" max="6659" width="2.453125" style="103" customWidth="1"/>
    <col min="6660" max="6660" width="11.26953125" style="103" customWidth="1"/>
    <col min="6661" max="6661" width="12.81640625" style="103" customWidth="1"/>
    <col min="6662" max="6662" width="12.26953125" style="103" customWidth="1"/>
    <col min="6663" max="6663" width="13.26953125" style="103" customWidth="1"/>
    <col min="6664" max="6664" width="16.81640625" style="103" bestFit="1" customWidth="1"/>
    <col min="6665" max="6666" width="12.1796875" style="103" customWidth="1"/>
    <col min="6667" max="6669" width="13.1796875" style="103" customWidth="1"/>
    <col min="6670" max="6670" width="13.54296875" style="103" customWidth="1"/>
    <col min="6671" max="6671" width="12.7265625" style="103" customWidth="1"/>
    <col min="6672" max="6672" width="11.1796875" style="103" customWidth="1"/>
    <col min="6673" max="6673" width="7.54296875" style="103" customWidth="1"/>
    <col min="6674" max="6912" width="8.81640625" style="103"/>
    <col min="6913" max="6913" width="0" style="103" hidden="1" customWidth="1"/>
    <col min="6914" max="6914" width="22.54296875" style="103" customWidth="1"/>
    <col min="6915" max="6915" width="2.453125" style="103" customWidth="1"/>
    <col min="6916" max="6916" width="11.26953125" style="103" customWidth="1"/>
    <col min="6917" max="6917" width="12.81640625" style="103" customWidth="1"/>
    <col min="6918" max="6918" width="12.26953125" style="103" customWidth="1"/>
    <col min="6919" max="6919" width="13.26953125" style="103" customWidth="1"/>
    <col min="6920" max="6920" width="16.81640625" style="103" bestFit="1" customWidth="1"/>
    <col min="6921" max="6922" width="12.1796875" style="103" customWidth="1"/>
    <col min="6923" max="6925" width="13.1796875" style="103" customWidth="1"/>
    <col min="6926" max="6926" width="13.54296875" style="103" customWidth="1"/>
    <col min="6927" max="6927" width="12.7265625" style="103" customWidth="1"/>
    <col min="6928" max="6928" width="11.1796875" style="103" customWidth="1"/>
    <col min="6929" max="6929" width="7.54296875" style="103" customWidth="1"/>
    <col min="6930" max="7168" width="8.81640625" style="103"/>
    <col min="7169" max="7169" width="0" style="103" hidden="1" customWidth="1"/>
    <col min="7170" max="7170" width="22.54296875" style="103" customWidth="1"/>
    <col min="7171" max="7171" width="2.453125" style="103" customWidth="1"/>
    <col min="7172" max="7172" width="11.26953125" style="103" customWidth="1"/>
    <col min="7173" max="7173" width="12.81640625" style="103" customWidth="1"/>
    <col min="7174" max="7174" width="12.26953125" style="103" customWidth="1"/>
    <col min="7175" max="7175" width="13.26953125" style="103" customWidth="1"/>
    <col min="7176" max="7176" width="16.81640625" style="103" bestFit="1" customWidth="1"/>
    <col min="7177" max="7178" width="12.1796875" style="103" customWidth="1"/>
    <col min="7179" max="7181" width="13.1796875" style="103" customWidth="1"/>
    <col min="7182" max="7182" width="13.54296875" style="103" customWidth="1"/>
    <col min="7183" max="7183" width="12.7265625" style="103" customWidth="1"/>
    <col min="7184" max="7184" width="11.1796875" style="103" customWidth="1"/>
    <col min="7185" max="7185" width="7.54296875" style="103" customWidth="1"/>
    <col min="7186" max="7424" width="8.81640625" style="103"/>
    <col min="7425" max="7425" width="0" style="103" hidden="1" customWidth="1"/>
    <col min="7426" max="7426" width="22.54296875" style="103" customWidth="1"/>
    <col min="7427" max="7427" width="2.453125" style="103" customWidth="1"/>
    <col min="7428" max="7428" width="11.26953125" style="103" customWidth="1"/>
    <col min="7429" max="7429" width="12.81640625" style="103" customWidth="1"/>
    <col min="7430" max="7430" width="12.26953125" style="103" customWidth="1"/>
    <col min="7431" max="7431" width="13.26953125" style="103" customWidth="1"/>
    <col min="7432" max="7432" width="16.81640625" style="103" bestFit="1" customWidth="1"/>
    <col min="7433" max="7434" width="12.1796875" style="103" customWidth="1"/>
    <col min="7435" max="7437" width="13.1796875" style="103" customWidth="1"/>
    <col min="7438" max="7438" width="13.54296875" style="103" customWidth="1"/>
    <col min="7439" max="7439" width="12.7265625" style="103" customWidth="1"/>
    <col min="7440" max="7440" width="11.1796875" style="103" customWidth="1"/>
    <col min="7441" max="7441" width="7.54296875" style="103" customWidth="1"/>
    <col min="7442" max="7680" width="8.81640625" style="103"/>
    <col min="7681" max="7681" width="0" style="103" hidden="1" customWidth="1"/>
    <col min="7682" max="7682" width="22.54296875" style="103" customWidth="1"/>
    <col min="7683" max="7683" width="2.453125" style="103" customWidth="1"/>
    <col min="7684" max="7684" width="11.26953125" style="103" customWidth="1"/>
    <col min="7685" max="7685" width="12.81640625" style="103" customWidth="1"/>
    <col min="7686" max="7686" width="12.26953125" style="103" customWidth="1"/>
    <col min="7687" max="7687" width="13.26953125" style="103" customWidth="1"/>
    <col min="7688" max="7688" width="16.81640625" style="103" bestFit="1" customWidth="1"/>
    <col min="7689" max="7690" width="12.1796875" style="103" customWidth="1"/>
    <col min="7691" max="7693" width="13.1796875" style="103" customWidth="1"/>
    <col min="7694" max="7694" width="13.54296875" style="103" customWidth="1"/>
    <col min="7695" max="7695" width="12.7265625" style="103" customWidth="1"/>
    <col min="7696" max="7696" width="11.1796875" style="103" customWidth="1"/>
    <col min="7697" max="7697" width="7.54296875" style="103" customWidth="1"/>
    <col min="7698" max="7936" width="8.81640625" style="103"/>
    <col min="7937" max="7937" width="0" style="103" hidden="1" customWidth="1"/>
    <col min="7938" max="7938" width="22.54296875" style="103" customWidth="1"/>
    <col min="7939" max="7939" width="2.453125" style="103" customWidth="1"/>
    <col min="7940" max="7940" width="11.26953125" style="103" customWidth="1"/>
    <col min="7941" max="7941" width="12.81640625" style="103" customWidth="1"/>
    <col min="7942" max="7942" width="12.26953125" style="103" customWidth="1"/>
    <col min="7943" max="7943" width="13.26953125" style="103" customWidth="1"/>
    <col min="7944" max="7944" width="16.81640625" style="103" bestFit="1" customWidth="1"/>
    <col min="7945" max="7946" width="12.1796875" style="103" customWidth="1"/>
    <col min="7947" max="7949" width="13.1796875" style="103" customWidth="1"/>
    <col min="7950" max="7950" width="13.54296875" style="103" customWidth="1"/>
    <col min="7951" max="7951" width="12.7265625" style="103" customWidth="1"/>
    <col min="7952" max="7952" width="11.1796875" style="103" customWidth="1"/>
    <col min="7953" max="7953" width="7.54296875" style="103" customWidth="1"/>
    <col min="7954" max="8192" width="8.81640625" style="103"/>
    <col min="8193" max="8193" width="0" style="103" hidden="1" customWidth="1"/>
    <col min="8194" max="8194" width="22.54296875" style="103" customWidth="1"/>
    <col min="8195" max="8195" width="2.453125" style="103" customWidth="1"/>
    <col min="8196" max="8196" width="11.26953125" style="103" customWidth="1"/>
    <col min="8197" max="8197" width="12.81640625" style="103" customWidth="1"/>
    <col min="8198" max="8198" width="12.26953125" style="103" customWidth="1"/>
    <col min="8199" max="8199" width="13.26953125" style="103" customWidth="1"/>
    <col min="8200" max="8200" width="16.81640625" style="103" bestFit="1" customWidth="1"/>
    <col min="8201" max="8202" width="12.1796875" style="103" customWidth="1"/>
    <col min="8203" max="8205" width="13.1796875" style="103" customWidth="1"/>
    <col min="8206" max="8206" width="13.54296875" style="103" customWidth="1"/>
    <col min="8207" max="8207" width="12.7265625" style="103" customWidth="1"/>
    <col min="8208" max="8208" width="11.1796875" style="103" customWidth="1"/>
    <col min="8209" max="8209" width="7.54296875" style="103" customWidth="1"/>
    <col min="8210" max="8448" width="8.81640625" style="103"/>
    <col min="8449" max="8449" width="0" style="103" hidden="1" customWidth="1"/>
    <col min="8450" max="8450" width="22.54296875" style="103" customWidth="1"/>
    <col min="8451" max="8451" width="2.453125" style="103" customWidth="1"/>
    <col min="8452" max="8452" width="11.26953125" style="103" customWidth="1"/>
    <col min="8453" max="8453" width="12.81640625" style="103" customWidth="1"/>
    <col min="8454" max="8454" width="12.26953125" style="103" customWidth="1"/>
    <col min="8455" max="8455" width="13.26953125" style="103" customWidth="1"/>
    <col min="8456" max="8456" width="16.81640625" style="103" bestFit="1" customWidth="1"/>
    <col min="8457" max="8458" width="12.1796875" style="103" customWidth="1"/>
    <col min="8459" max="8461" width="13.1796875" style="103" customWidth="1"/>
    <col min="8462" max="8462" width="13.54296875" style="103" customWidth="1"/>
    <col min="8463" max="8463" width="12.7265625" style="103" customWidth="1"/>
    <col min="8464" max="8464" width="11.1796875" style="103" customWidth="1"/>
    <col min="8465" max="8465" width="7.54296875" style="103" customWidth="1"/>
    <col min="8466" max="8704" width="8.81640625" style="103"/>
    <col min="8705" max="8705" width="0" style="103" hidden="1" customWidth="1"/>
    <col min="8706" max="8706" width="22.54296875" style="103" customWidth="1"/>
    <col min="8707" max="8707" width="2.453125" style="103" customWidth="1"/>
    <col min="8708" max="8708" width="11.26953125" style="103" customWidth="1"/>
    <col min="8709" max="8709" width="12.81640625" style="103" customWidth="1"/>
    <col min="8710" max="8710" width="12.26953125" style="103" customWidth="1"/>
    <col min="8711" max="8711" width="13.26953125" style="103" customWidth="1"/>
    <col min="8712" max="8712" width="16.81640625" style="103" bestFit="1" customWidth="1"/>
    <col min="8713" max="8714" width="12.1796875" style="103" customWidth="1"/>
    <col min="8715" max="8717" width="13.1796875" style="103" customWidth="1"/>
    <col min="8718" max="8718" width="13.54296875" style="103" customWidth="1"/>
    <col min="8719" max="8719" width="12.7265625" style="103" customWidth="1"/>
    <col min="8720" max="8720" width="11.1796875" style="103" customWidth="1"/>
    <col min="8721" max="8721" width="7.54296875" style="103" customWidth="1"/>
    <col min="8722" max="8960" width="8.81640625" style="103"/>
    <col min="8961" max="8961" width="0" style="103" hidden="1" customWidth="1"/>
    <col min="8962" max="8962" width="22.54296875" style="103" customWidth="1"/>
    <col min="8963" max="8963" width="2.453125" style="103" customWidth="1"/>
    <col min="8964" max="8964" width="11.26953125" style="103" customWidth="1"/>
    <col min="8965" max="8965" width="12.81640625" style="103" customWidth="1"/>
    <col min="8966" max="8966" width="12.26953125" style="103" customWidth="1"/>
    <col min="8967" max="8967" width="13.26953125" style="103" customWidth="1"/>
    <col min="8968" max="8968" width="16.81640625" style="103" bestFit="1" customWidth="1"/>
    <col min="8969" max="8970" width="12.1796875" style="103" customWidth="1"/>
    <col min="8971" max="8973" width="13.1796875" style="103" customWidth="1"/>
    <col min="8974" max="8974" width="13.54296875" style="103" customWidth="1"/>
    <col min="8975" max="8975" width="12.7265625" style="103" customWidth="1"/>
    <col min="8976" max="8976" width="11.1796875" style="103" customWidth="1"/>
    <col min="8977" max="8977" width="7.54296875" style="103" customWidth="1"/>
    <col min="8978" max="9216" width="8.81640625" style="103"/>
    <col min="9217" max="9217" width="0" style="103" hidden="1" customWidth="1"/>
    <col min="9218" max="9218" width="22.54296875" style="103" customWidth="1"/>
    <col min="9219" max="9219" width="2.453125" style="103" customWidth="1"/>
    <col min="9220" max="9220" width="11.26953125" style="103" customWidth="1"/>
    <col min="9221" max="9221" width="12.81640625" style="103" customWidth="1"/>
    <col min="9222" max="9222" width="12.26953125" style="103" customWidth="1"/>
    <col min="9223" max="9223" width="13.26953125" style="103" customWidth="1"/>
    <col min="9224" max="9224" width="16.81640625" style="103" bestFit="1" customWidth="1"/>
    <col min="9225" max="9226" width="12.1796875" style="103" customWidth="1"/>
    <col min="9227" max="9229" width="13.1796875" style="103" customWidth="1"/>
    <col min="9230" max="9230" width="13.54296875" style="103" customWidth="1"/>
    <col min="9231" max="9231" width="12.7265625" style="103" customWidth="1"/>
    <col min="9232" max="9232" width="11.1796875" style="103" customWidth="1"/>
    <col min="9233" max="9233" width="7.54296875" style="103" customWidth="1"/>
    <col min="9234" max="9472" width="8.81640625" style="103"/>
    <col min="9473" max="9473" width="0" style="103" hidden="1" customWidth="1"/>
    <col min="9474" max="9474" width="22.54296875" style="103" customWidth="1"/>
    <col min="9475" max="9475" width="2.453125" style="103" customWidth="1"/>
    <col min="9476" max="9476" width="11.26953125" style="103" customWidth="1"/>
    <col min="9477" max="9477" width="12.81640625" style="103" customWidth="1"/>
    <col min="9478" max="9478" width="12.26953125" style="103" customWidth="1"/>
    <col min="9479" max="9479" width="13.26953125" style="103" customWidth="1"/>
    <col min="9480" max="9480" width="16.81640625" style="103" bestFit="1" customWidth="1"/>
    <col min="9481" max="9482" width="12.1796875" style="103" customWidth="1"/>
    <col min="9483" max="9485" width="13.1796875" style="103" customWidth="1"/>
    <col min="9486" max="9486" width="13.54296875" style="103" customWidth="1"/>
    <col min="9487" max="9487" width="12.7265625" style="103" customWidth="1"/>
    <col min="9488" max="9488" width="11.1796875" style="103" customWidth="1"/>
    <col min="9489" max="9489" width="7.54296875" style="103" customWidth="1"/>
    <col min="9490" max="9728" width="8.81640625" style="103"/>
    <col min="9729" max="9729" width="0" style="103" hidden="1" customWidth="1"/>
    <col min="9730" max="9730" width="22.54296875" style="103" customWidth="1"/>
    <col min="9731" max="9731" width="2.453125" style="103" customWidth="1"/>
    <col min="9732" max="9732" width="11.26953125" style="103" customWidth="1"/>
    <col min="9733" max="9733" width="12.81640625" style="103" customWidth="1"/>
    <col min="9734" max="9734" width="12.26953125" style="103" customWidth="1"/>
    <col min="9735" max="9735" width="13.26953125" style="103" customWidth="1"/>
    <col min="9736" max="9736" width="16.81640625" style="103" bestFit="1" customWidth="1"/>
    <col min="9737" max="9738" width="12.1796875" style="103" customWidth="1"/>
    <col min="9739" max="9741" width="13.1796875" style="103" customWidth="1"/>
    <col min="9742" max="9742" width="13.54296875" style="103" customWidth="1"/>
    <col min="9743" max="9743" width="12.7265625" style="103" customWidth="1"/>
    <col min="9744" max="9744" width="11.1796875" style="103" customWidth="1"/>
    <col min="9745" max="9745" width="7.54296875" style="103" customWidth="1"/>
    <col min="9746" max="9984" width="8.81640625" style="103"/>
    <col min="9985" max="9985" width="0" style="103" hidden="1" customWidth="1"/>
    <col min="9986" max="9986" width="22.54296875" style="103" customWidth="1"/>
    <col min="9987" max="9987" width="2.453125" style="103" customWidth="1"/>
    <col min="9988" max="9988" width="11.26953125" style="103" customWidth="1"/>
    <col min="9989" max="9989" width="12.81640625" style="103" customWidth="1"/>
    <col min="9990" max="9990" width="12.26953125" style="103" customWidth="1"/>
    <col min="9991" max="9991" width="13.26953125" style="103" customWidth="1"/>
    <col min="9992" max="9992" width="16.81640625" style="103" bestFit="1" customWidth="1"/>
    <col min="9993" max="9994" width="12.1796875" style="103" customWidth="1"/>
    <col min="9995" max="9997" width="13.1796875" style="103" customWidth="1"/>
    <col min="9998" max="9998" width="13.54296875" style="103" customWidth="1"/>
    <col min="9999" max="9999" width="12.7265625" style="103" customWidth="1"/>
    <col min="10000" max="10000" width="11.1796875" style="103" customWidth="1"/>
    <col min="10001" max="10001" width="7.54296875" style="103" customWidth="1"/>
    <col min="10002" max="10240" width="8.81640625" style="103"/>
    <col min="10241" max="10241" width="0" style="103" hidden="1" customWidth="1"/>
    <col min="10242" max="10242" width="22.54296875" style="103" customWidth="1"/>
    <col min="10243" max="10243" width="2.453125" style="103" customWidth="1"/>
    <col min="10244" max="10244" width="11.26953125" style="103" customWidth="1"/>
    <col min="10245" max="10245" width="12.81640625" style="103" customWidth="1"/>
    <col min="10246" max="10246" width="12.26953125" style="103" customWidth="1"/>
    <col min="10247" max="10247" width="13.26953125" style="103" customWidth="1"/>
    <col min="10248" max="10248" width="16.81640625" style="103" bestFit="1" customWidth="1"/>
    <col min="10249" max="10250" width="12.1796875" style="103" customWidth="1"/>
    <col min="10251" max="10253" width="13.1796875" style="103" customWidth="1"/>
    <col min="10254" max="10254" width="13.54296875" style="103" customWidth="1"/>
    <col min="10255" max="10255" width="12.7265625" style="103" customWidth="1"/>
    <col min="10256" max="10256" width="11.1796875" style="103" customWidth="1"/>
    <col min="10257" max="10257" width="7.54296875" style="103" customWidth="1"/>
    <col min="10258" max="10496" width="8.81640625" style="103"/>
    <col min="10497" max="10497" width="0" style="103" hidden="1" customWidth="1"/>
    <col min="10498" max="10498" width="22.54296875" style="103" customWidth="1"/>
    <col min="10499" max="10499" width="2.453125" style="103" customWidth="1"/>
    <col min="10500" max="10500" width="11.26953125" style="103" customWidth="1"/>
    <col min="10501" max="10501" width="12.81640625" style="103" customWidth="1"/>
    <col min="10502" max="10502" width="12.26953125" style="103" customWidth="1"/>
    <col min="10503" max="10503" width="13.26953125" style="103" customWidth="1"/>
    <col min="10504" max="10504" width="16.81640625" style="103" bestFit="1" customWidth="1"/>
    <col min="10505" max="10506" width="12.1796875" style="103" customWidth="1"/>
    <col min="10507" max="10509" width="13.1796875" style="103" customWidth="1"/>
    <col min="10510" max="10510" width="13.54296875" style="103" customWidth="1"/>
    <col min="10511" max="10511" width="12.7265625" style="103" customWidth="1"/>
    <col min="10512" max="10512" width="11.1796875" style="103" customWidth="1"/>
    <col min="10513" max="10513" width="7.54296875" style="103" customWidth="1"/>
    <col min="10514" max="10752" width="8.81640625" style="103"/>
    <col min="10753" max="10753" width="0" style="103" hidden="1" customWidth="1"/>
    <col min="10754" max="10754" width="22.54296875" style="103" customWidth="1"/>
    <col min="10755" max="10755" width="2.453125" style="103" customWidth="1"/>
    <col min="10756" max="10756" width="11.26953125" style="103" customWidth="1"/>
    <col min="10757" max="10757" width="12.81640625" style="103" customWidth="1"/>
    <col min="10758" max="10758" width="12.26953125" style="103" customWidth="1"/>
    <col min="10759" max="10759" width="13.26953125" style="103" customWidth="1"/>
    <col min="10760" max="10760" width="16.81640625" style="103" bestFit="1" customWidth="1"/>
    <col min="10761" max="10762" width="12.1796875" style="103" customWidth="1"/>
    <col min="10763" max="10765" width="13.1796875" style="103" customWidth="1"/>
    <col min="10766" max="10766" width="13.54296875" style="103" customWidth="1"/>
    <col min="10767" max="10767" width="12.7265625" style="103" customWidth="1"/>
    <col min="10768" max="10768" width="11.1796875" style="103" customWidth="1"/>
    <col min="10769" max="10769" width="7.54296875" style="103" customWidth="1"/>
    <col min="10770" max="11008" width="8.81640625" style="103"/>
    <col min="11009" max="11009" width="0" style="103" hidden="1" customWidth="1"/>
    <col min="11010" max="11010" width="22.54296875" style="103" customWidth="1"/>
    <col min="11011" max="11011" width="2.453125" style="103" customWidth="1"/>
    <col min="11012" max="11012" width="11.26953125" style="103" customWidth="1"/>
    <col min="11013" max="11013" width="12.81640625" style="103" customWidth="1"/>
    <col min="11014" max="11014" width="12.26953125" style="103" customWidth="1"/>
    <col min="11015" max="11015" width="13.26953125" style="103" customWidth="1"/>
    <col min="11016" max="11016" width="16.81640625" style="103" bestFit="1" customWidth="1"/>
    <col min="11017" max="11018" width="12.1796875" style="103" customWidth="1"/>
    <col min="11019" max="11021" width="13.1796875" style="103" customWidth="1"/>
    <col min="11022" max="11022" width="13.54296875" style="103" customWidth="1"/>
    <col min="11023" max="11023" width="12.7265625" style="103" customWidth="1"/>
    <col min="11024" max="11024" width="11.1796875" style="103" customWidth="1"/>
    <col min="11025" max="11025" width="7.54296875" style="103" customWidth="1"/>
    <col min="11026" max="11264" width="8.81640625" style="103"/>
    <col min="11265" max="11265" width="0" style="103" hidden="1" customWidth="1"/>
    <col min="11266" max="11266" width="22.54296875" style="103" customWidth="1"/>
    <col min="11267" max="11267" width="2.453125" style="103" customWidth="1"/>
    <col min="11268" max="11268" width="11.26953125" style="103" customWidth="1"/>
    <col min="11269" max="11269" width="12.81640625" style="103" customWidth="1"/>
    <col min="11270" max="11270" width="12.26953125" style="103" customWidth="1"/>
    <col min="11271" max="11271" width="13.26953125" style="103" customWidth="1"/>
    <col min="11272" max="11272" width="16.81640625" style="103" bestFit="1" customWidth="1"/>
    <col min="11273" max="11274" width="12.1796875" style="103" customWidth="1"/>
    <col min="11275" max="11277" width="13.1796875" style="103" customWidth="1"/>
    <col min="11278" max="11278" width="13.54296875" style="103" customWidth="1"/>
    <col min="11279" max="11279" width="12.7265625" style="103" customWidth="1"/>
    <col min="11280" max="11280" width="11.1796875" style="103" customWidth="1"/>
    <col min="11281" max="11281" width="7.54296875" style="103" customWidth="1"/>
    <col min="11282" max="11520" width="8.81640625" style="103"/>
    <col min="11521" max="11521" width="0" style="103" hidden="1" customWidth="1"/>
    <col min="11522" max="11522" width="22.54296875" style="103" customWidth="1"/>
    <col min="11523" max="11523" width="2.453125" style="103" customWidth="1"/>
    <col min="11524" max="11524" width="11.26953125" style="103" customWidth="1"/>
    <col min="11525" max="11525" width="12.81640625" style="103" customWidth="1"/>
    <col min="11526" max="11526" width="12.26953125" style="103" customWidth="1"/>
    <col min="11527" max="11527" width="13.26953125" style="103" customWidth="1"/>
    <col min="11528" max="11528" width="16.81640625" style="103" bestFit="1" customWidth="1"/>
    <col min="11529" max="11530" width="12.1796875" style="103" customWidth="1"/>
    <col min="11531" max="11533" width="13.1796875" style="103" customWidth="1"/>
    <col min="11534" max="11534" width="13.54296875" style="103" customWidth="1"/>
    <col min="11535" max="11535" width="12.7265625" style="103" customWidth="1"/>
    <col min="11536" max="11536" width="11.1796875" style="103" customWidth="1"/>
    <col min="11537" max="11537" width="7.54296875" style="103" customWidth="1"/>
    <col min="11538" max="11776" width="8.81640625" style="103"/>
    <col min="11777" max="11777" width="0" style="103" hidden="1" customWidth="1"/>
    <col min="11778" max="11778" width="22.54296875" style="103" customWidth="1"/>
    <col min="11779" max="11779" width="2.453125" style="103" customWidth="1"/>
    <col min="11780" max="11780" width="11.26953125" style="103" customWidth="1"/>
    <col min="11781" max="11781" width="12.81640625" style="103" customWidth="1"/>
    <col min="11782" max="11782" width="12.26953125" style="103" customWidth="1"/>
    <col min="11783" max="11783" width="13.26953125" style="103" customWidth="1"/>
    <col min="11784" max="11784" width="16.81640625" style="103" bestFit="1" customWidth="1"/>
    <col min="11785" max="11786" width="12.1796875" style="103" customWidth="1"/>
    <col min="11787" max="11789" width="13.1796875" style="103" customWidth="1"/>
    <col min="11790" max="11790" width="13.54296875" style="103" customWidth="1"/>
    <col min="11791" max="11791" width="12.7265625" style="103" customWidth="1"/>
    <col min="11792" max="11792" width="11.1796875" style="103" customWidth="1"/>
    <col min="11793" max="11793" width="7.54296875" style="103" customWidth="1"/>
    <col min="11794" max="12032" width="8.81640625" style="103"/>
    <col min="12033" max="12033" width="0" style="103" hidden="1" customWidth="1"/>
    <col min="12034" max="12034" width="22.54296875" style="103" customWidth="1"/>
    <col min="12035" max="12035" width="2.453125" style="103" customWidth="1"/>
    <col min="12036" max="12036" width="11.26953125" style="103" customWidth="1"/>
    <col min="12037" max="12037" width="12.81640625" style="103" customWidth="1"/>
    <col min="12038" max="12038" width="12.26953125" style="103" customWidth="1"/>
    <col min="12039" max="12039" width="13.26953125" style="103" customWidth="1"/>
    <col min="12040" max="12040" width="16.81640625" style="103" bestFit="1" customWidth="1"/>
    <col min="12041" max="12042" width="12.1796875" style="103" customWidth="1"/>
    <col min="12043" max="12045" width="13.1796875" style="103" customWidth="1"/>
    <col min="12046" max="12046" width="13.54296875" style="103" customWidth="1"/>
    <col min="12047" max="12047" width="12.7265625" style="103" customWidth="1"/>
    <col min="12048" max="12048" width="11.1796875" style="103" customWidth="1"/>
    <col min="12049" max="12049" width="7.54296875" style="103" customWidth="1"/>
    <col min="12050" max="12288" width="8.81640625" style="103"/>
    <col min="12289" max="12289" width="0" style="103" hidden="1" customWidth="1"/>
    <col min="12290" max="12290" width="22.54296875" style="103" customWidth="1"/>
    <col min="12291" max="12291" width="2.453125" style="103" customWidth="1"/>
    <col min="12292" max="12292" width="11.26953125" style="103" customWidth="1"/>
    <col min="12293" max="12293" width="12.81640625" style="103" customWidth="1"/>
    <col min="12294" max="12294" width="12.26953125" style="103" customWidth="1"/>
    <col min="12295" max="12295" width="13.26953125" style="103" customWidth="1"/>
    <col min="12296" max="12296" width="16.81640625" style="103" bestFit="1" customWidth="1"/>
    <col min="12297" max="12298" width="12.1796875" style="103" customWidth="1"/>
    <col min="12299" max="12301" width="13.1796875" style="103" customWidth="1"/>
    <col min="12302" max="12302" width="13.54296875" style="103" customWidth="1"/>
    <col min="12303" max="12303" width="12.7265625" style="103" customWidth="1"/>
    <col min="12304" max="12304" width="11.1796875" style="103" customWidth="1"/>
    <col min="12305" max="12305" width="7.54296875" style="103" customWidth="1"/>
    <col min="12306" max="12544" width="8.81640625" style="103"/>
    <col min="12545" max="12545" width="0" style="103" hidden="1" customWidth="1"/>
    <col min="12546" max="12546" width="22.54296875" style="103" customWidth="1"/>
    <col min="12547" max="12547" width="2.453125" style="103" customWidth="1"/>
    <col min="12548" max="12548" width="11.26953125" style="103" customWidth="1"/>
    <col min="12549" max="12549" width="12.81640625" style="103" customWidth="1"/>
    <col min="12550" max="12550" width="12.26953125" style="103" customWidth="1"/>
    <col min="12551" max="12551" width="13.26953125" style="103" customWidth="1"/>
    <col min="12552" max="12552" width="16.81640625" style="103" bestFit="1" customWidth="1"/>
    <col min="12553" max="12554" width="12.1796875" style="103" customWidth="1"/>
    <col min="12555" max="12557" width="13.1796875" style="103" customWidth="1"/>
    <col min="12558" max="12558" width="13.54296875" style="103" customWidth="1"/>
    <col min="12559" max="12559" width="12.7265625" style="103" customWidth="1"/>
    <col min="12560" max="12560" width="11.1796875" style="103" customWidth="1"/>
    <col min="12561" max="12561" width="7.54296875" style="103" customWidth="1"/>
    <col min="12562" max="12800" width="8.81640625" style="103"/>
    <col min="12801" max="12801" width="0" style="103" hidden="1" customWidth="1"/>
    <col min="12802" max="12802" width="22.54296875" style="103" customWidth="1"/>
    <col min="12803" max="12803" width="2.453125" style="103" customWidth="1"/>
    <col min="12804" max="12804" width="11.26953125" style="103" customWidth="1"/>
    <col min="12805" max="12805" width="12.81640625" style="103" customWidth="1"/>
    <col min="12806" max="12806" width="12.26953125" style="103" customWidth="1"/>
    <col min="12807" max="12807" width="13.26953125" style="103" customWidth="1"/>
    <col min="12808" max="12808" width="16.81640625" style="103" bestFit="1" customWidth="1"/>
    <col min="12809" max="12810" width="12.1796875" style="103" customWidth="1"/>
    <col min="12811" max="12813" width="13.1796875" style="103" customWidth="1"/>
    <col min="12814" max="12814" width="13.54296875" style="103" customWidth="1"/>
    <col min="12815" max="12815" width="12.7265625" style="103" customWidth="1"/>
    <col min="12816" max="12816" width="11.1796875" style="103" customWidth="1"/>
    <col min="12817" max="12817" width="7.54296875" style="103" customWidth="1"/>
    <col min="12818" max="13056" width="8.81640625" style="103"/>
    <col min="13057" max="13057" width="0" style="103" hidden="1" customWidth="1"/>
    <col min="13058" max="13058" width="22.54296875" style="103" customWidth="1"/>
    <col min="13059" max="13059" width="2.453125" style="103" customWidth="1"/>
    <col min="13060" max="13060" width="11.26953125" style="103" customWidth="1"/>
    <col min="13061" max="13061" width="12.81640625" style="103" customWidth="1"/>
    <col min="13062" max="13062" width="12.26953125" style="103" customWidth="1"/>
    <col min="13063" max="13063" width="13.26953125" style="103" customWidth="1"/>
    <col min="13064" max="13064" width="16.81640625" style="103" bestFit="1" customWidth="1"/>
    <col min="13065" max="13066" width="12.1796875" style="103" customWidth="1"/>
    <col min="13067" max="13069" width="13.1796875" style="103" customWidth="1"/>
    <col min="13070" max="13070" width="13.54296875" style="103" customWidth="1"/>
    <col min="13071" max="13071" width="12.7265625" style="103" customWidth="1"/>
    <col min="13072" max="13072" width="11.1796875" style="103" customWidth="1"/>
    <col min="13073" max="13073" width="7.54296875" style="103" customWidth="1"/>
    <col min="13074" max="13312" width="8.81640625" style="103"/>
    <col min="13313" max="13313" width="0" style="103" hidden="1" customWidth="1"/>
    <col min="13314" max="13314" width="22.54296875" style="103" customWidth="1"/>
    <col min="13315" max="13315" width="2.453125" style="103" customWidth="1"/>
    <col min="13316" max="13316" width="11.26953125" style="103" customWidth="1"/>
    <col min="13317" max="13317" width="12.81640625" style="103" customWidth="1"/>
    <col min="13318" max="13318" width="12.26953125" style="103" customWidth="1"/>
    <col min="13319" max="13319" width="13.26953125" style="103" customWidth="1"/>
    <col min="13320" max="13320" width="16.81640625" style="103" bestFit="1" customWidth="1"/>
    <col min="13321" max="13322" width="12.1796875" style="103" customWidth="1"/>
    <col min="13323" max="13325" width="13.1796875" style="103" customWidth="1"/>
    <col min="13326" max="13326" width="13.54296875" style="103" customWidth="1"/>
    <col min="13327" max="13327" width="12.7265625" style="103" customWidth="1"/>
    <col min="13328" max="13328" width="11.1796875" style="103" customWidth="1"/>
    <col min="13329" max="13329" width="7.54296875" style="103" customWidth="1"/>
    <col min="13330" max="13568" width="8.81640625" style="103"/>
    <col min="13569" max="13569" width="0" style="103" hidden="1" customWidth="1"/>
    <col min="13570" max="13570" width="22.54296875" style="103" customWidth="1"/>
    <col min="13571" max="13571" width="2.453125" style="103" customWidth="1"/>
    <col min="13572" max="13572" width="11.26953125" style="103" customWidth="1"/>
    <col min="13573" max="13573" width="12.81640625" style="103" customWidth="1"/>
    <col min="13574" max="13574" width="12.26953125" style="103" customWidth="1"/>
    <col min="13575" max="13575" width="13.26953125" style="103" customWidth="1"/>
    <col min="13576" max="13576" width="16.81640625" style="103" bestFit="1" customWidth="1"/>
    <col min="13577" max="13578" width="12.1796875" style="103" customWidth="1"/>
    <col min="13579" max="13581" width="13.1796875" style="103" customWidth="1"/>
    <col min="13582" max="13582" width="13.54296875" style="103" customWidth="1"/>
    <col min="13583" max="13583" width="12.7265625" style="103" customWidth="1"/>
    <col min="13584" max="13584" width="11.1796875" style="103" customWidth="1"/>
    <col min="13585" max="13585" width="7.54296875" style="103" customWidth="1"/>
    <col min="13586" max="13824" width="8.81640625" style="103"/>
    <col min="13825" max="13825" width="0" style="103" hidden="1" customWidth="1"/>
    <col min="13826" max="13826" width="22.54296875" style="103" customWidth="1"/>
    <col min="13827" max="13827" width="2.453125" style="103" customWidth="1"/>
    <col min="13828" max="13828" width="11.26953125" style="103" customWidth="1"/>
    <col min="13829" max="13829" width="12.81640625" style="103" customWidth="1"/>
    <col min="13830" max="13830" width="12.26953125" style="103" customWidth="1"/>
    <col min="13831" max="13831" width="13.26953125" style="103" customWidth="1"/>
    <col min="13832" max="13832" width="16.81640625" style="103" bestFit="1" customWidth="1"/>
    <col min="13833" max="13834" width="12.1796875" style="103" customWidth="1"/>
    <col min="13835" max="13837" width="13.1796875" style="103" customWidth="1"/>
    <col min="13838" max="13838" width="13.54296875" style="103" customWidth="1"/>
    <col min="13839" max="13839" width="12.7265625" style="103" customWidth="1"/>
    <col min="13840" max="13840" width="11.1796875" style="103" customWidth="1"/>
    <col min="13841" max="13841" width="7.54296875" style="103" customWidth="1"/>
    <col min="13842" max="14080" width="8.81640625" style="103"/>
    <col min="14081" max="14081" width="0" style="103" hidden="1" customWidth="1"/>
    <col min="14082" max="14082" width="22.54296875" style="103" customWidth="1"/>
    <col min="14083" max="14083" width="2.453125" style="103" customWidth="1"/>
    <col min="14084" max="14084" width="11.26953125" style="103" customWidth="1"/>
    <col min="14085" max="14085" width="12.81640625" style="103" customWidth="1"/>
    <col min="14086" max="14086" width="12.26953125" style="103" customWidth="1"/>
    <col min="14087" max="14087" width="13.26953125" style="103" customWidth="1"/>
    <col min="14088" max="14088" width="16.81640625" style="103" bestFit="1" customWidth="1"/>
    <col min="14089" max="14090" width="12.1796875" style="103" customWidth="1"/>
    <col min="14091" max="14093" width="13.1796875" style="103" customWidth="1"/>
    <col min="14094" max="14094" width="13.54296875" style="103" customWidth="1"/>
    <col min="14095" max="14095" width="12.7265625" style="103" customWidth="1"/>
    <col min="14096" max="14096" width="11.1796875" style="103" customWidth="1"/>
    <col min="14097" max="14097" width="7.54296875" style="103" customWidth="1"/>
    <col min="14098" max="14336" width="8.81640625" style="103"/>
    <col min="14337" max="14337" width="0" style="103" hidden="1" customWidth="1"/>
    <col min="14338" max="14338" width="22.54296875" style="103" customWidth="1"/>
    <col min="14339" max="14339" width="2.453125" style="103" customWidth="1"/>
    <col min="14340" max="14340" width="11.26953125" style="103" customWidth="1"/>
    <col min="14341" max="14341" width="12.81640625" style="103" customWidth="1"/>
    <col min="14342" max="14342" width="12.26953125" style="103" customWidth="1"/>
    <col min="14343" max="14343" width="13.26953125" style="103" customWidth="1"/>
    <col min="14344" max="14344" width="16.81640625" style="103" bestFit="1" customWidth="1"/>
    <col min="14345" max="14346" width="12.1796875" style="103" customWidth="1"/>
    <col min="14347" max="14349" width="13.1796875" style="103" customWidth="1"/>
    <col min="14350" max="14350" width="13.54296875" style="103" customWidth="1"/>
    <col min="14351" max="14351" width="12.7265625" style="103" customWidth="1"/>
    <col min="14352" max="14352" width="11.1796875" style="103" customWidth="1"/>
    <col min="14353" max="14353" width="7.54296875" style="103" customWidth="1"/>
    <col min="14354" max="14592" width="8.81640625" style="103"/>
    <col min="14593" max="14593" width="0" style="103" hidden="1" customWidth="1"/>
    <col min="14594" max="14594" width="22.54296875" style="103" customWidth="1"/>
    <col min="14595" max="14595" width="2.453125" style="103" customWidth="1"/>
    <col min="14596" max="14596" width="11.26953125" style="103" customWidth="1"/>
    <col min="14597" max="14597" width="12.81640625" style="103" customWidth="1"/>
    <col min="14598" max="14598" width="12.26953125" style="103" customWidth="1"/>
    <col min="14599" max="14599" width="13.26953125" style="103" customWidth="1"/>
    <col min="14600" max="14600" width="16.81640625" style="103" bestFit="1" customWidth="1"/>
    <col min="14601" max="14602" width="12.1796875" style="103" customWidth="1"/>
    <col min="14603" max="14605" width="13.1796875" style="103" customWidth="1"/>
    <col min="14606" max="14606" width="13.54296875" style="103" customWidth="1"/>
    <col min="14607" max="14607" width="12.7265625" style="103" customWidth="1"/>
    <col min="14608" max="14608" width="11.1796875" style="103" customWidth="1"/>
    <col min="14609" max="14609" width="7.54296875" style="103" customWidth="1"/>
    <col min="14610" max="14848" width="8.81640625" style="103"/>
    <col min="14849" max="14849" width="0" style="103" hidden="1" customWidth="1"/>
    <col min="14850" max="14850" width="22.54296875" style="103" customWidth="1"/>
    <col min="14851" max="14851" width="2.453125" style="103" customWidth="1"/>
    <col min="14852" max="14852" width="11.26953125" style="103" customWidth="1"/>
    <col min="14853" max="14853" width="12.81640625" style="103" customWidth="1"/>
    <col min="14854" max="14854" width="12.26953125" style="103" customWidth="1"/>
    <col min="14855" max="14855" width="13.26953125" style="103" customWidth="1"/>
    <col min="14856" max="14856" width="16.81640625" style="103" bestFit="1" customWidth="1"/>
    <col min="14857" max="14858" width="12.1796875" style="103" customWidth="1"/>
    <col min="14859" max="14861" width="13.1796875" style="103" customWidth="1"/>
    <col min="14862" max="14862" width="13.54296875" style="103" customWidth="1"/>
    <col min="14863" max="14863" width="12.7265625" style="103" customWidth="1"/>
    <col min="14864" max="14864" width="11.1796875" style="103" customWidth="1"/>
    <col min="14865" max="14865" width="7.54296875" style="103" customWidth="1"/>
    <col min="14866" max="15104" width="8.81640625" style="103"/>
    <col min="15105" max="15105" width="0" style="103" hidden="1" customWidth="1"/>
    <col min="15106" max="15106" width="22.54296875" style="103" customWidth="1"/>
    <col min="15107" max="15107" width="2.453125" style="103" customWidth="1"/>
    <col min="15108" max="15108" width="11.26953125" style="103" customWidth="1"/>
    <col min="15109" max="15109" width="12.81640625" style="103" customWidth="1"/>
    <col min="15110" max="15110" width="12.26953125" style="103" customWidth="1"/>
    <col min="15111" max="15111" width="13.26953125" style="103" customWidth="1"/>
    <col min="15112" max="15112" width="16.81640625" style="103" bestFit="1" customWidth="1"/>
    <col min="15113" max="15114" width="12.1796875" style="103" customWidth="1"/>
    <col min="15115" max="15117" width="13.1796875" style="103" customWidth="1"/>
    <col min="15118" max="15118" width="13.54296875" style="103" customWidth="1"/>
    <col min="15119" max="15119" width="12.7265625" style="103" customWidth="1"/>
    <col min="15120" max="15120" width="11.1796875" style="103" customWidth="1"/>
    <col min="15121" max="15121" width="7.54296875" style="103" customWidth="1"/>
    <col min="15122" max="15360" width="8.81640625" style="103"/>
    <col min="15361" max="15361" width="0" style="103" hidden="1" customWidth="1"/>
    <col min="15362" max="15362" width="22.54296875" style="103" customWidth="1"/>
    <col min="15363" max="15363" width="2.453125" style="103" customWidth="1"/>
    <col min="15364" max="15364" width="11.26953125" style="103" customWidth="1"/>
    <col min="15365" max="15365" width="12.81640625" style="103" customWidth="1"/>
    <col min="15366" max="15366" width="12.26953125" style="103" customWidth="1"/>
    <col min="15367" max="15367" width="13.26953125" style="103" customWidth="1"/>
    <col min="15368" max="15368" width="16.81640625" style="103" bestFit="1" customWidth="1"/>
    <col min="15369" max="15370" width="12.1796875" style="103" customWidth="1"/>
    <col min="15371" max="15373" width="13.1796875" style="103" customWidth="1"/>
    <col min="15374" max="15374" width="13.54296875" style="103" customWidth="1"/>
    <col min="15375" max="15375" width="12.7265625" style="103" customWidth="1"/>
    <col min="15376" max="15376" width="11.1796875" style="103" customWidth="1"/>
    <col min="15377" max="15377" width="7.54296875" style="103" customWidth="1"/>
    <col min="15378" max="15616" width="8.81640625" style="103"/>
    <col min="15617" max="15617" width="0" style="103" hidden="1" customWidth="1"/>
    <col min="15618" max="15618" width="22.54296875" style="103" customWidth="1"/>
    <col min="15619" max="15619" width="2.453125" style="103" customWidth="1"/>
    <col min="15620" max="15620" width="11.26953125" style="103" customWidth="1"/>
    <col min="15621" max="15621" width="12.81640625" style="103" customWidth="1"/>
    <col min="15622" max="15622" width="12.26953125" style="103" customWidth="1"/>
    <col min="15623" max="15623" width="13.26953125" style="103" customWidth="1"/>
    <col min="15624" max="15624" width="16.81640625" style="103" bestFit="1" customWidth="1"/>
    <col min="15625" max="15626" width="12.1796875" style="103" customWidth="1"/>
    <col min="15627" max="15629" width="13.1796875" style="103" customWidth="1"/>
    <col min="15630" max="15630" width="13.54296875" style="103" customWidth="1"/>
    <col min="15631" max="15631" width="12.7265625" style="103" customWidth="1"/>
    <col min="15632" max="15632" width="11.1796875" style="103" customWidth="1"/>
    <col min="15633" max="15633" width="7.54296875" style="103" customWidth="1"/>
    <col min="15634" max="15872" width="8.81640625" style="103"/>
    <col min="15873" max="15873" width="0" style="103" hidden="1" customWidth="1"/>
    <col min="15874" max="15874" width="22.54296875" style="103" customWidth="1"/>
    <col min="15875" max="15875" width="2.453125" style="103" customWidth="1"/>
    <col min="15876" max="15876" width="11.26953125" style="103" customWidth="1"/>
    <col min="15877" max="15877" width="12.81640625" style="103" customWidth="1"/>
    <col min="15878" max="15878" width="12.26953125" style="103" customWidth="1"/>
    <col min="15879" max="15879" width="13.26953125" style="103" customWidth="1"/>
    <col min="15880" max="15880" width="16.81640625" style="103" bestFit="1" customWidth="1"/>
    <col min="15881" max="15882" width="12.1796875" style="103" customWidth="1"/>
    <col min="15883" max="15885" width="13.1796875" style="103" customWidth="1"/>
    <col min="15886" max="15886" width="13.54296875" style="103" customWidth="1"/>
    <col min="15887" max="15887" width="12.7265625" style="103" customWidth="1"/>
    <col min="15888" max="15888" width="11.1796875" style="103" customWidth="1"/>
    <col min="15889" max="15889" width="7.54296875" style="103" customWidth="1"/>
    <col min="15890" max="16128" width="8.81640625" style="103"/>
    <col min="16129" max="16129" width="0" style="103" hidden="1" customWidth="1"/>
    <col min="16130" max="16130" width="22.54296875" style="103" customWidth="1"/>
    <col min="16131" max="16131" width="2.453125" style="103" customWidth="1"/>
    <col min="16132" max="16132" width="11.26953125" style="103" customWidth="1"/>
    <col min="16133" max="16133" width="12.81640625" style="103" customWidth="1"/>
    <col min="16134" max="16134" width="12.26953125" style="103" customWidth="1"/>
    <col min="16135" max="16135" width="13.26953125" style="103" customWidth="1"/>
    <col min="16136" max="16136" width="16.81640625" style="103" bestFit="1" customWidth="1"/>
    <col min="16137" max="16138" width="12.1796875" style="103" customWidth="1"/>
    <col min="16139" max="16141" width="13.1796875" style="103" customWidth="1"/>
    <col min="16142" max="16142" width="13.54296875" style="103" customWidth="1"/>
    <col min="16143" max="16143" width="12.7265625" style="103" customWidth="1"/>
    <col min="16144" max="16144" width="11.1796875" style="103" customWidth="1"/>
    <col min="16145" max="16145" width="7.54296875" style="103" customWidth="1"/>
    <col min="16146" max="16384" width="8.81640625" style="103"/>
  </cols>
  <sheetData>
    <row r="1" spans="1:43" s="52" customFormat="1" ht="24.75" customHeight="1" x14ac:dyDescent="0.35">
      <c r="A1" s="48"/>
      <c r="B1" s="49"/>
      <c r="C1" s="50"/>
      <c r="D1" s="50"/>
      <c r="E1" s="51"/>
      <c r="F1" s="51"/>
      <c r="G1" s="51"/>
      <c r="H1" s="50"/>
      <c r="I1" s="50"/>
      <c r="J1" s="50"/>
      <c r="K1" s="50"/>
      <c r="L1" s="50"/>
      <c r="M1" s="50"/>
      <c r="N1" s="50"/>
      <c r="O1" s="50"/>
      <c r="P1" s="50"/>
      <c r="S1" s="53"/>
      <c r="T1" s="53"/>
    </row>
    <row r="2" spans="1:43" s="57" customFormat="1" ht="34.5" customHeight="1" x14ac:dyDescent="0.35">
      <c r="A2" s="48"/>
      <c r="B2" s="272"/>
      <c r="C2" s="55"/>
      <c r="D2" s="378"/>
      <c r="E2" s="378"/>
      <c r="F2" s="378"/>
      <c r="G2" s="378"/>
      <c r="H2" s="378" t="s">
        <v>167</v>
      </c>
      <c r="I2" s="378"/>
      <c r="J2" s="271"/>
      <c r="K2" s="376" t="s">
        <v>168</v>
      </c>
      <c r="L2" s="376"/>
      <c r="M2" s="376"/>
      <c r="N2" s="376" t="s">
        <v>169</v>
      </c>
      <c r="O2" s="376"/>
      <c r="P2" s="376"/>
      <c r="S2" s="58"/>
      <c r="T2" s="58"/>
    </row>
    <row r="3" spans="1:43" s="57" customFormat="1" ht="56" x14ac:dyDescent="0.35">
      <c r="A3" s="48"/>
      <c r="B3" s="272"/>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444</v>
      </c>
      <c r="I4" s="64">
        <f t="shared" si="0"/>
        <v>714</v>
      </c>
      <c r="J4" s="64">
        <f t="shared" si="0"/>
        <v>236</v>
      </c>
      <c r="K4" s="64">
        <f t="shared" si="0"/>
        <v>1916</v>
      </c>
      <c r="L4" s="64">
        <f t="shared" si="0"/>
        <v>133</v>
      </c>
      <c r="M4" s="64">
        <f t="shared" si="0"/>
        <v>1396</v>
      </c>
      <c r="N4" s="64">
        <f t="shared" si="0"/>
        <v>5023</v>
      </c>
      <c r="O4" s="64">
        <f t="shared" si="0"/>
        <v>333</v>
      </c>
      <c r="P4" s="64">
        <f t="shared" si="0"/>
        <v>253</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193</v>
      </c>
      <c r="I5" s="70">
        <f t="shared" si="1"/>
        <v>701</v>
      </c>
      <c r="J5" s="70">
        <f t="shared" si="1"/>
        <v>217</v>
      </c>
      <c r="K5" s="70">
        <f t="shared" si="1"/>
        <v>1543</v>
      </c>
      <c r="L5" s="70">
        <f t="shared" si="1"/>
        <v>96</v>
      </c>
      <c r="M5" s="70">
        <f t="shared" si="1"/>
        <v>1091</v>
      </c>
      <c r="N5" s="70">
        <f t="shared" si="1"/>
        <v>4019</v>
      </c>
      <c r="O5" s="70">
        <f t="shared" si="1"/>
        <v>237</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VLOOKUP($B6,Fire2018!$C$10:$I$57,2,FALSE)</f>
        <v>7</v>
      </c>
      <c r="I6" s="75">
        <f>VLOOKUP($B6,Fire2018!$C$10:$I$57,3,FALSE)</f>
        <v>11</v>
      </c>
      <c r="J6" s="75">
        <f>VLOOKUP($B6,Fire2018!$C$10:$I$57,4,FALSE)</f>
        <v>3</v>
      </c>
      <c r="K6" s="75">
        <f>VLOOKUP($B6,Fire2018!$C$10:$O$58,8,FALSE)</f>
        <v>34</v>
      </c>
      <c r="L6" s="75">
        <f>VLOOKUP($B6,Fire2018!$C$10:$Q$58,9,FALSE)</f>
        <v>4</v>
      </c>
      <c r="M6" s="75">
        <f>VLOOKUP($B6,Fire2018!$C$10:$BA$58,10,FALSE)+VLOOKUP($B6,Fire2018!$C$10:$BA$58,12,FALSE)</f>
        <v>25</v>
      </c>
      <c r="N6" s="75">
        <f>VLOOKUP($B6,Fire2018!$C$10:$BA$58,14,FALSE)+VLOOKUP($B6,Fire2018!$C$10:$BA$58,11,FALSE)</f>
        <v>75</v>
      </c>
      <c r="O6" s="75">
        <f>VLOOKUP($B6,Fire2018!$C$10:$AZ$58,15,FALSE)</f>
        <v>8</v>
      </c>
      <c r="P6" s="75">
        <f>VLOOKUP($B6,Fire2018!$C$10:$AZ$58,16,FALSE)</f>
        <v>3</v>
      </c>
      <c r="Q6" s="76"/>
      <c r="R6" s="77"/>
      <c r="S6" s="78"/>
      <c r="T6" s="78" t="s">
        <v>735</v>
      </c>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2">
      <c r="A7" s="48">
        <v>52</v>
      </c>
      <c r="B7" s="82" t="s">
        <v>75</v>
      </c>
      <c r="C7" s="74"/>
      <c r="D7" s="75"/>
      <c r="E7" s="75"/>
      <c r="F7" s="64"/>
      <c r="G7" s="75"/>
      <c r="H7" s="75">
        <f>VLOOKUP($B7,Fire2018!$C$10:$I$57,2,FALSE)</f>
        <v>3</v>
      </c>
      <c r="I7" s="75">
        <f>VLOOKUP($B7,Fire2018!$C$10:$I$57,3,FALSE)</f>
        <v>8</v>
      </c>
      <c r="J7" s="75">
        <f>VLOOKUP($B7,Fire2018!$C$10:$I$57,4,FALSE)</f>
        <v>3</v>
      </c>
      <c r="K7" s="75">
        <f>VLOOKUP($B7,Fire2018!$C$10:$O$58,8,FALSE)</f>
        <v>22</v>
      </c>
      <c r="L7" s="75">
        <f>VLOOKUP($B7,Fire2018!$C$10:$Q$58,9,FALSE)</f>
        <v>2</v>
      </c>
      <c r="M7" s="75">
        <f>VLOOKUP($B7,Fire2018!$C$10:$BA$58,10,FALSE)+VLOOKUP($B7,Fire2018!$C$10:$BA$58,12,FALSE)</f>
        <v>22</v>
      </c>
      <c r="N7" s="75">
        <f>VLOOKUP($B7,Fire2018!$C$10:$BA$58,14,FALSE)+VLOOKUP($B7,Fire2018!$C$10:$BA$58,11,FALSE)</f>
        <v>67</v>
      </c>
      <c r="O7" s="75">
        <f>VLOOKUP($B7,Fire2018!$C$10:$AZ$58,15,FALSE)</f>
        <v>4</v>
      </c>
      <c r="P7" s="75">
        <f>VLOOKUP($B7,Fire2018!$C$10:$AZ$58,16,FALSE)</f>
        <v>2</v>
      </c>
      <c r="Q7" s="76"/>
      <c r="R7" s="65"/>
      <c r="S7" s="72"/>
      <c r="T7" s="233" t="s">
        <v>509</v>
      </c>
      <c r="U7" s="228" t="s">
        <v>375</v>
      </c>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2">
      <c r="A8" s="48">
        <v>86</v>
      </c>
      <c r="B8" s="82" t="s">
        <v>73</v>
      </c>
      <c r="C8" s="74"/>
      <c r="D8" s="75"/>
      <c r="E8" s="75"/>
      <c r="F8" s="64"/>
      <c r="G8" s="75"/>
      <c r="H8" s="75">
        <f>VLOOKUP($B8,Fire2018!$C$10:$I$57,2,FALSE)</f>
        <v>11</v>
      </c>
      <c r="I8" s="75">
        <f>VLOOKUP($B8,Fire2018!$C$10:$I$57,3,FALSE)</f>
        <v>6</v>
      </c>
      <c r="J8" s="75">
        <f>VLOOKUP($B8,Fire2018!$C$10:$I$57,4,FALSE)</f>
        <v>1</v>
      </c>
      <c r="K8" s="75">
        <f>VLOOKUP($B8,Fire2018!$C$10:$O$58,8,FALSE)</f>
        <v>21</v>
      </c>
      <c r="L8" s="75">
        <f>VLOOKUP($B8,Fire2018!$C$10:$Q$58,9,FALSE)</f>
        <v>1</v>
      </c>
      <c r="M8" s="75">
        <f>VLOOKUP($B8,Fire2018!$C$10:$BA$58,10,FALSE)+VLOOKUP($B8,Fire2018!$C$10:$BA$58,12,FALSE)</f>
        <v>21</v>
      </c>
      <c r="N8" s="75">
        <f>VLOOKUP($B8,Fire2018!$C$10:$BA$58,14,FALSE)+VLOOKUP($B8,Fire2018!$C$10:$BA$58,11,FALSE)</f>
        <v>81</v>
      </c>
      <c r="O8" s="75">
        <f>VLOOKUP($B8,Fire2018!$C$10:$AZ$58,15,FALSE)</f>
        <v>7</v>
      </c>
      <c r="P8" s="75">
        <f>VLOOKUP($B8,Fire2018!$C$10:$AZ$58,16,FALSE)</f>
        <v>4</v>
      </c>
      <c r="Q8" s="76"/>
      <c r="R8" s="65"/>
      <c r="S8" s="72"/>
      <c r="T8" s="228" t="s">
        <v>518</v>
      </c>
      <c r="U8" s="347" t="s">
        <v>538</v>
      </c>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2">
      <c r="A9" s="48">
        <v>53</v>
      </c>
      <c r="B9" s="82" t="s">
        <v>71</v>
      </c>
      <c r="C9" s="74"/>
      <c r="D9" s="75"/>
      <c r="E9" s="75"/>
      <c r="F9" s="64"/>
      <c r="G9" s="75"/>
      <c r="H9" s="75">
        <f>VLOOKUP($B9,Fire2018!$C$10:$I$57,2,FALSE)</f>
        <v>6</v>
      </c>
      <c r="I9" s="75">
        <f>VLOOKUP($B9,Fire2018!$C$10:$I$57,3,FALSE)</f>
        <v>10</v>
      </c>
      <c r="J9" s="75">
        <f>VLOOKUP($B9,Fire2018!$C$10:$I$57,4,FALSE)</f>
        <v>4</v>
      </c>
      <c r="K9" s="75">
        <f>VLOOKUP($B9,Fire2018!$C$10:$O$58,8,FALSE)</f>
        <v>30</v>
      </c>
      <c r="L9" s="75">
        <f>VLOOKUP($B9,Fire2018!$C$10:$Q$58,9,FALSE)</f>
        <v>2</v>
      </c>
      <c r="M9" s="75">
        <f>VLOOKUP($B9,Fire2018!$C$10:$BA$58,10,FALSE)+VLOOKUP($B9,Fire2018!$C$10:$BA$58,12,FALSE)</f>
        <v>13</v>
      </c>
      <c r="N9" s="75">
        <f>VLOOKUP($B9,Fire2018!$C$10:$BA$58,14,FALSE)+VLOOKUP($B9,Fire2018!$C$10:$BA$58,11,FALSE)</f>
        <v>76</v>
      </c>
      <c r="O9" s="75">
        <f>VLOOKUP($B9,Fire2018!$C$10:$AZ$58,15,FALSE)</f>
        <v>4</v>
      </c>
      <c r="P9" s="75">
        <f>VLOOKUP($B9,Fire2018!$C$10:$AZ$58,16,FALSE)</f>
        <v>3</v>
      </c>
      <c r="Q9" s="76"/>
      <c r="R9" s="65"/>
      <c r="S9" s="72"/>
      <c r="T9" s="348" t="s">
        <v>537</v>
      </c>
      <c r="U9" s="228" t="s">
        <v>537</v>
      </c>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2">
      <c r="A10" s="48">
        <v>54</v>
      </c>
      <c r="B10" s="82" t="s">
        <v>69</v>
      </c>
      <c r="C10" s="74"/>
      <c r="D10" s="75"/>
      <c r="E10" s="75"/>
      <c r="F10" s="64"/>
      <c r="G10" s="75"/>
      <c r="H10" s="75">
        <f>VLOOKUP($B10,Fire2018!$C$10:$I$57,2,FALSE)</f>
        <v>3</v>
      </c>
      <c r="I10" s="75">
        <f>VLOOKUP($B10,Fire2018!$C$10:$I$57,3,FALSE)</f>
        <v>19</v>
      </c>
      <c r="J10" s="75">
        <f>VLOOKUP($B10,Fire2018!$C$10:$I$57,4,FALSE)</f>
        <v>4</v>
      </c>
      <c r="K10" s="75">
        <f>VLOOKUP($B10,Fire2018!$C$10:$O$58,8,FALSE)</f>
        <v>36</v>
      </c>
      <c r="L10" s="75">
        <f>VLOOKUP($B10,Fire2018!$C$10:$Q$58,9,FALSE)</f>
        <v>2</v>
      </c>
      <c r="M10" s="75">
        <f>VLOOKUP($B10,Fire2018!$C$10:$BA$58,10,FALSE)+VLOOKUP($B10,Fire2018!$C$10:$BA$58,12,FALSE)</f>
        <v>8</v>
      </c>
      <c r="N10" s="75">
        <f>VLOOKUP($B10,Fire2018!$C$10:$BA$58,14,FALSE)+VLOOKUP($B10,Fire2018!$C$10:$BA$58,11,FALSE)</f>
        <v>42</v>
      </c>
      <c r="O10" s="75">
        <f>VLOOKUP($B10,Fire2018!$C$10:$AZ$58,15,FALSE)</f>
        <v>4</v>
      </c>
      <c r="P10" s="75">
        <f>VLOOKUP($B10,Fire2018!$C$10:$AZ$58,16,FALSE)</f>
        <v>3</v>
      </c>
      <c r="Q10" s="76"/>
      <c r="R10" s="65"/>
      <c r="S10" s="72"/>
      <c r="T10" s="233" t="s">
        <v>584</v>
      </c>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VLOOKUP($B11,Fire2018!$C$10:$I$57,2,FALSE)</f>
        <v>7</v>
      </c>
      <c r="I11" s="75">
        <f>VLOOKUP($B11,Fire2018!$C$10:$I$57,3,FALSE)</f>
        <v>11</v>
      </c>
      <c r="J11" s="75">
        <f>VLOOKUP($B11,Fire2018!$C$10:$I$57,4,FALSE)</f>
        <v>10</v>
      </c>
      <c r="K11" s="75">
        <f>VLOOKUP($B11,Fire2018!$C$10:$O$58,8,FALSE)</f>
        <v>37</v>
      </c>
      <c r="L11" s="75">
        <f>VLOOKUP($B11,Fire2018!$C$10:$Q$58,9,FALSE)</f>
        <v>3</v>
      </c>
      <c r="M11" s="75">
        <f>VLOOKUP($B11,Fire2018!$C$10:$BA$58,10,FALSE)+VLOOKUP($B11,Fire2018!$C$10:$BA$58,12,FALSE)</f>
        <v>24</v>
      </c>
      <c r="N11" s="75">
        <f>VLOOKUP($B11,Fire2018!$C$10:$BA$58,14,FALSE)+VLOOKUP($B11,Fire2018!$C$10:$BA$58,11,FALSE)</f>
        <v>165</v>
      </c>
      <c r="O11" s="75">
        <f>VLOOKUP($B11,Fire2018!$C$10:$AZ$58,15,FALSE)</f>
        <v>11</v>
      </c>
      <c r="P11" s="75">
        <f>VLOOKUP($B11,Fire2018!$C$10:$AZ$58,16,FALSE)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VLOOKUP($B12,Fire2018!$C$10:$I$57,2,FALSE)</f>
        <v>6</v>
      </c>
      <c r="I12" s="75">
        <f>VLOOKUP($B12,Fire2018!$C$10:$I$57,3,FALSE)</f>
        <v>6</v>
      </c>
      <c r="J12" s="75">
        <f>VLOOKUP($B12,Fire2018!$C$10:$I$57,4,FALSE)</f>
        <v>2</v>
      </c>
      <c r="K12" s="75">
        <f>VLOOKUP($B12,Fire2018!$C$10:$O$58,8,FALSE)</f>
        <v>19</v>
      </c>
      <c r="L12" s="75">
        <f>VLOOKUP($B12,Fire2018!$C$10:$Q$58,9,FALSE)</f>
        <v>4</v>
      </c>
      <c r="M12" s="75">
        <f>VLOOKUP($B12,Fire2018!$C$10:$BA$58,10,FALSE)+VLOOKUP($B12,Fire2018!$C$10:$BA$58,12,FALSE)</f>
        <v>14</v>
      </c>
      <c r="N12" s="75">
        <f>VLOOKUP($B12,Fire2018!$C$10:$BA$58,14,FALSE)+VLOOKUP($B12,Fire2018!$C$10:$BA$58,11,FALSE)</f>
        <v>57</v>
      </c>
      <c r="O12" s="75">
        <f>VLOOKUP($B12,Fire2018!$C$10:$AZ$58,15,FALSE)</f>
        <v>6</v>
      </c>
      <c r="P12" s="75">
        <f>VLOOKUP($B12,Fire2018!$C$10:$AZ$58,16,FALSE)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VLOOKUP($B13,Fire2018!$C$10:$I$57,2,FALSE)</f>
        <v>2</v>
      </c>
      <c r="I13" s="75">
        <f>VLOOKUP($B13,Fire2018!$C$10:$I$57,3,FALSE)</f>
        <v>23</v>
      </c>
      <c r="J13" s="75">
        <f>VLOOKUP($B13,Fire2018!$C$10:$I$57,4,FALSE)</f>
        <v>6</v>
      </c>
      <c r="K13" s="75">
        <f>VLOOKUP($B13,Fire2018!$C$10:$O$58,8,FALSE)</f>
        <v>44</v>
      </c>
      <c r="L13" s="75">
        <f>VLOOKUP($B13,Fire2018!$C$10:$Q$58,9,FALSE)</f>
        <v>2</v>
      </c>
      <c r="M13" s="75">
        <f>VLOOKUP($B13,Fire2018!$C$10:$BA$58,10,FALSE)+VLOOKUP($B13,Fire2018!$C$10:$BA$58,12,FALSE)</f>
        <v>50</v>
      </c>
      <c r="N13" s="75">
        <f>VLOOKUP($B13,Fire2018!$C$10:$BA$58,14,FALSE)+VLOOKUP($B13,Fire2018!$C$10:$BA$58,11,FALSE)</f>
        <v>103</v>
      </c>
      <c r="O13" s="75">
        <f>VLOOKUP($B13,Fire2018!$C$10:$AZ$58,15,FALSE)</f>
        <v>8</v>
      </c>
      <c r="P13" s="75">
        <f>VLOOKUP($B13,Fire2018!$C$10:$AZ$58,16,FALSE)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VLOOKUP($B14,Fire2018!$C$10:$I$57,2,FALSE)</f>
        <v>3</v>
      </c>
      <c r="I14" s="75">
        <f>VLOOKUP($B14,Fire2018!$C$10:$I$57,3,FALSE)</f>
        <v>30</v>
      </c>
      <c r="J14" s="75">
        <f>VLOOKUP($B14,Fire2018!$C$10:$I$57,4,FALSE)</f>
        <v>5</v>
      </c>
      <c r="K14" s="75">
        <f>VLOOKUP($B14,Fire2018!$C$10:$O$58,8,FALSE)</f>
        <v>45</v>
      </c>
      <c r="L14" s="75">
        <f>VLOOKUP($B14,Fire2018!$C$10:$Q$58,9,FALSE)</f>
        <v>2</v>
      </c>
      <c r="M14" s="75">
        <f>VLOOKUP($B14,Fire2018!$C$10:$BA$58,10,FALSE)+VLOOKUP($B14,Fire2018!$C$10:$BA$58,12,FALSE)</f>
        <v>31</v>
      </c>
      <c r="N14" s="75">
        <f>VLOOKUP($B14,Fire2018!$C$10:$BA$58,14,FALSE)+VLOOKUP($B14,Fire2018!$C$10:$BA$58,11,FALSE)</f>
        <v>66</v>
      </c>
      <c r="O14" s="75">
        <f>VLOOKUP($B14,Fire2018!$C$10:$AZ$58,15,FALSE)</f>
        <v>4</v>
      </c>
      <c r="P14" s="75">
        <f>VLOOKUP($B14,Fire2018!$C$10:$AZ$58,16,FALSE)</f>
        <v>3</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VLOOKUP($B15,Fire2018!$C$10:$I$57,2,FALSE)</f>
        <v>4</v>
      </c>
      <c r="I15" s="75">
        <f>VLOOKUP($B15,Fire2018!$C$10:$I$57,3,FALSE)</f>
        <v>19</v>
      </c>
      <c r="J15" s="75">
        <f>VLOOKUP($B15,Fire2018!$C$10:$I$57,4,FALSE)</f>
        <v>8</v>
      </c>
      <c r="K15" s="75">
        <f>VLOOKUP($B15,Fire2018!$C$10:$O$58,8,FALSE)</f>
        <v>41</v>
      </c>
      <c r="L15" s="75">
        <f>VLOOKUP($B15,Fire2018!$C$10:$Q$58,9,FALSE)</f>
        <v>3</v>
      </c>
      <c r="M15" s="75">
        <f>VLOOKUP($B15,Fire2018!$C$10:$BA$58,10,FALSE)+VLOOKUP($B15,Fire2018!$C$10:$BA$58,12,FALSE)</f>
        <v>20</v>
      </c>
      <c r="N15" s="75">
        <f>VLOOKUP($B15,Fire2018!$C$10:$BA$58,14,FALSE)+VLOOKUP($B15,Fire2018!$C$10:$BA$58,11,FALSE)</f>
        <v>172</v>
      </c>
      <c r="O15" s="75">
        <f>VLOOKUP($B15,Fire2018!$C$10:$AZ$58,15,FALSE)</f>
        <v>4</v>
      </c>
      <c r="P15" s="75">
        <f>VLOOKUP($B15,Fire2018!$C$10:$AZ$58,16,FALSE)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VLOOKUP($B16,Fire2018!$C$10:$I$57,2,FALSE)</f>
        <v>3</v>
      </c>
      <c r="I16" s="75">
        <f>VLOOKUP($B16,Fire2018!$C$10:$I$57,3,FALSE)</f>
        <v>71</v>
      </c>
      <c r="J16" s="75">
        <f>VLOOKUP($B16,Fire2018!$C$10:$I$57,4,FALSE)</f>
        <v>9</v>
      </c>
      <c r="K16" s="75">
        <f>VLOOKUP($B16,Fire2018!$C$10:$O$58,8,FALSE)</f>
        <v>121</v>
      </c>
      <c r="L16" s="75">
        <f>VLOOKUP($B16,Fire2018!$C$10:$Q$58,9,FALSE)</f>
        <v>7</v>
      </c>
      <c r="M16" s="75">
        <f>VLOOKUP($B16,Fire2018!$C$10:$BA$58,10,FALSE)+VLOOKUP($B16,Fire2018!$C$10:$BA$58,12,FALSE)</f>
        <v>176</v>
      </c>
      <c r="N16" s="75">
        <f>VLOOKUP($B16,Fire2018!$C$10:$BA$58,14,FALSE)+VLOOKUP($B16,Fire2018!$C$10:$BA$58,11,FALSE)</f>
        <v>262</v>
      </c>
      <c r="O16" s="75">
        <f>VLOOKUP($B16,Fire2018!$C$10:$AZ$58,15,FALSE)</f>
        <v>20</v>
      </c>
      <c r="P16" s="75">
        <f>VLOOKUP($B16,Fire2018!$C$10:$AZ$58,16,FALSE)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358</v>
      </c>
      <c r="C17" s="74"/>
      <c r="D17" s="75"/>
      <c r="E17" s="75"/>
      <c r="F17" s="64"/>
      <c r="G17" s="75"/>
      <c r="H17" s="75">
        <f>VLOOKUP($B17,Fire2018!$C$10:$I$57,2,FALSE)</f>
        <v>3</v>
      </c>
      <c r="I17" s="75">
        <f>VLOOKUP($B17,Fire2018!$C$10:$I$57,3,FALSE)</f>
        <v>37</v>
      </c>
      <c r="J17" s="75">
        <f>VLOOKUP($B17,Fire2018!$C$10:$I$57,4,FALSE)</f>
        <v>10</v>
      </c>
      <c r="K17" s="75">
        <f>VLOOKUP($B17,Fire2018!$C$10:$O$58,8,FALSE)</f>
        <v>74</v>
      </c>
      <c r="L17" s="75">
        <f>VLOOKUP($B17,Fire2018!$C$10:$Q$58,9,FALSE)</f>
        <v>4</v>
      </c>
      <c r="M17" s="75">
        <f>VLOOKUP($B17,Fire2018!$C$10:$BA$58,10,FALSE)+VLOOKUP($B17,Fire2018!$C$10:$BA$58,12,FALSE)</f>
        <v>63</v>
      </c>
      <c r="N17" s="75">
        <f>VLOOKUP($B17,Fire2018!$C$10:$BA$58,14,FALSE)+VLOOKUP($B17,Fire2018!$C$10:$BA$58,11,FALSE)</f>
        <v>238</v>
      </c>
      <c r="O17" s="75">
        <f>VLOOKUP($B17,Fire2018!$C$10:$AZ$58,15,FALSE)</f>
        <v>8</v>
      </c>
      <c r="P17" s="75">
        <f>VLOOKUP($B17,Fire2018!$C$10:$AZ$58,16,FALSE)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VLOOKUP($B18,Fire2018!$C$10:$I$57,2,FALSE)</f>
        <v>2</v>
      </c>
      <c r="I18" s="75">
        <f>VLOOKUP($B18,Fire2018!$C$10:$I$57,3,FALSE)</f>
        <v>6</v>
      </c>
      <c r="J18" s="75">
        <f>VLOOKUP($B18,Fire2018!$C$10:$I$57,4,FALSE)</f>
        <v>7</v>
      </c>
      <c r="K18" s="75">
        <f>VLOOKUP($B18,Fire2018!$C$10:$O$58,8,FALSE)</f>
        <v>27</v>
      </c>
      <c r="L18" s="75">
        <f>VLOOKUP($B18,Fire2018!$C$10:$Q$58,9,FALSE)</f>
        <v>2</v>
      </c>
      <c r="M18" s="75">
        <f>VLOOKUP($B18,Fire2018!$C$10:$BA$58,10,FALSE)+VLOOKUP($B18,Fire2018!$C$10:$BA$58,12,FALSE)</f>
        <v>15</v>
      </c>
      <c r="N18" s="75">
        <f>VLOOKUP($B18,Fire2018!$C$10:$BA$58,14,FALSE)+VLOOKUP($B18,Fire2018!$C$10:$BA$58,11,FALSE)</f>
        <v>77</v>
      </c>
      <c r="O18" s="75">
        <f>VLOOKUP($B18,Fire2018!$C$10:$AZ$58,15,FALSE)</f>
        <v>5</v>
      </c>
      <c r="P18" s="75">
        <f>VLOOKUP($B18,Fire2018!$C$10:$AZ$58,16,FALSE)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VLOOKUP($B19,Fire2018!$C$10:$I$57,2,FALSE)</f>
        <v>6</v>
      </c>
      <c r="I19" s="75">
        <f>VLOOKUP($B19,Fire2018!$C$10:$I$57,3,FALSE)</f>
        <v>12</v>
      </c>
      <c r="J19" s="75">
        <f>VLOOKUP($B19,Fire2018!$C$10:$I$57,4,FALSE)</f>
        <v>6</v>
      </c>
      <c r="K19" s="75">
        <f>VLOOKUP($B19,Fire2018!$C$10:$O$58,8,FALSE)</f>
        <v>41</v>
      </c>
      <c r="L19" s="75">
        <f>VLOOKUP($B19,Fire2018!$C$10:$Q$58,9,FALSE)</f>
        <v>3</v>
      </c>
      <c r="M19" s="75">
        <f>VLOOKUP($B19,Fire2018!$C$10:$BA$58,10,FALSE)+VLOOKUP($B19,Fire2018!$C$10:$BA$58,12,FALSE)</f>
        <v>12</v>
      </c>
      <c r="N19" s="75">
        <f>VLOOKUP($B19,Fire2018!$C$10:$BA$58,14,FALSE)+VLOOKUP($B19,Fire2018!$C$10:$BA$58,11,FALSE)</f>
        <v>111</v>
      </c>
      <c r="O19" s="75">
        <f>VLOOKUP($B19,Fire2018!$C$10:$AZ$58,15,FALSE)</f>
        <v>8</v>
      </c>
      <c r="P19" s="75">
        <f>VLOOKUP($B19,Fire2018!$C$10:$AZ$58,16,FALSE)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VLOOKUP($B20,Fire2018!$C$10:$I$57,2,FALSE)</f>
        <v>13</v>
      </c>
      <c r="I20" s="75">
        <f>VLOOKUP($B20,Fire2018!$C$10:$I$57,3,FALSE)</f>
        <v>34</v>
      </c>
      <c r="J20" s="75">
        <f>VLOOKUP($B20,Fire2018!$C$10:$I$57,4,FALSE)</f>
        <v>3</v>
      </c>
      <c r="K20" s="75">
        <f>VLOOKUP($B20,Fire2018!$C$10:$O$58,8,FALSE)</f>
        <v>75</v>
      </c>
      <c r="L20" s="75">
        <f>VLOOKUP($B20,Fire2018!$C$10:$Q$58,9,FALSE)</f>
        <v>5</v>
      </c>
      <c r="M20" s="75">
        <f>VLOOKUP($B20,Fire2018!$C$10:$BA$58,10,FALSE)+VLOOKUP($B20,Fire2018!$C$10:$BA$58,12,FALSE)</f>
        <v>35</v>
      </c>
      <c r="N20" s="75">
        <f>VLOOKUP($B20,Fire2018!$C$10:$BA$58,14,FALSE)+VLOOKUP($B20,Fire2018!$C$10:$BA$58,11,FALSE)</f>
        <v>177</v>
      </c>
      <c r="O20" s="75">
        <f>VLOOKUP($B20,Fire2018!$C$10:$AZ$58,15,FALSE)</f>
        <v>15</v>
      </c>
      <c r="P20" s="75">
        <f>VLOOKUP($B20,Fire2018!$C$10:$AZ$58,16,FALSE)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VLOOKUP($B21,Fire2018!$C$10:$I$57,2,FALSE)</f>
        <v>2</v>
      </c>
      <c r="I21" s="75">
        <f>VLOOKUP($B21,Fire2018!$C$10:$I$57,3,FALSE)</f>
        <v>16</v>
      </c>
      <c r="J21" s="75">
        <f>VLOOKUP($B21,Fire2018!$C$10:$I$57,4,FALSE)</f>
        <v>3</v>
      </c>
      <c r="K21" s="75">
        <f>VLOOKUP($B21,Fire2018!$C$10:$O$58,8,FALSE)</f>
        <v>31</v>
      </c>
      <c r="L21" s="75">
        <f>VLOOKUP($B21,Fire2018!$C$10:$Q$58,9,FALSE)</f>
        <v>2</v>
      </c>
      <c r="M21" s="75">
        <f>VLOOKUP($B21,Fire2018!$C$10:$BA$58,10,FALSE)+VLOOKUP($B21,Fire2018!$C$10:$BA$58,12,FALSE)</f>
        <v>15</v>
      </c>
      <c r="N21" s="75">
        <f>VLOOKUP($B21,Fire2018!$C$10:$BA$58,14,FALSE)+VLOOKUP($B21,Fire2018!$C$10:$BA$58,11,FALSE)</f>
        <v>74</v>
      </c>
      <c r="O21" s="75">
        <f>VLOOKUP($B21,Fire2018!$C$10:$AZ$58,15,FALSE)</f>
        <v>5</v>
      </c>
      <c r="P21" s="75">
        <f>VLOOKUP($B21,Fire2018!$C$10:$AZ$58,16,FALSE)</f>
        <v>3</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75">
        <f>VLOOKUP($B22,Fire2018!$C$10:$I$57,2,FALSE)</f>
        <v>8</v>
      </c>
      <c r="I22" s="75">
        <f>VLOOKUP($B22,Fire2018!$C$10:$I$57,3,FALSE)</f>
        <v>38</v>
      </c>
      <c r="J22" s="75">
        <f>VLOOKUP($B22,Fire2018!$C$10:$I$57,4,FALSE)</f>
        <v>5</v>
      </c>
      <c r="K22" s="75">
        <f>VLOOKUP($B22,Fire2018!$C$10:$O$58,8,FALSE)</f>
        <v>74</v>
      </c>
      <c r="L22" s="75">
        <f>VLOOKUP($B22,Fire2018!$C$10:$Q$58,9,FALSE)</f>
        <v>3</v>
      </c>
      <c r="M22" s="75">
        <f>VLOOKUP($B22,Fire2018!$C$10:$BA$58,10,FALSE)+VLOOKUP($B22,Fire2018!$C$10:$BA$58,12,FALSE)</f>
        <v>70</v>
      </c>
      <c r="N22" s="75">
        <f>VLOOKUP($B22,Fire2018!$C$10:$BA$58,14,FALSE)+VLOOKUP($B22,Fire2018!$C$10:$BA$58,11,FALSE)</f>
        <v>293</v>
      </c>
      <c r="O22" s="75">
        <f>VLOOKUP($B22,Fire2018!$C$10:$AZ$58,15,FALSE)</f>
        <v>11</v>
      </c>
      <c r="P22" s="75">
        <f>VLOOKUP($B22,Fire2018!$C$10:$AZ$58,16,FALSE)</f>
        <v>9</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75">
        <f>VLOOKUP($B23,Fire2018!$C$10:$I$57,2,FALSE)</f>
        <v>0</v>
      </c>
      <c r="I23" s="75">
        <f>VLOOKUP($B23,Fire2018!$C$10:$I$57,3,FALSE)</f>
        <v>19</v>
      </c>
      <c r="J23" s="75">
        <f>VLOOKUP($B23,Fire2018!$C$10:$I$57,4,FALSE)</f>
        <v>8</v>
      </c>
      <c r="K23" s="75">
        <f>VLOOKUP($B23,Fire2018!$C$10:$O$58,8,FALSE)</f>
        <v>41</v>
      </c>
      <c r="L23" s="75">
        <f>VLOOKUP($B23,Fire2018!$C$10:$Q$58,9,FALSE)</f>
        <v>2</v>
      </c>
      <c r="M23" s="75">
        <f>VLOOKUP($B23,Fire2018!$C$10:$BA$58,10,FALSE)+VLOOKUP($B23,Fire2018!$C$10:$BA$58,12,FALSE)</f>
        <v>42</v>
      </c>
      <c r="N23" s="75">
        <f>VLOOKUP($B23,Fire2018!$C$10:$BA$58,14,FALSE)+VLOOKUP($B23,Fire2018!$C$10:$BA$58,11,FALSE)</f>
        <v>41</v>
      </c>
      <c r="O23" s="75">
        <f>VLOOKUP($B23,Fire2018!$C$10:$AZ$58,15,FALSE)</f>
        <v>6</v>
      </c>
      <c r="P23" s="75">
        <f>VLOOKUP($B23,Fire2018!$C$10:$AZ$58,16,FALSE)</f>
        <v>2</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VLOOKUP($B24,Fire2018!$C$10:$I$57,2,FALSE)</f>
        <v>13</v>
      </c>
      <c r="I24" s="75">
        <f>VLOOKUP($B24,Fire2018!$C$10:$I$57,3,FALSE)</f>
        <v>9</v>
      </c>
      <c r="J24" s="75">
        <f>VLOOKUP($B24,Fire2018!$C$10:$I$57,4,FALSE)</f>
        <v>7</v>
      </c>
      <c r="K24" s="75">
        <f>VLOOKUP($B24,Fire2018!$C$10:$O$58,8,FALSE)</f>
        <v>40</v>
      </c>
      <c r="L24" s="75">
        <f>VLOOKUP($B24,Fire2018!$C$10:$Q$58,9,FALSE)</f>
        <v>2</v>
      </c>
      <c r="M24" s="75">
        <f>VLOOKUP($B24,Fire2018!$C$10:$BA$58,10,FALSE)+VLOOKUP($B24,Fire2018!$C$10:$BA$58,12,FALSE)</f>
        <v>8</v>
      </c>
      <c r="N24" s="75">
        <f>VLOOKUP($B24,Fire2018!$C$10:$BA$58,14,FALSE)+VLOOKUP($B24,Fire2018!$C$10:$BA$58,11,FALSE)</f>
        <v>97</v>
      </c>
      <c r="O24" s="75">
        <f>VLOOKUP($B24,Fire2018!$C$10:$AZ$58,15,FALSE)</f>
        <v>6</v>
      </c>
      <c r="P24" s="75">
        <f>VLOOKUP($B24,Fire2018!$C$10:$AZ$58,16,FALSE)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75">
        <f>VLOOKUP($B25,Fire2018!$C$10:$I$57,2,FALSE)</f>
        <v>7</v>
      </c>
      <c r="I25" s="75">
        <f>VLOOKUP($B25,Fire2018!$C$10:$I$57,3,FALSE)</f>
        <v>19</v>
      </c>
      <c r="J25" s="75">
        <f>VLOOKUP($B25,Fire2018!$C$10:$I$57,4,FALSE)</f>
        <v>3</v>
      </c>
      <c r="K25" s="75">
        <f>VLOOKUP($B25,Fire2018!$C$10:$O$58,8,FALSE)</f>
        <v>43</v>
      </c>
      <c r="L25" s="75">
        <f>VLOOKUP($B25,Fire2018!$C$10:$Q$58,9,FALSE)</f>
        <v>4</v>
      </c>
      <c r="M25" s="75">
        <f>VLOOKUP($B25,Fire2018!$C$10:$BA$58,10,FALSE)+VLOOKUP($B25,Fire2018!$C$10:$BA$58,12,FALSE)</f>
        <v>9</v>
      </c>
      <c r="N25" s="75">
        <f>VLOOKUP($B25,Fire2018!$C$10:$BA$58,14,FALSE)+VLOOKUP($B25,Fire2018!$C$10:$BA$58,11,FALSE)</f>
        <v>153</v>
      </c>
      <c r="O25" s="75">
        <f>VLOOKUP($B25,Fire2018!$C$10:$AZ$58,15,FALSE)</f>
        <v>7</v>
      </c>
      <c r="P25" s="75">
        <f>VLOOKUP($B25,Fire2018!$C$10:$AZ$58,16,FALSE)</f>
        <v>4</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VLOOKUP($B26,Fire2018!$C$10:$I$57,2,FALSE)</f>
        <v>1</v>
      </c>
      <c r="I26" s="75">
        <f>VLOOKUP($B26,Fire2018!$C$10:$I$57,3,FALSE)</f>
        <v>8</v>
      </c>
      <c r="J26" s="75">
        <f>VLOOKUP($B26,Fire2018!$C$10:$I$57,4,FALSE)</f>
        <v>1</v>
      </c>
      <c r="K26" s="75">
        <f>VLOOKUP($B26,Fire2018!$C$10:$O$58,8,FALSE)</f>
        <v>16</v>
      </c>
      <c r="L26" s="75">
        <f>VLOOKUP($B26,Fire2018!$C$10:$Q$58,9,FALSE)</f>
        <v>2</v>
      </c>
      <c r="M26" s="75">
        <f>VLOOKUP($B26,Fire2018!$C$10:$BA$58,10,FALSE)+VLOOKUP($B26,Fire2018!$C$10:$BA$58,12,FALSE)</f>
        <v>8</v>
      </c>
      <c r="N26" s="75">
        <f>VLOOKUP($B26,Fire2018!$C$10:$BA$58,14,FALSE)+VLOOKUP($B26,Fire2018!$C$10:$BA$58,11,FALSE)</f>
        <v>29</v>
      </c>
      <c r="O26" s="75">
        <f>VLOOKUP($B26,Fire2018!$C$10:$AZ$58,15,FALSE)</f>
        <v>2</v>
      </c>
      <c r="P26" s="75">
        <f>VLOOKUP($B26,Fire2018!$C$10:$AZ$58,16,FALSE)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VLOOKUP($B27,Fire2018!$C$10:$I$57,2,FALSE)</f>
        <v>14</v>
      </c>
      <c r="I27" s="75">
        <f>VLOOKUP($B27,Fire2018!$C$10:$I$57,3,FALSE)</f>
        <v>34</v>
      </c>
      <c r="J27" s="75">
        <f>VLOOKUP($B27,Fire2018!$C$10:$I$57,4,FALSE)</f>
        <v>9</v>
      </c>
      <c r="K27" s="75">
        <f>VLOOKUP($B27,Fire2018!$C$10:$O$58,8,FALSE)</f>
        <v>75</v>
      </c>
      <c r="L27" s="75">
        <f>VLOOKUP($B27,Fire2018!$C$10:$Q$58,9,FALSE)</f>
        <v>3</v>
      </c>
      <c r="M27" s="75">
        <f>VLOOKUP($B27,Fire2018!$C$10:$BA$58,10,FALSE)+VLOOKUP($B27,Fire2018!$C$10:$BA$58,12,FALSE)</f>
        <v>46</v>
      </c>
      <c r="N27" s="75">
        <f>VLOOKUP($B27,Fire2018!$C$10:$BA$58,14,FALSE)+VLOOKUP($B27,Fire2018!$C$10:$BA$58,11,FALSE)</f>
        <v>266</v>
      </c>
      <c r="O27" s="75">
        <f>VLOOKUP($B27,Fire2018!$C$10:$AZ$58,15,FALSE)</f>
        <v>13</v>
      </c>
      <c r="P27" s="75">
        <f>VLOOKUP($B27,Fire2018!$C$10:$AZ$58,16,FALSE)</f>
        <v>11</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VLOOKUP($B28,Fire2018!$C$10:$I$57,2,FALSE)</f>
        <v>9</v>
      </c>
      <c r="I28" s="75">
        <f>VLOOKUP($B28,Fire2018!$C$10:$I$57,3,FALSE)</f>
        <v>18</v>
      </c>
      <c r="J28" s="75">
        <f>VLOOKUP($B28,Fire2018!$C$10:$I$57,4,FALSE)</f>
        <v>12</v>
      </c>
      <c r="K28" s="75">
        <f>VLOOKUP($B28,Fire2018!$C$10:$O$58,8,FALSE)</f>
        <v>59</v>
      </c>
      <c r="L28" s="75">
        <f>VLOOKUP($B28,Fire2018!$C$10:$Q$58,9,FALSE)</f>
        <v>5</v>
      </c>
      <c r="M28" s="75">
        <f>VLOOKUP($B28,Fire2018!$C$10:$BA$58,10,FALSE)+VLOOKUP($B28,Fire2018!$C$10:$BA$58,12,FALSE)</f>
        <v>32</v>
      </c>
      <c r="N28" s="75">
        <f>VLOOKUP($B28,Fire2018!$C$10:$BA$58,14,FALSE)+VLOOKUP($B28,Fire2018!$C$10:$BA$58,11,FALSE)</f>
        <v>108</v>
      </c>
      <c r="O28" s="75">
        <f>VLOOKUP($B28,Fire2018!$C$10:$AZ$58,15,FALSE)</f>
        <v>7</v>
      </c>
      <c r="P28" s="75">
        <f>VLOOKUP($B28,Fire2018!$C$10:$AZ$58,16,FALSE)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VLOOKUP($B29,Fire2018!$C$10:$I$57,2,FALSE)</f>
        <v>7</v>
      </c>
      <c r="I29" s="75">
        <f>VLOOKUP($B29,Fire2018!$C$10:$I$57,3,FALSE)</f>
        <v>6</v>
      </c>
      <c r="J29" s="75">
        <f>VLOOKUP($B29,Fire2018!$C$10:$I$57,4,FALSE)</f>
        <v>7</v>
      </c>
      <c r="K29" s="75">
        <f>VLOOKUP($B29,Fire2018!$C$10:$O$58,8,FALSE)</f>
        <v>30</v>
      </c>
      <c r="L29" s="75">
        <f>VLOOKUP($B29,Fire2018!$C$10:$Q$58,9,FALSE)</f>
        <v>2</v>
      </c>
      <c r="M29" s="75">
        <f>VLOOKUP($B29,Fire2018!$C$10:$BA$58,10,FALSE)+VLOOKUP($B29,Fire2018!$C$10:$BA$58,12,FALSE)</f>
        <v>28</v>
      </c>
      <c r="N29" s="75">
        <f>VLOOKUP($B29,Fire2018!$C$10:$BA$58,14,FALSE)+VLOOKUP($B29,Fire2018!$C$10:$BA$58,11,FALSE)</f>
        <v>103</v>
      </c>
      <c r="O29" s="75">
        <f>VLOOKUP($B29,Fire2018!$C$10:$AZ$58,15,FALSE)</f>
        <v>3</v>
      </c>
      <c r="P29" s="75">
        <f>VLOOKUP($B29,Fire2018!$C$10:$AZ$58,16,FALSE)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VLOOKUP($B30,Fire2018!$C$10:$I$57,2,FALSE)</f>
        <v>0</v>
      </c>
      <c r="I30" s="75">
        <f>VLOOKUP($B30,Fire2018!$C$10:$I$57,3,FALSE)</f>
        <v>29</v>
      </c>
      <c r="J30" s="75">
        <f>VLOOKUP($B30,Fire2018!$C$10:$I$57,4,FALSE)</f>
        <v>9</v>
      </c>
      <c r="K30" s="75">
        <f>VLOOKUP($B30,Fire2018!$C$10:$O$58,8,FALSE)</f>
        <v>48</v>
      </c>
      <c r="L30" s="75">
        <f>VLOOKUP($B30,Fire2018!$C$10:$Q$58,9,FALSE)</f>
        <v>2</v>
      </c>
      <c r="M30" s="75">
        <f>VLOOKUP($B30,Fire2018!$C$10:$BA$58,10,FALSE)+VLOOKUP($B30,Fire2018!$C$10:$BA$58,12,FALSE)</f>
        <v>44</v>
      </c>
      <c r="N30" s="75">
        <f>VLOOKUP($B30,Fire2018!$C$10:$BA$58,14,FALSE)+VLOOKUP($B30,Fire2018!$C$10:$BA$58,11,FALSE)</f>
        <v>93</v>
      </c>
      <c r="O30" s="75">
        <f>VLOOKUP($B30,Fire2018!$C$10:$AZ$58,15,FALSE)</f>
        <v>5</v>
      </c>
      <c r="P30" s="75">
        <f>VLOOKUP($B30,Fire2018!$C$10:$AZ$58,16,FALSE)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VLOOKUP($B31,Fire2018!$C$10:$I$57,2,FALSE)</f>
        <v>3</v>
      </c>
      <c r="I31" s="75">
        <f>VLOOKUP($B31,Fire2018!$C$10:$I$57,3,FALSE)</f>
        <v>34</v>
      </c>
      <c r="J31" s="75">
        <f>VLOOKUP($B31,Fire2018!$C$10:$I$57,4,FALSE)</f>
        <v>5</v>
      </c>
      <c r="K31" s="75">
        <f>VLOOKUP($B31,Fire2018!$C$10:$O$58,8,FALSE)</f>
        <v>53</v>
      </c>
      <c r="L31" s="75">
        <f>VLOOKUP($B31,Fire2018!$C$10:$Q$58,9,FALSE)</f>
        <v>3</v>
      </c>
      <c r="M31" s="75">
        <f>VLOOKUP($B31,Fire2018!$C$10:$BA$58,10,FALSE)+VLOOKUP($B31,Fire2018!$C$10:$BA$58,12,FALSE)</f>
        <v>28</v>
      </c>
      <c r="N31" s="75">
        <f>VLOOKUP($B31,Fire2018!$C$10:$BA$58,14,FALSE)+VLOOKUP($B31,Fire2018!$C$10:$BA$58,11,FALSE)</f>
        <v>90</v>
      </c>
      <c r="O31" s="75">
        <f>VLOOKUP($B31,Fire2018!$C$10:$AZ$58,15,FALSE)</f>
        <v>4</v>
      </c>
      <c r="P31" s="75">
        <f>VLOOKUP($B31,Fire2018!$C$10:$AZ$58,16,FALSE)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VLOOKUP($B32,Fire2018!$C$10:$I$57,2,FALSE)</f>
        <v>5</v>
      </c>
      <c r="I32" s="75">
        <f>VLOOKUP($B32,Fire2018!$C$10:$I$57,3,FALSE)</f>
        <v>24</v>
      </c>
      <c r="J32" s="75">
        <f>VLOOKUP($B32,Fire2018!$C$10:$I$57,4,FALSE)</f>
        <v>7</v>
      </c>
      <c r="K32" s="75">
        <f>VLOOKUP($B32,Fire2018!$C$10:$O$58,8,FALSE)</f>
        <v>40</v>
      </c>
      <c r="L32" s="75">
        <f>VLOOKUP($B32,Fire2018!$C$10:$Q$58,9,FALSE)</f>
        <v>3</v>
      </c>
      <c r="M32" s="75">
        <f>VLOOKUP($B32,Fire2018!$C$10:$BA$58,10,FALSE)+VLOOKUP($B32,Fire2018!$C$10:$BA$58,12,FALSE)</f>
        <v>39</v>
      </c>
      <c r="N32" s="75">
        <f>VLOOKUP($B32,Fire2018!$C$10:$BA$58,14,FALSE)+VLOOKUP($B32,Fire2018!$C$10:$BA$58,11,FALSE)</f>
        <v>99</v>
      </c>
      <c r="O32" s="75">
        <f>VLOOKUP($B32,Fire2018!$C$10:$AZ$58,15,FALSE)</f>
        <v>5</v>
      </c>
      <c r="P32" s="75">
        <f>VLOOKUP($B32,Fire2018!$C$10:$AZ$58,16,FALSE)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VLOOKUP($B33,Fire2018!$C$10:$I$57,2,FALSE)</f>
        <v>3</v>
      </c>
      <c r="I33" s="75">
        <f>VLOOKUP($B33,Fire2018!$C$10:$I$57,3,FALSE)</f>
        <v>14</v>
      </c>
      <c r="J33" s="75">
        <f>VLOOKUP($B33,Fire2018!$C$10:$I$57,4,FALSE)</f>
        <v>5</v>
      </c>
      <c r="K33" s="75">
        <f>VLOOKUP($B33,Fire2018!$C$10:$O$58,8,FALSE)</f>
        <v>26</v>
      </c>
      <c r="L33" s="75">
        <f>VLOOKUP($B33,Fire2018!$C$10:$Q$58,9,FALSE)</f>
        <v>2</v>
      </c>
      <c r="M33" s="75">
        <f>VLOOKUP($B33,Fire2018!$C$10:$BA$58,10,FALSE)+VLOOKUP($B33,Fire2018!$C$10:$BA$58,12,FALSE)</f>
        <v>34</v>
      </c>
      <c r="N33" s="75">
        <f>VLOOKUP($B33,Fire2018!$C$10:$BA$58,14,FALSE)+VLOOKUP($B33,Fire2018!$C$10:$BA$58,11,FALSE)</f>
        <v>86</v>
      </c>
      <c r="O33" s="75">
        <f>VLOOKUP($B33,Fire2018!$C$10:$AZ$58,15,FALSE)</f>
        <v>4</v>
      </c>
      <c r="P33" s="75">
        <f>VLOOKUP($B33,Fire2018!$C$10:$AZ$58,16,FALSE)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VLOOKUP($B34,Fire2018!$C$10:$I$57,2,FALSE)</f>
        <v>1</v>
      </c>
      <c r="I34" s="75">
        <f>VLOOKUP($B34,Fire2018!$C$10:$I$57,3,FALSE)</f>
        <v>11</v>
      </c>
      <c r="J34" s="75">
        <f>VLOOKUP($B34,Fire2018!$C$10:$I$57,4,FALSE)</f>
        <v>3</v>
      </c>
      <c r="K34" s="75">
        <f>VLOOKUP($B34,Fire2018!$C$10:$O$58,8,FALSE)</f>
        <v>22</v>
      </c>
      <c r="L34" s="75">
        <f>VLOOKUP($B34,Fire2018!$C$10:$Q$58,9,FALSE)</f>
        <v>0</v>
      </c>
      <c r="M34" s="75">
        <f>VLOOKUP($B34,Fire2018!$C$10:$BA$58,10,FALSE)+VLOOKUP($B34,Fire2018!$C$10:$BA$58,12,FALSE)</f>
        <v>14</v>
      </c>
      <c r="N34" s="75">
        <f>VLOOKUP($B34,Fire2018!$C$10:$BA$58,14,FALSE)+VLOOKUP($B34,Fire2018!$C$10:$BA$58,11,FALSE)</f>
        <v>39</v>
      </c>
      <c r="O34" s="75">
        <f>VLOOKUP($B34,Fire2018!$C$10:$AZ$58,15,FALSE)</f>
        <v>3</v>
      </c>
      <c r="P34" s="75">
        <f>VLOOKUP($B34,Fire2018!$C$10:$AZ$58,16,FALSE)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VLOOKUP($B35,Fire2018!$C$10:$I$57,2,FALSE)</f>
        <v>8</v>
      </c>
      <c r="I35" s="75">
        <f>VLOOKUP($B35,Fire2018!$C$10:$I$57,3,FALSE)</f>
        <v>12</v>
      </c>
      <c r="J35" s="75">
        <f>VLOOKUP($B35,Fire2018!$C$10:$I$57,4,FALSE)</f>
        <v>4</v>
      </c>
      <c r="K35" s="75">
        <f>VLOOKUP($B35,Fire2018!$C$10:$O$58,8,FALSE)</f>
        <v>30</v>
      </c>
      <c r="L35" s="75">
        <f>VLOOKUP($B35,Fire2018!$C$10:$Q$58,9,FALSE)</f>
        <v>2</v>
      </c>
      <c r="M35" s="75">
        <f>VLOOKUP($B35,Fire2018!$C$10:$BA$58,10,FALSE)+VLOOKUP($B35,Fire2018!$C$10:$BA$58,12,FALSE)</f>
        <v>8</v>
      </c>
      <c r="N35" s="75">
        <f>VLOOKUP($B35,Fire2018!$C$10:$BA$58,14,FALSE)+VLOOKUP($B35,Fire2018!$C$10:$BA$58,11,FALSE)</f>
        <v>66</v>
      </c>
      <c r="O35" s="75">
        <f>VLOOKUP($B35,Fire2018!$C$10:$AZ$58,15,FALSE)</f>
        <v>6</v>
      </c>
      <c r="P35" s="75">
        <f>VLOOKUP($B35,Fire2018!$C$10:$AZ$58,16,FALSE)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VLOOKUP($B36,Fire2018!$C$10:$I$57,2,FALSE)</f>
        <v>0</v>
      </c>
      <c r="I36" s="75">
        <f>VLOOKUP($B36,Fire2018!$C$10:$I$57,3,FALSE)</f>
        <v>0</v>
      </c>
      <c r="J36" s="75">
        <f>VLOOKUP($B36,Fire2018!$C$10:$I$57,4,FALSE)</f>
        <v>24</v>
      </c>
      <c r="K36" s="75">
        <f>VLOOKUP($B36,Fire2018!$C$10:$O$58,8,FALSE)</f>
        <v>35</v>
      </c>
      <c r="L36" s="75">
        <f>VLOOKUP($B36,Fire2018!$C$10:$Q$58,9,FALSE)</f>
        <v>2</v>
      </c>
      <c r="M36" s="75">
        <f>VLOOKUP($B36,Fire2018!$C$10:$BA$58,10,FALSE)+VLOOKUP($B36,Fire2018!$C$10:$BA$58,12,FALSE)</f>
        <v>9</v>
      </c>
      <c r="N36" s="75">
        <f>VLOOKUP($B36,Fire2018!$C$10:$BA$58,14,FALSE)+VLOOKUP($B36,Fire2018!$C$10:$BA$58,11,FALSE)</f>
        <v>125</v>
      </c>
      <c r="O36" s="75">
        <f>VLOOKUP($B36,Fire2018!$C$10:$AZ$58,15,FALSE)</f>
        <v>5</v>
      </c>
      <c r="P36" s="75">
        <f>VLOOKUP($B36,Fire2018!$C$10:$AZ$58,16,FALSE)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VLOOKUP($B37,Fire2018!$C$10:$I$57,2,FALSE)</f>
        <v>1</v>
      </c>
      <c r="I37" s="75">
        <f>VLOOKUP($B37,Fire2018!$C$10:$I$57,3,FALSE)</f>
        <v>19</v>
      </c>
      <c r="J37" s="75">
        <f>VLOOKUP($B37,Fire2018!$C$10:$I$57,4,FALSE)</f>
        <v>3</v>
      </c>
      <c r="K37" s="75">
        <f>VLOOKUP($B37,Fire2018!$C$10:$O$58,8,FALSE)</f>
        <v>28</v>
      </c>
      <c r="L37" s="75">
        <f>VLOOKUP($B37,Fire2018!$C$10:$Q$58,9,FALSE)</f>
        <v>2</v>
      </c>
      <c r="M37" s="75">
        <f>VLOOKUP($B37,Fire2018!$C$10:$BA$58,10,FALSE)+VLOOKUP($B37,Fire2018!$C$10:$BA$58,12,FALSE)</f>
        <v>22</v>
      </c>
      <c r="N37" s="75">
        <f>VLOOKUP($B37,Fire2018!$C$10:$BA$58,14,FALSE)+VLOOKUP($B37,Fire2018!$C$10:$BA$58,11,FALSE)</f>
        <v>54</v>
      </c>
      <c r="O37" s="75">
        <f>VLOOKUP($B37,Fire2018!$C$10:$AZ$58,15,FALSE)</f>
        <v>2</v>
      </c>
      <c r="P37" s="75">
        <f>VLOOKUP($B37,Fire2018!$C$10:$AZ$58,16,FALSE)</f>
        <v>5</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VLOOKUP($B38,Fire2018!$C$10:$I$57,2,FALSE)</f>
        <v>8</v>
      </c>
      <c r="I38" s="75">
        <f>VLOOKUP($B38,Fire2018!$C$10:$I$57,3,FALSE)</f>
        <v>23</v>
      </c>
      <c r="J38" s="75">
        <f>VLOOKUP($B38,Fire2018!$C$10:$I$57,4,FALSE)</f>
        <v>2</v>
      </c>
      <c r="K38" s="75">
        <f>VLOOKUP($B38,Fire2018!$C$10:$O$58,8,FALSE)</f>
        <v>40</v>
      </c>
      <c r="L38" s="75">
        <f>VLOOKUP($B38,Fire2018!$C$10:$Q$58,9,FALSE)</f>
        <v>2</v>
      </c>
      <c r="M38" s="75">
        <f>VLOOKUP($B38,Fire2018!$C$10:$BA$58,10,FALSE)+VLOOKUP($B38,Fire2018!$C$10:$BA$58,12,FALSE)</f>
        <v>18</v>
      </c>
      <c r="N38" s="75">
        <f>VLOOKUP($B38,Fire2018!$C$10:$BA$58,14,FALSE)+VLOOKUP($B38,Fire2018!$C$10:$BA$58,11,FALSE)</f>
        <v>115</v>
      </c>
      <c r="O38" s="75">
        <f>VLOOKUP($B38,Fire2018!$C$10:$AZ$58,15,FALSE)</f>
        <v>9</v>
      </c>
      <c r="P38" s="75">
        <f>VLOOKUP($B38,Fire2018!$C$10:$AZ$58,16,FALSE)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VLOOKUP($B39,Fire2018!$C$10:$I$57,2,FALSE)</f>
        <v>0</v>
      </c>
      <c r="I39" s="75">
        <f>VLOOKUP($B39,Fire2018!$C$10:$I$57,3,FALSE)</f>
        <v>29</v>
      </c>
      <c r="J39" s="75">
        <f>VLOOKUP($B39,Fire2018!$C$10:$I$57,4,FALSE)</f>
        <v>6</v>
      </c>
      <c r="K39" s="75">
        <f>VLOOKUP($B39,Fire2018!$C$10:$O$58,8,FALSE)</f>
        <v>37</v>
      </c>
      <c r="L39" s="75">
        <f>VLOOKUP($B39,Fire2018!$C$10:$Q$58,9,FALSE)</f>
        <v>2</v>
      </c>
      <c r="M39" s="75">
        <f>VLOOKUP($B39,Fire2018!$C$10:$BA$58,10,FALSE)+VLOOKUP($B39,Fire2018!$C$10:$BA$58,12,FALSE)</f>
        <v>21</v>
      </c>
      <c r="N39" s="75">
        <f>VLOOKUP($B39,Fire2018!$C$10:$BA$58,14,FALSE)+VLOOKUP($B39,Fire2018!$C$10:$BA$58,11,FALSE)</f>
        <v>95</v>
      </c>
      <c r="O39" s="75">
        <f>VLOOKUP($B39,Fire2018!$C$10:$AZ$58,15,FALSE)</f>
        <v>3</v>
      </c>
      <c r="P39" s="75">
        <f>VLOOKUP($B39,Fire2018!$C$10:$AZ$58,16,FALSE)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VLOOKUP($B40,Fire2018!$C$10:$I$57,2,FALSE)</f>
        <v>18</v>
      </c>
      <c r="I40" s="75">
        <f>VLOOKUP($B40,Fire2018!$C$10:$I$57,3,FALSE)</f>
        <v>7</v>
      </c>
      <c r="J40" s="75">
        <f>VLOOKUP($B40,Fire2018!$C$10:$I$57,4,FALSE)</f>
        <v>1</v>
      </c>
      <c r="K40" s="75">
        <f>VLOOKUP($B40,Fire2018!$C$10:$O$58,8,FALSE)</f>
        <v>30</v>
      </c>
      <c r="L40" s="75">
        <f>VLOOKUP($B40,Fire2018!$C$10:$Q$58,9,FALSE)</f>
        <v>2</v>
      </c>
      <c r="M40" s="75">
        <f>VLOOKUP($B40,Fire2018!$C$10:$BA$58,10,FALSE)+VLOOKUP($B40,Fire2018!$C$10:$BA$58,12,FALSE)</f>
        <v>44</v>
      </c>
      <c r="N40" s="75">
        <f>VLOOKUP($B40,Fire2018!$C$10:$BA$58,14,FALSE)+VLOOKUP($B40,Fire2018!$C$10:$BA$58,11,FALSE)</f>
        <v>118</v>
      </c>
      <c r="O40" s="75">
        <f>VLOOKUP($B40,Fire2018!$C$10:$AZ$58,15,FALSE)</f>
        <v>7</v>
      </c>
      <c r="P40" s="75">
        <f>VLOOKUP($B40,Fire2018!$C$10:$AZ$58,16,FALSE)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VLOOKUP($B41,Fire2018!$C$10:$I$57,2,FALSE)</f>
        <v>5</v>
      </c>
      <c r="I41" s="75">
        <f>VLOOKUP($B41,Fire2018!$C$10:$I$57,3,FALSE)</f>
        <v>9</v>
      </c>
      <c r="J41" s="75">
        <f>VLOOKUP($B41,Fire2018!$C$10:$I$57,4,FALSE)</f>
        <v>3</v>
      </c>
      <c r="K41" s="75">
        <f>VLOOKUP($B41,Fire2018!$C$10:$O$58,8,FALSE)</f>
        <v>23</v>
      </c>
      <c r="L41" s="75">
        <f>VLOOKUP($B41,Fire2018!$C$10:$Q$58,9,FALSE)</f>
        <v>1</v>
      </c>
      <c r="M41" s="75">
        <f>VLOOKUP($B41,Fire2018!$C$10:$BA$58,10,FALSE)+VLOOKUP($B41,Fire2018!$C$10:$BA$58,12,FALSE)</f>
        <v>10</v>
      </c>
      <c r="N41" s="75">
        <f>VLOOKUP($B41,Fire2018!$C$10:$BA$58,14,FALSE)+VLOOKUP($B41,Fire2018!$C$10:$BA$58,11,FALSE)</f>
        <v>54</v>
      </c>
      <c r="O41" s="75">
        <f>VLOOKUP($B41,Fire2018!$C$10:$AZ$58,15,FALSE)</f>
        <v>5</v>
      </c>
      <c r="P41" s="75">
        <f>VLOOKUP($B41,Fire2018!$C$10:$AZ$58,16,FALSE)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VLOOKUP($B42,Fire2018!$C$10:$I$57,2,FALSE)</f>
        <v>1</v>
      </c>
      <c r="I42" s="75">
        <f>VLOOKUP($B42,Fire2018!$C$10:$I$57,3,FALSE)</f>
        <v>15</v>
      </c>
      <c r="J42" s="75">
        <f>VLOOKUP($B42,Fire2018!$C$10:$I$57,4,FALSE)</f>
        <v>9</v>
      </c>
      <c r="K42" s="75">
        <f>VLOOKUP($B42,Fire2018!$C$10:$O$58,8,FALSE)</f>
        <v>48</v>
      </c>
      <c r="L42" s="75">
        <f>VLOOKUP($B42,Fire2018!$C$10:$Q$58,9,FALSE)</f>
        <v>2</v>
      </c>
      <c r="M42" s="75">
        <f>VLOOKUP($B42,Fire2018!$C$10:$BA$58,10,FALSE)+VLOOKUP($B42,Fire2018!$C$10:$BA$58,12,FALSE)</f>
        <v>13</v>
      </c>
      <c r="N42" s="75">
        <f>VLOOKUP($B42,Fire2018!$C$10:$BA$58,14,FALSE)+VLOOKUP($B42,Fire2018!$C$10:$BA$58,11,FALSE)</f>
        <v>49</v>
      </c>
      <c r="O42" s="75">
        <f>VLOOKUP($B42,Fire2018!$C$10:$AZ$58,15,FALSE)</f>
        <v>2</v>
      </c>
      <c r="P42" s="75">
        <f>VLOOKUP($B42,Fire2018!$C$10:$AZ$58,16,FALSE)</f>
        <v>4</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251</v>
      </c>
      <c r="I44" s="70">
        <f t="shared" si="2"/>
        <v>13</v>
      </c>
      <c r="J44" s="70">
        <f t="shared" si="2"/>
        <v>19</v>
      </c>
      <c r="K44" s="70">
        <f t="shared" si="2"/>
        <v>373</v>
      </c>
      <c r="L44" s="70">
        <f t="shared" si="2"/>
        <v>37</v>
      </c>
      <c r="M44" s="70">
        <f t="shared" si="2"/>
        <v>305</v>
      </c>
      <c r="N44" s="70">
        <f t="shared" si="2"/>
        <v>1004</v>
      </c>
      <c r="O44" s="70">
        <f t="shared" si="2"/>
        <v>96</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VLOOKUP($B45,Fire2018!$C$10:$I$57,2,FALSE)</f>
        <v>41</v>
      </c>
      <c r="I45" s="75">
        <f>VLOOKUP($B45,Fire2018!$C$10:$I$57,3,FALSE)</f>
        <v>0</v>
      </c>
      <c r="J45" s="75">
        <f>VLOOKUP($B45,Fire2018!$C$10:$I$57,4,FALSE)</f>
        <v>0</v>
      </c>
      <c r="K45" s="75">
        <f>VLOOKUP($B45,Fire2018!$C$10:$O$58,8,FALSE)</f>
        <v>54</v>
      </c>
      <c r="L45" s="75">
        <f>VLOOKUP($B45,Fire2018!$C$10:$Q$58,9,FALSE)</f>
        <v>6</v>
      </c>
      <c r="M45" s="75">
        <f>VLOOKUP($B45,Fire2018!$C$10:$BA$58,10,FALSE)+VLOOKUP($B45,Fire2018!$C$10:$BA$58,12,FALSE)</f>
        <v>23</v>
      </c>
      <c r="N45" s="75">
        <f>VLOOKUP($B45,Fire2018!$C$10:$BA$58,14,FALSE)+VLOOKUP($B45,Fire2018!$C$10:$BA$58,11,FALSE)</f>
        <v>121</v>
      </c>
      <c r="O45" s="75">
        <f>VLOOKUP($B45,Fire2018!$C$10:$AZ$58,15,FALSE)</f>
        <v>12</v>
      </c>
      <c r="P45" s="75">
        <f>VLOOKUP($B45,Fire2018!$C$10:$AZ$58,16,FALSE)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VLOOKUP($B46,Fire2018!$C$10:$I$57,2,FALSE)</f>
        <v>14</v>
      </c>
      <c r="I46" s="75">
        <f>VLOOKUP($B46,Fire2018!$C$10:$I$57,3,FALSE)</f>
        <v>0</v>
      </c>
      <c r="J46" s="75">
        <f>VLOOKUP($B46,Fire2018!$C$10:$I$57,4,FALSE)</f>
        <v>9</v>
      </c>
      <c r="K46" s="75">
        <f>VLOOKUP($B46,Fire2018!$C$10:$O$58,8,FALSE)</f>
        <v>29</v>
      </c>
      <c r="L46" s="75">
        <f>VLOOKUP($B46,Fire2018!$C$10:$Q$58,9,FALSE)</f>
        <v>4</v>
      </c>
      <c r="M46" s="75">
        <f>VLOOKUP($B46,Fire2018!$C$10:$BA$58,10,FALSE)+VLOOKUP($B46,Fire2018!$C$10:$BA$58,12,FALSE)</f>
        <v>52</v>
      </c>
      <c r="N46" s="75">
        <f>VLOOKUP($B46,Fire2018!$C$10:$BA$58,14,FALSE)+VLOOKUP($B46,Fire2018!$C$10:$BA$58,11,FALSE)</f>
        <v>165</v>
      </c>
      <c r="O46" s="75">
        <f>VLOOKUP($B46,Fire2018!$C$10:$AZ$58,15,FALSE)</f>
        <v>10</v>
      </c>
      <c r="P46" s="75">
        <f>VLOOKUP($B46,Fire2018!$C$10:$AZ$58,16,FALSE)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VLOOKUP($B47,Fire2018!$C$10:$I$57,2,FALSE)</f>
        <v>14</v>
      </c>
      <c r="I47" s="75">
        <f>VLOOKUP($B47,Fire2018!$C$10:$I$57,3,FALSE)</f>
        <v>4</v>
      </c>
      <c r="J47" s="75">
        <f>VLOOKUP($B47,Fire2018!$C$10:$I$57,4,FALSE)</f>
        <v>3</v>
      </c>
      <c r="K47" s="75">
        <f>VLOOKUP($B47,Fire2018!$C$10:$O$58,8,FALSE)</f>
        <v>27</v>
      </c>
      <c r="L47" s="75">
        <f>VLOOKUP($B47,Fire2018!$C$10:$Q$58,9,FALSE)</f>
        <v>2</v>
      </c>
      <c r="M47" s="75">
        <f>VLOOKUP($B47,Fire2018!$C$10:$BA$58,10,FALSE)+VLOOKUP($B47,Fire2018!$C$10:$BA$58,12,FALSE)</f>
        <v>16</v>
      </c>
      <c r="N47" s="75">
        <f>VLOOKUP($B47,Fire2018!$C$10:$BA$58,14,FALSE)+VLOOKUP($B47,Fire2018!$C$10:$BA$58,11,FALSE)</f>
        <v>147</v>
      </c>
      <c r="O47" s="75">
        <f>VLOOKUP($B47,Fire2018!$C$10:$AZ$58,15,FALSE)</f>
        <v>4</v>
      </c>
      <c r="P47" s="75">
        <f>VLOOKUP($B47,Fire2018!$C$10:$AZ$58,16,FALSE)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VLOOKUP($B48,Fire2018!$C$10:$I$57,2,FALSE)</f>
        <v>16</v>
      </c>
      <c r="I48" s="75">
        <f>VLOOKUP($B48,Fire2018!$C$10:$I$57,3,FALSE)</f>
        <v>1</v>
      </c>
      <c r="J48" s="75">
        <f>VLOOKUP($B48,Fire2018!$C$10:$I$57,4,FALSE)</f>
        <v>0</v>
      </c>
      <c r="K48" s="75">
        <f>VLOOKUP($B48,Fire2018!$C$10:$O$58,8,FALSE)</f>
        <v>24</v>
      </c>
      <c r="L48" s="75">
        <f>VLOOKUP($B48,Fire2018!$C$10:$Q$58,9,FALSE)</f>
        <v>3</v>
      </c>
      <c r="M48" s="75">
        <f>VLOOKUP($B48,Fire2018!$C$10:$BA$58,10,FALSE)+VLOOKUP($B48,Fire2018!$C$10:$BA$58,12,FALSE)</f>
        <v>20</v>
      </c>
      <c r="N48" s="75">
        <f>VLOOKUP($B48,Fire2018!$C$10:$BA$58,14,FALSE)+VLOOKUP($B48,Fire2018!$C$10:$BA$58,11,FALSE)</f>
        <v>88</v>
      </c>
      <c r="O48" s="75">
        <f>VLOOKUP($B48,Fire2018!$C$10:$AZ$58,15,FALSE)</f>
        <v>6</v>
      </c>
      <c r="P48" s="75">
        <f>VLOOKUP($B48,Fire2018!$C$10:$AZ$58,16,FALSE)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VLOOKUP($B49,Fire2018!$C$10:$I$57,2,FALSE)</f>
        <v>38</v>
      </c>
      <c r="I49" s="75">
        <f>VLOOKUP($B49,Fire2018!$C$10:$I$57,3,FALSE)</f>
        <v>0</v>
      </c>
      <c r="J49" s="75">
        <f>VLOOKUP($B49,Fire2018!$C$10:$I$57,4,FALSE)</f>
        <v>0</v>
      </c>
      <c r="K49" s="75">
        <f>VLOOKUP($B49,Fire2018!$C$10:$O$58,8,FALSE)</f>
        <v>41</v>
      </c>
      <c r="L49" s="75">
        <f>VLOOKUP($B49,Fire2018!$C$10:$Q$58,9,FALSE)</f>
        <v>4</v>
      </c>
      <c r="M49" s="75">
        <f>VLOOKUP($B49,Fire2018!$C$10:$BA$58,10,FALSE)+VLOOKUP($B49,Fire2018!$C$10:$BA$58,12,FALSE)</f>
        <v>35</v>
      </c>
      <c r="N49" s="75">
        <f>VLOOKUP($B49,Fire2018!$C$10:$BA$58,14,FALSE)+VLOOKUP($B49,Fire2018!$C$10:$BA$58,11,FALSE)</f>
        <v>104</v>
      </c>
      <c r="O49" s="75">
        <f>VLOOKUP($B49,Fire2018!$C$10:$AZ$58,15,FALSE)</f>
        <v>14</v>
      </c>
      <c r="P49" s="75">
        <f>VLOOKUP($B49,Fire2018!$C$10:$AZ$58,16,FALSE)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VLOOKUP($B50,Fire2018!$C$10:$I$57,2,FALSE)</f>
        <v>25</v>
      </c>
      <c r="I50" s="75">
        <f>VLOOKUP($B50,Fire2018!$C$10:$I$57,3,FALSE)</f>
        <v>8</v>
      </c>
      <c r="J50" s="75">
        <f>VLOOKUP($B50,Fire2018!$C$10:$I$57,4,FALSE)</f>
        <v>7</v>
      </c>
      <c r="K50" s="75">
        <f>VLOOKUP($B50,Fire2018!$C$10:$O$58,8,FALSE)</f>
        <v>56</v>
      </c>
      <c r="L50" s="75">
        <f>VLOOKUP($B50,Fire2018!$C$10:$Q$58,9,FALSE)</f>
        <v>7</v>
      </c>
      <c r="M50" s="75">
        <f>VLOOKUP($B50,Fire2018!$C$10:$BA$58,10,FALSE)+VLOOKUP($B50,Fire2018!$C$10:$BA$58,12,FALSE)</f>
        <v>31</v>
      </c>
      <c r="N50" s="75">
        <f>VLOOKUP($B50,Fire2018!$C$10:$BA$58,14,FALSE)+VLOOKUP($B50,Fire2018!$C$10:$BA$58,11,FALSE)</f>
        <v>268</v>
      </c>
      <c r="O50" s="75">
        <f>VLOOKUP($B50,Fire2018!$C$10:$AZ$58,15,FALSE)</f>
        <v>6</v>
      </c>
      <c r="P50" s="75">
        <f>VLOOKUP($B50,Fire2018!$C$10:$AZ$58,16,FALSE)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620</v>
      </c>
      <c r="C51" s="90"/>
      <c r="D51" s="91"/>
      <c r="E51" s="91"/>
      <c r="F51" s="91"/>
      <c r="G51" s="75"/>
      <c r="H51" s="75">
        <f>VLOOKUP($B51,Fire2018!$C$10:$I$57,2,FALSE)</f>
        <v>103</v>
      </c>
      <c r="I51" s="75">
        <f>VLOOKUP($B51,Fire2018!$C$10:$I$57,3,FALSE)</f>
        <v>0</v>
      </c>
      <c r="J51" s="75">
        <f>VLOOKUP($B51,Fire2018!$C$10:$I$57,4,FALSE)</f>
        <v>0</v>
      </c>
      <c r="K51" s="75">
        <f>VLOOKUP($B51,Fire2018!$C$10:$O$58,8,FALSE)</f>
        <v>142</v>
      </c>
      <c r="L51" s="75">
        <f>VLOOKUP($B51,Fire2018!$C$10:$Q$58,9,FALSE)</f>
        <v>11</v>
      </c>
      <c r="M51" s="75">
        <f>VLOOKUP($B51,Fire2018!$C$10:$BA$58,10,FALSE)+VLOOKUP($B51,Fire2018!$C$10:$BA$58,12,FALSE)</f>
        <v>128</v>
      </c>
      <c r="N51" s="75">
        <f>VLOOKUP($B51,Fire2018!$C$10:$BA$58,14,FALSE)+VLOOKUP($B51,Fire2018!$C$10:$BA$58,11,FALSE)</f>
        <v>111</v>
      </c>
      <c r="O51" s="75">
        <f>VLOOKUP($B51,Fire2018!$C$10:$AZ$58,15,FALSE)</f>
        <v>44</v>
      </c>
      <c r="P51" s="75">
        <f>VLOOKUP($B51,Fire2018!$C$10:$AZ$58,16,FALSE)</f>
        <v>34</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203" t="s">
        <v>343</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381" t="s">
        <v>344</v>
      </c>
      <c r="C55" s="381"/>
      <c r="D55" s="381"/>
      <c r="E55" s="381"/>
      <c r="F55" s="381"/>
      <c r="G55" s="381"/>
      <c r="H55" s="381"/>
      <c r="I55" s="381"/>
      <c r="J55" s="381"/>
      <c r="K55" s="381"/>
      <c r="L55" s="381"/>
      <c r="M55" s="381"/>
      <c r="N55" s="381"/>
      <c r="O55" s="381"/>
      <c r="P55" s="381"/>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2C7D-8A0A-4DC5-9FC3-3FA0047B894C}">
  <sheetPr>
    <tabColor rgb="FF7030A0"/>
  </sheetPr>
  <dimension ref="A1:EK65"/>
  <sheetViews>
    <sheetView showGridLines="0" zoomScaleNormal="100" zoomScaleSheetLayoutView="100" workbookViewId="0">
      <pane xSplit="3" ySplit="12" topLeftCell="G25" activePane="bottomRight" state="frozen"/>
      <selection activeCell="A4" sqref="A4:H4"/>
      <selection pane="topRight" activeCell="A4" sqref="A4:H4"/>
      <selection pane="bottomLeft" activeCell="A4" sqref="A4:H4"/>
      <selection pane="bottomRight" activeCell="A4" sqref="A4:H4"/>
    </sheetView>
  </sheetViews>
  <sheetFormatPr defaultColWidth="9.1796875" defaultRowHeight="15" customHeight="1" x14ac:dyDescent="0.2"/>
  <cols>
    <col min="1" max="2" width="7.1796875" style="207" customWidth="1"/>
    <col min="3" max="3" width="24.26953125" style="207" customWidth="1"/>
    <col min="4" max="141" width="14.26953125" style="207" customWidth="1"/>
    <col min="142" max="16384" width="9.1796875" style="207"/>
  </cols>
  <sheetData>
    <row r="1" spans="1:141" s="259" customFormat="1" ht="15" customHeight="1" x14ac:dyDescent="0.2">
      <c r="D1" s="260" t="s">
        <v>155</v>
      </c>
      <c r="E1" s="260" t="s">
        <v>156</v>
      </c>
      <c r="F1" s="260" t="s">
        <v>154</v>
      </c>
      <c r="G1" s="260" t="s">
        <v>400</v>
      </c>
      <c r="H1" s="260" t="s">
        <v>153</v>
      </c>
      <c r="I1" s="260" t="s">
        <v>397</v>
      </c>
      <c r="J1" s="260" t="s">
        <v>622</v>
      </c>
      <c r="K1" s="260" t="s">
        <v>396</v>
      </c>
      <c r="L1" s="260" t="s">
        <v>145</v>
      </c>
      <c r="M1" s="260" t="s">
        <v>394</v>
      </c>
      <c r="N1" s="260" t="s">
        <v>623</v>
      </c>
      <c r="O1" s="260" t="s">
        <v>132</v>
      </c>
      <c r="P1" s="260" t="s">
        <v>131</v>
      </c>
      <c r="Q1" s="260" t="s">
        <v>115</v>
      </c>
      <c r="R1" s="260" t="s">
        <v>114</v>
      </c>
      <c r="S1" s="260" t="s">
        <v>113</v>
      </c>
      <c r="T1" s="260" t="s">
        <v>401</v>
      </c>
      <c r="U1" s="260" t="s">
        <v>402</v>
      </c>
      <c r="V1" s="260" t="s">
        <v>403</v>
      </c>
      <c r="W1" s="260" t="s">
        <v>404</v>
      </c>
      <c r="X1" s="260" t="s">
        <v>405</v>
      </c>
      <c r="Y1" s="260" t="s">
        <v>406</v>
      </c>
      <c r="Z1" s="260" t="s">
        <v>407</v>
      </c>
      <c r="AA1" s="260" t="s">
        <v>408</v>
      </c>
      <c r="AB1" s="260" t="s">
        <v>409</v>
      </c>
      <c r="AC1" s="260" t="s">
        <v>410</v>
      </c>
      <c r="AD1" s="260" t="s">
        <v>411</v>
      </c>
      <c r="AE1" s="260" t="s">
        <v>412</v>
      </c>
      <c r="AF1" s="260" t="s">
        <v>413</v>
      </c>
      <c r="AG1" s="260" t="s">
        <v>414</v>
      </c>
      <c r="AH1" s="260" t="s">
        <v>415</v>
      </c>
      <c r="AI1" s="260" t="s">
        <v>416</v>
      </c>
      <c r="AJ1" s="260" t="s">
        <v>417</v>
      </c>
      <c r="AK1" s="260" t="s">
        <v>418</v>
      </c>
      <c r="AL1" s="260" t="s">
        <v>419</v>
      </c>
      <c r="AM1" s="260" t="s">
        <v>420</v>
      </c>
      <c r="AN1" s="260" t="s">
        <v>421</v>
      </c>
      <c r="AO1" s="260" t="s">
        <v>422</v>
      </c>
      <c r="AP1" s="260" t="s">
        <v>423</v>
      </c>
      <c r="AQ1" s="260" t="s">
        <v>424</v>
      </c>
      <c r="AR1" s="260" t="s">
        <v>425</v>
      </c>
      <c r="AS1" s="260" t="s">
        <v>426</v>
      </c>
      <c r="AT1" s="260" t="s">
        <v>427</v>
      </c>
      <c r="AU1" s="260" t="s">
        <v>428</v>
      </c>
      <c r="AV1" s="260" t="s">
        <v>429</v>
      </c>
      <c r="AW1" s="260" t="s">
        <v>430</v>
      </c>
      <c r="AX1" s="260" t="s">
        <v>431</v>
      </c>
      <c r="AY1" s="260" t="s">
        <v>432</v>
      </c>
      <c r="AZ1" s="352" t="s">
        <v>624</v>
      </c>
      <c r="BA1" s="260" t="s">
        <v>433</v>
      </c>
      <c r="BB1" s="352" t="s">
        <v>625</v>
      </c>
      <c r="BC1" s="260" t="s">
        <v>434</v>
      </c>
      <c r="BD1" s="352" t="s">
        <v>626</v>
      </c>
      <c r="BE1" s="260" t="s">
        <v>435</v>
      </c>
      <c r="BF1" s="352" t="s">
        <v>627</v>
      </c>
      <c r="BG1" s="260" t="s">
        <v>436</v>
      </c>
      <c r="BH1" s="352" t="s">
        <v>628</v>
      </c>
      <c r="BI1" s="260" t="s">
        <v>437</v>
      </c>
      <c r="BJ1" s="352" t="s">
        <v>629</v>
      </c>
      <c r="BK1" s="260" t="s">
        <v>438</v>
      </c>
      <c r="BL1" s="352" t="s">
        <v>630</v>
      </c>
      <c r="BM1" s="260" t="s">
        <v>439</v>
      </c>
      <c r="BN1" s="352" t="s">
        <v>631</v>
      </c>
      <c r="BO1" s="260" t="s">
        <v>440</v>
      </c>
      <c r="BP1" s="352" t="s">
        <v>632</v>
      </c>
      <c r="BQ1" s="260" t="s">
        <v>441</v>
      </c>
      <c r="BR1" s="352" t="s">
        <v>633</v>
      </c>
      <c r="BS1" s="260" t="s">
        <v>442</v>
      </c>
      <c r="BT1" s="352" t="s">
        <v>634</v>
      </c>
      <c r="BU1" s="260" t="s">
        <v>444</v>
      </c>
      <c r="BV1" s="260" t="s">
        <v>445</v>
      </c>
      <c r="BW1" s="260" t="s">
        <v>446</v>
      </c>
      <c r="BX1" s="260" t="s">
        <v>447</v>
      </c>
      <c r="BY1" s="260" t="s">
        <v>449</v>
      </c>
      <c r="BZ1" s="260" t="s">
        <v>450</v>
      </c>
      <c r="CA1" s="352" t="s">
        <v>635</v>
      </c>
      <c r="CB1" s="260" t="s">
        <v>451</v>
      </c>
      <c r="CC1" s="260" t="s">
        <v>452</v>
      </c>
      <c r="CD1" s="260" t="s">
        <v>453</v>
      </c>
      <c r="CE1" s="260" t="s">
        <v>454</v>
      </c>
      <c r="CF1" s="260" t="s">
        <v>455</v>
      </c>
      <c r="CG1" s="352" t="s">
        <v>636</v>
      </c>
      <c r="CH1" s="352" t="s">
        <v>637</v>
      </c>
      <c r="CI1" s="352" t="s">
        <v>638</v>
      </c>
      <c r="CJ1" s="352" t="s">
        <v>639</v>
      </c>
      <c r="CK1" s="352" t="s">
        <v>640</v>
      </c>
      <c r="CL1" s="352" t="s">
        <v>641</v>
      </c>
      <c r="CM1" s="260" t="s">
        <v>456</v>
      </c>
      <c r="CN1" s="260" t="s">
        <v>457</v>
      </c>
      <c r="CO1" s="260" t="s">
        <v>458</v>
      </c>
      <c r="CP1" s="260" t="s">
        <v>459</v>
      </c>
      <c r="CQ1" s="352" t="s">
        <v>642</v>
      </c>
      <c r="CR1" s="352" t="s">
        <v>643</v>
      </c>
      <c r="CS1" s="260" t="s">
        <v>460</v>
      </c>
      <c r="CT1" s="352" t="s">
        <v>644</v>
      </c>
      <c r="CU1" s="352" t="s">
        <v>645</v>
      </c>
      <c r="CV1" s="352" t="s">
        <v>646</v>
      </c>
      <c r="CW1" s="260" t="s">
        <v>461</v>
      </c>
      <c r="CX1" s="260" t="s">
        <v>462</v>
      </c>
      <c r="CY1" s="260" t="s">
        <v>463</v>
      </c>
      <c r="CZ1" s="260" t="s">
        <v>464</v>
      </c>
      <c r="DA1" s="260" t="s">
        <v>465</v>
      </c>
      <c r="DB1" s="260" t="s">
        <v>466</v>
      </c>
      <c r="DC1" s="260" t="s">
        <v>467</v>
      </c>
      <c r="DD1" s="260" t="s">
        <v>468</v>
      </c>
      <c r="DE1" s="260" t="s">
        <v>469</v>
      </c>
      <c r="DF1" s="260" t="s">
        <v>470</v>
      </c>
      <c r="DG1" s="260" t="s">
        <v>471</v>
      </c>
      <c r="DH1" s="260" t="s">
        <v>472</v>
      </c>
      <c r="DI1" s="260" t="s">
        <v>473</v>
      </c>
      <c r="DJ1" s="260" t="s">
        <v>474</v>
      </c>
      <c r="DK1" s="260" t="s">
        <v>475</v>
      </c>
      <c r="DL1" s="260" t="s">
        <v>476</v>
      </c>
      <c r="DM1" s="260" t="s">
        <v>477</v>
      </c>
      <c r="DN1" s="260" t="s">
        <v>478</v>
      </c>
      <c r="DO1" s="260" t="s">
        <v>479</v>
      </c>
      <c r="DP1" s="260" t="s">
        <v>480</v>
      </c>
      <c r="DQ1" s="260" t="s">
        <v>481</v>
      </c>
      <c r="DR1" s="260" t="s">
        <v>482</v>
      </c>
      <c r="DS1" s="260" t="s">
        <v>483</v>
      </c>
      <c r="DT1" s="260" t="s">
        <v>484</v>
      </c>
      <c r="DU1" s="352" t="s">
        <v>647</v>
      </c>
      <c r="DV1" s="352" t="s">
        <v>648</v>
      </c>
      <c r="DW1" s="352" t="s">
        <v>649</v>
      </c>
      <c r="DX1" s="352" t="s">
        <v>650</v>
      </c>
      <c r="DY1" s="352" t="s">
        <v>651</v>
      </c>
      <c r="DZ1" s="352" t="s">
        <v>652</v>
      </c>
      <c r="EA1" s="352" t="s">
        <v>653</v>
      </c>
      <c r="EB1" s="352" t="s">
        <v>654</v>
      </c>
      <c r="EC1" s="352" t="s">
        <v>655</v>
      </c>
      <c r="ED1" s="352" t="s">
        <v>656</v>
      </c>
      <c r="EE1" s="352" t="s">
        <v>657</v>
      </c>
      <c r="EF1" s="352" t="s">
        <v>658</v>
      </c>
      <c r="EG1" s="352" t="s">
        <v>659</v>
      </c>
      <c r="EH1" s="352" t="s">
        <v>660</v>
      </c>
      <c r="EI1" s="352" t="s">
        <v>661</v>
      </c>
      <c r="EJ1" s="352" t="s">
        <v>662</v>
      </c>
      <c r="EK1" s="352" t="s">
        <v>663</v>
      </c>
    </row>
    <row r="2" spans="1:141" ht="17.5" x14ac:dyDescent="0.2">
      <c r="A2" s="258" t="s">
        <v>664</v>
      </c>
      <c r="B2" s="257"/>
      <c r="D2" s="256"/>
      <c r="E2" s="256"/>
      <c r="F2" s="256"/>
      <c r="G2" s="255"/>
      <c r="H2" s="255"/>
      <c r="I2" s="255"/>
      <c r="J2" s="215"/>
      <c r="L2" s="215"/>
      <c r="Q2" s="256"/>
      <c r="S2" s="256"/>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15"/>
      <c r="BH2" s="215"/>
      <c r="BI2" s="255"/>
      <c r="BJ2" s="255"/>
      <c r="BK2" s="255"/>
      <c r="BL2" s="255"/>
      <c r="BM2" s="255"/>
      <c r="BN2" s="255"/>
      <c r="BQ2" s="255"/>
      <c r="BR2" s="255"/>
      <c r="BS2" s="273"/>
      <c r="BT2" s="273"/>
      <c r="BU2" s="273"/>
      <c r="BV2" s="273"/>
      <c r="BW2" s="255"/>
      <c r="BX2" s="215"/>
      <c r="BY2" s="215"/>
      <c r="BZ2" s="256"/>
      <c r="CA2" s="256"/>
      <c r="CB2" s="274"/>
      <c r="CC2" s="222"/>
      <c r="CD2" s="222"/>
      <c r="CE2" s="222"/>
      <c r="CF2" s="222"/>
      <c r="CG2" s="222"/>
      <c r="CH2" s="222"/>
      <c r="CI2" s="222"/>
      <c r="CJ2" s="222"/>
      <c r="CK2" s="222"/>
      <c r="CL2" s="222"/>
      <c r="CM2" s="222"/>
      <c r="CN2" s="222"/>
      <c r="CO2" s="222"/>
      <c r="CP2" s="222"/>
      <c r="CQ2" s="222"/>
      <c r="CR2" s="222"/>
      <c r="CS2" s="211"/>
      <c r="CT2" s="211"/>
      <c r="CU2" s="211"/>
      <c r="CV2" s="211"/>
      <c r="CW2" s="275"/>
      <c r="CX2" s="275"/>
      <c r="CY2" s="276"/>
      <c r="CZ2" s="276"/>
      <c r="DA2" s="255"/>
      <c r="DB2" s="215"/>
      <c r="DC2" s="275"/>
      <c r="DD2" s="275"/>
      <c r="DE2" s="276"/>
      <c r="DF2" s="276"/>
      <c r="DG2" s="277"/>
      <c r="DH2" s="278"/>
      <c r="DI2" s="279"/>
      <c r="DJ2" s="279"/>
      <c r="DK2" s="278"/>
      <c r="DL2" s="278"/>
      <c r="DM2" s="255"/>
      <c r="DN2" s="280"/>
      <c r="DO2" s="280"/>
      <c r="DP2" s="280"/>
      <c r="DQ2" s="280"/>
      <c r="DR2" s="278"/>
      <c r="DS2" s="278"/>
      <c r="DT2" s="278"/>
    </row>
    <row r="3" spans="1:141" ht="11.25" customHeight="1" x14ac:dyDescent="0.2">
      <c r="C3" s="232"/>
      <c r="D3" s="281" t="s">
        <v>665</v>
      </c>
      <c r="E3" s="282"/>
      <c r="F3" s="282"/>
      <c r="G3" s="282"/>
      <c r="H3" s="282"/>
      <c r="I3" s="283"/>
      <c r="J3" s="284" t="s">
        <v>666</v>
      </c>
      <c r="K3" s="282"/>
      <c r="L3" s="282"/>
      <c r="M3" s="282"/>
      <c r="N3" s="282"/>
      <c r="O3" s="282"/>
      <c r="P3" s="282"/>
      <c r="Q3" s="282"/>
      <c r="R3" s="282"/>
      <c r="S3" s="283"/>
      <c r="T3" s="284" t="s">
        <v>667</v>
      </c>
      <c r="U3" s="282"/>
      <c r="V3" s="282"/>
      <c r="W3" s="282"/>
      <c r="X3" s="282"/>
      <c r="Y3" s="282"/>
      <c r="Z3" s="285"/>
      <c r="AA3" s="286"/>
      <c r="AB3" s="287"/>
      <c r="AC3" s="284" t="s">
        <v>668</v>
      </c>
      <c r="AD3" s="282"/>
      <c r="AE3" s="282"/>
      <c r="AF3" s="282"/>
      <c r="AG3" s="282"/>
      <c r="AH3" s="282"/>
      <c r="AI3" s="283"/>
      <c r="AJ3" s="285" t="s">
        <v>490</v>
      </c>
      <c r="AK3" s="287"/>
      <c r="AL3" s="288"/>
      <c r="AM3" s="284" t="s">
        <v>491</v>
      </c>
      <c r="AN3" s="282"/>
      <c r="AO3" s="282"/>
      <c r="AP3" s="282"/>
      <c r="AQ3" s="282"/>
      <c r="AR3" s="282"/>
      <c r="AS3" s="282"/>
      <c r="AT3" s="282"/>
      <c r="AU3" s="283"/>
      <c r="AV3" s="287"/>
      <c r="AW3" s="286"/>
      <c r="AX3" s="286"/>
      <c r="AY3" s="284" t="s">
        <v>492</v>
      </c>
      <c r="AZ3" s="282"/>
      <c r="BA3" s="289"/>
      <c r="BB3" s="289"/>
      <c r="BC3" s="289"/>
      <c r="BD3" s="289"/>
      <c r="BE3" s="289"/>
      <c r="BF3" s="293"/>
      <c r="BG3" s="290"/>
      <c r="BH3" s="291"/>
      <c r="BI3" s="291"/>
      <c r="BJ3" s="291"/>
      <c r="BK3" s="292"/>
      <c r="BL3" s="291"/>
      <c r="BM3" s="284" t="s">
        <v>492</v>
      </c>
      <c r="BN3" s="286"/>
      <c r="BO3" s="292"/>
      <c r="BP3" s="291"/>
      <c r="BQ3" s="290"/>
      <c r="BR3" s="293"/>
      <c r="BS3" s="293"/>
      <c r="BT3" s="293"/>
      <c r="BU3" s="293"/>
      <c r="BV3" s="293"/>
      <c r="BW3" s="289"/>
      <c r="BX3" s="284" t="s">
        <v>492</v>
      </c>
      <c r="BY3" s="293"/>
      <c r="BZ3" s="293"/>
      <c r="CA3" s="293"/>
      <c r="CB3" s="289"/>
      <c r="CC3" s="294"/>
      <c r="CD3" s="282"/>
      <c r="CE3" s="282"/>
      <c r="CF3" s="283"/>
      <c r="CG3" s="282"/>
      <c r="CH3" s="282"/>
      <c r="CI3" s="282"/>
      <c r="CJ3" s="282"/>
      <c r="CK3" s="282"/>
      <c r="CL3" s="282"/>
      <c r="CM3" s="387" t="s">
        <v>492</v>
      </c>
      <c r="CN3" s="388"/>
      <c r="CO3" s="388"/>
      <c r="CP3" s="389"/>
      <c r="CQ3" s="284"/>
      <c r="CR3" s="282"/>
      <c r="CS3" s="282" t="s">
        <v>493</v>
      </c>
      <c r="CT3" s="282"/>
      <c r="CU3" s="282"/>
      <c r="CV3" s="282"/>
      <c r="CW3" s="282"/>
      <c r="CX3" s="282"/>
      <c r="CY3" s="283"/>
      <c r="CZ3" s="282"/>
      <c r="DA3" s="283"/>
      <c r="DB3" s="284" t="s">
        <v>669</v>
      </c>
      <c r="DC3" s="282"/>
      <c r="DD3" s="282"/>
      <c r="DE3" s="282"/>
      <c r="DF3" s="282"/>
      <c r="DG3" s="283"/>
      <c r="DH3" s="284" t="s">
        <v>495</v>
      </c>
      <c r="DI3" s="282"/>
      <c r="DJ3" s="282"/>
      <c r="DK3" s="282"/>
      <c r="DL3" s="282"/>
      <c r="DM3" s="283"/>
      <c r="DN3" s="284"/>
      <c r="DO3" s="282"/>
      <c r="DP3" s="282"/>
      <c r="DQ3" s="283"/>
      <c r="DR3" s="295" t="s">
        <v>496</v>
      </c>
      <c r="DS3" s="295"/>
      <c r="DT3" s="295"/>
      <c r="DU3" s="382" t="s">
        <v>670</v>
      </c>
      <c r="DV3" s="383"/>
      <c r="DW3" s="383"/>
      <c r="DX3" s="383"/>
      <c r="DY3" s="383"/>
      <c r="DZ3" s="383"/>
      <c r="EA3" s="383"/>
      <c r="EB3" s="383"/>
      <c r="EC3" s="383"/>
      <c r="ED3" s="383"/>
      <c r="EE3" s="383"/>
      <c r="EF3" s="383"/>
      <c r="EG3" s="383"/>
      <c r="EH3" s="383"/>
      <c r="EI3" s="383"/>
      <c r="EJ3" s="383"/>
      <c r="EK3" s="384"/>
    </row>
    <row r="4" spans="1:141" ht="11.25" customHeight="1" x14ac:dyDescent="0.2">
      <c r="C4" s="232"/>
      <c r="D4" s="295" t="s">
        <v>378</v>
      </c>
      <c r="E4" s="295" t="s">
        <v>378</v>
      </c>
      <c r="F4" s="295" t="s">
        <v>378</v>
      </c>
      <c r="G4" s="295" t="s">
        <v>378</v>
      </c>
      <c r="H4" s="295" t="s">
        <v>378</v>
      </c>
      <c r="I4" s="296" t="s">
        <v>386</v>
      </c>
      <c r="J4" s="387" t="s">
        <v>217</v>
      </c>
      <c r="K4" s="388"/>
      <c r="L4" s="388"/>
      <c r="M4" s="388"/>
      <c r="N4" s="388"/>
      <c r="O4" s="388"/>
      <c r="P4" s="389"/>
      <c r="Q4" s="284" t="s">
        <v>389</v>
      </c>
      <c r="R4" s="282"/>
      <c r="S4" s="282"/>
      <c r="T4" s="297"/>
      <c r="U4" s="297"/>
      <c r="V4" s="297"/>
      <c r="W4" s="297"/>
      <c r="X4" s="297"/>
      <c r="Y4" s="297"/>
      <c r="Z4" s="285"/>
      <c r="AA4" s="285"/>
      <c r="AB4" s="287"/>
      <c r="AC4" s="288"/>
      <c r="AD4" s="288"/>
      <c r="AE4" s="288"/>
      <c r="AF4" s="288"/>
      <c r="AG4" s="288"/>
      <c r="AH4" s="297"/>
      <c r="AI4" s="298"/>
      <c r="AJ4" s="299" t="s">
        <v>671</v>
      </c>
      <c r="AK4" s="300"/>
      <c r="AL4" s="233" t="s">
        <v>378</v>
      </c>
      <c r="AM4" s="233" t="s">
        <v>378</v>
      </c>
      <c r="AN4" s="233" t="s">
        <v>378</v>
      </c>
      <c r="AO4" s="233" t="s">
        <v>378</v>
      </c>
      <c r="AP4" s="233" t="s">
        <v>378</v>
      </c>
      <c r="AQ4" s="301" t="s">
        <v>498</v>
      </c>
      <c r="AR4" s="302"/>
      <c r="AS4" s="302"/>
      <c r="AT4" s="303"/>
      <c r="AU4" s="301" t="s">
        <v>499</v>
      </c>
      <c r="AV4" s="302"/>
      <c r="AW4" s="302"/>
      <c r="AX4" s="303"/>
      <c r="AY4" s="284" t="s">
        <v>500</v>
      </c>
      <c r="AZ4" s="282"/>
      <c r="BA4" s="283"/>
      <c r="BB4" s="283"/>
      <c r="BC4" s="289"/>
      <c r="BD4" s="289"/>
      <c r="BE4" s="304"/>
      <c r="BF4" s="353"/>
      <c r="BG4" s="290"/>
      <c r="BH4" s="293"/>
      <c r="BI4" s="293"/>
      <c r="BJ4" s="293"/>
      <c r="BK4" s="289"/>
      <c r="BL4" s="292"/>
      <c r="BM4" s="305"/>
      <c r="BN4" s="305"/>
      <c r="BO4" s="305"/>
      <c r="BP4" s="305"/>
      <c r="BQ4" s="305"/>
      <c r="BR4" s="305"/>
      <c r="BS4" s="306"/>
      <c r="BT4" s="354"/>
      <c r="BU4" s="306"/>
      <c r="BV4" s="306"/>
      <c r="BW4" s="306"/>
      <c r="BX4" s="391" t="s">
        <v>502</v>
      </c>
      <c r="BY4" s="392"/>
      <c r="BZ4" s="392"/>
      <c r="CA4" s="392"/>
      <c r="CB4" s="393"/>
      <c r="CC4" s="307"/>
      <c r="CD4" s="295" t="s">
        <v>378</v>
      </c>
      <c r="CE4" s="295" t="s">
        <v>378</v>
      </c>
      <c r="CF4" s="295" t="s">
        <v>378</v>
      </c>
      <c r="CG4" s="387" t="s">
        <v>672</v>
      </c>
      <c r="CH4" s="388"/>
      <c r="CI4" s="388"/>
      <c r="CJ4" s="388"/>
      <c r="CK4" s="388"/>
      <c r="CL4" s="389"/>
      <c r="CM4" s="284" t="s">
        <v>503</v>
      </c>
      <c r="CN4" s="284"/>
      <c r="CO4" s="282"/>
      <c r="CP4" s="283"/>
      <c r="CQ4" s="387" t="s">
        <v>673</v>
      </c>
      <c r="CR4" s="388"/>
      <c r="CS4" s="389"/>
      <c r="CT4" s="387" t="s">
        <v>674</v>
      </c>
      <c r="CU4" s="388"/>
      <c r="CV4" s="388"/>
      <c r="CW4" s="389"/>
      <c r="CX4" s="295" t="s">
        <v>378</v>
      </c>
      <c r="CY4" s="295" t="s">
        <v>378</v>
      </c>
      <c r="CZ4" s="295" t="s">
        <v>378</v>
      </c>
      <c r="DA4" s="295" t="s">
        <v>378</v>
      </c>
      <c r="DB4" s="295" t="s">
        <v>378</v>
      </c>
      <c r="DC4" s="295" t="s">
        <v>378</v>
      </c>
      <c r="DD4" s="295" t="s">
        <v>378</v>
      </c>
      <c r="DE4" s="295" t="s">
        <v>378</v>
      </c>
      <c r="DF4" s="295" t="s">
        <v>378</v>
      </c>
      <c r="DG4" s="295" t="s">
        <v>378</v>
      </c>
      <c r="DH4" s="308"/>
      <c r="DI4" s="308"/>
      <c r="DJ4" s="308"/>
      <c r="DK4" s="308"/>
      <c r="DL4" s="308"/>
      <c r="DM4" s="308"/>
      <c r="DN4" s="308"/>
      <c r="DO4" s="308"/>
      <c r="DP4" s="308"/>
      <c r="DQ4" s="296" t="s">
        <v>503</v>
      </c>
      <c r="DR4" s="309" t="s">
        <v>675</v>
      </c>
      <c r="DS4" s="309"/>
      <c r="DT4" s="309"/>
      <c r="DU4" s="382" t="s">
        <v>676</v>
      </c>
      <c r="DV4" s="390"/>
      <c r="DW4" s="382" t="s">
        <v>677</v>
      </c>
      <c r="DX4" s="383"/>
      <c r="DY4" s="384"/>
      <c r="DZ4" s="382" t="s">
        <v>538</v>
      </c>
      <c r="EA4" s="383"/>
      <c r="EB4" s="384"/>
      <c r="EC4" s="382" t="s">
        <v>678</v>
      </c>
      <c r="ED4" s="383"/>
      <c r="EE4" s="383"/>
      <c r="EF4" s="384"/>
      <c r="EG4" s="355"/>
      <c r="EH4" s="382" t="s">
        <v>679</v>
      </c>
      <c r="EI4" s="383"/>
      <c r="EJ4" s="384"/>
      <c r="EK4" s="355"/>
    </row>
    <row r="5" spans="1:141" ht="11.25" customHeight="1" x14ac:dyDescent="0.2">
      <c r="C5" s="232"/>
      <c r="D5" s="308"/>
      <c r="E5" s="308"/>
      <c r="F5" s="308"/>
      <c r="G5" s="308"/>
      <c r="H5" s="308"/>
      <c r="I5" s="228"/>
      <c r="J5" s="233"/>
      <c r="K5" s="233"/>
      <c r="L5" s="233"/>
      <c r="M5" s="233"/>
      <c r="N5" s="233"/>
      <c r="O5" s="233" t="s">
        <v>378</v>
      </c>
      <c r="P5" s="228"/>
      <c r="Q5" s="295"/>
      <c r="R5" s="295"/>
      <c r="S5" s="295"/>
      <c r="T5" s="310"/>
      <c r="U5" s="310"/>
      <c r="V5" s="310"/>
      <c r="W5" s="310"/>
      <c r="X5" s="310"/>
      <c r="Y5" s="310"/>
      <c r="Z5" s="310"/>
      <c r="AA5" s="311"/>
      <c r="AB5" s="232"/>
      <c r="AC5" s="308"/>
      <c r="AD5" s="308"/>
      <c r="AE5" s="308"/>
      <c r="AF5" s="308"/>
      <c r="AG5" s="308"/>
      <c r="AH5" s="311"/>
      <c r="AI5" s="232"/>
      <c r="AJ5" s="288"/>
      <c r="AK5" s="312"/>
      <c r="AL5" s="233" t="s">
        <v>378</v>
      </c>
      <c r="AM5" s="234"/>
      <c r="AN5" s="234"/>
      <c r="AO5" s="234"/>
      <c r="AP5" s="234"/>
      <c r="AQ5" s="313" t="s">
        <v>680</v>
      </c>
      <c r="AR5" s="314"/>
      <c r="AS5" s="314"/>
      <c r="AT5" s="300"/>
      <c r="AU5" s="313" t="s">
        <v>680</v>
      </c>
      <c r="AV5" s="314"/>
      <c r="AW5" s="314"/>
      <c r="AX5" s="300"/>
      <c r="AY5" s="295" t="s">
        <v>378</v>
      </c>
      <c r="AZ5" s="228" t="s">
        <v>370</v>
      </c>
      <c r="BA5" s="315" t="s">
        <v>378</v>
      </c>
      <c r="BB5" s="318" t="s">
        <v>370</v>
      </c>
      <c r="BC5" s="315" t="s">
        <v>378</v>
      </c>
      <c r="BD5" s="318" t="s">
        <v>522</v>
      </c>
      <c r="BE5" s="318" t="s">
        <v>378</v>
      </c>
      <c r="BF5" s="318"/>
      <c r="BG5" s="318" t="s">
        <v>378</v>
      </c>
      <c r="BH5" s="318"/>
      <c r="BI5" s="315" t="s">
        <v>378</v>
      </c>
      <c r="BJ5" s="318" t="s">
        <v>523</v>
      </c>
      <c r="BK5" s="315" t="s">
        <v>378</v>
      </c>
      <c r="BL5" s="315" t="s">
        <v>524</v>
      </c>
      <c r="BM5" s="316"/>
      <c r="BN5" s="318" t="s">
        <v>525</v>
      </c>
      <c r="BO5" s="316"/>
      <c r="BP5" s="318" t="s">
        <v>526</v>
      </c>
      <c r="BQ5" s="316"/>
      <c r="BR5" s="318" t="s">
        <v>527</v>
      </c>
      <c r="BS5" s="317"/>
      <c r="BT5" s="317"/>
      <c r="BU5" s="317"/>
      <c r="BV5" s="317"/>
      <c r="BW5" s="317"/>
      <c r="BX5" s="315"/>
      <c r="BY5" s="315"/>
      <c r="BZ5" s="315" t="s">
        <v>378</v>
      </c>
      <c r="CB5" s="315" t="s">
        <v>378</v>
      </c>
      <c r="CC5" s="318"/>
      <c r="CD5" s="228"/>
      <c r="CE5" s="228"/>
      <c r="CF5" s="228"/>
      <c r="CG5" s="228"/>
      <c r="CH5" s="228"/>
      <c r="CI5" s="228"/>
      <c r="CJ5" s="228"/>
      <c r="CK5" s="228"/>
      <c r="CL5" s="228"/>
      <c r="CM5" s="228"/>
      <c r="CN5" s="228"/>
      <c r="CO5" s="228"/>
      <c r="CP5" s="228"/>
      <c r="CQ5" s="228"/>
      <c r="CR5" s="228"/>
      <c r="CS5" s="228"/>
      <c r="CT5" s="228"/>
      <c r="CU5" s="228"/>
      <c r="CV5" s="228"/>
      <c r="CW5" s="228"/>
      <c r="CX5" s="228" t="s">
        <v>372</v>
      </c>
      <c r="CY5" s="228"/>
      <c r="CZ5" s="228"/>
      <c r="DA5" s="228"/>
      <c r="DB5" s="228"/>
      <c r="DC5" s="228"/>
      <c r="DD5" s="228" t="s">
        <v>372</v>
      </c>
      <c r="DE5" s="228"/>
      <c r="DF5" s="228"/>
      <c r="DG5" s="228"/>
      <c r="DH5" s="228"/>
      <c r="DI5" s="228"/>
      <c r="DJ5" s="228"/>
      <c r="DK5" s="228"/>
      <c r="DL5" s="228"/>
      <c r="DM5" s="228"/>
      <c r="DN5" s="228"/>
      <c r="DO5" s="228"/>
      <c r="DP5" s="228"/>
      <c r="DQ5" s="228"/>
      <c r="DR5" s="319"/>
      <c r="DS5" s="319"/>
      <c r="DT5" s="319"/>
      <c r="DU5" s="356"/>
      <c r="DV5" s="355"/>
      <c r="DW5" s="356"/>
      <c r="DX5" s="355"/>
      <c r="DY5" s="356"/>
      <c r="DZ5" s="355"/>
      <c r="EA5" s="356"/>
      <c r="EB5" s="355"/>
      <c r="EC5" s="356"/>
      <c r="ED5" s="355"/>
      <c r="EE5" s="356"/>
      <c r="EF5" s="355"/>
      <c r="EG5" s="324"/>
      <c r="EH5" s="356"/>
      <c r="EI5" s="355"/>
      <c r="EJ5" s="355"/>
      <c r="EK5" s="324"/>
    </row>
    <row r="6" spans="1:141" ht="11.25" customHeight="1" x14ac:dyDescent="0.2">
      <c r="C6" s="232"/>
      <c r="D6" s="308"/>
      <c r="E6" s="308"/>
      <c r="F6" s="308"/>
      <c r="G6" s="308"/>
      <c r="H6" s="228" t="s">
        <v>216</v>
      </c>
      <c r="I6" s="228" t="s">
        <v>381</v>
      </c>
      <c r="J6" s="233"/>
      <c r="K6" s="233"/>
      <c r="L6" s="233"/>
      <c r="M6" s="233"/>
      <c r="N6" s="233"/>
      <c r="O6" s="233" t="s">
        <v>378</v>
      </c>
      <c r="P6" s="228"/>
      <c r="Q6" s="233"/>
      <c r="R6" s="233"/>
      <c r="S6" s="233"/>
      <c r="T6" s="310"/>
      <c r="U6" s="310"/>
      <c r="V6" s="310"/>
      <c r="W6" s="310"/>
      <c r="X6" s="310"/>
      <c r="Y6" s="310"/>
      <c r="Z6" s="310"/>
      <c r="AA6" s="320"/>
      <c r="AB6" s="248"/>
      <c r="AC6" s="308"/>
      <c r="AD6" s="308"/>
      <c r="AE6" s="308"/>
      <c r="AF6" s="308"/>
      <c r="AG6" s="308"/>
      <c r="AH6" s="311"/>
      <c r="AI6" s="232"/>
      <c r="AJ6" s="308"/>
      <c r="AK6" s="228"/>
      <c r="AL6" s="308"/>
      <c r="AM6" s="234"/>
      <c r="AN6" s="321" t="s">
        <v>506</v>
      </c>
      <c r="AO6" s="234"/>
      <c r="AP6" s="234"/>
      <c r="AQ6" s="228"/>
      <c r="AR6" s="228"/>
      <c r="AS6" s="228"/>
      <c r="AT6" s="228"/>
      <c r="AU6" s="228"/>
      <c r="AV6" s="228"/>
      <c r="AW6" s="228"/>
      <c r="AX6" s="228"/>
      <c r="AY6" s="233" t="s">
        <v>378</v>
      </c>
      <c r="AZ6" s="228" t="s">
        <v>550</v>
      </c>
      <c r="BA6" s="322" t="s">
        <v>378</v>
      </c>
      <c r="BB6" s="318" t="s">
        <v>551</v>
      </c>
      <c r="BC6" s="322" t="s">
        <v>378</v>
      </c>
      <c r="BD6" s="318" t="s">
        <v>552</v>
      </c>
      <c r="BE6" s="322" t="s">
        <v>378</v>
      </c>
      <c r="BF6" s="318" t="s">
        <v>553</v>
      </c>
      <c r="BG6" s="316"/>
      <c r="BH6" s="318" t="s">
        <v>554</v>
      </c>
      <c r="BI6" s="316"/>
      <c r="BJ6" s="318" t="s">
        <v>555</v>
      </c>
      <c r="BK6" s="316"/>
      <c r="BL6" s="318" t="s">
        <v>500</v>
      </c>
      <c r="BM6" s="316"/>
      <c r="BN6" s="318" t="s">
        <v>556</v>
      </c>
      <c r="BO6" s="316"/>
      <c r="BP6" s="318" t="s">
        <v>556</v>
      </c>
      <c r="BQ6" s="316"/>
      <c r="BR6" s="318" t="s">
        <v>532</v>
      </c>
      <c r="BS6" s="317"/>
      <c r="BT6" s="318" t="s">
        <v>557</v>
      </c>
      <c r="BU6" s="317"/>
      <c r="BV6" s="323"/>
      <c r="BW6" s="317"/>
      <c r="BX6" s="317"/>
      <c r="BY6" s="317"/>
      <c r="BZ6" s="317"/>
      <c r="CA6" s="318" t="s">
        <v>375</v>
      </c>
      <c r="CB6" s="318"/>
      <c r="CC6" s="318" t="s">
        <v>507</v>
      </c>
      <c r="CD6" s="228"/>
      <c r="CE6" s="228"/>
      <c r="CF6" s="228" t="s">
        <v>507</v>
      </c>
      <c r="CG6" s="228"/>
      <c r="CH6" s="228"/>
      <c r="CI6" s="228"/>
      <c r="CJ6" s="228"/>
      <c r="CK6" s="228" t="s">
        <v>681</v>
      </c>
      <c r="CL6" s="228"/>
      <c r="CM6" s="228"/>
      <c r="CN6" s="228"/>
      <c r="CO6" s="228"/>
      <c r="CP6" s="228"/>
      <c r="CQ6" s="228"/>
      <c r="CR6" s="228"/>
      <c r="CS6" s="228"/>
      <c r="CT6" s="228"/>
      <c r="CU6" s="228"/>
      <c r="CV6" s="228"/>
      <c r="CW6" s="228" t="s">
        <v>216</v>
      </c>
      <c r="CX6" s="228" t="s">
        <v>508</v>
      </c>
      <c r="CY6" s="228"/>
      <c r="CZ6" s="228"/>
      <c r="DA6" s="228"/>
      <c r="DB6" s="228"/>
      <c r="DC6" s="228"/>
      <c r="DD6" s="228" t="s">
        <v>508</v>
      </c>
      <c r="DE6" s="228"/>
      <c r="DF6" s="228"/>
      <c r="DG6" s="228"/>
      <c r="DH6" s="228"/>
      <c r="DI6" s="228"/>
      <c r="DJ6" s="228"/>
      <c r="DK6" s="228"/>
      <c r="DL6" s="228"/>
      <c r="DM6" s="228"/>
      <c r="DN6" s="228"/>
      <c r="DO6" s="228"/>
      <c r="DP6" s="228"/>
      <c r="DQ6" s="228"/>
      <c r="DR6" s="234"/>
      <c r="DS6" s="234"/>
      <c r="DT6" s="234"/>
      <c r="DU6" s="356"/>
      <c r="DV6" s="324"/>
      <c r="DW6" s="357"/>
      <c r="DX6" s="325"/>
      <c r="DY6" s="357"/>
      <c r="DZ6" s="325"/>
      <c r="EA6" s="357"/>
      <c r="EB6" s="325"/>
      <c r="EC6" s="357"/>
      <c r="ED6" s="325"/>
      <c r="EE6" s="357"/>
      <c r="EF6" s="325"/>
      <c r="EG6" s="325"/>
      <c r="EH6" s="357"/>
      <c r="EI6" s="324"/>
      <c r="EJ6" s="325"/>
      <c r="EK6" s="324"/>
    </row>
    <row r="7" spans="1:141" ht="11.25" customHeight="1" x14ac:dyDescent="0.2">
      <c r="C7" s="232"/>
      <c r="D7" s="308"/>
      <c r="E7" s="308"/>
      <c r="F7" s="308"/>
      <c r="G7" s="308"/>
      <c r="H7" s="228" t="s">
        <v>363</v>
      </c>
      <c r="I7" s="228" t="s">
        <v>377</v>
      </c>
      <c r="K7" s="233"/>
      <c r="L7" s="233"/>
      <c r="M7" s="233" t="s">
        <v>509</v>
      </c>
      <c r="N7" s="233" t="s">
        <v>509</v>
      </c>
      <c r="O7" s="233" t="s">
        <v>378</v>
      </c>
      <c r="P7" s="228"/>
      <c r="Q7" s="234"/>
      <c r="R7" s="234"/>
      <c r="S7" s="234"/>
      <c r="T7" s="310"/>
      <c r="U7" s="310"/>
      <c r="V7" s="310"/>
      <c r="W7" s="310"/>
      <c r="X7" s="310"/>
      <c r="Y7" s="310"/>
      <c r="Z7" s="310"/>
      <c r="AA7" s="320"/>
      <c r="AB7" s="248"/>
      <c r="AC7" s="308"/>
      <c r="AD7" s="308"/>
      <c r="AE7" s="308"/>
      <c r="AF7" s="308"/>
      <c r="AG7" s="308"/>
      <c r="AH7" s="311"/>
      <c r="AI7" s="232"/>
      <c r="AJ7" s="308"/>
      <c r="AK7" s="228"/>
      <c r="AL7" s="308"/>
      <c r="AM7" s="228" t="s">
        <v>510</v>
      </c>
      <c r="AN7" s="228" t="s">
        <v>510</v>
      </c>
      <c r="AO7" s="321" t="s">
        <v>510</v>
      </c>
      <c r="AP7" s="321" t="s">
        <v>510</v>
      </c>
      <c r="AQ7" s="228"/>
      <c r="AR7" s="228"/>
      <c r="AS7" s="228"/>
      <c r="AT7" s="228"/>
      <c r="AU7" s="228"/>
      <c r="AV7" s="228"/>
      <c r="AW7" s="228"/>
      <c r="AX7" s="228"/>
      <c r="AY7" s="234"/>
      <c r="AZ7" s="228" t="s">
        <v>586</v>
      </c>
      <c r="BA7" s="324"/>
      <c r="BB7" s="318" t="s">
        <v>586</v>
      </c>
      <c r="BC7" s="324"/>
      <c r="BD7" s="318" t="s">
        <v>587</v>
      </c>
      <c r="BE7" s="324"/>
      <c r="BF7" s="318" t="s">
        <v>587</v>
      </c>
      <c r="BG7" s="317"/>
      <c r="BH7" s="318" t="s">
        <v>593</v>
      </c>
      <c r="BI7" s="317"/>
      <c r="BJ7" s="318" t="s">
        <v>593</v>
      </c>
      <c r="BK7" s="317"/>
      <c r="BL7" s="318" t="s">
        <v>593</v>
      </c>
      <c r="BM7" s="317"/>
      <c r="BN7" s="318" t="s">
        <v>593</v>
      </c>
      <c r="BO7" s="317"/>
      <c r="BP7" s="318" t="s">
        <v>593</v>
      </c>
      <c r="BQ7" s="317"/>
      <c r="BR7" s="318" t="s">
        <v>366</v>
      </c>
      <c r="BS7" s="317"/>
      <c r="BT7" s="318" t="s">
        <v>366</v>
      </c>
      <c r="BU7" s="318"/>
      <c r="BV7" s="317"/>
      <c r="BW7" s="317"/>
      <c r="BX7" s="317"/>
      <c r="BY7" s="325" t="s">
        <v>378</v>
      </c>
      <c r="BZ7" s="317"/>
      <c r="CA7" s="318" t="s">
        <v>502</v>
      </c>
      <c r="CB7" s="318"/>
      <c r="CC7" s="318" t="s">
        <v>512</v>
      </c>
      <c r="CD7" s="228"/>
      <c r="CE7" s="228"/>
      <c r="CF7" s="228" t="s">
        <v>513</v>
      </c>
      <c r="CG7" s="228"/>
      <c r="CH7" s="228"/>
      <c r="CI7" s="228"/>
      <c r="CJ7" s="228"/>
      <c r="CK7" s="228" t="s">
        <v>682</v>
      </c>
      <c r="CL7" s="228"/>
      <c r="CM7" s="228"/>
      <c r="CN7" s="228" t="s">
        <v>502</v>
      </c>
      <c r="CO7" s="228" t="s">
        <v>514</v>
      </c>
      <c r="CP7" s="228" t="s">
        <v>514</v>
      </c>
      <c r="CQ7" s="228" t="s">
        <v>683</v>
      </c>
      <c r="CR7" s="228"/>
      <c r="CS7" s="228"/>
      <c r="CT7" s="228"/>
      <c r="CU7" s="228"/>
      <c r="CV7" s="228"/>
      <c r="CW7" s="228" t="s">
        <v>515</v>
      </c>
      <c r="CX7" s="228" t="s">
        <v>371</v>
      </c>
      <c r="CY7" s="228" t="s">
        <v>516</v>
      </c>
      <c r="CZ7" s="228"/>
      <c r="DA7" s="228"/>
      <c r="DB7" s="228"/>
      <c r="DC7" s="228" t="s">
        <v>515</v>
      </c>
      <c r="DD7" s="228" t="s">
        <v>371</v>
      </c>
      <c r="DE7" s="228" t="s">
        <v>516</v>
      </c>
      <c r="DF7" s="228"/>
      <c r="DG7" s="228"/>
      <c r="DH7" s="228"/>
      <c r="DI7" s="234"/>
      <c r="DJ7" s="234"/>
      <c r="DK7" s="234"/>
      <c r="DL7" s="234"/>
      <c r="DM7" s="234"/>
      <c r="DN7" s="321" t="s">
        <v>517</v>
      </c>
      <c r="DO7" s="234"/>
      <c r="DP7" s="228" t="s">
        <v>507</v>
      </c>
      <c r="DQ7" s="228"/>
      <c r="DR7" s="233"/>
      <c r="DS7" s="233"/>
      <c r="DT7" s="233"/>
      <c r="DU7" s="356"/>
      <c r="DV7" s="324"/>
      <c r="DW7" s="357"/>
      <c r="DX7" s="324"/>
      <c r="DY7" s="357" t="s">
        <v>375</v>
      </c>
      <c r="DZ7" s="325"/>
      <c r="EA7" s="357"/>
      <c r="EB7" s="325" t="s">
        <v>375</v>
      </c>
      <c r="EC7" s="357"/>
      <c r="ED7" s="324"/>
      <c r="EE7" s="357"/>
      <c r="EF7" s="325"/>
      <c r="EG7" s="325"/>
      <c r="EH7" s="357"/>
      <c r="EI7" s="325" t="s">
        <v>560</v>
      </c>
      <c r="EJ7" s="325"/>
      <c r="EK7" s="324"/>
    </row>
    <row r="8" spans="1:141" ht="11.25" customHeight="1" x14ac:dyDescent="0.2">
      <c r="C8" s="232"/>
      <c r="D8" s="228"/>
      <c r="E8" s="228" t="s">
        <v>367</v>
      </c>
      <c r="F8" s="228" t="s">
        <v>222</v>
      </c>
      <c r="G8" s="228"/>
      <c r="H8" s="228" t="s">
        <v>376</v>
      </c>
      <c r="I8" s="228" t="s">
        <v>375</v>
      </c>
      <c r="J8" s="228" t="s">
        <v>387</v>
      </c>
      <c r="K8" s="228"/>
      <c r="L8" s="228"/>
      <c r="M8" s="228" t="s">
        <v>518</v>
      </c>
      <c r="N8" s="228" t="s">
        <v>518</v>
      </c>
      <c r="O8" s="228"/>
      <c r="P8" s="228" t="s">
        <v>216</v>
      </c>
      <c r="Q8" s="228" t="s">
        <v>375</v>
      </c>
      <c r="R8" s="228" t="s">
        <v>216</v>
      </c>
      <c r="S8" s="228" t="s">
        <v>216</v>
      </c>
      <c r="T8" s="320"/>
      <c r="U8" s="320"/>
      <c r="V8" s="320"/>
      <c r="W8" s="320"/>
      <c r="X8" s="320"/>
      <c r="Y8" s="320"/>
      <c r="Z8" s="320"/>
      <c r="AA8" s="320"/>
      <c r="AB8" s="248"/>
      <c r="AC8" s="308"/>
      <c r="AD8" s="308"/>
      <c r="AE8" s="308"/>
      <c r="AF8" s="308"/>
      <c r="AG8" s="308"/>
      <c r="AH8" s="311"/>
      <c r="AI8" s="232"/>
      <c r="AJ8" s="228" t="s">
        <v>372</v>
      </c>
      <c r="AK8" s="228"/>
      <c r="AL8" s="228"/>
      <c r="AM8" s="228" t="s">
        <v>519</v>
      </c>
      <c r="AN8" s="228" t="s">
        <v>519</v>
      </c>
      <c r="AO8" s="228" t="s">
        <v>520</v>
      </c>
      <c r="AP8" s="228" t="s">
        <v>521</v>
      </c>
      <c r="AQ8" s="228"/>
      <c r="AR8" s="228"/>
      <c r="AS8" s="228"/>
      <c r="AT8" s="228"/>
      <c r="AU8" s="228"/>
      <c r="AV8" s="228"/>
      <c r="AW8" s="228"/>
      <c r="AX8" s="228"/>
      <c r="AY8" s="228" t="s">
        <v>370</v>
      </c>
      <c r="AZ8" s="228" t="s">
        <v>684</v>
      </c>
      <c r="BA8" s="318" t="s">
        <v>370</v>
      </c>
      <c r="BB8" s="228" t="s">
        <v>684</v>
      </c>
      <c r="BC8" s="318" t="s">
        <v>522</v>
      </c>
      <c r="BD8" s="228" t="s">
        <v>684</v>
      </c>
      <c r="BE8" s="318"/>
      <c r="BF8" s="228" t="s">
        <v>684</v>
      </c>
      <c r="BG8" s="318"/>
      <c r="BH8" s="228" t="s">
        <v>684</v>
      </c>
      <c r="BI8" s="318" t="s">
        <v>523</v>
      </c>
      <c r="BJ8" s="228" t="s">
        <v>684</v>
      </c>
      <c r="BK8" s="318" t="s">
        <v>524</v>
      </c>
      <c r="BL8" s="228" t="s">
        <v>684</v>
      </c>
      <c r="BM8" s="318" t="s">
        <v>525</v>
      </c>
      <c r="BN8" s="228" t="s">
        <v>684</v>
      </c>
      <c r="BO8" s="318" t="s">
        <v>526</v>
      </c>
      <c r="BP8" s="228" t="s">
        <v>684</v>
      </c>
      <c r="BQ8" s="318" t="s">
        <v>527</v>
      </c>
      <c r="BR8" s="228" t="s">
        <v>684</v>
      </c>
      <c r="BS8" s="318"/>
      <c r="BT8" s="228" t="s">
        <v>684</v>
      </c>
      <c r="BU8" s="318" t="s">
        <v>685</v>
      </c>
      <c r="BV8" s="318"/>
      <c r="BW8" s="318"/>
      <c r="BX8" s="318"/>
      <c r="BY8" s="318" t="s">
        <v>685</v>
      </c>
      <c r="BZ8" s="318"/>
      <c r="CA8" s="228" t="s">
        <v>684</v>
      </c>
      <c r="CB8" s="318"/>
      <c r="CC8" s="318" t="s">
        <v>528</v>
      </c>
      <c r="CD8" s="228"/>
      <c r="CE8" s="228"/>
      <c r="CF8" s="228" t="s">
        <v>529</v>
      </c>
      <c r="CG8" s="228"/>
      <c r="CH8" s="228" t="s">
        <v>686</v>
      </c>
      <c r="CI8" s="228"/>
      <c r="CJ8" s="228" t="s">
        <v>687</v>
      </c>
      <c r="CK8" s="228" t="s">
        <v>688</v>
      </c>
      <c r="CL8" s="228" t="s">
        <v>689</v>
      </c>
      <c r="CM8" s="228"/>
      <c r="CN8" s="228" t="s">
        <v>530</v>
      </c>
      <c r="CO8" s="228" t="s">
        <v>531</v>
      </c>
      <c r="CP8" s="228" t="s">
        <v>531</v>
      </c>
      <c r="CQ8" s="228" t="s">
        <v>690</v>
      </c>
      <c r="CR8" s="228"/>
      <c r="CS8" s="228" t="s">
        <v>216</v>
      </c>
      <c r="CT8" s="228"/>
      <c r="CU8" s="228" t="s">
        <v>691</v>
      </c>
      <c r="CV8" s="228" t="s">
        <v>692</v>
      </c>
      <c r="CW8" s="228" t="s">
        <v>532</v>
      </c>
      <c r="CX8" s="228" t="s">
        <v>533</v>
      </c>
      <c r="CY8" s="228" t="s">
        <v>532</v>
      </c>
      <c r="CZ8" s="228" t="s">
        <v>534</v>
      </c>
      <c r="DA8" s="228" t="s">
        <v>216</v>
      </c>
      <c r="DB8" s="228"/>
      <c r="DC8" s="228" t="s">
        <v>532</v>
      </c>
      <c r="DD8" s="228" t="s">
        <v>533</v>
      </c>
      <c r="DE8" s="228" t="s">
        <v>532</v>
      </c>
      <c r="DF8" s="228" t="s">
        <v>534</v>
      </c>
      <c r="DG8" s="228" t="s">
        <v>216</v>
      </c>
      <c r="DH8" s="228"/>
      <c r="DI8" s="228"/>
      <c r="DJ8" s="234"/>
      <c r="DK8" s="228"/>
      <c r="DL8" s="228"/>
      <c r="DM8" s="228"/>
      <c r="DN8" s="228" t="s">
        <v>532</v>
      </c>
      <c r="DO8" s="228"/>
      <c r="DP8" s="228" t="s">
        <v>535</v>
      </c>
      <c r="DQ8" s="228"/>
      <c r="DR8" s="228"/>
      <c r="DS8" s="228"/>
      <c r="DT8" s="228"/>
      <c r="DU8" s="356"/>
      <c r="DV8" s="325" t="s">
        <v>375</v>
      </c>
      <c r="DW8" s="357"/>
      <c r="DX8" s="325" t="s">
        <v>693</v>
      </c>
      <c r="DY8" s="357" t="s">
        <v>525</v>
      </c>
      <c r="DZ8" s="325"/>
      <c r="EA8" s="357" t="s">
        <v>694</v>
      </c>
      <c r="EB8" s="325" t="s">
        <v>526</v>
      </c>
      <c r="EC8" s="357" t="s">
        <v>695</v>
      </c>
      <c r="ED8" s="325" t="s">
        <v>522</v>
      </c>
      <c r="EE8" s="357"/>
      <c r="EF8" s="325"/>
      <c r="EG8" s="325"/>
      <c r="EH8" s="357"/>
      <c r="EI8" s="325" t="s">
        <v>696</v>
      </c>
      <c r="EJ8" s="357" t="s">
        <v>375</v>
      </c>
      <c r="EK8" s="325" t="s">
        <v>216</v>
      </c>
    </row>
    <row r="9" spans="1:141" ht="11.25" customHeight="1" x14ac:dyDescent="0.2">
      <c r="C9" s="232"/>
      <c r="D9" s="228"/>
      <c r="E9" s="228" t="s">
        <v>374</v>
      </c>
      <c r="F9" s="228" t="s">
        <v>373</v>
      </c>
      <c r="G9" s="228"/>
      <c r="H9" s="228" t="s">
        <v>372</v>
      </c>
      <c r="I9" s="228" t="s">
        <v>371</v>
      </c>
      <c r="J9" s="228" t="s">
        <v>364</v>
      </c>
      <c r="K9" s="233" t="s">
        <v>536</v>
      </c>
      <c r="L9" s="233" t="s">
        <v>375</v>
      </c>
      <c r="M9" s="233" t="s">
        <v>537</v>
      </c>
      <c r="N9" s="233" t="s">
        <v>537</v>
      </c>
      <c r="O9" s="233" t="s">
        <v>216</v>
      </c>
      <c r="P9" s="228" t="s">
        <v>370</v>
      </c>
      <c r="Q9" s="228" t="s">
        <v>538</v>
      </c>
      <c r="R9" s="228" t="s">
        <v>539</v>
      </c>
      <c r="S9" s="228" t="s">
        <v>180</v>
      </c>
      <c r="T9" s="320" t="s">
        <v>540</v>
      </c>
      <c r="U9" s="320" t="s">
        <v>361</v>
      </c>
      <c r="V9" s="320" t="s">
        <v>541</v>
      </c>
      <c r="W9" s="320" t="s">
        <v>542</v>
      </c>
      <c r="X9" s="320" t="s">
        <v>543</v>
      </c>
      <c r="Y9" s="320" t="s">
        <v>544</v>
      </c>
      <c r="Z9" s="228" t="s">
        <v>697</v>
      </c>
      <c r="AA9" s="320"/>
      <c r="AB9" s="248"/>
      <c r="AC9" s="233" t="s">
        <v>541</v>
      </c>
      <c r="AD9" s="233" t="s">
        <v>542</v>
      </c>
      <c r="AE9" s="233" t="s">
        <v>543</v>
      </c>
      <c r="AF9" s="233" t="s">
        <v>544</v>
      </c>
      <c r="AG9" s="228" t="s">
        <v>697</v>
      </c>
      <c r="AH9" s="310"/>
      <c r="AI9" s="227"/>
      <c r="AJ9" s="228" t="s">
        <v>522</v>
      </c>
      <c r="AK9" s="228" t="s">
        <v>545</v>
      </c>
      <c r="AL9" s="228" t="s">
        <v>216</v>
      </c>
      <c r="AM9" s="228" t="s">
        <v>546</v>
      </c>
      <c r="AN9" s="228" t="s">
        <v>546</v>
      </c>
      <c r="AO9" s="228" t="s">
        <v>547</v>
      </c>
      <c r="AP9" s="228" t="s">
        <v>548</v>
      </c>
      <c r="AQ9" s="228">
        <v>1992</v>
      </c>
      <c r="AR9" s="228">
        <v>2006</v>
      </c>
      <c r="AS9" s="228">
        <v>2015</v>
      </c>
      <c r="AT9" s="228" t="s">
        <v>549</v>
      </c>
      <c r="AU9" s="228">
        <v>1992</v>
      </c>
      <c r="AV9" s="228">
        <v>2006</v>
      </c>
      <c r="AW9" s="228">
        <v>2015</v>
      </c>
      <c r="AX9" s="228" t="s">
        <v>549</v>
      </c>
      <c r="AY9" s="228" t="s">
        <v>550</v>
      </c>
      <c r="AZ9" s="228" t="s">
        <v>558</v>
      </c>
      <c r="BA9" s="318" t="s">
        <v>551</v>
      </c>
      <c r="BB9" s="228" t="s">
        <v>558</v>
      </c>
      <c r="BC9" s="318" t="s">
        <v>552</v>
      </c>
      <c r="BD9" s="228" t="s">
        <v>558</v>
      </c>
      <c r="BE9" s="318" t="s">
        <v>553</v>
      </c>
      <c r="BF9" s="228" t="s">
        <v>558</v>
      </c>
      <c r="BG9" s="318" t="s">
        <v>554</v>
      </c>
      <c r="BH9" s="228" t="s">
        <v>558</v>
      </c>
      <c r="BI9" s="318" t="s">
        <v>555</v>
      </c>
      <c r="BJ9" s="228" t="s">
        <v>558</v>
      </c>
      <c r="BK9" s="318" t="s">
        <v>500</v>
      </c>
      <c r="BL9" s="228" t="s">
        <v>558</v>
      </c>
      <c r="BM9" s="318" t="s">
        <v>556</v>
      </c>
      <c r="BN9" s="228" t="s">
        <v>558</v>
      </c>
      <c r="BO9" s="318" t="s">
        <v>556</v>
      </c>
      <c r="BP9" s="228" t="s">
        <v>558</v>
      </c>
      <c r="BQ9" s="318" t="s">
        <v>532</v>
      </c>
      <c r="BR9" s="228" t="s">
        <v>558</v>
      </c>
      <c r="BS9" s="318" t="s">
        <v>557</v>
      </c>
      <c r="BT9" s="228" t="s">
        <v>558</v>
      </c>
      <c r="BU9" s="318" t="s">
        <v>698</v>
      </c>
      <c r="BV9" s="318" t="s">
        <v>375</v>
      </c>
      <c r="BW9" s="318" t="s">
        <v>216</v>
      </c>
      <c r="BX9" s="318" t="s">
        <v>559</v>
      </c>
      <c r="BY9" s="318" t="s">
        <v>698</v>
      </c>
      <c r="BZ9" s="318" t="s">
        <v>375</v>
      </c>
      <c r="CA9" s="228" t="s">
        <v>558</v>
      </c>
      <c r="CB9" s="318" t="s">
        <v>216</v>
      </c>
      <c r="CC9" s="318" t="s">
        <v>560</v>
      </c>
      <c r="CD9" s="228" t="s">
        <v>560</v>
      </c>
      <c r="CE9" s="228" t="s">
        <v>561</v>
      </c>
      <c r="CF9" s="228" t="s">
        <v>699</v>
      </c>
      <c r="CG9" s="228" t="s">
        <v>560</v>
      </c>
      <c r="CH9" s="228" t="s">
        <v>700</v>
      </c>
      <c r="CI9" s="228" t="s">
        <v>701</v>
      </c>
      <c r="CJ9" s="228" t="s">
        <v>702</v>
      </c>
      <c r="CK9" s="228" t="s">
        <v>703</v>
      </c>
      <c r="CL9" s="228" t="s">
        <v>704</v>
      </c>
      <c r="CM9" s="228" t="s">
        <v>563</v>
      </c>
      <c r="CN9" s="228" t="s">
        <v>564</v>
      </c>
      <c r="CO9" s="228" t="s">
        <v>565</v>
      </c>
      <c r="CP9" s="228" t="s">
        <v>566</v>
      </c>
      <c r="CQ9" s="228" t="s">
        <v>705</v>
      </c>
      <c r="CR9" s="228" t="s">
        <v>706</v>
      </c>
      <c r="CS9" s="228" t="s">
        <v>567</v>
      </c>
      <c r="CT9" s="228" t="s">
        <v>370</v>
      </c>
      <c r="CU9" s="228" t="s">
        <v>532</v>
      </c>
      <c r="CV9" s="228" t="s">
        <v>707</v>
      </c>
      <c r="CW9" s="228" t="s">
        <v>568</v>
      </c>
      <c r="CX9" s="228" t="s">
        <v>569</v>
      </c>
      <c r="CY9" s="228" t="s">
        <v>570</v>
      </c>
      <c r="CZ9" s="228" t="s">
        <v>571</v>
      </c>
      <c r="DA9" s="228" t="s">
        <v>572</v>
      </c>
      <c r="DB9" s="228" t="s">
        <v>567</v>
      </c>
      <c r="DC9" s="228" t="s">
        <v>568</v>
      </c>
      <c r="DD9" s="228" t="s">
        <v>569</v>
      </c>
      <c r="DE9" s="228" t="s">
        <v>570</v>
      </c>
      <c r="DF9" s="228" t="s">
        <v>571</v>
      </c>
      <c r="DG9" s="228" t="s">
        <v>572</v>
      </c>
      <c r="DH9" s="228" t="s">
        <v>573</v>
      </c>
      <c r="DI9" s="228" t="s">
        <v>574</v>
      </c>
      <c r="DJ9" s="228" t="s">
        <v>375</v>
      </c>
      <c r="DK9" s="228" t="s">
        <v>575</v>
      </c>
      <c r="DL9" s="228" t="s">
        <v>576</v>
      </c>
      <c r="DM9" s="228" t="s">
        <v>577</v>
      </c>
      <c r="DN9" s="228" t="s">
        <v>578</v>
      </c>
      <c r="DO9" s="228" t="s">
        <v>576</v>
      </c>
      <c r="DP9" s="228" t="s">
        <v>579</v>
      </c>
      <c r="DQ9" s="228" t="s">
        <v>580</v>
      </c>
      <c r="DR9" s="228" t="s">
        <v>581</v>
      </c>
      <c r="DS9" s="228" t="s">
        <v>582</v>
      </c>
      <c r="DT9" s="228"/>
      <c r="DU9" s="357" t="s">
        <v>708</v>
      </c>
      <c r="DV9" s="325" t="s">
        <v>709</v>
      </c>
      <c r="DW9" s="357" t="s">
        <v>710</v>
      </c>
      <c r="DX9" s="325" t="s">
        <v>711</v>
      </c>
      <c r="DY9" s="357" t="s">
        <v>712</v>
      </c>
      <c r="DZ9" s="325" t="s">
        <v>370</v>
      </c>
      <c r="EA9" s="357" t="s">
        <v>370</v>
      </c>
      <c r="EB9" s="325" t="s">
        <v>556</v>
      </c>
      <c r="EC9" s="357" t="s">
        <v>532</v>
      </c>
      <c r="ED9" s="325" t="s">
        <v>713</v>
      </c>
      <c r="EE9" s="357" t="s">
        <v>714</v>
      </c>
      <c r="EF9" s="325" t="s">
        <v>375</v>
      </c>
      <c r="EG9" s="325" t="s">
        <v>370</v>
      </c>
      <c r="EH9" s="357"/>
      <c r="EI9" s="325" t="s">
        <v>608</v>
      </c>
      <c r="EJ9" s="325" t="s">
        <v>560</v>
      </c>
      <c r="EK9" s="325" t="s">
        <v>560</v>
      </c>
    </row>
    <row r="10" spans="1:141" ht="11.25" customHeight="1" x14ac:dyDescent="0.2">
      <c r="C10" s="232"/>
      <c r="D10" s="228" t="s">
        <v>170</v>
      </c>
      <c r="E10" s="228" t="s">
        <v>368</v>
      </c>
      <c r="F10" s="228" t="s">
        <v>367</v>
      </c>
      <c r="G10" s="228" t="s">
        <v>583</v>
      </c>
      <c r="H10" s="228" t="s">
        <v>321</v>
      </c>
      <c r="I10" s="326" t="s">
        <v>366</v>
      </c>
      <c r="J10" s="233" t="s">
        <v>715</v>
      </c>
      <c r="K10" s="233" t="s">
        <v>364</v>
      </c>
      <c r="L10" s="233" t="s">
        <v>364</v>
      </c>
      <c r="M10" s="233" t="s">
        <v>584</v>
      </c>
      <c r="N10" s="233" t="s">
        <v>716</v>
      </c>
      <c r="O10" s="233" t="s">
        <v>365</v>
      </c>
      <c r="P10" s="228" t="s">
        <v>364</v>
      </c>
      <c r="Q10" s="228" t="s">
        <v>537</v>
      </c>
      <c r="R10" s="228" t="s">
        <v>364</v>
      </c>
      <c r="S10" s="228" t="s">
        <v>364</v>
      </c>
      <c r="T10" s="320" t="s">
        <v>585</v>
      </c>
      <c r="U10" s="320" t="s">
        <v>585</v>
      </c>
      <c r="V10" s="320" t="s">
        <v>585</v>
      </c>
      <c r="W10" s="320" t="s">
        <v>585</v>
      </c>
      <c r="X10" s="320" t="s">
        <v>585</v>
      </c>
      <c r="Y10" s="320" t="s">
        <v>585</v>
      </c>
      <c r="Z10" s="320" t="s">
        <v>586</v>
      </c>
      <c r="AA10" s="320" t="s">
        <v>216</v>
      </c>
      <c r="AB10" s="248"/>
      <c r="AC10" s="233" t="s">
        <v>585</v>
      </c>
      <c r="AD10" s="233" t="s">
        <v>585</v>
      </c>
      <c r="AE10" s="233" t="s">
        <v>585</v>
      </c>
      <c r="AF10" s="233" t="s">
        <v>585</v>
      </c>
      <c r="AG10" s="233" t="s">
        <v>586</v>
      </c>
      <c r="AH10" s="320" t="s">
        <v>216</v>
      </c>
      <c r="AI10" s="248"/>
      <c r="AJ10" s="228" t="s">
        <v>587</v>
      </c>
      <c r="AK10" s="228" t="s">
        <v>587</v>
      </c>
      <c r="AL10" s="228" t="s">
        <v>588</v>
      </c>
      <c r="AM10" s="228" t="s">
        <v>590</v>
      </c>
      <c r="AN10" s="228" t="s">
        <v>717</v>
      </c>
      <c r="AO10" s="228" t="s">
        <v>718</v>
      </c>
      <c r="AP10" s="228" t="s">
        <v>718</v>
      </c>
      <c r="AQ10" s="228" t="s">
        <v>592</v>
      </c>
      <c r="AR10" s="228" t="s">
        <v>592</v>
      </c>
      <c r="AS10" s="228" t="s">
        <v>592</v>
      </c>
      <c r="AT10" s="228" t="s">
        <v>592</v>
      </c>
      <c r="AU10" s="228" t="s">
        <v>592</v>
      </c>
      <c r="AV10" s="228" t="s">
        <v>592</v>
      </c>
      <c r="AW10" s="228" t="s">
        <v>592</v>
      </c>
      <c r="AX10" s="228" t="s">
        <v>592</v>
      </c>
      <c r="AY10" s="228" t="s">
        <v>586</v>
      </c>
      <c r="AZ10" s="357" t="s">
        <v>607</v>
      </c>
      <c r="BA10" s="318" t="s">
        <v>586</v>
      </c>
      <c r="BB10" s="357" t="s">
        <v>607</v>
      </c>
      <c r="BC10" s="318" t="s">
        <v>587</v>
      </c>
      <c r="BD10" s="357" t="s">
        <v>607</v>
      </c>
      <c r="BE10" s="318" t="s">
        <v>587</v>
      </c>
      <c r="BF10" s="357" t="s">
        <v>607</v>
      </c>
      <c r="BG10" s="318" t="s">
        <v>593</v>
      </c>
      <c r="BH10" s="357" t="s">
        <v>607</v>
      </c>
      <c r="BI10" s="318" t="s">
        <v>593</v>
      </c>
      <c r="BJ10" s="357" t="s">
        <v>607</v>
      </c>
      <c r="BK10" s="318" t="s">
        <v>593</v>
      </c>
      <c r="BL10" s="357" t="s">
        <v>607</v>
      </c>
      <c r="BM10" s="318" t="s">
        <v>593</v>
      </c>
      <c r="BN10" s="357" t="s">
        <v>607</v>
      </c>
      <c r="BO10" s="318" t="s">
        <v>593</v>
      </c>
      <c r="BP10" s="357" t="s">
        <v>607</v>
      </c>
      <c r="BQ10" s="318" t="s">
        <v>366</v>
      </c>
      <c r="BR10" s="357" t="s">
        <v>607</v>
      </c>
      <c r="BS10" s="318" t="s">
        <v>366</v>
      </c>
      <c r="BT10" s="357" t="s">
        <v>607</v>
      </c>
      <c r="BU10" s="327" t="s">
        <v>594</v>
      </c>
      <c r="BV10" s="318" t="s">
        <v>512</v>
      </c>
      <c r="BW10" s="318" t="s">
        <v>512</v>
      </c>
      <c r="BX10" s="318" t="s">
        <v>595</v>
      </c>
      <c r="BY10" s="318" t="s">
        <v>502</v>
      </c>
      <c r="BZ10" s="318" t="s">
        <v>502</v>
      </c>
      <c r="CA10" s="357" t="s">
        <v>607</v>
      </c>
      <c r="CB10" s="318" t="s">
        <v>502</v>
      </c>
      <c r="CC10" s="318" t="s">
        <v>596</v>
      </c>
      <c r="CD10" s="228" t="s">
        <v>597</v>
      </c>
      <c r="CE10" s="228" t="s">
        <v>598</v>
      </c>
      <c r="CF10" s="228" t="s">
        <v>719</v>
      </c>
      <c r="CG10" s="228" t="s">
        <v>720</v>
      </c>
      <c r="CH10" s="228" t="s">
        <v>721</v>
      </c>
      <c r="CI10" s="228" t="s">
        <v>612</v>
      </c>
      <c r="CJ10" s="228" t="s">
        <v>612</v>
      </c>
      <c r="CK10" s="228" t="s">
        <v>722</v>
      </c>
      <c r="CL10" s="228" t="s">
        <v>723</v>
      </c>
      <c r="CM10" s="228" t="s">
        <v>512</v>
      </c>
      <c r="CN10" s="228" t="s">
        <v>600</v>
      </c>
      <c r="CO10" s="228" t="s">
        <v>601</v>
      </c>
      <c r="CP10" s="228" t="s">
        <v>602</v>
      </c>
      <c r="CQ10" s="228" t="s">
        <v>724</v>
      </c>
      <c r="CR10" s="228" t="s">
        <v>725</v>
      </c>
      <c r="CS10" s="228" t="s">
        <v>603</v>
      </c>
      <c r="CT10" s="228" t="s">
        <v>726</v>
      </c>
      <c r="CU10" s="228" t="s">
        <v>727</v>
      </c>
      <c r="CV10" s="228" t="s">
        <v>527</v>
      </c>
      <c r="CW10" s="228" t="s">
        <v>604</v>
      </c>
      <c r="CX10" s="228" t="s">
        <v>605</v>
      </c>
      <c r="CY10" s="228" t="s">
        <v>606</v>
      </c>
      <c r="CZ10" s="228" t="s">
        <v>607</v>
      </c>
      <c r="DA10" s="228" t="s">
        <v>512</v>
      </c>
      <c r="DB10" s="228" t="s">
        <v>603</v>
      </c>
      <c r="DC10" s="228" t="s">
        <v>604</v>
      </c>
      <c r="DD10" s="228" t="s">
        <v>605</v>
      </c>
      <c r="DE10" s="228" t="s">
        <v>606</v>
      </c>
      <c r="DF10" s="228" t="s">
        <v>607</v>
      </c>
      <c r="DG10" s="228" t="s">
        <v>512</v>
      </c>
      <c r="DH10" s="228" t="s">
        <v>608</v>
      </c>
      <c r="DI10" s="228" t="s">
        <v>597</v>
      </c>
      <c r="DJ10" s="228" t="s">
        <v>597</v>
      </c>
      <c r="DK10" s="228" t="s">
        <v>608</v>
      </c>
      <c r="DL10" s="228" t="s">
        <v>609</v>
      </c>
      <c r="DM10" s="228" t="s">
        <v>610</v>
      </c>
      <c r="DN10" s="228" t="s">
        <v>610</v>
      </c>
      <c r="DO10" s="228" t="s">
        <v>611</v>
      </c>
      <c r="DP10" s="228" t="s">
        <v>612</v>
      </c>
      <c r="DQ10" s="228" t="s">
        <v>577</v>
      </c>
      <c r="DR10" s="228" t="s">
        <v>613</v>
      </c>
      <c r="DS10" s="228" t="s">
        <v>613</v>
      </c>
      <c r="DT10" s="228" t="s">
        <v>614</v>
      </c>
      <c r="DU10" s="357" t="s">
        <v>728</v>
      </c>
      <c r="DV10" s="325" t="s">
        <v>676</v>
      </c>
      <c r="DW10" s="357" t="s">
        <v>729</v>
      </c>
      <c r="DX10" s="325" t="s">
        <v>730</v>
      </c>
      <c r="DY10" s="357" t="s">
        <v>512</v>
      </c>
      <c r="DZ10" s="325" t="s">
        <v>537</v>
      </c>
      <c r="EA10" s="357" t="s">
        <v>537</v>
      </c>
      <c r="EB10" s="325" t="s">
        <v>512</v>
      </c>
      <c r="EC10" s="357" t="s">
        <v>691</v>
      </c>
      <c r="ED10" s="325" t="s">
        <v>731</v>
      </c>
      <c r="EE10" s="357" t="s">
        <v>731</v>
      </c>
      <c r="EF10" s="325" t="s">
        <v>678</v>
      </c>
      <c r="EG10" s="325" t="s">
        <v>732</v>
      </c>
      <c r="EH10" s="357" t="s">
        <v>733</v>
      </c>
      <c r="EI10" s="325" t="s">
        <v>512</v>
      </c>
      <c r="EJ10" s="325" t="s">
        <v>512</v>
      </c>
      <c r="EK10" s="325" t="s">
        <v>512</v>
      </c>
    </row>
    <row r="11" spans="1:141" ht="11.25" customHeight="1" x14ac:dyDescent="0.2">
      <c r="C11" s="227"/>
      <c r="D11" s="328">
        <v>-100</v>
      </c>
      <c r="E11" s="328">
        <v>-101</v>
      </c>
      <c r="F11" s="328">
        <v>-102</v>
      </c>
      <c r="G11" s="328">
        <v>-103</v>
      </c>
      <c r="H11" s="328">
        <v>-104</v>
      </c>
      <c r="I11" s="328">
        <v>-105</v>
      </c>
      <c r="J11" s="328">
        <v>-106</v>
      </c>
      <c r="K11" s="328">
        <v>-107</v>
      </c>
      <c r="L11" s="328">
        <v>-108</v>
      </c>
      <c r="M11" s="328">
        <v>-109</v>
      </c>
      <c r="N11" s="328">
        <v>-110</v>
      </c>
      <c r="O11" s="328">
        <v>-111</v>
      </c>
      <c r="P11" s="328">
        <v>-112</v>
      </c>
      <c r="Q11" s="328">
        <v>-113</v>
      </c>
      <c r="R11" s="328">
        <v>-114</v>
      </c>
      <c r="S11" s="328">
        <v>-115</v>
      </c>
      <c r="T11" s="329">
        <v>-116</v>
      </c>
      <c r="U11" s="329">
        <v>-117</v>
      </c>
      <c r="V11" s="329">
        <v>-118</v>
      </c>
      <c r="W11" s="329">
        <v>-119</v>
      </c>
      <c r="X11" s="329">
        <v>-120</v>
      </c>
      <c r="Y11" s="329">
        <v>-121</v>
      </c>
      <c r="Z11" s="329">
        <v>-122</v>
      </c>
      <c r="AA11" s="385">
        <v>-123</v>
      </c>
      <c r="AB11" s="386"/>
      <c r="AC11" s="330">
        <v>-124</v>
      </c>
      <c r="AD11" s="330">
        <v>-125</v>
      </c>
      <c r="AE11" s="330">
        <v>-126</v>
      </c>
      <c r="AF11" s="330">
        <v>-127</v>
      </c>
      <c r="AG11" s="329">
        <v>-128</v>
      </c>
      <c r="AH11" s="385">
        <v>-129</v>
      </c>
      <c r="AI11" s="386"/>
      <c r="AJ11" s="328">
        <v>-130</v>
      </c>
      <c r="AK11" s="328">
        <v>-131</v>
      </c>
      <c r="AL11" s="332">
        <v>-132</v>
      </c>
      <c r="AM11" s="332">
        <v>-133</v>
      </c>
      <c r="AN11" s="332">
        <v>-134</v>
      </c>
      <c r="AO11" s="332">
        <v>-135</v>
      </c>
      <c r="AP11" s="328">
        <v>-136</v>
      </c>
      <c r="AQ11" s="328">
        <v>-137</v>
      </c>
      <c r="AR11" s="328">
        <v>-138</v>
      </c>
      <c r="AS11" s="328">
        <v>-139</v>
      </c>
      <c r="AT11" s="328">
        <v>-140</v>
      </c>
      <c r="AU11" s="328">
        <v>-141</v>
      </c>
      <c r="AV11" s="328">
        <v>-142</v>
      </c>
      <c r="AW11" s="328">
        <v>-143</v>
      </c>
      <c r="AX11" s="358">
        <v>-144</v>
      </c>
      <c r="AY11" s="358">
        <v>-145</v>
      </c>
      <c r="AZ11" s="359">
        <v>-146</v>
      </c>
      <c r="BA11" s="359">
        <v>-147</v>
      </c>
      <c r="BB11" s="359">
        <v>-148</v>
      </c>
      <c r="BC11" s="359">
        <v>-149</v>
      </c>
      <c r="BD11" s="359">
        <v>-150</v>
      </c>
      <c r="BE11" s="359">
        <v>-151</v>
      </c>
      <c r="BF11" s="359">
        <v>-152</v>
      </c>
      <c r="BG11" s="359">
        <v>-153</v>
      </c>
      <c r="BH11" s="359">
        <v>-154</v>
      </c>
      <c r="BI11" s="359">
        <v>-155</v>
      </c>
      <c r="BJ11" s="359">
        <v>-156</v>
      </c>
      <c r="BK11" s="359">
        <v>-157</v>
      </c>
      <c r="BL11" s="359">
        <v>-158</v>
      </c>
      <c r="BM11" s="359">
        <v>-159</v>
      </c>
      <c r="BN11" s="359">
        <v>-160</v>
      </c>
      <c r="BO11" s="359">
        <v>-161</v>
      </c>
      <c r="BP11" s="359">
        <v>-162</v>
      </c>
      <c r="BQ11" s="359">
        <v>-163</v>
      </c>
      <c r="BR11" s="359">
        <v>-164</v>
      </c>
      <c r="BS11" s="359">
        <v>-165</v>
      </c>
      <c r="BT11" s="328">
        <v>-166</v>
      </c>
      <c r="BU11" s="328">
        <v>-167</v>
      </c>
      <c r="BV11" s="328">
        <v>-168</v>
      </c>
      <c r="BW11" s="328">
        <v>-169</v>
      </c>
      <c r="BX11" s="328">
        <v>-170</v>
      </c>
      <c r="BY11" s="328">
        <v>-171</v>
      </c>
      <c r="BZ11" s="328">
        <v>-172</v>
      </c>
      <c r="CA11" s="328">
        <v>-173</v>
      </c>
      <c r="CB11" s="328">
        <v>-174</v>
      </c>
      <c r="CC11" s="328">
        <v>-175</v>
      </c>
      <c r="CD11" s="328">
        <v>-176</v>
      </c>
      <c r="CE11" s="328">
        <v>-177</v>
      </c>
      <c r="CF11" s="328">
        <v>-178</v>
      </c>
      <c r="CG11" s="328">
        <v>-179</v>
      </c>
      <c r="CH11" s="328">
        <v>-180</v>
      </c>
      <c r="CI11" s="328">
        <v>-181</v>
      </c>
      <c r="CJ11" s="328">
        <v>-182</v>
      </c>
      <c r="CK11" s="328">
        <v>-183</v>
      </c>
      <c r="CL11" s="328">
        <v>-184</v>
      </c>
      <c r="CM11" s="328">
        <v>-185</v>
      </c>
      <c r="CN11" s="328">
        <v>-186</v>
      </c>
      <c r="CO11" s="328">
        <v>-187</v>
      </c>
      <c r="CP11" s="328">
        <v>-188</v>
      </c>
      <c r="CQ11" s="328">
        <v>-189</v>
      </c>
      <c r="CR11" s="328">
        <v>-190</v>
      </c>
      <c r="CS11" s="328">
        <v>-191</v>
      </c>
      <c r="CT11" s="328">
        <v>-192</v>
      </c>
      <c r="CU11" s="328">
        <v>-193</v>
      </c>
      <c r="CV11" s="328">
        <v>-194</v>
      </c>
      <c r="CW11" s="328">
        <v>-195</v>
      </c>
      <c r="CX11" s="328">
        <v>-196</v>
      </c>
      <c r="CY11" s="328">
        <v>-197</v>
      </c>
      <c r="CZ11" s="328">
        <v>-198</v>
      </c>
      <c r="DA11" s="328">
        <v>-199</v>
      </c>
      <c r="DB11" s="328">
        <v>-200</v>
      </c>
      <c r="DC11" s="328">
        <v>-201</v>
      </c>
      <c r="DD11" s="328">
        <v>-202</v>
      </c>
      <c r="DE11" s="328">
        <v>-203</v>
      </c>
      <c r="DF11" s="328">
        <v>-204</v>
      </c>
      <c r="DG11" s="328">
        <v>-205</v>
      </c>
      <c r="DH11" s="328">
        <v>-206</v>
      </c>
      <c r="DI11" s="328">
        <v>-207</v>
      </c>
      <c r="DJ11" s="328">
        <v>-208</v>
      </c>
      <c r="DK11" s="328">
        <v>-209</v>
      </c>
      <c r="DL11" s="328">
        <v>-210</v>
      </c>
      <c r="DM11" s="328">
        <v>-211</v>
      </c>
      <c r="DN11" s="328">
        <v>-212</v>
      </c>
      <c r="DO11" s="328">
        <v>-213</v>
      </c>
      <c r="DP11" s="328">
        <v>-214</v>
      </c>
      <c r="DQ11" s="328">
        <v>-215</v>
      </c>
      <c r="DR11" s="328">
        <v>-216</v>
      </c>
      <c r="DS11" s="328">
        <v>-217</v>
      </c>
      <c r="DT11" s="358">
        <v>-218</v>
      </c>
      <c r="DU11" s="359">
        <v>-219</v>
      </c>
      <c r="DV11" s="360">
        <v>-220</v>
      </c>
      <c r="DW11" s="359">
        <v>-221</v>
      </c>
      <c r="DX11" s="360">
        <v>-222</v>
      </c>
      <c r="DY11" s="359">
        <v>-223</v>
      </c>
      <c r="DZ11" s="360">
        <v>-224</v>
      </c>
      <c r="EA11" s="359">
        <v>-225</v>
      </c>
      <c r="EB11" s="360">
        <v>-226</v>
      </c>
      <c r="EC11" s="359">
        <v>-227</v>
      </c>
      <c r="ED11" s="360">
        <v>-228</v>
      </c>
      <c r="EE11" s="359">
        <v>-229</v>
      </c>
      <c r="EF11" s="359">
        <v>-230</v>
      </c>
      <c r="EG11" s="360">
        <v>-231</v>
      </c>
      <c r="EH11" s="359">
        <v>-232</v>
      </c>
      <c r="EI11" s="359">
        <v>-233</v>
      </c>
      <c r="EJ11" s="359">
        <v>-234</v>
      </c>
      <c r="EK11" s="359">
        <v>-235</v>
      </c>
    </row>
    <row r="12" spans="1:141" ht="11.25" customHeight="1" x14ac:dyDescent="0.2">
      <c r="A12" s="207" t="s">
        <v>361</v>
      </c>
      <c r="B12" s="207" t="s">
        <v>160</v>
      </c>
      <c r="C12" s="222" t="s">
        <v>159</v>
      </c>
      <c r="D12" s="222"/>
      <c r="E12" s="222"/>
      <c r="F12" s="222"/>
      <c r="G12" s="222"/>
      <c r="H12" s="222"/>
      <c r="I12" s="222"/>
      <c r="J12" s="222"/>
      <c r="K12" s="222"/>
      <c r="L12" s="222"/>
      <c r="M12" s="222"/>
      <c r="N12" s="222"/>
      <c r="O12" s="222"/>
      <c r="P12" s="222"/>
      <c r="Q12" s="222"/>
      <c r="R12" s="222"/>
      <c r="S12" s="222"/>
      <c r="T12" s="221" t="s">
        <v>615</v>
      </c>
      <c r="U12" s="221" t="s">
        <v>615</v>
      </c>
      <c r="V12" s="221" t="s">
        <v>615</v>
      </c>
      <c r="W12" s="221" t="s">
        <v>615</v>
      </c>
      <c r="X12" s="221" t="s">
        <v>615</v>
      </c>
      <c r="Y12" s="221" t="s">
        <v>615</v>
      </c>
      <c r="Z12" s="221" t="s">
        <v>615</v>
      </c>
      <c r="AA12" s="221" t="s">
        <v>615</v>
      </c>
      <c r="AB12" s="221" t="s">
        <v>616</v>
      </c>
      <c r="AC12" s="221" t="s">
        <v>615</v>
      </c>
      <c r="AD12" s="221" t="s">
        <v>615</v>
      </c>
      <c r="AE12" s="221" t="s">
        <v>615</v>
      </c>
      <c r="AF12" s="221" t="s">
        <v>615</v>
      </c>
      <c r="AG12" s="221" t="s">
        <v>615</v>
      </c>
      <c r="AH12" s="221" t="s">
        <v>615</v>
      </c>
      <c r="AI12" s="221" t="s">
        <v>616</v>
      </c>
      <c r="AJ12" s="221" t="s">
        <v>615</v>
      </c>
      <c r="AK12" s="221" t="s">
        <v>615</v>
      </c>
      <c r="AL12" s="221" t="s">
        <v>615</v>
      </c>
      <c r="AM12" s="221"/>
      <c r="AN12" s="221"/>
      <c r="AO12" s="221"/>
      <c r="AP12" s="221"/>
      <c r="AQ12" s="221"/>
      <c r="AR12" s="221"/>
      <c r="AS12" s="221"/>
      <c r="AT12" s="221"/>
      <c r="AU12" s="221"/>
      <c r="AV12" s="221"/>
      <c r="AW12" s="221"/>
      <c r="AX12" s="221"/>
      <c r="AY12" s="221" t="s">
        <v>617</v>
      </c>
      <c r="AZ12" s="221" t="s">
        <v>617</v>
      </c>
      <c r="BA12" s="221" t="s">
        <v>617</v>
      </c>
      <c r="BB12" s="221" t="s">
        <v>617</v>
      </c>
      <c r="BC12" s="221" t="s">
        <v>617</v>
      </c>
      <c r="BD12" s="221" t="s">
        <v>617</v>
      </c>
      <c r="BE12" s="221" t="s">
        <v>617</v>
      </c>
      <c r="BF12" s="221" t="s">
        <v>617</v>
      </c>
      <c r="BG12" s="221" t="s">
        <v>617</v>
      </c>
      <c r="BH12" s="221" t="s">
        <v>617</v>
      </c>
      <c r="BI12" s="221" t="s">
        <v>617</v>
      </c>
      <c r="BJ12" s="221" t="s">
        <v>617</v>
      </c>
      <c r="BK12" s="221" t="s">
        <v>617</v>
      </c>
      <c r="BL12" s="221" t="s">
        <v>617</v>
      </c>
      <c r="BM12" s="221" t="s">
        <v>617</v>
      </c>
      <c r="BN12" s="221" t="s">
        <v>617</v>
      </c>
      <c r="BO12" s="221" t="s">
        <v>617</v>
      </c>
      <c r="BP12" s="221" t="s">
        <v>617</v>
      </c>
      <c r="BQ12" s="221" t="s">
        <v>617</v>
      </c>
      <c r="BR12" s="221" t="s">
        <v>617</v>
      </c>
      <c r="BS12" s="221" t="s">
        <v>617</v>
      </c>
      <c r="BT12" s="221" t="s">
        <v>617</v>
      </c>
      <c r="BU12" s="221" t="s">
        <v>617</v>
      </c>
      <c r="BV12" s="221" t="s">
        <v>617</v>
      </c>
      <c r="BW12" s="221" t="s">
        <v>617</v>
      </c>
      <c r="BX12" s="221" t="s">
        <v>617</v>
      </c>
      <c r="BY12" s="221" t="s">
        <v>617</v>
      </c>
      <c r="BZ12" s="221" t="s">
        <v>617</v>
      </c>
      <c r="CA12" s="221" t="s">
        <v>617</v>
      </c>
      <c r="CB12" s="221" t="s">
        <v>617</v>
      </c>
      <c r="CC12" s="221" t="s">
        <v>617</v>
      </c>
      <c r="CD12" s="221" t="s">
        <v>617</v>
      </c>
      <c r="CE12" s="221" t="s">
        <v>617</v>
      </c>
      <c r="CF12" s="221" t="s">
        <v>617</v>
      </c>
      <c r="CG12" s="221" t="s">
        <v>617</v>
      </c>
      <c r="CH12" s="221" t="s">
        <v>617</v>
      </c>
      <c r="CI12" s="221" t="s">
        <v>617</v>
      </c>
      <c r="CJ12" s="221" t="s">
        <v>617</v>
      </c>
      <c r="CK12" s="221" t="s">
        <v>617</v>
      </c>
      <c r="CL12" s="221" t="s">
        <v>617</v>
      </c>
      <c r="CM12" s="221" t="s">
        <v>617</v>
      </c>
      <c r="CN12" s="221" t="s">
        <v>617</v>
      </c>
      <c r="CO12" s="221" t="s">
        <v>618</v>
      </c>
      <c r="CP12" s="221" t="s">
        <v>617</v>
      </c>
      <c r="CQ12" s="221" t="s">
        <v>617</v>
      </c>
      <c r="CR12" s="221" t="s">
        <v>617</v>
      </c>
      <c r="CS12" s="221" t="s">
        <v>617</v>
      </c>
      <c r="CT12" s="221" t="s">
        <v>617</v>
      </c>
      <c r="CU12" s="221" t="s">
        <v>617</v>
      </c>
      <c r="CV12" s="221" t="s">
        <v>617</v>
      </c>
      <c r="CW12" s="221" t="s">
        <v>617</v>
      </c>
      <c r="CX12" s="221" t="s">
        <v>617</v>
      </c>
      <c r="CY12" s="221" t="s">
        <v>617</v>
      </c>
      <c r="CZ12" s="221" t="s">
        <v>617</v>
      </c>
      <c r="DA12" s="221" t="s">
        <v>617</v>
      </c>
      <c r="DB12" s="221" t="s">
        <v>618</v>
      </c>
      <c r="DC12" s="221" t="s">
        <v>618</v>
      </c>
      <c r="DD12" s="221" t="s">
        <v>618</v>
      </c>
      <c r="DE12" s="221" t="s">
        <v>618</v>
      </c>
      <c r="DF12" s="221" t="s">
        <v>618</v>
      </c>
      <c r="DG12" s="221" t="s">
        <v>618</v>
      </c>
      <c r="DH12" s="221" t="s">
        <v>617</v>
      </c>
      <c r="DI12" s="221" t="s">
        <v>617</v>
      </c>
      <c r="DJ12" s="221" t="s">
        <v>617</v>
      </c>
      <c r="DK12" s="221" t="s">
        <v>617</v>
      </c>
      <c r="DL12" s="221" t="s">
        <v>617</v>
      </c>
      <c r="DM12" s="221" t="s">
        <v>617</v>
      </c>
      <c r="DN12" s="221" t="s">
        <v>617</v>
      </c>
      <c r="DO12" s="221" t="s">
        <v>617</v>
      </c>
      <c r="DP12" s="221" t="s">
        <v>617</v>
      </c>
      <c r="DQ12" s="221" t="s">
        <v>617</v>
      </c>
      <c r="DR12" s="221" t="s">
        <v>617</v>
      </c>
      <c r="DS12" s="221" t="s">
        <v>617</v>
      </c>
      <c r="DT12" s="221" t="s">
        <v>617</v>
      </c>
      <c r="DU12" s="361" t="s">
        <v>617</v>
      </c>
      <c r="DV12" s="361" t="s">
        <v>617</v>
      </c>
      <c r="DW12" s="361" t="s">
        <v>617</v>
      </c>
      <c r="DX12" s="361" t="s">
        <v>617</v>
      </c>
      <c r="DY12" s="361" t="s">
        <v>617</v>
      </c>
      <c r="DZ12" s="361" t="s">
        <v>617</v>
      </c>
      <c r="EA12" s="361" t="s">
        <v>617</v>
      </c>
      <c r="EB12" s="361" t="s">
        <v>617</v>
      </c>
      <c r="EC12" s="361" t="s">
        <v>617</v>
      </c>
      <c r="ED12" s="361" t="s">
        <v>617</v>
      </c>
      <c r="EE12" s="361" t="s">
        <v>617</v>
      </c>
      <c r="EF12" s="361" t="s">
        <v>617</v>
      </c>
      <c r="EG12" s="361" t="s">
        <v>617</v>
      </c>
      <c r="EH12" s="361" t="s">
        <v>617</v>
      </c>
      <c r="EI12" s="361" t="s">
        <v>617</v>
      </c>
      <c r="EJ12" s="361" t="s">
        <v>617</v>
      </c>
      <c r="EK12" s="361" t="s">
        <v>617</v>
      </c>
    </row>
    <row r="13" spans="1:141" ht="15" customHeight="1" x14ac:dyDescent="0.2">
      <c r="A13" s="220" t="s">
        <v>81</v>
      </c>
      <c r="B13" s="220" t="s">
        <v>109</v>
      </c>
      <c r="C13" s="219" t="s">
        <v>108</v>
      </c>
      <c r="D13" s="216">
        <v>2</v>
      </c>
      <c r="E13" s="216">
        <v>23</v>
      </c>
      <c r="F13" s="216">
        <v>6</v>
      </c>
      <c r="G13" s="216">
        <v>0</v>
      </c>
      <c r="H13" s="216">
        <v>31</v>
      </c>
      <c r="I13" s="216">
        <v>5</v>
      </c>
      <c r="J13" s="216">
        <v>43</v>
      </c>
      <c r="K13" s="216">
        <v>2</v>
      </c>
      <c r="L13" s="216">
        <v>46</v>
      </c>
      <c r="M13" s="216">
        <v>34</v>
      </c>
      <c r="N13" s="216">
        <v>0</v>
      </c>
      <c r="O13" s="216">
        <v>5</v>
      </c>
      <c r="P13" s="216">
        <v>130</v>
      </c>
      <c r="Q13" s="216">
        <v>64</v>
      </c>
      <c r="R13" s="216">
        <v>8</v>
      </c>
      <c r="S13" s="216">
        <v>4</v>
      </c>
      <c r="T13" s="333">
        <v>2</v>
      </c>
      <c r="U13" s="333">
        <v>4</v>
      </c>
      <c r="V13" s="333">
        <v>5</v>
      </c>
      <c r="W13" s="333">
        <v>17</v>
      </c>
      <c r="X13" s="333">
        <v>38</v>
      </c>
      <c r="Y13" s="333">
        <v>20</v>
      </c>
      <c r="Z13" s="333">
        <v>105</v>
      </c>
      <c r="AA13" s="333">
        <v>191</v>
      </c>
      <c r="AB13" s="216">
        <v>192</v>
      </c>
      <c r="AC13" s="333">
        <v>0</v>
      </c>
      <c r="AD13" s="333">
        <v>15</v>
      </c>
      <c r="AE13" s="333">
        <v>26</v>
      </c>
      <c r="AF13" s="333">
        <v>45</v>
      </c>
      <c r="AG13" s="333">
        <v>287</v>
      </c>
      <c r="AH13" s="333">
        <v>373</v>
      </c>
      <c r="AI13" s="216">
        <v>401</v>
      </c>
      <c r="AJ13" s="333">
        <v>16</v>
      </c>
      <c r="AK13" s="333">
        <v>150</v>
      </c>
      <c r="AL13" s="333">
        <v>729</v>
      </c>
      <c r="AM13" s="216">
        <v>341</v>
      </c>
      <c r="AN13" s="216" t="s">
        <v>3</v>
      </c>
      <c r="AO13" s="216">
        <v>5</v>
      </c>
      <c r="AP13" s="216">
        <v>1</v>
      </c>
      <c r="AQ13" s="216">
        <v>30</v>
      </c>
      <c r="AR13" s="216">
        <v>22</v>
      </c>
      <c r="AS13" s="216">
        <v>550</v>
      </c>
      <c r="AT13" s="216">
        <v>27</v>
      </c>
      <c r="AU13" s="216">
        <v>17</v>
      </c>
      <c r="AV13" s="216">
        <v>176</v>
      </c>
      <c r="AW13" s="216">
        <v>109</v>
      </c>
      <c r="AX13" s="216">
        <v>11</v>
      </c>
      <c r="AY13" s="216">
        <v>9443.1550799999804</v>
      </c>
      <c r="AZ13" s="216">
        <v>31.89648</v>
      </c>
      <c r="BA13" s="216">
        <v>4219.25785</v>
      </c>
      <c r="BB13" s="216">
        <v>212.15100000000001</v>
      </c>
      <c r="BC13" s="216">
        <v>766.22735999999998</v>
      </c>
      <c r="BD13" s="216">
        <v>0</v>
      </c>
      <c r="BE13" s="216">
        <v>2524.5617600000005</v>
      </c>
      <c r="BF13" s="216">
        <v>0</v>
      </c>
      <c r="BG13" s="216">
        <v>320.06900000000002</v>
      </c>
      <c r="BH13" s="216">
        <v>0</v>
      </c>
      <c r="BI13" s="216">
        <v>357.00828000000001</v>
      </c>
      <c r="BJ13" s="216">
        <v>0.8</v>
      </c>
      <c r="BK13" s="216">
        <v>17630.279329999983</v>
      </c>
      <c r="BL13" s="216">
        <v>244.84748000000002</v>
      </c>
      <c r="BM13" s="216">
        <v>1166.4449999999999</v>
      </c>
      <c r="BN13" s="216">
        <v>0</v>
      </c>
      <c r="BO13" s="216">
        <v>835.34267</v>
      </c>
      <c r="BP13" s="216">
        <v>2</v>
      </c>
      <c r="BQ13" s="216">
        <v>1746.566</v>
      </c>
      <c r="BR13" s="216">
        <v>6.9</v>
      </c>
      <c r="BS13" s="216">
        <v>3065</v>
      </c>
      <c r="BT13" s="216">
        <v>0</v>
      </c>
      <c r="BU13" s="216">
        <v>0</v>
      </c>
      <c r="BV13" s="216">
        <v>0</v>
      </c>
      <c r="BW13" s="216">
        <v>24443.63299999998</v>
      </c>
      <c r="BX13" s="216">
        <v>-241</v>
      </c>
      <c r="BY13" s="216">
        <v>-675.98099999999999</v>
      </c>
      <c r="BZ13" s="216">
        <v>-1224.5609999999999</v>
      </c>
      <c r="CA13" s="216" t="s">
        <v>3</v>
      </c>
      <c r="CB13" s="216">
        <v>-2141.5419999999999</v>
      </c>
      <c r="CC13" s="216">
        <v>22302.090999999979</v>
      </c>
      <c r="CD13" s="216">
        <v>943</v>
      </c>
      <c r="CE13" s="216">
        <v>0</v>
      </c>
      <c r="CF13" s="216">
        <v>23245.090999999979</v>
      </c>
      <c r="CG13" s="216">
        <v>0</v>
      </c>
      <c r="CH13" s="216">
        <v>0</v>
      </c>
      <c r="CI13" s="216">
        <v>0</v>
      </c>
      <c r="CJ13" s="216">
        <v>0</v>
      </c>
      <c r="CK13" s="216">
        <v>0</v>
      </c>
      <c r="CL13" s="216">
        <v>0</v>
      </c>
      <c r="CM13" s="216">
        <v>0</v>
      </c>
      <c r="CN13" s="216">
        <v>-44</v>
      </c>
      <c r="CO13" s="333">
        <v>17.5</v>
      </c>
      <c r="CP13" s="216">
        <v>0</v>
      </c>
      <c r="CQ13" s="216" t="s">
        <v>3</v>
      </c>
      <c r="CR13" s="216" t="s">
        <v>3</v>
      </c>
      <c r="CS13" s="216">
        <v>1500</v>
      </c>
      <c r="CT13" s="216" t="s">
        <v>3</v>
      </c>
      <c r="CU13" s="216" t="s">
        <v>3</v>
      </c>
      <c r="CV13" s="216" t="s">
        <v>3</v>
      </c>
      <c r="CW13" s="216">
        <v>18680</v>
      </c>
      <c r="CX13" s="216">
        <v>0</v>
      </c>
      <c r="CY13" s="216">
        <v>3065</v>
      </c>
      <c r="CZ13" s="216">
        <v>0</v>
      </c>
      <c r="DA13" s="216">
        <v>23245</v>
      </c>
      <c r="DB13" s="333">
        <v>0</v>
      </c>
      <c r="DC13" s="333">
        <v>0</v>
      </c>
      <c r="DD13" s="333">
        <v>0</v>
      </c>
      <c r="DE13" s="333">
        <v>0</v>
      </c>
      <c r="DF13" s="333">
        <v>0</v>
      </c>
      <c r="DG13" s="333">
        <v>0</v>
      </c>
      <c r="DH13" s="216">
        <v>-1538</v>
      </c>
      <c r="DI13" s="216">
        <v>0</v>
      </c>
      <c r="DJ13" s="216">
        <v>0</v>
      </c>
      <c r="DK13" s="216">
        <v>-1319</v>
      </c>
      <c r="DL13" s="216">
        <v>-40</v>
      </c>
      <c r="DM13" s="216">
        <v>4943</v>
      </c>
      <c r="DN13" s="216">
        <v>716</v>
      </c>
      <c r="DO13" s="216">
        <v>27</v>
      </c>
      <c r="DP13" s="216">
        <v>2789</v>
      </c>
      <c r="DQ13" s="216">
        <v>0</v>
      </c>
      <c r="DR13" s="216">
        <v>0</v>
      </c>
      <c r="DS13" s="216">
        <v>0</v>
      </c>
      <c r="DT13" s="216">
        <v>100</v>
      </c>
      <c r="DU13" s="216">
        <v>128</v>
      </c>
      <c r="DV13" s="216">
        <v>0</v>
      </c>
      <c r="DW13" s="216">
        <v>0</v>
      </c>
      <c r="DX13" s="216">
        <v>5</v>
      </c>
      <c r="DY13" s="216">
        <v>0</v>
      </c>
      <c r="DZ13" s="216">
        <v>1900</v>
      </c>
      <c r="EA13" s="216">
        <v>87</v>
      </c>
      <c r="EB13" s="216">
        <v>6</v>
      </c>
      <c r="EC13" s="216">
        <v>72</v>
      </c>
      <c r="ED13" s="216">
        <v>0</v>
      </c>
      <c r="EE13" s="216">
        <v>0</v>
      </c>
      <c r="EF13" s="216">
        <v>0</v>
      </c>
      <c r="EG13" s="216">
        <v>357</v>
      </c>
      <c r="EH13" s="216">
        <v>0</v>
      </c>
      <c r="EI13" s="216">
        <v>425</v>
      </c>
      <c r="EJ13" s="216">
        <v>0</v>
      </c>
      <c r="EK13" s="216">
        <v>2980</v>
      </c>
    </row>
    <row r="14" spans="1:141" ht="15" customHeight="1" x14ac:dyDescent="0.2">
      <c r="A14" s="220" t="s">
        <v>81</v>
      </c>
      <c r="B14" s="220" t="s">
        <v>107</v>
      </c>
      <c r="C14" s="219" t="s">
        <v>106</v>
      </c>
      <c r="D14" s="216">
        <v>2</v>
      </c>
      <c r="E14" s="216">
        <v>30</v>
      </c>
      <c r="F14" s="216">
        <v>6</v>
      </c>
      <c r="G14" s="216">
        <v>0</v>
      </c>
      <c r="H14" s="216">
        <v>38</v>
      </c>
      <c r="I14" s="216">
        <v>1</v>
      </c>
      <c r="J14" s="216">
        <v>45</v>
      </c>
      <c r="K14" s="216">
        <v>2</v>
      </c>
      <c r="L14" s="216">
        <v>20</v>
      </c>
      <c r="M14" s="216">
        <v>49</v>
      </c>
      <c r="N14" s="216">
        <v>0</v>
      </c>
      <c r="O14" s="216">
        <v>4</v>
      </c>
      <c r="P14" s="216">
        <v>120</v>
      </c>
      <c r="Q14" s="216">
        <v>32</v>
      </c>
      <c r="R14" s="216">
        <v>5</v>
      </c>
      <c r="S14" s="216">
        <v>4</v>
      </c>
      <c r="T14" s="333">
        <v>2</v>
      </c>
      <c r="U14" s="333">
        <v>4</v>
      </c>
      <c r="V14" s="333">
        <v>10</v>
      </c>
      <c r="W14" s="333">
        <v>17</v>
      </c>
      <c r="X14" s="333">
        <v>26</v>
      </c>
      <c r="Y14" s="333">
        <v>25</v>
      </c>
      <c r="Z14" s="333">
        <v>122</v>
      </c>
      <c r="AA14" s="333">
        <v>206</v>
      </c>
      <c r="AB14" s="216">
        <v>211</v>
      </c>
      <c r="AC14" s="333">
        <v>0</v>
      </c>
      <c r="AD14" s="333">
        <v>0</v>
      </c>
      <c r="AE14" s="333">
        <v>8</v>
      </c>
      <c r="AF14" s="333">
        <v>80</v>
      </c>
      <c r="AG14" s="333">
        <v>202</v>
      </c>
      <c r="AH14" s="333">
        <v>290</v>
      </c>
      <c r="AI14" s="216">
        <v>371</v>
      </c>
      <c r="AJ14" s="333">
        <v>0</v>
      </c>
      <c r="AK14" s="333">
        <v>32</v>
      </c>
      <c r="AL14" s="333">
        <v>528</v>
      </c>
      <c r="AM14" s="216">
        <v>427</v>
      </c>
      <c r="AN14" s="216">
        <v>437</v>
      </c>
      <c r="AO14" s="216">
        <v>12</v>
      </c>
      <c r="AP14" s="216">
        <v>0</v>
      </c>
      <c r="AQ14" s="216">
        <v>51</v>
      </c>
      <c r="AR14" s="216">
        <v>46</v>
      </c>
      <c r="AS14" s="216">
        <v>414</v>
      </c>
      <c r="AT14" s="216">
        <v>60</v>
      </c>
      <c r="AU14" s="216">
        <v>36</v>
      </c>
      <c r="AV14" s="216">
        <v>166</v>
      </c>
      <c r="AW14" s="216">
        <v>76</v>
      </c>
      <c r="AX14" s="216">
        <v>35</v>
      </c>
      <c r="AY14" s="216">
        <v>9350</v>
      </c>
      <c r="AZ14" s="216">
        <v>0</v>
      </c>
      <c r="BA14" s="216">
        <v>2491</v>
      </c>
      <c r="BB14" s="216">
        <v>0</v>
      </c>
      <c r="BC14" s="216">
        <v>0</v>
      </c>
      <c r="BD14" s="216">
        <v>0</v>
      </c>
      <c r="BE14" s="216">
        <v>788</v>
      </c>
      <c r="BF14" s="216">
        <v>0</v>
      </c>
      <c r="BG14" s="216">
        <v>375</v>
      </c>
      <c r="BH14" s="216">
        <v>0</v>
      </c>
      <c r="BI14" s="216">
        <v>63</v>
      </c>
      <c r="BJ14" s="216">
        <v>0</v>
      </c>
      <c r="BK14" s="216">
        <v>13067</v>
      </c>
      <c r="BL14" s="216">
        <v>0</v>
      </c>
      <c r="BM14" s="216">
        <v>1767</v>
      </c>
      <c r="BN14" s="216">
        <v>0</v>
      </c>
      <c r="BO14" s="216">
        <v>813</v>
      </c>
      <c r="BP14" s="216">
        <v>0</v>
      </c>
      <c r="BQ14" s="216">
        <v>836</v>
      </c>
      <c r="BR14" s="216">
        <v>0</v>
      </c>
      <c r="BS14" s="216">
        <v>2534</v>
      </c>
      <c r="BT14" s="216">
        <v>0</v>
      </c>
      <c r="BU14" s="216">
        <v>363</v>
      </c>
      <c r="BV14" s="216">
        <v>0</v>
      </c>
      <c r="BW14" s="216">
        <v>19380</v>
      </c>
      <c r="BX14" s="216">
        <v>-1881</v>
      </c>
      <c r="BY14" s="216">
        <v>0</v>
      </c>
      <c r="BZ14" s="216">
        <v>-157</v>
      </c>
      <c r="CA14" s="216">
        <v>0</v>
      </c>
      <c r="CB14" s="216">
        <v>-2038</v>
      </c>
      <c r="CC14" s="216">
        <v>17342</v>
      </c>
      <c r="CD14" s="216">
        <v>1598</v>
      </c>
      <c r="CE14" s="216">
        <v>336</v>
      </c>
      <c r="CF14" s="216">
        <v>19276</v>
      </c>
      <c r="CG14" s="216">
        <v>0</v>
      </c>
      <c r="CH14" s="216">
        <v>0</v>
      </c>
      <c r="CI14" s="216">
        <v>0</v>
      </c>
      <c r="CJ14" s="216">
        <v>0</v>
      </c>
      <c r="CK14" s="216">
        <v>0</v>
      </c>
      <c r="CL14" s="216">
        <v>0</v>
      </c>
      <c r="CM14" s="216">
        <v>0</v>
      </c>
      <c r="CN14" s="216">
        <v>0</v>
      </c>
      <c r="CO14" s="333">
        <v>14.9</v>
      </c>
      <c r="CP14" s="216">
        <v>0</v>
      </c>
      <c r="CQ14" s="216" t="s">
        <v>3</v>
      </c>
      <c r="CR14" s="216" t="s">
        <v>3</v>
      </c>
      <c r="CS14" s="216">
        <v>934</v>
      </c>
      <c r="CT14" s="216" t="s">
        <v>3</v>
      </c>
      <c r="CU14" s="216" t="s">
        <v>3</v>
      </c>
      <c r="CV14" s="216" t="s">
        <v>3</v>
      </c>
      <c r="CW14" s="216">
        <v>18006</v>
      </c>
      <c r="CX14" s="216">
        <v>0</v>
      </c>
      <c r="CY14" s="216">
        <v>0</v>
      </c>
      <c r="CZ14" s="216">
        <v>0</v>
      </c>
      <c r="DA14" s="216">
        <v>18940</v>
      </c>
      <c r="DB14" s="333">
        <v>13.276231263383298</v>
      </c>
      <c r="DC14" s="333">
        <v>13.323336665555926</v>
      </c>
      <c r="DD14" s="333">
        <v>0</v>
      </c>
      <c r="DE14" s="333">
        <v>0</v>
      </c>
      <c r="DF14" s="333">
        <v>0</v>
      </c>
      <c r="DG14" s="333">
        <v>13.321013727560718</v>
      </c>
      <c r="DH14" s="216">
        <v>-1434</v>
      </c>
      <c r="DI14" s="216">
        <v>0</v>
      </c>
      <c r="DJ14" s="216">
        <v>0</v>
      </c>
      <c r="DK14" s="216">
        <v>-1209</v>
      </c>
      <c r="DL14" s="216">
        <v>-38</v>
      </c>
      <c r="DM14" s="216">
        <v>6596</v>
      </c>
      <c r="DN14" s="216">
        <v>1435</v>
      </c>
      <c r="DO14" s="216">
        <v>0</v>
      </c>
      <c r="DP14" s="216">
        <v>5350</v>
      </c>
      <c r="DQ14" s="216">
        <v>0</v>
      </c>
      <c r="DR14" s="216">
        <v>240</v>
      </c>
      <c r="DS14" s="216">
        <v>0</v>
      </c>
      <c r="DT14" s="216">
        <v>0</v>
      </c>
      <c r="DU14" s="216">
        <v>0</v>
      </c>
      <c r="DV14" s="216">
        <v>0</v>
      </c>
      <c r="DW14" s="216">
        <v>0</v>
      </c>
      <c r="DX14" s="216">
        <v>0</v>
      </c>
      <c r="DY14" s="216">
        <v>0</v>
      </c>
      <c r="DZ14" s="216">
        <v>1710</v>
      </c>
      <c r="EA14" s="216">
        <v>12</v>
      </c>
      <c r="EB14" s="216">
        <v>24</v>
      </c>
      <c r="EC14" s="216">
        <v>0</v>
      </c>
      <c r="ED14" s="216">
        <v>0</v>
      </c>
      <c r="EE14" s="216">
        <v>0</v>
      </c>
      <c r="EF14" s="216">
        <v>0</v>
      </c>
      <c r="EG14" s="216">
        <v>122</v>
      </c>
      <c r="EH14" s="216">
        <v>0</v>
      </c>
      <c r="EI14" s="216">
        <v>0</v>
      </c>
      <c r="EJ14" s="216">
        <v>0</v>
      </c>
      <c r="EK14" s="216">
        <v>1868</v>
      </c>
    </row>
    <row r="15" spans="1:141" ht="15" customHeight="1" x14ac:dyDescent="0.2">
      <c r="A15" s="220" t="s">
        <v>81</v>
      </c>
      <c r="B15" s="220" t="s">
        <v>105</v>
      </c>
      <c r="C15" s="219" t="s">
        <v>104</v>
      </c>
      <c r="D15" s="216">
        <v>2</v>
      </c>
      <c r="E15" s="216">
        <v>16</v>
      </c>
      <c r="F15" s="216">
        <v>3</v>
      </c>
      <c r="G15" s="216">
        <v>0</v>
      </c>
      <c r="H15" s="216">
        <v>21</v>
      </c>
      <c r="I15" s="216">
        <v>9</v>
      </c>
      <c r="J15" s="216">
        <v>31</v>
      </c>
      <c r="K15" s="216">
        <v>2</v>
      </c>
      <c r="L15" s="216">
        <v>13</v>
      </c>
      <c r="M15" s="216">
        <v>26</v>
      </c>
      <c r="N15" s="216">
        <v>0</v>
      </c>
      <c r="O15" s="216">
        <v>3</v>
      </c>
      <c r="P15" s="216">
        <v>75</v>
      </c>
      <c r="Q15" s="216">
        <v>53</v>
      </c>
      <c r="R15" s="216">
        <v>4</v>
      </c>
      <c r="S15" s="216">
        <v>2</v>
      </c>
      <c r="T15" s="333">
        <v>3</v>
      </c>
      <c r="U15" s="333">
        <v>4</v>
      </c>
      <c r="V15" s="333">
        <v>6</v>
      </c>
      <c r="W15" s="333">
        <v>17</v>
      </c>
      <c r="X15" s="333">
        <v>19</v>
      </c>
      <c r="Y15" s="333">
        <v>32</v>
      </c>
      <c r="Z15" s="333">
        <v>89</v>
      </c>
      <c r="AA15" s="333">
        <v>170</v>
      </c>
      <c r="AB15" s="216">
        <v>171</v>
      </c>
      <c r="AC15" s="333">
        <v>0</v>
      </c>
      <c r="AD15" s="333">
        <v>1</v>
      </c>
      <c r="AE15" s="333">
        <v>20</v>
      </c>
      <c r="AF15" s="333">
        <v>35</v>
      </c>
      <c r="AG15" s="333">
        <v>139</v>
      </c>
      <c r="AH15" s="333">
        <v>194</v>
      </c>
      <c r="AI15" s="216">
        <v>245</v>
      </c>
      <c r="AJ15" s="333">
        <v>18</v>
      </c>
      <c r="AK15" s="333">
        <v>40</v>
      </c>
      <c r="AL15" s="333">
        <v>422</v>
      </c>
      <c r="AM15" s="216">
        <v>408</v>
      </c>
      <c r="AN15" s="216">
        <v>422</v>
      </c>
      <c r="AO15" s="216">
        <v>14</v>
      </c>
      <c r="AP15" s="216">
        <v>0</v>
      </c>
      <c r="AQ15" s="216">
        <v>37</v>
      </c>
      <c r="AR15" s="216">
        <v>9</v>
      </c>
      <c r="AS15" s="216">
        <v>343</v>
      </c>
      <c r="AT15" s="216">
        <v>10</v>
      </c>
      <c r="AU15" s="216">
        <v>33</v>
      </c>
      <c r="AV15" s="216">
        <v>204</v>
      </c>
      <c r="AW15" s="216">
        <v>124</v>
      </c>
      <c r="AX15" s="216">
        <v>20</v>
      </c>
      <c r="AY15" s="216">
        <v>8253</v>
      </c>
      <c r="AZ15" s="216">
        <v>0</v>
      </c>
      <c r="BA15" s="216">
        <v>2269</v>
      </c>
      <c r="BB15" s="216">
        <v>0</v>
      </c>
      <c r="BC15" s="216">
        <v>801</v>
      </c>
      <c r="BD15" s="216">
        <v>0</v>
      </c>
      <c r="BE15" s="216">
        <v>1102</v>
      </c>
      <c r="BF15" s="216">
        <v>0</v>
      </c>
      <c r="BG15" s="216">
        <v>616</v>
      </c>
      <c r="BH15" s="216">
        <v>0</v>
      </c>
      <c r="BI15" s="216">
        <v>142</v>
      </c>
      <c r="BJ15" s="216">
        <v>0</v>
      </c>
      <c r="BK15" s="216">
        <v>13183</v>
      </c>
      <c r="BL15" s="216">
        <v>0</v>
      </c>
      <c r="BM15" s="216">
        <v>2336</v>
      </c>
      <c r="BN15" s="216">
        <v>0</v>
      </c>
      <c r="BO15" s="216">
        <v>1145</v>
      </c>
      <c r="BP15" s="216">
        <v>0</v>
      </c>
      <c r="BQ15" s="216">
        <v>2487</v>
      </c>
      <c r="BR15" s="216">
        <v>0</v>
      </c>
      <c r="BS15" s="216">
        <v>1554</v>
      </c>
      <c r="BT15" s="216">
        <v>0</v>
      </c>
      <c r="BU15" s="216">
        <v>0</v>
      </c>
      <c r="BV15" s="216">
        <v>2208</v>
      </c>
      <c r="BW15" s="216">
        <v>22913</v>
      </c>
      <c r="BX15" s="216">
        <v>-5086</v>
      </c>
      <c r="BY15" s="216">
        <v>0</v>
      </c>
      <c r="BZ15" s="216">
        <v>-668</v>
      </c>
      <c r="CA15" s="216">
        <v>-6</v>
      </c>
      <c r="CB15" s="216">
        <v>-5754</v>
      </c>
      <c r="CC15" s="216">
        <v>17159</v>
      </c>
      <c r="CD15" s="216">
        <v>-1542</v>
      </c>
      <c r="CE15" s="216">
        <v>13202</v>
      </c>
      <c r="CF15" s="216">
        <v>28819</v>
      </c>
      <c r="CG15" s="216">
        <v>0</v>
      </c>
      <c r="CH15" s="216">
        <v>0</v>
      </c>
      <c r="CI15" s="216">
        <v>0</v>
      </c>
      <c r="CJ15" s="216">
        <v>0</v>
      </c>
      <c r="CK15" s="216">
        <v>0</v>
      </c>
      <c r="CL15" s="216">
        <v>0</v>
      </c>
      <c r="CM15" s="216">
        <v>0</v>
      </c>
      <c r="CN15" s="216">
        <v>-53</v>
      </c>
      <c r="CO15" s="333">
        <v>29.9</v>
      </c>
      <c r="CP15" s="216">
        <v>0</v>
      </c>
      <c r="CQ15" s="216">
        <v>809</v>
      </c>
      <c r="CR15" s="216">
        <v>260</v>
      </c>
      <c r="CS15" s="216">
        <v>1069</v>
      </c>
      <c r="CT15" s="216">
        <v>13323</v>
      </c>
      <c r="CU15" s="216">
        <v>920</v>
      </c>
      <c r="CV15" s="216">
        <v>108</v>
      </c>
      <c r="CW15" s="216">
        <v>14351</v>
      </c>
      <c r="CX15" s="216">
        <v>-3</v>
      </c>
      <c r="CY15" s="216">
        <v>200</v>
      </c>
      <c r="CZ15" s="216">
        <v>0</v>
      </c>
      <c r="DA15" s="216">
        <v>15617</v>
      </c>
      <c r="DB15" s="333">
        <v>62.207670720299348</v>
      </c>
      <c r="DC15" s="333">
        <v>69.646714514667963</v>
      </c>
      <c r="DD15" s="333">
        <v>-33.333333333333329</v>
      </c>
      <c r="DE15" s="333">
        <v>0</v>
      </c>
      <c r="DF15" s="333">
        <v>0</v>
      </c>
      <c r="DG15" s="333">
        <v>68.265351860152407</v>
      </c>
      <c r="DH15" s="216">
        <v>-1269</v>
      </c>
      <c r="DI15" s="216">
        <v>0</v>
      </c>
      <c r="DJ15" s="216">
        <v>0</v>
      </c>
      <c r="DK15" s="216">
        <v>-1081</v>
      </c>
      <c r="DL15" s="216">
        <v>-198</v>
      </c>
      <c r="DM15" s="216">
        <v>5888</v>
      </c>
      <c r="DN15" s="216">
        <v>1160</v>
      </c>
      <c r="DO15" s="216">
        <v>0</v>
      </c>
      <c r="DP15" s="216">
        <v>4500</v>
      </c>
      <c r="DQ15" s="216">
        <v>145</v>
      </c>
      <c r="DR15" s="216">
        <v>4542</v>
      </c>
      <c r="DS15" s="216">
        <v>0</v>
      </c>
      <c r="DT15" s="216">
        <v>10</v>
      </c>
      <c r="DU15" s="216">
        <v>0</v>
      </c>
      <c r="DV15" s="216">
        <v>0</v>
      </c>
      <c r="DW15" s="216">
        <v>0</v>
      </c>
      <c r="DX15" s="216">
        <v>0</v>
      </c>
      <c r="DY15" s="216">
        <v>0</v>
      </c>
      <c r="DZ15" s="216">
        <v>445</v>
      </c>
      <c r="EA15" s="216">
        <v>46</v>
      </c>
      <c r="EB15" s="216">
        <v>0</v>
      </c>
      <c r="EC15" s="216">
        <v>0</v>
      </c>
      <c r="ED15" s="216">
        <v>40</v>
      </c>
      <c r="EE15" s="216">
        <v>2</v>
      </c>
      <c r="EF15" s="216">
        <v>0</v>
      </c>
      <c r="EG15" s="216">
        <v>99</v>
      </c>
      <c r="EH15" s="216">
        <v>0</v>
      </c>
      <c r="EI15" s="216">
        <v>0</v>
      </c>
      <c r="EJ15" s="216">
        <v>0</v>
      </c>
      <c r="EK15" s="216">
        <v>632</v>
      </c>
    </row>
    <row r="16" spans="1:141" ht="15" customHeight="1" x14ac:dyDescent="0.2">
      <c r="A16" s="220" t="s">
        <v>81</v>
      </c>
      <c r="B16" s="220" t="s">
        <v>103</v>
      </c>
      <c r="C16" s="219" t="s">
        <v>102</v>
      </c>
      <c r="D16" s="216">
        <v>13</v>
      </c>
      <c r="E16" s="216">
        <v>9</v>
      </c>
      <c r="F16" s="216">
        <v>7</v>
      </c>
      <c r="G16" s="216">
        <v>0</v>
      </c>
      <c r="H16" s="216">
        <v>29</v>
      </c>
      <c r="I16" s="216">
        <v>19</v>
      </c>
      <c r="J16" s="216">
        <v>40</v>
      </c>
      <c r="K16" s="216">
        <v>2</v>
      </c>
      <c r="L16" s="216">
        <v>2</v>
      </c>
      <c r="M16" s="216">
        <v>44</v>
      </c>
      <c r="N16" s="216">
        <v>0</v>
      </c>
      <c r="O16" s="216">
        <v>6</v>
      </c>
      <c r="P16" s="216">
        <v>94</v>
      </c>
      <c r="Q16" s="216">
        <v>54</v>
      </c>
      <c r="R16" s="216">
        <v>7</v>
      </c>
      <c r="S16" s="216">
        <v>6</v>
      </c>
      <c r="T16" s="333">
        <v>3</v>
      </c>
      <c r="U16" s="333">
        <v>4</v>
      </c>
      <c r="V16" s="333">
        <v>10</v>
      </c>
      <c r="W16" s="333">
        <v>20</v>
      </c>
      <c r="X16" s="333">
        <v>74</v>
      </c>
      <c r="Y16" s="333">
        <v>76</v>
      </c>
      <c r="Z16" s="333">
        <v>277</v>
      </c>
      <c r="AA16" s="333">
        <v>464</v>
      </c>
      <c r="AB16" s="216">
        <v>468</v>
      </c>
      <c r="AC16" s="333">
        <v>0</v>
      </c>
      <c r="AD16" s="333">
        <v>0</v>
      </c>
      <c r="AE16" s="333">
        <v>20</v>
      </c>
      <c r="AF16" s="333">
        <v>32</v>
      </c>
      <c r="AG16" s="333">
        <v>115</v>
      </c>
      <c r="AH16" s="333">
        <v>167</v>
      </c>
      <c r="AI16" s="216">
        <v>216</v>
      </c>
      <c r="AJ16" s="333">
        <v>26</v>
      </c>
      <c r="AK16" s="333">
        <v>141</v>
      </c>
      <c r="AL16" s="333">
        <v>798</v>
      </c>
      <c r="AM16" s="216">
        <v>684</v>
      </c>
      <c r="AN16" s="216">
        <v>700</v>
      </c>
      <c r="AO16" s="216">
        <v>30</v>
      </c>
      <c r="AP16" s="216">
        <v>0</v>
      </c>
      <c r="AQ16" s="216">
        <v>70</v>
      </c>
      <c r="AR16" s="216">
        <v>11</v>
      </c>
      <c r="AS16" s="216">
        <v>523</v>
      </c>
      <c r="AT16" s="216">
        <v>11</v>
      </c>
      <c r="AU16" s="216">
        <v>79</v>
      </c>
      <c r="AV16" s="216">
        <v>157</v>
      </c>
      <c r="AW16" s="216">
        <v>73</v>
      </c>
      <c r="AX16" s="216">
        <v>0</v>
      </c>
      <c r="AY16" s="216">
        <v>22081</v>
      </c>
      <c r="AZ16" s="216">
        <v>0</v>
      </c>
      <c r="BA16" s="216">
        <v>1951</v>
      </c>
      <c r="BB16" s="216">
        <v>0</v>
      </c>
      <c r="BC16" s="216">
        <v>1056</v>
      </c>
      <c r="BD16" s="216">
        <v>173</v>
      </c>
      <c r="BE16" s="216">
        <v>4025</v>
      </c>
      <c r="BF16" s="216">
        <v>260</v>
      </c>
      <c r="BG16" s="216">
        <v>1040</v>
      </c>
      <c r="BH16" s="216">
        <v>0</v>
      </c>
      <c r="BI16" s="216">
        <v>139</v>
      </c>
      <c r="BJ16" s="216">
        <v>0</v>
      </c>
      <c r="BK16" s="216">
        <v>30292</v>
      </c>
      <c r="BL16" s="216">
        <v>433</v>
      </c>
      <c r="BM16" s="216">
        <v>2671</v>
      </c>
      <c r="BN16" s="216">
        <v>0</v>
      </c>
      <c r="BO16" s="216">
        <v>1326</v>
      </c>
      <c r="BP16" s="216">
        <v>5</v>
      </c>
      <c r="BQ16" s="216">
        <v>2878</v>
      </c>
      <c r="BR16" s="216">
        <v>624</v>
      </c>
      <c r="BS16" s="216">
        <v>2567</v>
      </c>
      <c r="BT16" s="216">
        <v>0</v>
      </c>
      <c r="BU16" s="216">
        <v>8</v>
      </c>
      <c r="BV16" s="216">
        <v>0</v>
      </c>
      <c r="BW16" s="216">
        <v>39742</v>
      </c>
      <c r="BX16" s="216">
        <v>0</v>
      </c>
      <c r="BY16" s="216">
        <v>-307</v>
      </c>
      <c r="BZ16" s="216">
        <v>-1442</v>
      </c>
      <c r="CA16" s="216">
        <v>-720</v>
      </c>
      <c r="CB16" s="216">
        <v>-1749</v>
      </c>
      <c r="CC16" s="216">
        <v>37993</v>
      </c>
      <c r="CD16" s="216">
        <v>2726</v>
      </c>
      <c r="CE16" s="216">
        <v>6695</v>
      </c>
      <c r="CF16" s="216">
        <v>47414</v>
      </c>
      <c r="CG16" s="216">
        <v>0</v>
      </c>
      <c r="CH16" s="216">
        <v>0</v>
      </c>
      <c r="CI16" s="216">
        <v>0</v>
      </c>
      <c r="CJ16" s="216">
        <v>0</v>
      </c>
      <c r="CK16" s="216">
        <v>0</v>
      </c>
      <c r="CL16" s="216">
        <v>0</v>
      </c>
      <c r="CM16" s="216">
        <v>0</v>
      </c>
      <c r="CN16" s="216">
        <v>0</v>
      </c>
      <c r="CO16" s="333">
        <v>20.6</v>
      </c>
      <c r="CP16" s="216">
        <v>0</v>
      </c>
      <c r="CQ16" s="216">
        <v>1859</v>
      </c>
      <c r="CR16" s="216">
        <v>853</v>
      </c>
      <c r="CS16" s="216">
        <v>2712</v>
      </c>
      <c r="CT16" s="216">
        <v>36660</v>
      </c>
      <c r="CU16" s="216">
        <v>1124</v>
      </c>
      <c r="CV16" s="216">
        <v>101</v>
      </c>
      <c r="CW16" s="216">
        <v>37885</v>
      </c>
      <c r="CX16" s="216">
        <v>0</v>
      </c>
      <c r="CY16" s="216">
        <v>-78</v>
      </c>
      <c r="CZ16" s="216">
        <v>200</v>
      </c>
      <c r="DA16" s="216">
        <v>40719</v>
      </c>
      <c r="DB16" s="333">
        <v>21.828908554572273</v>
      </c>
      <c r="DC16" s="333">
        <v>11.508512603932955</v>
      </c>
      <c r="DD16" s="333">
        <v>0</v>
      </c>
      <c r="DE16" s="333">
        <v>100</v>
      </c>
      <c r="DF16" s="333">
        <v>11.5</v>
      </c>
      <c r="DG16" s="333">
        <v>12.026326776197843</v>
      </c>
      <c r="DH16" s="216">
        <v>-2696</v>
      </c>
      <c r="DI16" s="216">
        <v>-41</v>
      </c>
      <c r="DJ16" s="216">
        <v>0</v>
      </c>
      <c r="DK16" s="216">
        <v>-2208</v>
      </c>
      <c r="DL16" s="216">
        <v>-20</v>
      </c>
      <c r="DM16" s="216">
        <v>11072</v>
      </c>
      <c r="DN16" s="216">
        <v>3964</v>
      </c>
      <c r="DO16" s="216">
        <v>0</v>
      </c>
      <c r="DP16" s="216">
        <v>10071</v>
      </c>
      <c r="DQ16" s="216">
        <v>685</v>
      </c>
      <c r="DR16" s="216">
        <v>286</v>
      </c>
      <c r="DS16" s="216">
        <v>0</v>
      </c>
      <c r="DT16" s="216">
        <v>15</v>
      </c>
      <c r="DU16" s="216">
        <v>0</v>
      </c>
      <c r="DV16" s="216">
        <v>0</v>
      </c>
      <c r="DW16" s="216">
        <v>0</v>
      </c>
      <c r="DX16" s="216">
        <v>0</v>
      </c>
      <c r="DY16" s="216">
        <v>129</v>
      </c>
      <c r="DZ16" s="216">
        <v>648</v>
      </c>
      <c r="EA16" s="216">
        <v>0</v>
      </c>
      <c r="EB16" s="216">
        <v>0</v>
      </c>
      <c r="EC16" s="216">
        <v>46</v>
      </c>
      <c r="ED16" s="216">
        <v>239</v>
      </c>
      <c r="EE16" s="216">
        <v>219</v>
      </c>
      <c r="EF16" s="216">
        <v>58</v>
      </c>
      <c r="EG16" s="216">
        <v>412</v>
      </c>
      <c r="EH16" s="216">
        <v>0</v>
      </c>
      <c r="EI16" s="216">
        <v>0</v>
      </c>
      <c r="EJ16" s="216">
        <v>0</v>
      </c>
      <c r="EK16" s="216">
        <v>1751</v>
      </c>
    </row>
    <row r="17" spans="1:141" ht="15" customHeight="1" x14ac:dyDescent="0.2">
      <c r="A17" s="220" t="s">
        <v>81</v>
      </c>
      <c r="B17" s="220" t="s">
        <v>101</v>
      </c>
      <c r="C17" s="219" t="s">
        <v>100</v>
      </c>
      <c r="D17" s="216">
        <v>1</v>
      </c>
      <c r="E17" s="216">
        <v>8</v>
      </c>
      <c r="F17" s="216">
        <v>1</v>
      </c>
      <c r="G17" s="216">
        <v>0</v>
      </c>
      <c r="H17" s="216">
        <v>10</v>
      </c>
      <c r="I17" s="216">
        <v>1</v>
      </c>
      <c r="J17" s="216">
        <v>16</v>
      </c>
      <c r="K17" s="216">
        <v>2</v>
      </c>
      <c r="L17" s="216">
        <v>3</v>
      </c>
      <c r="M17" s="216">
        <v>13</v>
      </c>
      <c r="N17" s="216">
        <v>0</v>
      </c>
      <c r="O17" s="216">
        <v>4</v>
      </c>
      <c r="P17" s="216">
        <v>38</v>
      </c>
      <c r="Q17" s="216">
        <v>16</v>
      </c>
      <c r="R17" s="216">
        <v>2</v>
      </c>
      <c r="S17" s="216">
        <v>1</v>
      </c>
      <c r="T17" s="333">
        <v>0</v>
      </c>
      <c r="U17" s="333">
        <v>0</v>
      </c>
      <c r="V17" s="333">
        <v>2</v>
      </c>
      <c r="W17" s="333">
        <v>6</v>
      </c>
      <c r="X17" s="333">
        <v>14</v>
      </c>
      <c r="Y17" s="333">
        <v>7</v>
      </c>
      <c r="Z17" s="333">
        <v>39</v>
      </c>
      <c r="AA17" s="333">
        <v>68</v>
      </c>
      <c r="AB17" s="216">
        <v>68</v>
      </c>
      <c r="AC17" s="333">
        <v>0</v>
      </c>
      <c r="AD17" s="333">
        <v>0</v>
      </c>
      <c r="AE17" s="333">
        <v>11</v>
      </c>
      <c r="AF17" s="333">
        <v>22</v>
      </c>
      <c r="AG17" s="333">
        <v>71</v>
      </c>
      <c r="AH17" s="333">
        <v>104</v>
      </c>
      <c r="AI17" s="216">
        <v>104</v>
      </c>
      <c r="AJ17" s="333">
        <v>0</v>
      </c>
      <c r="AK17" s="333">
        <v>15</v>
      </c>
      <c r="AL17" s="333">
        <v>187</v>
      </c>
      <c r="AM17" s="216">
        <v>117</v>
      </c>
      <c r="AN17" s="216">
        <v>119</v>
      </c>
      <c r="AO17" s="216">
        <v>2</v>
      </c>
      <c r="AP17" s="216">
        <v>0</v>
      </c>
      <c r="AQ17" s="216">
        <v>21</v>
      </c>
      <c r="AR17" s="216">
        <v>2</v>
      </c>
      <c r="AS17" s="216">
        <v>92</v>
      </c>
      <c r="AT17" s="216">
        <v>15</v>
      </c>
      <c r="AU17" s="216">
        <v>0</v>
      </c>
      <c r="AV17" s="216">
        <v>3</v>
      </c>
      <c r="AW17" s="216">
        <v>4</v>
      </c>
      <c r="AX17" s="216">
        <v>0</v>
      </c>
      <c r="AY17" s="216">
        <v>3820.9295000000002</v>
      </c>
      <c r="AZ17" s="216">
        <v>0</v>
      </c>
      <c r="BA17" s="216">
        <v>777.73662000000013</v>
      </c>
      <c r="BB17" s="216">
        <v>0</v>
      </c>
      <c r="BC17" s="216">
        <v>0</v>
      </c>
      <c r="BD17" s="216">
        <v>0</v>
      </c>
      <c r="BE17" s="216">
        <v>538.79261999999994</v>
      </c>
      <c r="BF17" s="216">
        <v>0</v>
      </c>
      <c r="BG17" s="216">
        <v>41.819180000000003</v>
      </c>
      <c r="BH17" s="216">
        <v>0</v>
      </c>
      <c r="BI17" s="216">
        <v>4.3947899999999995</v>
      </c>
      <c r="BJ17" s="216">
        <v>0</v>
      </c>
      <c r="BK17" s="216">
        <v>5183.6727100000007</v>
      </c>
      <c r="BL17" s="216">
        <v>0</v>
      </c>
      <c r="BM17" s="216">
        <v>393.75031999999993</v>
      </c>
      <c r="BN17" s="216">
        <v>0</v>
      </c>
      <c r="BO17" s="216">
        <v>197.11608999999999</v>
      </c>
      <c r="BP17" s="216">
        <v>58.637999999999998</v>
      </c>
      <c r="BQ17" s="216">
        <v>969.21798999999999</v>
      </c>
      <c r="BR17" s="216">
        <v>463.12299999999999</v>
      </c>
      <c r="BS17" s="216">
        <v>350.14497999999998</v>
      </c>
      <c r="BT17" s="216">
        <v>0</v>
      </c>
      <c r="BU17" s="216">
        <v>0</v>
      </c>
      <c r="BV17" s="216">
        <v>0</v>
      </c>
      <c r="BW17" s="216">
        <v>7093.9020900000014</v>
      </c>
      <c r="BX17" s="216">
        <v>-113</v>
      </c>
      <c r="BY17" s="216">
        <v>0</v>
      </c>
      <c r="BZ17" s="216">
        <v>-178</v>
      </c>
      <c r="CA17" s="216">
        <v>-152</v>
      </c>
      <c r="CB17" s="216">
        <v>-291</v>
      </c>
      <c r="CC17" s="216">
        <v>6802.9020900000014</v>
      </c>
      <c r="CD17" s="216">
        <v>636</v>
      </c>
      <c r="CE17" s="216">
        <v>-333</v>
      </c>
      <c r="CF17" s="216">
        <v>7105.9020900000014</v>
      </c>
      <c r="CG17" s="216">
        <v>0</v>
      </c>
      <c r="CH17" s="216">
        <v>0</v>
      </c>
      <c r="CI17" s="216">
        <v>0</v>
      </c>
      <c r="CJ17" s="216">
        <v>0</v>
      </c>
      <c r="CK17" s="216">
        <v>0</v>
      </c>
      <c r="CL17" s="216">
        <v>0</v>
      </c>
      <c r="CM17" s="216">
        <v>0</v>
      </c>
      <c r="CN17" s="216">
        <v>0</v>
      </c>
      <c r="CO17" s="333">
        <v>23.5</v>
      </c>
      <c r="CP17" s="216">
        <v>0</v>
      </c>
      <c r="CQ17" s="216" t="s">
        <v>3</v>
      </c>
      <c r="CR17" s="216" t="s">
        <v>3</v>
      </c>
      <c r="CS17" s="216">
        <v>1457</v>
      </c>
      <c r="CT17" s="216" t="s">
        <v>3</v>
      </c>
      <c r="CU17" s="216" t="s">
        <v>3</v>
      </c>
      <c r="CV17" s="216" t="s">
        <v>3</v>
      </c>
      <c r="CW17" s="216">
        <v>5982</v>
      </c>
      <c r="CX17" s="216">
        <v>0</v>
      </c>
      <c r="CY17" s="216">
        <v>0</v>
      </c>
      <c r="CZ17" s="216">
        <v>0</v>
      </c>
      <c r="DA17" s="216">
        <v>7439</v>
      </c>
      <c r="DB17" s="333">
        <v>6.0398078242964992</v>
      </c>
      <c r="DC17" s="333">
        <v>4.3965229020394512</v>
      </c>
      <c r="DD17" s="333">
        <v>0</v>
      </c>
      <c r="DE17" s="333">
        <v>0</v>
      </c>
      <c r="DF17" s="333">
        <v>0</v>
      </c>
      <c r="DG17" s="333">
        <v>4.7183761258233634</v>
      </c>
      <c r="DH17" s="216">
        <v>-390.58529000000004</v>
      </c>
      <c r="DI17" s="216">
        <v>0</v>
      </c>
      <c r="DJ17" s="216">
        <v>0</v>
      </c>
      <c r="DK17" s="216">
        <v>-368.21229</v>
      </c>
      <c r="DL17" s="216">
        <v>0</v>
      </c>
      <c r="DM17" s="216">
        <v>1609.5161300000002</v>
      </c>
      <c r="DN17" s="216">
        <v>162.24722999999997</v>
      </c>
      <c r="DO17" s="216">
        <v>0</v>
      </c>
      <c r="DP17" s="216">
        <v>1012.9657800000001</v>
      </c>
      <c r="DQ17" s="216">
        <v>441.01342999999997</v>
      </c>
      <c r="DR17" s="216">
        <v>139</v>
      </c>
      <c r="DS17" s="216">
        <v>0</v>
      </c>
      <c r="DT17" s="216">
        <v>0</v>
      </c>
      <c r="DU17" s="216">
        <v>77</v>
      </c>
      <c r="DV17" s="216">
        <v>0</v>
      </c>
      <c r="DW17" s="216">
        <v>0</v>
      </c>
      <c r="DX17" s="216">
        <v>0</v>
      </c>
      <c r="DY17" s="216">
        <v>0</v>
      </c>
      <c r="DZ17" s="216">
        <v>0</v>
      </c>
      <c r="EA17" s="216">
        <v>0</v>
      </c>
      <c r="EB17" s="216">
        <v>0</v>
      </c>
      <c r="EC17" s="216">
        <v>0</v>
      </c>
      <c r="ED17" s="216">
        <v>0</v>
      </c>
      <c r="EE17" s="216">
        <v>0</v>
      </c>
      <c r="EF17" s="216">
        <v>0</v>
      </c>
      <c r="EG17" s="216">
        <v>0</v>
      </c>
      <c r="EH17" s="216">
        <v>0</v>
      </c>
      <c r="EI17" s="216">
        <v>0</v>
      </c>
      <c r="EJ17" s="216">
        <v>1</v>
      </c>
      <c r="EK17" s="216">
        <v>78</v>
      </c>
    </row>
    <row r="18" spans="1:141" ht="15" customHeight="1" x14ac:dyDescent="0.2">
      <c r="A18" s="220" t="s">
        <v>81</v>
      </c>
      <c r="B18" s="220" t="s">
        <v>99</v>
      </c>
      <c r="C18" s="219" t="s">
        <v>98</v>
      </c>
      <c r="D18" s="216">
        <v>0</v>
      </c>
      <c r="E18" s="216">
        <v>29</v>
      </c>
      <c r="F18" s="216">
        <v>9</v>
      </c>
      <c r="G18" s="216">
        <v>0</v>
      </c>
      <c r="H18" s="216">
        <v>38</v>
      </c>
      <c r="I18" s="216">
        <v>4</v>
      </c>
      <c r="J18" s="216">
        <v>48</v>
      </c>
      <c r="K18" s="216">
        <v>2</v>
      </c>
      <c r="L18" s="216">
        <v>37</v>
      </c>
      <c r="M18" s="216">
        <v>49</v>
      </c>
      <c r="N18" s="216">
        <v>0</v>
      </c>
      <c r="O18" s="216">
        <v>6</v>
      </c>
      <c r="P18" s="216">
        <v>142</v>
      </c>
      <c r="Q18" s="216">
        <v>40</v>
      </c>
      <c r="R18" s="216">
        <v>5</v>
      </c>
      <c r="S18" s="216">
        <v>3</v>
      </c>
      <c r="T18" s="333">
        <v>3</v>
      </c>
      <c r="U18" s="333">
        <v>3</v>
      </c>
      <c r="V18" s="333">
        <v>8</v>
      </c>
      <c r="W18" s="333">
        <v>20</v>
      </c>
      <c r="X18" s="333">
        <v>37</v>
      </c>
      <c r="Y18" s="333">
        <v>45</v>
      </c>
      <c r="Z18" s="333">
        <v>63</v>
      </c>
      <c r="AA18" s="333">
        <v>179</v>
      </c>
      <c r="AB18" s="216">
        <v>180</v>
      </c>
      <c r="AC18" s="333">
        <v>0</v>
      </c>
      <c r="AD18" s="333">
        <v>0</v>
      </c>
      <c r="AE18" s="333">
        <v>34</v>
      </c>
      <c r="AF18" s="333">
        <v>63</v>
      </c>
      <c r="AG18" s="333">
        <v>258</v>
      </c>
      <c r="AH18" s="333">
        <v>355</v>
      </c>
      <c r="AI18" s="216">
        <v>427</v>
      </c>
      <c r="AJ18" s="333">
        <v>17</v>
      </c>
      <c r="AK18" s="333">
        <v>55</v>
      </c>
      <c r="AL18" s="333">
        <v>606</v>
      </c>
      <c r="AM18" s="216">
        <v>392</v>
      </c>
      <c r="AN18" s="216">
        <v>392</v>
      </c>
      <c r="AO18" s="216">
        <v>18</v>
      </c>
      <c r="AP18" s="216">
        <v>0</v>
      </c>
      <c r="AQ18" s="216">
        <v>40</v>
      </c>
      <c r="AR18" s="216">
        <v>19</v>
      </c>
      <c r="AS18" s="216">
        <v>508</v>
      </c>
      <c r="AT18" s="216">
        <v>14</v>
      </c>
      <c r="AU18" s="216">
        <v>13</v>
      </c>
      <c r="AV18" s="216">
        <v>321</v>
      </c>
      <c r="AW18" s="216">
        <v>185</v>
      </c>
      <c r="AX18" s="216">
        <v>15</v>
      </c>
      <c r="AY18" s="216">
        <v>10137</v>
      </c>
      <c r="AZ18" s="216">
        <v>0</v>
      </c>
      <c r="BA18" s="216">
        <v>4300</v>
      </c>
      <c r="BB18" s="216">
        <v>0</v>
      </c>
      <c r="BC18" s="216">
        <v>683</v>
      </c>
      <c r="BD18" s="216">
        <v>0</v>
      </c>
      <c r="BE18" s="216">
        <v>1884</v>
      </c>
      <c r="BF18" s="216">
        <v>0</v>
      </c>
      <c r="BG18" s="216">
        <v>588</v>
      </c>
      <c r="BH18" s="216">
        <v>0</v>
      </c>
      <c r="BI18" s="216">
        <v>17</v>
      </c>
      <c r="BJ18" s="216">
        <v>0</v>
      </c>
      <c r="BK18" s="216">
        <v>17609</v>
      </c>
      <c r="BL18" s="216">
        <v>0</v>
      </c>
      <c r="BM18" s="216">
        <v>1299</v>
      </c>
      <c r="BN18" s="216">
        <v>96</v>
      </c>
      <c r="BO18" s="216">
        <v>1262</v>
      </c>
      <c r="BP18" s="216">
        <v>0</v>
      </c>
      <c r="BQ18" s="216">
        <v>1822</v>
      </c>
      <c r="BR18" s="216">
        <v>0</v>
      </c>
      <c r="BS18" s="216">
        <v>2943</v>
      </c>
      <c r="BT18" s="216">
        <v>0</v>
      </c>
      <c r="BU18" s="216">
        <v>0</v>
      </c>
      <c r="BV18" s="216">
        <v>0</v>
      </c>
      <c r="BW18" s="216">
        <v>24935</v>
      </c>
      <c r="BX18" s="216">
        <v>-1184</v>
      </c>
      <c r="BY18" s="216">
        <v>0</v>
      </c>
      <c r="BZ18" s="216">
        <v>-1041</v>
      </c>
      <c r="CA18" s="216">
        <v>-27</v>
      </c>
      <c r="CB18" s="216">
        <v>-2225</v>
      </c>
      <c r="CC18" s="216">
        <v>22710</v>
      </c>
      <c r="CD18" s="216">
        <v>4108</v>
      </c>
      <c r="CE18" s="216">
        <v>685</v>
      </c>
      <c r="CF18" s="216">
        <v>27503</v>
      </c>
      <c r="CG18" s="216">
        <v>0</v>
      </c>
      <c r="CH18" s="216">
        <v>0</v>
      </c>
      <c r="CI18" s="216">
        <v>0</v>
      </c>
      <c r="CJ18" s="216">
        <v>0</v>
      </c>
      <c r="CK18" s="216">
        <v>0</v>
      </c>
      <c r="CL18" s="216">
        <v>0</v>
      </c>
      <c r="CM18" s="216">
        <v>0</v>
      </c>
      <c r="CN18" s="216">
        <v>-50</v>
      </c>
      <c r="CO18" s="333">
        <v>16.399999999999999</v>
      </c>
      <c r="CP18" s="216">
        <v>0</v>
      </c>
      <c r="CQ18" s="216" t="s">
        <v>3</v>
      </c>
      <c r="CR18" s="216" t="s">
        <v>3</v>
      </c>
      <c r="CS18" s="216">
        <v>1184</v>
      </c>
      <c r="CT18" s="216" t="s">
        <v>3</v>
      </c>
      <c r="CU18" s="216" t="s">
        <v>3</v>
      </c>
      <c r="CV18" s="216" t="s">
        <v>3</v>
      </c>
      <c r="CW18" s="216">
        <v>25634</v>
      </c>
      <c r="CX18" s="216">
        <v>0</v>
      </c>
      <c r="CY18" s="216">
        <v>0</v>
      </c>
      <c r="CZ18" s="216">
        <v>0</v>
      </c>
      <c r="DA18" s="216">
        <v>26818</v>
      </c>
      <c r="DB18" s="333">
        <v>17.14527027027027</v>
      </c>
      <c r="DC18" s="333">
        <v>10.622610595303113</v>
      </c>
      <c r="DD18" s="333">
        <v>0</v>
      </c>
      <c r="DE18" s="333">
        <v>0</v>
      </c>
      <c r="DF18" s="333">
        <v>0</v>
      </c>
      <c r="DG18" s="333">
        <v>10.910582444626742</v>
      </c>
      <c r="DH18" s="216">
        <v>-1690</v>
      </c>
      <c r="DI18" s="216">
        <v>0</v>
      </c>
      <c r="DJ18" s="216">
        <v>0</v>
      </c>
      <c r="DK18" s="216">
        <v>-1405</v>
      </c>
      <c r="DL18" s="216">
        <v>-75</v>
      </c>
      <c r="DM18" s="216">
        <v>5348</v>
      </c>
      <c r="DN18" s="216">
        <v>2109</v>
      </c>
      <c r="DO18" s="216">
        <v>0</v>
      </c>
      <c r="DP18" s="216">
        <v>4287</v>
      </c>
      <c r="DQ18" s="216">
        <v>444</v>
      </c>
      <c r="DR18" s="216">
        <v>150</v>
      </c>
      <c r="DS18" s="216">
        <v>0</v>
      </c>
      <c r="DT18" s="216">
        <v>0</v>
      </c>
      <c r="DU18" s="216">
        <v>183</v>
      </c>
      <c r="DV18" s="216">
        <v>0</v>
      </c>
      <c r="DW18" s="216">
        <v>5792.5129999999999</v>
      </c>
      <c r="DX18" s="216">
        <v>245</v>
      </c>
      <c r="DY18" s="216">
        <v>0</v>
      </c>
      <c r="DZ18" s="216">
        <v>1670</v>
      </c>
      <c r="EA18" s="216">
        <v>0</v>
      </c>
      <c r="EB18" s="216">
        <v>0</v>
      </c>
      <c r="EC18" s="216">
        <v>182</v>
      </c>
      <c r="ED18" s="216">
        <v>0</v>
      </c>
      <c r="EE18" s="216">
        <v>0</v>
      </c>
      <c r="EF18" s="216">
        <v>0</v>
      </c>
      <c r="EG18" s="216">
        <v>31</v>
      </c>
      <c r="EH18" s="216">
        <v>0</v>
      </c>
      <c r="EI18" s="216">
        <v>0</v>
      </c>
      <c r="EJ18" s="216">
        <v>0</v>
      </c>
      <c r="EK18" s="216">
        <v>8103.5129999999999</v>
      </c>
    </row>
    <row r="19" spans="1:141" ht="15" customHeight="1" x14ac:dyDescent="0.2">
      <c r="A19" s="220" t="s">
        <v>81</v>
      </c>
      <c r="B19" s="220" t="s">
        <v>97</v>
      </c>
      <c r="C19" s="219" t="s">
        <v>96</v>
      </c>
      <c r="D19" s="216">
        <v>3</v>
      </c>
      <c r="E19" s="216">
        <v>33</v>
      </c>
      <c r="F19" s="216">
        <v>6</v>
      </c>
      <c r="G19" s="216">
        <v>0</v>
      </c>
      <c r="H19" s="216">
        <v>42</v>
      </c>
      <c r="I19" s="216">
        <v>10</v>
      </c>
      <c r="J19" s="216">
        <v>53</v>
      </c>
      <c r="K19" s="216">
        <v>4</v>
      </c>
      <c r="L19" s="216">
        <v>12</v>
      </c>
      <c r="M19" s="216">
        <v>47</v>
      </c>
      <c r="N19" s="216">
        <v>0</v>
      </c>
      <c r="O19" s="216">
        <v>10</v>
      </c>
      <c r="P19" s="216">
        <v>126</v>
      </c>
      <c r="Q19" s="216">
        <v>51</v>
      </c>
      <c r="R19" s="216">
        <v>4</v>
      </c>
      <c r="S19" s="216">
        <v>6</v>
      </c>
      <c r="T19" s="333">
        <v>4</v>
      </c>
      <c r="U19" s="333">
        <v>3</v>
      </c>
      <c r="V19" s="333">
        <v>9</v>
      </c>
      <c r="W19" s="333">
        <v>25</v>
      </c>
      <c r="X19" s="333">
        <v>38</v>
      </c>
      <c r="Y19" s="333">
        <v>40</v>
      </c>
      <c r="Z19" s="333">
        <v>157</v>
      </c>
      <c r="AA19" s="333">
        <v>276</v>
      </c>
      <c r="AB19" s="216">
        <v>277</v>
      </c>
      <c r="AC19" s="333">
        <v>0</v>
      </c>
      <c r="AD19" s="333">
        <v>0</v>
      </c>
      <c r="AE19" s="333">
        <v>42</v>
      </c>
      <c r="AF19" s="333">
        <v>72</v>
      </c>
      <c r="AG19" s="333">
        <v>307</v>
      </c>
      <c r="AH19" s="333">
        <v>421</v>
      </c>
      <c r="AI19" s="216">
        <v>451</v>
      </c>
      <c r="AJ19" s="333">
        <v>24</v>
      </c>
      <c r="AK19" s="333">
        <v>75</v>
      </c>
      <c r="AL19" s="333">
        <v>795</v>
      </c>
      <c r="AM19" s="216">
        <v>617</v>
      </c>
      <c r="AN19" s="216">
        <v>633</v>
      </c>
      <c r="AO19" s="216">
        <v>17</v>
      </c>
      <c r="AP19" s="216">
        <v>4</v>
      </c>
      <c r="AQ19" s="216">
        <v>45</v>
      </c>
      <c r="AR19" s="216">
        <v>25</v>
      </c>
      <c r="AS19" s="216">
        <v>515</v>
      </c>
      <c r="AT19" s="216">
        <v>7</v>
      </c>
      <c r="AU19" s="216">
        <v>48</v>
      </c>
      <c r="AV19" s="216">
        <v>114</v>
      </c>
      <c r="AW19" s="216">
        <v>61</v>
      </c>
      <c r="AX19" s="216">
        <v>10</v>
      </c>
      <c r="AY19" s="216">
        <v>13382</v>
      </c>
      <c r="AZ19" s="216" t="s">
        <v>3</v>
      </c>
      <c r="BA19" s="216">
        <v>5581</v>
      </c>
      <c r="BB19" s="216" t="s">
        <v>3</v>
      </c>
      <c r="BC19" s="216">
        <v>912</v>
      </c>
      <c r="BD19" s="216" t="s">
        <v>3</v>
      </c>
      <c r="BE19" s="216">
        <v>2468</v>
      </c>
      <c r="BF19" s="216" t="s">
        <v>3</v>
      </c>
      <c r="BG19" s="216">
        <v>256</v>
      </c>
      <c r="BH19" s="216" t="s">
        <v>3</v>
      </c>
      <c r="BI19" s="216">
        <v>270</v>
      </c>
      <c r="BJ19" s="216" t="s">
        <v>3</v>
      </c>
      <c r="BK19" s="216">
        <v>22869</v>
      </c>
      <c r="BL19" s="216" t="s">
        <v>3</v>
      </c>
      <c r="BM19" s="216">
        <v>1513</v>
      </c>
      <c r="BN19" s="216" t="s">
        <v>3</v>
      </c>
      <c r="BO19" s="216">
        <v>1502</v>
      </c>
      <c r="BP19" s="216" t="s">
        <v>3</v>
      </c>
      <c r="BQ19" s="216">
        <v>2525</v>
      </c>
      <c r="BR19" s="216">
        <v>625</v>
      </c>
      <c r="BS19" s="216">
        <v>1254</v>
      </c>
      <c r="BT19" s="216" t="s">
        <v>3</v>
      </c>
      <c r="BU19" s="216">
        <v>29</v>
      </c>
      <c r="BV19" s="216">
        <v>0</v>
      </c>
      <c r="BW19" s="216">
        <v>29692</v>
      </c>
      <c r="BX19" s="216">
        <v>-1128</v>
      </c>
      <c r="BY19" s="216">
        <v>0</v>
      </c>
      <c r="BZ19" s="216">
        <v>-776</v>
      </c>
      <c r="CA19" s="216" t="s">
        <v>3</v>
      </c>
      <c r="CB19" s="216">
        <v>-1904</v>
      </c>
      <c r="CC19" s="216">
        <v>27788</v>
      </c>
      <c r="CD19" s="216">
        <v>2511</v>
      </c>
      <c r="CE19" s="216">
        <v>1290</v>
      </c>
      <c r="CF19" s="216">
        <v>31589</v>
      </c>
      <c r="CG19" s="216">
        <v>0</v>
      </c>
      <c r="CH19" s="216" t="s">
        <v>3</v>
      </c>
      <c r="CI19" s="216" t="s">
        <v>3</v>
      </c>
      <c r="CJ19" s="216" t="s">
        <v>3</v>
      </c>
      <c r="CK19" s="216" t="s">
        <v>3</v>
      </c>
      <c r="CL19" s="216">
        <v>0</v>
      </c>
      <c r="CM19" s="216" t="s">
        <v>3</v>
      </c>
      <c r="CN19" s="216" t="s">
        <v>3</v>
      </c>
      <c r="CO19" s="333">
        <v>15.5</v>
      </c>
      <c r="CP19" s="216" t="s">
        <v>3</v>
      </c>
      <c r="CQ19" s="216">
        <v>756</v>
      </c>
      <c r="CR19" s="216">
        <v>614</v>
      </c>
      <c r="CS19" s="216">
        <v>1370</v>
      </c>
      <c r="CT19" s="216">
        <v>24043</v>
      </c>
      <c r="CU19" s="216">
        <v>2916</v>
      </c>
      <c r="CV19" s="216">
        <v>315</v>
      </c>
      <c r="CW19" s="216">
        <v>27274</v>
      </c>
      <c r="CX19" s="216">
        <v>401</v>
      </c>
      <c r="CY19" s="216">
        <v>1254</v>
      </c>
      <c r="CZ19" s="216">
        <v>0</v>
      </c>
      <c r="DA19" s="216">
        <v>30299</v>
      </c>
      <c r="DB19" s="333">
        <v>30.364963503649633</v>
      </c>
      <c r="DC19" s="333">
        <v>34.138740192124367</v>
      </c>
      <c r="DD19" s="333">
        <v>33.915211970074814</v>
      </c>
      <c r="DE19" s="333">
        <v>100</v>
      </c>
      <c r="DF19" s="333">
        <v>0</v>
      </c>
      <c r="DG19" s="333">
        <v>36.690979900326745</v>
      </c>
      <c r="DH19" s="216">
        <v>-1842</v>
      </c>
      <c r="DI19" s="216">
        <v>-158</v>
      </c>
      <c r="DJ19" s="216">
        <v>0</v>
      </c>
      <c r="DK19" s="216">
        <v>-1560</v>
      </c>
      <c r="DL19" s="216">
        <v>-15</v>
      </c>
      <c r="DM19" s="216">
        <v>7226</v>
      </c>
      <c r="DN19" s="216">
        <v>1494</v>
      </c>
      <c r="DO19" s="216">
        <v>0</v>
      </c>
      <c r="DP19" s="216">
        <v>5145</v>
      </c>
      <c r="DQ19" s="216">
        <v>1076</v>
      </c>
      <c r="DR19" s="216">
        <v>1160</v>
      </c>
      <c r="DS19" s="216">
        <v>0</v>
      </c>
      <c r="DT19" s="216">
        <v>48</v>
      </c>
      <c r="DU19" s="216">
        <v>0</v>
      </c>
      <c r="DV19" s="216">
        <v>34</v>
      </c>
      <c r="DW19" s="216">
        <v>113</v>
      </c>
      <c r="DX19" s="216">
        <v>45</v>
      </c>
      <c r="DY19" s="216">
        <v>0</v>
      </c>
      <c r="DZ19" s="216">
        <v>210</v>
      </c>
      <c r="EA19" s="216">
        <v>0</v>
      </c>
      <c r="EB19" s="216">
        <v>0</v>
      </c>
      <c r="EC19" s="216">
        <v>9</v>
      </c>
      <c r="ED19" s="216">
        <v>0</v>
      </c>
      <c r="EE19" s="216">
        <v>0</v>
      </c>
      <c r="EF19" s="216">
        <v>0</v>
      </c>
      <c r="EG19" s="216">
        <v>125</v>
      </c>
      <c r="EH19" s="216">
        <v>0</v>
      </c>
      <c r="EI19" s="216">
        <v>26</v>
      </c>
      <c r="EJ19" s="216">
        <v>0</v>
      </c>
      <c r="EK19" s="216">
        <v>562</v>
      </c>
    </row>
    <row r="20" spans="1:141" ht="15" customHeight="1" x14ac:dyDescent="0.2">
      <c r="A20" s="220" t="s">
        <v>81</v>
      </c>
      <c r="B20" s="220" t="s">
        <v>95</v>
      </c>
      <c r="C20" s="219" t="s">
        <v>94</v>
      </c>
      <c r="D20" s="216">
        <v>3</v>
      </c>
      <c r="E20" s="216">
        <v>14</v>
      </c>
      <c r="F20" s="216">
        <v>5</v>
      </c>
      <c r="G20" s="216">
        <v>0</v>
      </c>
      <c r="H20" s="216">
        <v>22</v>
      </c>
      <c r="I20" s="216">
        <v>3</v>
      </c>
      <c r="J20" s="216">
        <v>26</v>
      </c>
      <c r="K20" s="216">
        <v>2</v>
      </c>
      <c r="L20" s="216">
        <v>28</v>
      </c>
      <c r="M20" s="216">
        <v>36</v>
      </c>
      <c r="N20" s="216">
        <v>0</v>
      </c>
      <c r="O20" s="216">
        <v>6</v>
      </c>
      <c r="P20" s="216">
        <v>98</v>
      </c>
      <c r="Q20" s="216">
        <v>50</v>
      </c>
      <c r="R20" s="216">
        <v>4</v>
      </c>
      <c r="S20" s="216">
        <v>3</v>
      </c>
      <c r="T20" s="333">
        <v>3</v>
      </c>
      <c r="U20" s="333">
        <v>2</v>
      </c>
      <c r="V20" s="333">
        <v>10</v>
      </c>
      <c r="W20" s="333">
        <v>21</v>
      </c>
      <c r="X20" s="333">
        <v>47</v>
      </c>
      <c r="Y20" s="333">
        <v>34</v>
      </c>
      <c r="Z20" s="333">
        <v>116</v>
      </c>
      <c r="AA20" s="333">
        <v>233</v>
      </c>
      <c r="AB20" s="216">
        <v>235</v>
      </c>
      <c r="AC20" s="333">
        <v>0</v>
      </c>
      <c r="AD20" s="333">
        <v>0</v>
      </c>
      <c r="AE20" s="333">
        <v>10</v>
      </c>
      <c r="AF20" s="333">
        <v>24</v>
      </c>
      <c r="AG20" s="333">
        <v>123</v>
      </c>
      <c r="AH20" s="333">
        <v>156</v>
      </c>
      <c r="AI20" s="216">
        <v>207</v>
      </c>
      <c r="AJ20" s="333">
        <v>17</v>
      </c>
      <c r="AK20" s="333">
        <v>59</v>
      </c>
      <c r="AL20" s="333">
        <v>464</v>
      </c>
      <c r="AM20" s="216">
        <v>416</v>
      </c>
      <c r="AN20" s="216" t="s">
        <v>3</v>
      </c>
      <c r="AO20" s="216">
        <v>14</v>
      </c>
      <c r="AP20" s="216">
        <v>0</v>
      </c>
      <c r="AQ20" s="216">
        <v>33</v>
      </c>
      <c r="AR20" s="216">
        <v>11</v>
      </c>
      <c r="AS20" s="216">
        <v>345</v>
      </c>
      <c r="AT20" s="216">
        <v>14</v>
      </c>
      <c r="AU20" s="216">
        <v>24</v>
      </c>
      <c r="AV20" s="216">
        <v>130</v>
      </c>
      <c r="AW20" s="216">
        <v>55</v>
      </c>
      <c r="AX20" s="216">
        <v>11</v>
      </c>
      <c r="AY20" s="216">
        <v>11737.170290000002</v>
      </c>
      <c r="AZ20" s="216" t="s">
        <v>3</v>
      </c>
      <c r="BA20" s="216">
        <v>1779.70732</v>
      </c>
      <c r="BB20" s="216" t="s">
        <v>3</v>
      </c>
      <c r="BC20" s="216">
        <v>723.07609000000014</v>
      </c>
      <c r="BD20" s="216" t="s">
        <v>3</v>
      </c>
      <c r="BE20" s="216">
        <v>2078.4061499999998</v>
      </c>
      <c r="BF20" s="216" t="s">
        <v>3</v>
      </c>
      <c r="BG20" s="216">
        <v>356.11381999999998</v>
      </c>
      <c r="BH20" s="216" t="s">
        <v>3</v>
      </c>
      <c r="BI20" s="216">
        <v>82.515959999999993</v>
      </c>
      <c r="BJ20" s="216" t="s">
        <v>3</v>
      </c>
      <c r="BK20" s="216">
        <v>16756.98963</v>
      </c>
      <c r="BL20" s="216" t="s">
        <v>3</v>
      </c>
      <c r="BM20" s="216">
        <v>1571.71165</v>
      </c>
      <c r="BN20" s="216" t="s">
        <v>3</v>
      </c>
      <c r="BO20" s="216">
        <v>700.33970999999997</v>
      </c>
      <c r="BP20" s="216" t="s">
        <v>3</v>
      </c>
      <c r="BQ20" s="216">
        <v>3359.1512700000003</v>
      </c>
      <c r="BR20" s="216" t="s">
        <v>3</v>
      </c>
      <c r="BS20" s="216">
        <v>2026.0975975137474</v>
      </c>
      <c r="BT20" s="216" t="s">
        <v>3</v>
      </c>
      <c r="BU20" s="216">
        <v>0</v>
      </c>
      <c r="BV20" s="216">
        <v>0</v>
      </c>
      <c r="BW20" s="216">
        <v>24414.289857513751</v>
      </c>
      <c r="BX20" s="216">
        <v>662.51016000000004</v>
      </c>
      <c r="BY20" s="216">
        <v>0</v>
      </c>
      <c r="BZ20" s="216">
        <v>360.38259000000011</v>
      </c>
      <c r="CA20" s="216" t="s">
        <v>3</v>
      </c>
      <c r="CB20" s="216">
        <v>1022.8927500000002</v>
      </c>
      <c r="CC20" s="216">
        <v>25437.182607513751</v>
      </c>
      <c r="CD20" s="216">
        <v>4694.7294099999999</v>
      </c>
      <c r="CE20" s="216">
        <v>0</v>
      </c>
      <c r="CF20" s="216">
        <v>30131.91201751375</v>
      </c>
      <c r="CG20" s="216">
        <v>0</v>
      </c>
      <c r="CH20" s="216">
        <v>0</v>
      </c>
      <c r="CI20" s="216">
        <v>0</v>
      </c>
      <c r="CJ20" s="216">
        <v>0</v>
      </c>
      <c r="CK20" s="216">
        <v>0</v>
      </c>
      <c r="CL20" s="216">
        <v>0</v>
      </c>
      <c r="CM20" s="216">
        <v>0</v>
      </c>
      <c r="CN20" s="216">
        <v>0</v>
      </c>
      <c r="CO20" s="333" t="s">
        <v>3</v>
      </c>
      <c r="CP20" s="216" t="s">
        <v>3</v>
      </c>
      <c r="CQ20" s="216" t="s">
        <v>3</v>
      </c>
      <c r="CR20" s="216" t="s">
        <v>3</v>
      </c>
      <c r="CS20" s="216" t="s">
        <v>3</v>
      </c>
      <c r="CT20" s="216" t="s">
        <v>3</v>
      </c>
      <c r="CU20" s="216" t="s">
        <v>3</v>
      </c>
      <c r="CV20" s="216" t="s">
        <v>3</v>
      </c>
      <c r="CW20" s="216" t="s">
        <v>3</v>
      </c>
      <c r="CX20" s="216" t="s">
        <v>3</v>
      </c>
      <c r="CY20" s="216" t="s">
        <v>3</v>
      </c>
      <c r="CZ20" s="216" t="s">
        <v>3</v>
      </c>
      <c r="DA20" s="216" t="s">
        <v>3</v>
      </c>
      <c r="DB20" s="333" t="s">
        <v>3</v>
      </c>
      <c r="DC20" s="333" t="s">
        <v>3</v>
      </c>
      <c r="DD20" s="333" t="s">
        <v>3</v>
      </c>
      <c r="DE20" s="333" t="s">
        <v>3</v>
      </c>
      <c r="DF20" s="333" t="s">
        <v>3</v>
      </c>
      <c r="DG20" s="333" t="s">
        <v>3</v>
      </c>
      <c r="DH20" s="216">
        <v>-1357</v>
      </c>
      <c r="DI20" s="216">
        <v>0</v>
      </c>
      <c r="DJ20" s="216">
        <v>0</v>
      </c>
      <c r="DK20" s="216">
        <v>-933</v>
      </c>
      <c r="DL20" s="216">
        <v>0</v>
      </c>
      <c r="DM20" s="216">
        <v>6368</v>
      </c>
      <c r="DN20" s="216">
        <v>1585</v>
      </c>
      <c r="DO20" s="216">
        <v>0</v>
      </c>
      <c r="DP20" s="216">
        <v>5663</v>
      </c>
      <c r="DQ20" s="216">
        <v>0</v>
      </c>
      <c r="DR20" s="216">
        <v>0</v>
      </c>
      <c r="DS20" s="216">
        <v>0</v>
      </c>
      <c r="DT20" s="216">
        <v>0</v>
      </c>
      <c r="DU20" s="216" t="s">
        <v>3</v>
      </c>
      <c r="DV20" s="216" t="s">
        <v>3</v>
      </c>
      <c r="DW20" s="216" t="s">
        <v>3</v>
      </c>
      <c r="DX20" s="216" t="s">
        <v>3</v>
      </c>
      <c r="DY20" s="216" t="s">
        <v>3</v>
      </c>
      <c r="DZ20" s="216" t="s">
        <v>3</v>
      </c>
      <c r="EA20" s="216" t="s">
        <v>3</v>
      </c>
      <c r="EB20" s="216" t="s">
        <v>3</v>
      </c>
      <c r="EC20" s="216" t="s">
        <v>3</v>
      </c>
      <c r="ED20" s="216" t="s">
        <v>3</v>
      </c>
      <c r="EE20" s="216" t="s">
        <v>3</v>
      </c>
      <c r="EF20" s="216" t="s">
        <v>3</v>
      </c>
      <c r="EG20" s="216" t="s">
        <v>3</v>
      </c>
      <c r="EH20" s="216" t="s">
        <v>3</v>
      </c>
      <c r="EI20" s="216" t="s">
        <v>3</v>
      </c>
      <c r="EJ20" s="216" t="s">
        <v>3</v>
      </c>
      <c r="EK20" s="216">
        <v>0</v>
      </c>
    </row>
    <row r="21" spans="1:141" ht="15" customHeight="1" x14ac:dyDescent="0.2">
      <c r="A21" s="220" t="s">
        <v>81</v>
      </c>
      <c r="B21" s="220" t="s">
        <v>93</v>
      </c>
      <c r="C21" s="219" t="s">
        <v>92</v>
      </c>
      <c r="D21" s="216">
        <v>1</v>
      </c>
      <c r="E21" s="216">
        <v>11</v>
      </c>
      <c r="F21" s="216">
        <v>3</v>
      </c>
      <c r="G21" s="216">
        <v>0</v>
      </c>
      <c r="H21" s="216">
        <v>15</v>
      </c>
      <c r="I21" s="216">
        <v>7</v>
      </c>
      <c r="J21" s="216">
        <v>22</v>
      </c>
      <c r="K21" s="216">
        <v>0</v>
      </c>
      <c r="L21" s="216">
        <v>0</v>
      </c>
      <c r="M21" s="216">
        <v>19</v>
      </c>
      <c r="N21" s="216">
        <v>0</v>
      </c>
      <c r="O21" s="216">
        <v>14</v>
      </c>
      <c r="P21" s="216">
        <v>55</v>
      </c>
      <c r="Q21" s="216">
        <v>21</v>
      </c>
      <c r="R21" s="216">
        <v>3</v>
      </c>
      <c r="S21" s="216">
        <v>3</v>
      </c>
      <c r="T21" s="333">
        <v>2</v>
      </c>
      <c r="U21" s="333">
        <v>1</v>
      </c>
      <c r="V21" s="333">
        <v>4</v>
      </c>
      <c r="W21" s="333">
        <v>14</v>
      </c>
      <c r="X21" s="333">
        <v>19</v>
      </c>
      <c r="Y21" s="333">
        <v>21</v>
      </c>
      <c r="Z21" s="333">
        <v>73</v>
      </c>
      <c r="AA21" s="333">
        <v>134</v>
      </c>
      <c r="AB21" s="216">
        <v>134</v>
      </c>
      <c r="AC21" s="333">
        <v>0</v>
      </c>
      <c r="AD21" s="333">
        <v>0</v>
      </c>
      <c r="AE21" s="333">
        <v>12</v>
      </c>
      <c r="AF21" s="333">
        <v>28</v>
      </c>
      <c r="AG21" s="333">
        <v>84</v>
      </c>
      <c r="AH21" s="333">
        <v>123</v>
      </c>
      <c r="AI21" s="216">
        <v>154</v>
      </c>
      <c r="AJ21" s="333">
        <v>9</v>
      </c>
      <c r="AK21" s="333">
        <v>32</v>
      </c>
      <c r="AL21" s="333">
        <v>298</v>
      </c>
      <c r="AM21" s="216">
        <v>361</v>
      </c>
      <c r="AN21" s="216">
        <v>363</v>
      </c>
      <c r="AO21" s="216">
        <v>15</v>
      </c>
      <c r="AP21" s="216">
        <v>0</v>
      </c>
      <c r="AQ21" s="216">
        <v>37</v>
      </c>
      <c r="AR21" s="216">
        <v>7</v>
      </c>
      <c r="AS21" s="216">
        <v>206</v>
      </c>
      <c r="AT21" s="216">
        <v>10</v>
      </c>
      <c r="AU21" s="216">
        <v>21</v>
      </c>
      <c r="AV21" s="216">
        <v>117</v>
      </c>
      <c r="AW21" s="216">
        <v>57</v>
      </c>
      <c r="AX21" s="216">
        <v>18</v>
      </c>
      <c r="AY21" s="216">
        <v>6959</v>
      </c>
      <c r="AZ21" s="216" t="s">
        <v>3</v>
      </c>
      <c r="BA21" s="216">
        <v>1883</v>
      </c>
      <c r="BB21" s="216" t="s">
        <v>3</v>
      </c>
      <c r="BC21" s="216">
        <v>653</v>
      </c>
      <c r="BD21" s="216" t="s">
        <v>3</v>
      </c>
      <c r="BE21" s="216">
        <v>1093</v>
      </c>
      <c r="BF21" s="216" t="s">
        <v>3</v>
      </c>
      <c r="BG21" s="216">
        <v>188</v>
      </c>
      <c r="BH21" s="216" t="s">
        <v>3</v>
      </c>
      <c r="BI21" s="216">
        <v>150</v>
      </c>
      <c r="BJ21" s="216" t="s">
        <v>3</v>
      </c>
      <c r="BK21" s="216">
        <v>10926</v>
      </c>
      <c r="BL21" s="216" t="s">
        <v>3</v>
      </c>
      <c r="BM21" s="216">
        <v>1832</v>
      </c>
      <c r="BN21" s="216" t="s">
        <v>3</v>
      </c>
      <c r="BO21" s="216">
        <v>259</v>
      </c>
      <c r="BP21" s="216" t="s">
        <v>3</v>
      </c>
      <c r="BQ21" s="216">
        <v>1559</v>
      </c>
      <c r="BR21" s="216" t="s">
        <v>3</v>
      </c>
      <c r="BS21" s="216">
        <v>0</v>
      </c>
      <c r="BT21" s="216" t="s">
        <v>3</v>
      </c>
      <c r="BU21" s="216">
        <v>436</v>
      </c>
      <c r="BV21" s="216">
        <v>0</v>
      </c>
      <c r="BW21" s="216">
        <v>15012</v>
      </c>
      <c r="BX21" s="216">
        <v>-1825</v>
      </c>
      <c r="BY21" s="216">
        <v>0</v>
      </c>
      <c r="BZ21" s="216">
        <v>-680</v>
      </c>
      <c r="CA21" s="216" t="s">
        <v>3</v>
      </c>
      <c r="CB21" s="216">
        <v>-2505</v>
      </c>
      <c r="CC21" s="216">
        <v>12507</v>
      </c>
      <c r="CD21" s="216">
        <v>1505</v>
      </c>
      <c r="CE21" s="216">
        <v>1519</v>
      </c>
      <c r="CF21" s="216">
        <v>15531</v>
      </c>
      <c r="CG21" s="216">
        <v>0</v>
      </c>
      <c r="CH21" s="216">
        <v>0</v>
      </c>
      <c r="CI21" s="216">
        <v>0</v>
      </c>
      <c r="CJ21" s="216">
        <v>0</v>
      </c>
      <c r="CK21" s="216">
        <v>0</v>
      </c>
      <c r="CL21" s="216">
        <v>1770</v>
      </c>
      <c r="CM21" s="216" t="s">
        <v>3</v>
      </c>
      <c r="CN21" s="216" t="s">
        <v>3</v>
      </c>
      <c r="CO21" s="333">
        <v>18.5</v>
      </c>
      <c r="CP21" s="216" t="s">
        <v>3</v>
      </c>
      <c r="CQ21" s="216" t="s">
        <v>3</v>
      </c>
      <c r="CR21" s="216" t="s">
        <v>3</v>
      </c>
      <c r="CS21" s="216">
        <v>459</v>
      </c>
      <c r="CT21" s="216" t="s">
        <v>3</v>
      </c>
      <c r="CU21" s="216" t="s">
        <v>3</v>
      </c>
      <c r="CV21" s="216" t="s">
        <v>3</v>
      </c>
      <c r="CW21" s="216">
        <v>13322</v>
      </c>
      <c r="CX21" s="216">
        <v>231</v>
      </c>
      <c r="CY21" s="216">
        <v>0</v>
      </c>
      <c r="CZ21" s="216">
        <v>0</v>
      </c>
      <c r="DA21" s="216">
        <v>14012</v>
      </c>
      <c r="DB21" s="333">
        <v>0</v>
      </c>
      <c r="DC21" s="333">
        <v>0</v>
      </c>
      <c r="DD21" s="333">
        <v>0</v>
      </c>
      <c r="DE21" s="333">
        <v>0</v>
      </c>
      <c r="DF21" s="333">
        <v>0</v>
      </c>
      <c r="DG21" s="333">
        <v>0</v>
      </c>
      <c r="DH21" s="216">
        <v>-950</v>
      </c>
      <c r="DI21" s="216">
        <v>0</v>
      </c>
      <c r="DJ21" s="216">
        <v>0</v>
      </c>
      <c r="DK21" s="216">
        <v>-777</v>
      </c>
      <c r="DL21" s="216">
        <v>0</v>
      </c>
      <c r="DM21" s="216">
        <v>5329</v>
      </c>
      <c r="DN21" s="216">
        <v>1625</v>
      </c>
      <c r="DO21" s="216">
        <v>5</v>
      </c>
      <c r="DP21" s="216">
        <v>5232</v>
      </c>
      <c r="DQ21" s="216">
        <v>284</v>
      </c>
      <c r="DR21" s="216">
        <v>448</v>
      </c>
      <c r="DS21" s="216">
        <v>0</v>
      </c>
      <c r="DT21" s="216">
        <v>0</v>
      </c>
      <c r="DU21" s="216">
        <v>82</v>
      </c>
      <c r="DV21" s="216">
        <v>0</v>
      </c>
      <c r="DW21" s="216">
        <v>45</v>
      </c>
      <c r="DX21" s="216">
        <v>5</v>
      </c>
      <c r="DY21" s="216">
        <v>0</v>
      </c>
      <c r="DZ21" s="216">
        <v>502</v>
      </c>
      <c r="EA21" s="216">
        <v>209</v>
      </c>
      <c r="EB21" s="216">
        <v>0</v>
      </c>
      <c r="EC21" s="216">
        <v>0</v>
      </c>
      <c r="ED21" s="216">
        <v>0</v>
      </c>
      <c r="EE21" s="216">
        <v>0</v>
      </c>
      <c r="EF21" s="216">
        <v>0</v>
      </c>
      <c r="EG21" s="216">
        <v>0</v>
      </c>
      <c r="EH21" s="216">
        <v>0</v>
      </c>
      <c r="EI21" s="216">
        <v>0</v>
      </c>
      <c r="EJ21" s="216">
        <v>0</v>
      </c>
      <c r="EK21" s="216">
        <v>843</v>
      </c>
    </row>
    <row r="22" spans="1:141" ht="15" customHeight="1" x14ac:dyDescent="0.2">
      <c r="A22" s="220" t="s">
        <v>81</v>
      </c>
      <c r="B22" s="220" t="s">
        <v>91</v>
      </c>
      <c r="C22" s="219" t="s">
        <v>90</v>
      </c>
      <c r="D22" s="216">
        <v>0</v>
      </c>
      <c r="E22" s="216">
        <v>19</v>
      </c>
      <c r="F22" s="216">
        <v>6</v>
      </c>
      <c r="G22" s="216">
        <v>0</v>
      </c>
      <c r="H22" s="216">
        <v>25</v>
      </c>
      <c r="I22" s="216">
        <v>2</v>
      </c>
      <c r="J22" s="216">
        <v>35</v>
      </c>
      <c r="K22" s="216">
        <v>1</v>
      </c>
      <c r="L22" s="216">
        <v>5</v>
      </c>
      <c r="M22" s="216">
        <v>21</v>
      </c>
      <c r="N22" s="216">
        <v>25</v>
      </c>
      <c r="O22" s="216">
        <v>4</v>
      </c>
      <c r="P22" s="216">
        <v>91</v>
      </c>
      <c r="Q22" s="216">
        <v>73</v>
      </c>
      <c r="R22" s="216">
        <v>5</v>
      </c>
      <c r="S22" s="216">
        <v>7</v>
      </c>
      <c r="T22" s="333">
        <v>3</v>
      </c>
      <c r="U22" s="333">
        <v>3</v>
      </c>
      <c r="V22" s="333">
        <v>9</v>
      </c>
      <c r="W22" s="333">
        <v>25</v>
      </c>
      <c r="X22" s="333">
        <v>49</v>
      </c>
      <c r="Y22" s="333">
        <v>36</v>
      </c>
      <c r="Z22" s="333">
        <v>110</v>
      </c>
      <c r="AA22" s="333">
        <v>235</v>
      </c>
      <c r="AB22" s="216">
        <v>235</v>
      </c>
      <c r="AC22" s="333">
        <v>0</v>
      </c>
      <c r="AD22" s="333">
        <v>0</v>
      </c>
      <c r="AE22" s="333">
        <v>24</v>
      </c>
      <c r="AF22" s="333">
        <v>39</v>
      </c>
      <c r="AG22" s="333">
        <v>141</v>
      </c>
      <c r="AH22" s="333">
        <v>204</v>
      </c>
      <c r="AI22" s="216">
        <v>340</v>
      </c>
      <c r="AJ22" s="333">
        <v>0</v>
      </c>
      <c r="AK22" s="333">
        <v>72</v>
      </c>
      <c r="AL22" s="333">
        <v>511</v>
      </c>
      <c r="AM22" s="216">
        <v>367</v>
      </c>
      <c r="AN22" s="216">
        <v>376</v>
      </c>
      <c r="AO22" s="216">
        <v>10</v>
      </c>
      <c r="AP22" s="216">
        <v>2</v>
      </c>
      <c r="AQ22" s="216">
        <v>18</v>
      </c>
      <c r="AR22" s="216">
        <v>9</v>
      </c>
      <c r="AS22" s="216">
        <v>500</v>
      </c>
      <c r="AT22" s="216">
        <v>15</v>
      </c>
      <c r="AU22" s="216">
        <v>30</v>
      </c>
      <c r="AV22" s="216">
        <v>358</v>
      </c>
      <c r="AW22" s="216">
        <v>194</v>
      </c>
      <c r="AX22" s="216">
        <v>20</v>
      </c>
      <c r="AY22" s="216">
        <v>11674</v>
      </c>
      <c r="AZ22" s="216" t="s">
        <v>3</v>
      </c>
      <c r="BA22" s="216">
        <v>3417</v>
      </c>
      <c r="BB22" s="216" t="s">
        <v>3</v>
      </c>
      <c r="BC22" s="216">
        <v>0</v>
      </c>
      <c r="BD22" s="216" t="s">
        <v>3</v>
      </c>
      <c r="BE22" s="216">
        <v>2060</v>
      </c>
      <c r="BF22" s="216" t="s">
        <v>3</v>
      </c>
      <c r="BG22" s="216">
        <v>645</v>
      </c>
      <c r="BH22" s="216" t="s">
        <v>3</v>
      </c>
      <c r="BI22" s="216">
        <v>168</v>
      </c>
      <c r="BJ22" s="216" t="s">
        <v>3</v>
      </c>
      <c r="BK22" s="216">
        <v>17964</v>
      </c>
      <c r="BL22" s="216" t="s">
        <v>3</v>
      </c>
      <c r="BM22" s="216">
        <v>1608</v>
      </c>
      <c r="BN22" s="216" t="s">
        <v>3</v>
      </c>
      <c r="BO22" s="216">
        <v>1146</v>
      </c>
      <c r="BP22" s="216" t="s">
        <v>3</v>
      </c>
      <c r="BQ22" s="216">
        <v>2271</v>
      </c>
      <c r="BR22" s="216" t="s">
        <v>3</v>
      </c>
      <c r="BS22" s="216">
        <v>1229</v>
      </c>
      <c r="BT22" s="216" t="s">
        <v>3</v>
      </c>
      <c r="BU22" s="216">
        <v>624</v>
      </c>
      <c r="BV22" s="216">
        <v>180</v>
      </c>
      <c r="BW22" s="216">
        <v>25022</v>
      </c>
      <c r="BX22" s="216">
        <v>-48</v>
      </c>
      <c r="BY22" s="216">
        <v>-674</v>
      </c>
      <c r="BZ22" s="216">
        <v>-229</v>
      </c>
      <c r="CA22" s="216" t="s">
        <v>3</v>
      </c>
      <c r="CB22" s="216">
        <v>-951</v>
      </c>
      <c r="CC22" s="216">
        <v>24071</v>
      </c>
      <c r="CD22" s="216">
        <v>1838</v>
      </c>
      <c r="CE22" s="216">
        <v>3378</v>
      </c>
      <c r="CF22" s="216">
        <v>29287</v>
      </c>
      <c r="CG22" s="216" t="s">
        <v>3</v>
      </c>
      <c r="CH22" s="216" t="s">
        <v>3</v>
      </c>
      <c r="CI22" s="216" t="s">
        <v>3</v>
      </c>
      <c r="CJ22" s="216" t="s">
        <v>3</v>
      </c>
      <c r="CK22" s="216" t="s">
        <v>3</v>
      </c>
      <c r="CL22" s="216" t="s">
        <v>3</v>
      </c>
      <c r="CM22" s="216" t="s">
        <v>3</v>
      </c>
      <c r="CN22" s="216">
        <v>-3</v>
      </c>
      <c r="CO22" s="333">
        <v>19.899999999999999</v>
      </c>
      <c r="CP22" s="216">
        <v>0</v>
      </c>
      <c r="CQ22" s="216" t="s">
        <v>3</v>
      </c>
      <c r="CR22" s="216" t="s">
        <v>3</v>
      </c>
      <c r="CS22" s="216" t="s">
        <v>3</v>
      </c>
      <c r="CT22" s="216" t="s">
        <v>3</v>
      </c>
      <c r="CU22" s="216" t="s">
        <v>3</v>
      </c>
      <c r="CV22" s="216" t="s">
        <v>3</v>
      </c>
      <c r="CW22" s="216" t="s">
        <v>3</v>
      </c>
      <c r="CX22" s="216" t="s">
        <v>3</v>
      </c>
      <c r="CY22" s="216" t="s">
        <v>3</v>
      </c>
      <c r="CZ22" s="216" t="s">
        <v>3</v>
      </c>
      <c r="DA22" s="216" t="s">
        <v>3</v>
      </c>
      <c r="DB22" s="333" t="s">
        <v>3</v>
      </c>
      <c r="DC22" s="333" t="s">
        <v>3</v>
      </c>
      <c r="DD22" s="333" t="s">
        <v>3</v>
      </c>
      <c r="DE22" s="333" t="s">
        <v>3</v>
      </c>
      <c r="DF22" s="333" t="s">
        <v>3</v>
      </c>
      <c r="DG22" s="333" t="s">
        <v>3</v>
      </c>
      <c r="DH22" s="216">
        <v>-1589</v>
      </c>
      <c r="DI22" s="216">
        <v>-55</v>
      </c>
      <c r="DJ22" s="216">
        <v>195</v>
      </c>
      <c r="DK22" s="216">
        <v>-1392</v>
      </c>
      <c r="DL22" s="216">
        <v>0</v>
      </c>
      <c r="DM22" s="216">
        <v>5463</v>
      </c>
      <c r="DN22" s="216">
        <v>1267</v>
      </c>
      <c r="DO22" s="216">
        <v>0</v>
      </c>
      <c r="DP22" s="216">
        <v>3889</v>
      </c>
      <c r="DQ22" s="216">
        <v>369</v>
      </c>
      <c r="DR22" s="216">
        <v>2746</v>
      </c>
      <c r="DS22" s="216">
        <v>0</v>
      </c>
      <c r="DT22" s="216">
        <v>0</v>
      </c>
      <c r="DU22" s="216">
        <v>0</v>
      </c>
      <c r="DV22" s="216">
        <v>0</v>
      </c>
      <c r="DW22" s="216">
        <v>120</v>
      </c>
      <c r="DX22" s="216">
        <v>28</v>
      </c>
      <c r="DY22" s="216">
        <v>0</v>
      </c>
      <c r="DZ22" s="216">
        <v>1371</v>
      </c>
      <c r="EA22" s="216">
        <v>0</v>
      </c>
      <c r="EB22" s="216">
        <v>0</v>
      </c>
      <c r="EC22" s="216">
        <v>0</v>
      </c>
      <c r="ED22" s="216">
        <v>0</v>
      </c>
      <c r="EE22" s="216">
        <v>0</v>
      </c>
      <c r="EF22" s="216">
        <v>0</v>
      </c>
      <c r="EG22" s="216">
        <v>0</v>
      </c>
      <c r="EH22" s="216">
        <v>0</v>
      </c>
      <c r="EI22" s="216">
        <v>0</v>
      </c>
      <c r="EJ22" s="216">
        <v>0</v>
      </c>
      <c r="EK22" s="216">
        <v>1519</v>
      </c>
    </row>
    <row r="23" spans="1:141" ht="15" customHeight="1" x14ac:dyDescent="0.2">
      <c r="A23" s="220" t="s">
        <v>81</v>
      </c>
      <c r="B23" s="220" t="s">
        <v>89</v>
      </c>
      <c r="C23" s="219" t="s">
        <v>88</v>
      </c>
      <c r="D23" s="216">
        <v>0</v>
      </c>
      <c r="E23" s="216">
        <v>29</v>
      </c>
      <c r="F23" s="216">
        <v>6</v>
      </c>
      <c r="G23" s="216">
        <v>0</v>
      </c>
      <c r="H23" s="216">
        <v>35</v>
      </c>
      <c r="I23" s="216">
        <v>16</v>
      </c>
      <c r="J23" s="216">
        <v>43</v>
      </c>
      <c r="K23" s="216">
        <v>2</v>
      </c>
      <c r="L23" s="216">
        <v>14</v>
      </c>
      <c r="M23" s="216">
        <v>30</v>
      </c>
      <c r="N23" s="216">
        <v>0</v>
      </c>
      <c r="O23" s="216">
        <v>2</v>
      </c>
      <c r="P23" s="216">
        <v>91</v>
      </c>
      <c r="Q23" s="216">
        <v>52</v>
      </c>
      <c r="R23" s="216">
        <v>4</v>
      </c>
      <c r="S23" s="216">
        <v>3</v>
      </c>
      <c r="T23" s="333">
        <v>2</v>
      </c>
      <c r="U23" s="333">
        <v>4</v>
      </c>
      <c r="V23" s="333">
        <v>7</v>
      </c>
      <c r="W23" s="333">
        <v>18</v>
      </c>
      <c r="X23" s="333">
        <v>36</v>
      </c>
      <c r="Y23" s="333">
        <v>27</v>
      </c>
      <c r="Z23" s="333">
        <v>98</v>
      </c>
      <c r="AA23" s="333">
        <v>191</v>
      </c>
      <c r="AB23" s="216">
        <v>195</v>
      </c>
      <c r="AC23" s="333">
        <v>0</v>
      </c>
      <c r="AD23" s="333">
        <v>0</v>
      </c>
      <c r="AE23" s="333">
        <v>33</v>
      </c>
      <c r="AF23" s="333">
        <v>68</v>
      </c>
      <c r="AG23" s="333">
        <v>239</v>
      </c>
      <c r="AH23" s="333">
        <v>340</v>
      </c>
      <c r="AI23" s="216">
        <v>396</v>
      </c>
      <c r="AJ23" s="333">
        <v>0</v>
      </c>
      <c r="AK23" s="333">
        <v>57</v>
      </c>
      <c r="AL23" s="333">
        <v>588</v>
      </c>
      <c r="AM23" s="216">
        <v>401</v>
      </c>
      <c r="AN23" s="216">
        <v>409</v>
      </c>
      <c r="AO23" s="216">
        <v>23</v>
      </c>
      <c r="AP23" s="216">
        <v>5</v>
      </c>
      <c r="AQ23" s="216">
        <v>44</v>
      </c>
      <c r="AR23" s="216">
        <v>27</v>
      </c>
      <c r="AS23" s="216">
        <v>456</v>
      </c>
      <c r="AT23" s="216">
        <v>12</v>
      </c>
      <c r="AU23" s="216">
        <v>24</v>
      </c>
      <c r="AV23" s="216">
        <v>173</v>
      </c>
      <c r="AW23" s="216">
        <v>167</v>
      </c>
      <c r="AX23" s="216">
        <v>19</v>
      </c>
      <c r="AY23" s="216">
        <v>9679</v>
      </c>
      <c r="AZ23" s="216">
        <v>0</v>
      </c>
      <c r="BA23" s="216">
        <v>3625</v>
      </c>
      <c r="BB23" s="216">
        <v>0</v>
      </c>
      <c r="BC23" s="216">
        <v>0</v>
      </c>
      <c r="BD23" s="216">
        <v>0</v>
      </c>
      <c r="BE23" s="216">
        <v>1591</v>
      </c>
      <c r="BF23" s="216">
        <v>0</v>
      </c>
      <c r="BG23" s="216">
        <v>249</v>
      </c>
      <c r="BH23" s="216">
        <v>0</v>
      </c>
      <c r="BI23" s="216">
        <v>165</v>
      </c>
      <c r="BJ23" s="216">
        <v>0</v>
      </c>
      <c r="BK23" s="216">
        <v>15309</v>
      </c>
      <c r="BL23" s="216">
        <v>0</v>
      </c>
      <c r="BM23" s="216">
        <v>1175</v>
      </c>
      <c r="BN23" s="216">
        <v>0</v>
      </c>
      <c r="BO23" s="216">
        <v>1799</v>
      </c>
      <c r="BP23" s="216">
        <v>0</v>
      </c>
      <c r="BQ23" s="216">
        <v>4737</v>
      </c>
      <c r="BR23" s="216">
        <v>873</v>
      </c>
      <c r="BS23" s="216">
        <v>1662</v>
      </c>
      <c r="BT23" s="216">
        <v>0</v>
      </c>
      <c r="BU23" s="216">
        <v>0</v>
      </c>
      <c r="BV23" s="216">
        <v>0</v>
      </c>
      <c r="BW23" s="216">
        <v>24682</v>
      </c>
      <c r="BX23" s="216">
        <v>-2449</v>
      </c>
      <c r="BY23" s="216">
        <v>-55</v>
      </c>
      <c r="BZ23" s="216">
        <v>-265</v>
      </c>
      <c r="CA23" s="216">
        <v>-185</v>
      </c>
      <c r="CB23" s="216">
        <v>-2769</v>
      </c>
      <c r="CC23" s="216">
        <v>21913</v>
      </c>
      <c r="CD23" s="216">
        <v>3155</v>
      </c>
      <c r="CE23" s="216">
        <v>-1112</v>
      </c>
      <c r="CF23" s="216">
        <v>23956</v>
      </c>
      <c r="CG23" s="216">
        <v>0</v>
      </c>
      <c r="CH23" s="216">
        <v>313</v>
      </c>
      <c r="CI23" s="216">
        <v>0</v>
      </c>
      <c r="CJ23" s="216">
        <v>1448</v>
      </c>
      <c r="CK23" s="216">
        <v>0</v>
      </c>
      <c r="CL23" s="216">
        <v>0</v>
      </c>
      <c r="CM23" s="216">
        <v>0</v>
      </c>
      <c r="CN23" s="216">
        <v>0</v>
      </c>
      <c r="CO23" s="333" t="s">
        <v>3</v>
      </c>
      <c r="CP23" s="216" t="s">
        <v>3</v>
      </c>
      <c r="CQ23" s="216">
        <v>1194</v>
      </c>
      <c r="CR23" s="216">
        <v>482</v>
      </c>
      <c r="CS23" s="216">
        <v>1676</v>
      </c>
      <c r="CT23" s="216">
        <v>20735</v>
      </c>
      <c r="CU23" s="216">
        <v>1983</v>
      </c>
      <c r="CV23" s="216">
        <v>251</v>
      </c>
      <c r="CW23" s="216">
        <v>22969</v>
      </c>
      <c r="CX23" s="216">
        <v>371</v>
      </c>
      <c r="CY23" s="216">
        <v>52</v>
      </c>
      <c r="CZ23" s="216">
        <v>0</v>
      </c>
      <c r="DA23" s="216">
        <v>25068</v>
      </c>
      <c r="DB23" s="333">
        <v>6.6229116945107398</v>
      </c>
      <c r="DC23" s="333">
        <v>6.643737211023554</v>
      </c>
      <c r="DD23" s="333">
        <v>6.7385444743935308</v>
      </c>
      <c r="DE23" s="333">
        <v>0</v>
      </c>
      <c r="DF23" s="333">
        <v>0</v>
      </c>
      <c r="DG23" s="333">
        <v>6.6299664911440876</v>
      </c>
      <c r="DH23" s="216">
        <v>-1557</v>
      </c>
      <c r="DI23" s="216">
        <v>0</v>
      </c>
      <c r="DJ23" s="216">
        <v>0</v>
      </c>
      <c r="DK23" s="216">
        <v>-1299</v>
      </c>
      <c r="DL23" s="216">
        <v>-165</v>
      </c>
      <c r="DM23" s="216">
        <v>5885</v>
      </c>
      <c r="DN23" s="216">
        <v>2061</v>
      </c>
      <c r="DO23" s="216">
        <v>0</v>
      </c>
      <c r="DP23" s="216">
        <v>4925</v>
      </c>
      <c r="DQ23" s="216">
        <v>504</v>
      </c>
      <c r="DR23" s="216">
        <v>3787</v>
      </c>
      <c r="DS23" s="216">
        <v>1225</v>
      </c>
      <c r="DT23" s="216" t="s">
        <v>3</v>
      </c>
      <c r="DU23" s="216">
        <v>0</v>
      </c>
      <c r="DV23" s="216">
        <v>0</v>
      </c>
      <c r="DW23" s="216">
        <v>0</v>
      </c>
      <c r="DX23" s="216">
        <v>1487</v>
      </c>
      <c r="DY23" s="216">
        <v>0</v>
      </c>
      <c r="DZ23" s="216">
        <v>637</v>
      </c>
      <c r="EA23" s="216">
        <v>198</v>
      </c>
      <c r="EB23" s="216">
        <v>0</v>
      </c>
      <c r="EC23" s="216">
        <v>1</v>
      </c>
      <c r="ED23" s="216">
        <v>70</v>
      </c>
      <c r="EE23" s="216">
        <v>3</v>
      </c>
      <c r="EF23" s="216">
        <v>0</v>
      </c>
      <c r="EG23" s="216">
        <v>391</v>
      </c>
      <c r="EH23" s="216">
        <v>0</v>
      </c>
      <c r="EI23" s="216">
        <v>0</v>
      </c>
      <c r="EJ23" s="216">
        <v>8</v>
      </c>
      <c r="EK23" s="216">
        <v>2795</v>
      </c>
    </row>
    <row r="24" spans="1:141" ht="15" customHeight="1" x14ac:dyDescent="0.2">
      <c r="A24" s="220" t="s">
        <v>81</v>
      </c>
      <c r="B24" s="220" t="s">
        <v>87</v>
      </c>
      <c r="C24" s="219" t="s">
        <v>86</v>
      </c>
      <c r="D24" s="216">
        <v>18</v>
      </c>
      <c r="E24" s="216">
        <v>7</v>
      </c>
      <c r="F24" s="216">
        <v>1</v>
      </c>
      <c r="G24" s="216">
        <v>0</v>
      </c>
      <c r="H24" s="216">
        <v>26</v>
      </c>
      <c r="I24" s="216">
        <v>8</v>
      </c>
      <c r="J24" s="216">
        <v>30</v>
      </c>
      <c r="K24" s="216">
        <v>2</v>
      </c>
      <c r="L24" s="216">
        <v>42</v>
      </c>
      <c r="M24" s="216">
        <v>39</v>
      </c>
      <c r="N24" s="216">
        <v>0</v>
      </c>
      <c r="O24" s="216">
        <v>4</v>
      </c>
      <c r="P24" s="216">
        <v>117</v>
      </c>
      <c r="Q24" s="216">
        <v>77</v>
      </c>
      <c r="R24" s="216">
        <v>7</v>
      </c>
      <c r="S24" s="216">
        <v>4</v>
      </c>
      <c r="T24" s="333">
        <v>5</v>
      </c>
      <c r="U24" s="333">
        <v>3</v>
      </c>
      <c r="V24" s="333">
        <v>9</v>
      </c>
      <c r="W24" s="333">
        <v>20</v>
      </c>
      <c r="X24" s="333">
        <v>98</v>
      </c>
      <c r="Y24" s="333">
        <v>90</v>
      </c>
      <c r="Z24" s="333">
        <v>229</v>
      </c>
      <c r="AA24" s="333">
        <v>454</v>
      </c>
      <c r="AB24" s="216">
        <v>473</v>
      </c>
      <c r="AC24" s="333">
        <v>0</v>
      </c>
      <c r="AD24" s="333">
        <v>0</v>
      </c>
      <c r="AE24" s="333">
        <v>12</v>
      </c>
      <c r="AF24" s="333">
        <v>17</v>
      </c>
      <c r="AG24" s="333">
        <v>59</v>
      </c>
      <c r="AH24" s="333">
        <v>88</v>
      </c>
      <c r="AI24" s="216">
        <v>121</v>
      </c>
      <c r="AJ24" s="333">
        <v>21</v>
      </c>
      <c r="AK24" s="333">
        <v>53</v>
      </c>
      <c r="AL24" s="333">
        <v>616</v>
      </c>
      <c r="AM24" s="216">
        <v>919</v>
      </c>
      <c r="AN24" s="216">
        <v>43</v>
      </c>
      <c r="AO24" s="216">
        <v>14</v>
      </c>
      <c r="AP24" s="216">
        <v>0</v>
      </c>
      <c r="AQ24" s="216">
        <v>314</v>
      </c>
      <c r="AR24" s="216">
        <v>257</v>
      </c>
      <c r="AS24" s="216">
        <v>0</v>
      </c>
      <c r="AT24" s="216">
        <v>0</v>
      </c>
      <c r="AU24" s="216">
        <v>76</v>
      </c>
      <c r="AV24" s="216">
        <v>83</v>
      </c>
      <c r="AW24" s="216">
        <v>0</v>
      </c>
      <c r="AX24" s="216">
        <v>0</v>
      </c>
      <c r="AY24" s="216">
        <v>25614</v>
      </c>
      <c r="AZ24" s="216">
        <v>0</v>
      </c>
      <c r="BA24" s="216">
        <v>1508</v>
      </c>
      <c r="BB24" s="216">
        <v>0</v>
      </c>
      <c r="BC24" s="216">
        <v>1052</v>
      </c>
      <c r="BD24" s="216">
        <v>0</v>
      </c>
      <c r="BE24" s="216">
        <v>2631</v>
      </c>
      <c r="BF24" s="216">
        <v>0</v>
      </c>
      <c r="BG24" s="216">
        <v>445</v>
      </c>
      <c r="BH24" s="216">
        <v>0</v>
      </c>
      <c r="BI24" s="216">
        <v>367</v>
      </c>
      <c r="BJ24" s="216">
        <v>0</v>
      </c>
      <c r="BK24" s="216">
        <v>31617</v>
      </c>
      <c r="BL24" s="216">
        <v>0</v>
      </c>
      <c r="BM24" s="216">
        <v>73</v>
      </c>
      <c r="BN24" s="216">
        <v>0</v>
      </c>
      <c r="BO24" s="216">
        <v>931</v>
      </c>
      <c r="BP24" s="216">
        <v>0</v>
      </c>
      <c r="BQ24" s="216">
        <v>1854</v>
      </c>
      <c r="BR24" s="216">
        <v>0</v>
      </c>
      <c r="BS24" s="216">
        <v>7212</v>
      </c>
      <c r="BT24" s="216">
        <v>0</v>
      </c>
      <c r="BU24" s="216">
        <v>0</v>
      </c>
      <c r="BV24" s="216">
        <v>110</v>
      </c>
      <c r="BW24" s="216">
        <v>41797</v>
      </c>
      <c r="BX24" s="216">
        <v>-681</v>
      </c>
      <c r="BY24" s="216">
        <v>-133</v>
      </c>
      <c r="BZ24" s="216">
        <v>-247</v>
      </c>
      <c r="CA24" s="216">
        <v>0</v>
      </c>
      <c r="CB24" s="216">
        <v>-1061</v>
      </c>
      <c r="CC24" s="216">
        <v>40736</v>
      </c>
      <c r="CD24" s="216">
        <v>1323</v>
      </c>
      <c r="CE24" s="216">
        <v>-850</v>
      </c>
      <c r="CF24" s="216">
        <v>41209</v>
      </c>
      <c r="CG24" s="216">
        <v>0</v>
      </c>
      <c r="CH24" s="216">
        <v>0</v>
      </c>
      <c r="CI24" s="216">
        <v>0</v>
      </c>
      <c r="CJ24" s="216">
        <v>0</v>
      </c>
      <c r="CK24" s="216">
        <v>0</v>
      </c>
      <c r="CL24" s="216">
        <v>0</v>
      </c>
      <c r="CM24" s="216">
        <v>0</v>
      </c>
      <c r="CN24" s="216">
        <v>0</v>
      </c>
      <c r="CO24" s="333">
        <v>14.8</v>
      </c>
      <c r="CP24" s="216">
        <v>0</v>
      </c>
      <c r="CQ24" s="216" t="s">
        <v>3</v>
      </c>
      <c r="CR24" s="216" t="s">
        <v>3</v>
      </c>
      <c r="CS24" s="216">
        <v>2108</v>
      </c>
      <c r="CT24" s="216" t="s">
        <v>3</v>
      </c>
      <c r="CU24" s="216" t="s">
        <v>3</v>
      </c>
      <c r="CV24" s="216" t="s">
        <v>3</v>
      </c>
      <c r="CW24" s="216">
        <v>29139</v>
      </c>
      <c r="CX24" s="216">
        <v>235</v>
      </c>
      <c r="CY24" s="216">
        <v>0</v>
      </c>
      <c r="CZ24" s="216">
        <v>10577</v>
      </c>
      <c r="DA24" s="216">
        <v>42059</v>
      </c>
      <c r="DB24" s="333">
        <v>0</v>
      </c>
      <c r="DC24" s="333">
        <v>24.750334603109238</v>
      </c>
      <c r="DD24" s="333">
        <v>0</v>
      </c>
      <c r="DE24" s="333">
        <v>0</v>
      </c>
      <c r="DF24" s="333">
        <v>0</v>
      </c>
      <c r="DG24" s="333">
        <v>17.147340640528778</v>
      </c>
      <c r="DH24" s="216">
        <v>-2787</v>
      </c>
      <c r="DI24" s="216">
        <v>-26</v>
      </c>
      <c r="DJ24" s="216">
        <v>0</v>
      </c>
      <c r="DK24" s="216">
        <v>-2277</v>
      </c>
      <c r="DL24" s="216">
        <v>0</v>
      </c>
      <c r="DM24" s="216">
        <v>13297</v>
      </c>
      <c r="DN24" s="216">
        <v>2160</v>
      </c>
      <c r="DO24" s="216">
        <v>0</v>
      </c>
      <c r="DP24" s="216">
        <v>10367</v>
      </c>
      <c r="DQ24" s="216">
        <v>1322</v>
      </c>
      <c r="DR24" s="216">
        <v>0</v>
      </c>
      <c r="DS24" s="216">
        <v>0</v>
      </c>
      <c r="DT24" s="216">
        <v>0</v>
      </c>
      <c r="DU24" s="216">
        <v>0</v>
      </c>
      <c r="DV24" s="216">
        <v>0</v>
      </c>
      <c r="DW24" s="216">
        <v>2139</v>
      </c>
      <c r="DX24" s="216">
        <v>0</v>
      </c>
      <c r="DY24" s="216">
        <v>0</v>
      </c>
      <c r="DZ24" s="216">
        <v>549</v>
      </c>
      <c r="EA24" s="216">
        <v>0</v>
      </c>
      <c r="EB24" s="216">
        <v>108</v>
      </c>
      <c r="EC24" s="216">
        <v>113</v>
      </c>
      <c r="ED24" s="216">
        <v>0</v>
      </c>
      <c r="EE24" s="216">
        <v>0</v>
      </c>
      <c r="EF24" s="216">
        <v>0</v>
      </c>
      <c r="EG24" s="216">
        <v>356</v>
      </c>
      <c r="EH24" s="216">
        <v>0</v>
      </c>
      <c r="EI24" s="216">
        <v>0</v>
      </c>
      <c r="EJ24" s="216">
        <v>0</v>
      </c>
      <c r="EK24" s="216">
        <v>3265</v>
      </c>
    </row>
    <row r="25" spans="1:141" ht="15" customHeight="1" x14ac:dyDescent="0.2">
      <c r="A25" s="220" t="s">
        <v>81</v>
      </c>
      <c r="B25" s="220" t="s">
        <v>85</v>
      </c>
      <c r="C25" s="219" t="s">
        <v>84</v>
      </c>
      <c r="D25" s="216">
        <v>5</v>
      </c>
      <c r="E25" s="216">
        <v>9</v>
      </c>
      <c r="F25" s="216">
        <v>3</v>
      </c>
      <c r="G25" s="216">
        <v>0</v>
      </c>
      <c r="H25" s="216">
        <v>17</v>
      </c>
      <c r="I25" s="216">
        <v>0</v>
      </c>
      <c r="J25" s="216">
        <v>23</v>
      </c>
      <c r="K25" s="216">
        <v>2</v>
      </c>
      <c r="L25" s="216">
        <v>3</v>
      </c>
      <c r="M25" s="216">
        <v>26</v>
      </c>
      <c r="N25" s="216">
        <v>5</v>
      </c>
      <c r="O25" s="216">
        <v>10</v>
      </c>
      <c r="P25" s="216">
        <v>69</v>
      </c>
      <c r="Q25" s="216">
        <v>46</v>
      </c>
      <c r="R25" s="216">
        <v>3</v>
      </c>
      <c r="S25" s="216">
        <v>3</v>
      </c>
      <c r="T25" s="333">
        <v>3</v>
      </c>
      <c r="U25" s="333">
        <v>3</v>
      </c>
      <c r="V25" s="333">
        <v>7</v>
      </c>
      <c r="W25" s="333">
        <v>13</v>
      </c>
      <c r="X25" s="333">
        <v>31</v>
      </c>
      <c r="Y25" s="333">
        <v>48</v>
      </c>
      <c r="Z25" s="333">
        <v>127</v>
      </c>
      <c r="AA25" s="333">
        <v>232</v>
      </c>
      <c r="AB25" s="216">
        <v>258</v>
      </c>
      <c r="AC25" s="333">
        <v>0</v>
      </c>
      <c r="AD25" s="333">
        <v>0</v>
      </c>
      <c r="AE25" s="333">
        <v>12</v>
      </c>
      <c r="AF25" s="333">
        <v>18</v>
      </c>
      <c r="AG25" s="333">
        <v>49</v>
      </c>
      <c r="AH25" s="333">
        <v>79</v>
      </c>
      <c r="AI25" s="216">
        <v>137</v>
      </c>
      <c r="AJ25" s="333">
        <v>17</v>
      </c>
      <c r="AK25" s="333">
        <v>59</v>
      </c>
      <c r="AL25" s="333">
        <v>387</v>
      </c>
      <c r="AM25" s="216">
        <v>395</v>
      </c>
      <c r="AN25" s="216">
        <v>398</v>
      </c>
      <c r="AO25" s="216">
        <v>10</v>
      </c>
      <c r="AP25" s="216">
        <v>0</v>
      </c>
      <c r="AQ25" s="216">
        <v>40</v>
      </c>
      <c r="AR25" s="216">
        <v>4</v>
      </c>
      <c r="AS25" s="216">
        <v>270</v>
      </c>
      <c r="AT25" s="216">
        <v>3</v>
      </c>
      <c r="AU25" s="216">
        <v>31</v>
      </c>
      <c r="AV25" s="216">
        <v>119</v>
      </c>
      <c r="AW25" s="216">
        <v>55</v>
      </c>
      <c r="AX25" s="216">
        <v>7</v>
      </c>
      <c r="AY25" s="216">
        <v>11572</v>
      </c>
      <c r="AZ25" s="216">
        <v>0</v>
      </c>
      <c r="BA25" s="216">
        <v>1401</v>
      </c>
      <c r="BB25" s="216">
        <v>0</v>
      </c>
      <c r="BC25" s="216">
        <v>779</v>
      </c>
      <c r="BD25" s="216">
        <v>0</v>
      </c>
      <c r="BE25" s="216">
        <v>2070</v>
      </c>
      <c r="BF25" s="216">
        <v>0</v>
      </c>
      <c r="BG25" s="216">
        <v>311</v>
      </c>
      <c r="BH25" s="216">
        <v>0</v>
      </c>
      <c r="BI25" s="216">
        <v>267</v>
      </c>
      <c r="BJ25" s="216">
        <v>0</v>
      </c>
      <c r="BK25" s="216">
        <v>16400</v>
      </c>
      <c r="BL25" s="216">
        <v>0</v>
      </c>
      <c r="BM25" s="216">
        <v>611</v>
      </c>
      <c r="BN25" s="216">
        <v>0</v>
      </c>
      <c r="BO25" s="216">
        <v>1024</v>
      </c>
      <c r="BP25" s="216">
        <v>0</v>
      </c>
      <c r="BQ25" s="216">
        <v>2285</v>
      </c>
      <c r="BR25" s="216">
        <v>310</v>
      </c>
      <c r="BS25" s="216">
        <v>1629</v>
      </c>
      <c r="BT25" s="216">
        <v>0</v>
      </c>
      <c r="BU25" s="216">
        <v>70</v>
      </c>
      <c r="BV25" s="216">
        <v>0</v>
      </c>
      <c r="BW25" s="216">
        <v>22019</v>
      </c>
      <c r="BX25" s="216">
        <v>0</v>
      </c>
      <c r="BY25" s="216">
        <v>0</v>
      </c>
      <c r="BZ25" s="216">
        <v>-499</v>
      </c>
      <c r="CA25" s="216">
        <v>0</v>
      </c>
      <c r="CB25" s="216">
        <v>-499</v>
      </c>
      <c r="CC25" s="216">
        <v>21520</v>
      </c>
      <c r="CD25" s="216">
        <v>640</v>
      </c>
      <c r="CE25" s="216">
        <v>4300</v>
      </c>
      <c r="CF25" s="216">
        <v>26460</v>
      </c>
      <c r="CG25" s="216">
        <v>0</v>
      </c>
      <c r="CH25" s="216">
        <v>319</v>
      </c>
      <c r="CI25" s="216">
        <v>13</v>
      </c>
      <c r="CJ25" s="216">
        <v>55</v>
      </c>
      <c r="CK25" s="216">
        <v>0</v>
      </c>
      <c r="CL25" s="216">
        <v>0</v>
      </c>
      <c r="CM25" s="216">
        <v>0</v>
      </c>
      <c r="CN25" s="216">
        <v>0</v>
      </c>
      <c r="CO25" s="333">
        <v>19</v>
      </c>
      <c r="CP25" s="216">
        <v>0</v>
      </c>
      <c r="CQ25" s="216">
        <v>755</v>
      </c>
      <c r="CR25" s="216">
        <v>4067</v>
      </c>
      <c r="CS25" s="216">
        <v>4822</v>
      </c>
      <c r="CT25" s="216">
        <v>14806</v>
      </c>
      <c r="CU25" s="216">
        <v>1884</v>
      </c>
      <c r="CV25" s="216">
        <v>186</v>
      </c>
      <c r="CW25" s="216">
        <v>16876</v>
      </c>
      <c r="CX25" s="216">
        <v>462</v>
      </c>
      <c r="CY25" s="216">
        <v>0</v>
      </c>
      <c r="CZ25" s="216">
        <v>0</v>
      </c>
      <c r="DA25" s="216">
        <v>22160</v>
      </c>
      <c r="DB25" s="333">
        <v>36.70676068021568</v>
      </c>
      <c r="DC25" s="333">
        <v>36.436359326854706</v>
      </c>
      <c r="DD25" s="333">
        <v>35.930735930735928</v>
      </c>
      <c r="DE25" s="333">
        <v>0</v>
      </c>
      <c r="DF25" s="333">
        <v>0</v>
      </c>
      <c r="DG25" s="333">
        <v>36.484657039711195</v>
      </c>
      <c r="DH25" s="216">
        <v>-1304</v>
      </c>
      <c r="DI25" s="216">
        <v>0</v>
      </c>
      <c r="DJ25" s="216">
        <v>0</v>
      </c>
      <c r="DK25" s="216">
        <v>-1074</v>
      </c>
      <c r="DL25" s="216">
        <v>0</v>
      </c>
      <c r="DM25" s="216">
        <v>6433</v>
      </c>
      <c r="DN25" s="216">
        <v>1298</v>
      </c>
      <c r="DO25" s="216">
        <v>0</v>
      </c>
      <c r="DP25" s="216">
        <v>5353</v>
      </c>
      <c r="DQ25" s="216">
        <v>557</v>
      </c>
      <c r="DR25" s="216">
        <v>1502</v>
      </c>
      <c r="DS25" s="216">
        <v>686</v>
      </c>
      <c r="DT25" s="216">
        <v>0</v>
      </c>
      <c r="DU25" s="216">
        <v>0</v>
      </c>
      <c r="DV25" s="216">
        <v>0</v>
      </c>
      <c r="DW25" s="216">
        <v>0</v>
      </c>
      <c r="DX25" s="216">
        <v>11</v>
      </c>
      <c r="DY25" s="216">
        <v>0</v>
      </c>
      <c r="DZ25" s="216">
        <v>86</v>
      </c>
      <c r="EA25" s="216">
        <v>0</v>
      </c>
      <c r="EB25" s="216">
        <v>0</v>
      </c>
      <c r="EC25" s="216">
        <v>0</v>
      </c>
      <c r="ED25" s="216">
        <v>0</v>
      </c>
      <c r="EE25" s="216">
        <v>0</v>
      </c>
      <c r="EF25" s="216">
        <v>0</v>
      </c>
      <c r="EG25" s="216">
        <v>39</v>
      </c>
      <c r="EH25" s="216">
        <v>0</v>
      </c>
      <c r="EI25" s="216">
        <v>0</v>
      </c>
      <c r="EJ25" s="216">
        <v>0</v>
      </c>
      <c r="EK25" s="216">
        <v>136</v>
      </c>
    </row>
    <row r="26" spans="1:141" ht="15" customHeight="1" x14ac:dyDescent="0.2">
      <c r="A26" s="220" t="s">
        <v>81</v>
      </c>
      <c r="B26" s="220" t="s">
        <v>83</v>
      </c>
      <c r="C26" s="219" t="s">
        <v>82</v>
      </c>
      <c r="D26" s="216">
        <v>2</v>
      </c>
      <c r="E26" s="216">
        <v>14</v>
      </c>
      <c r="F26" s="216">
        <v>9</v>
      </c>
      <c r="G26" s="216">
        <v>0</v>
      </c>
      <c r="H26" s="216">
        <v>25</v>
      </c>
      <c r="I26" s="216">
        <v>0</v>
      </c>
      <c r="J26" s="216">
        <v>42</v>
      </c>
      <c r="K26" s="216">
        <v>2</v>
      </c>
      <c r="L26" s="216">
        <v>0</v>
      </c>
      <c r="M26" s="216">
        <v>37</v>
      </c>
      <c r="N26" s="216">
        <v>0</v>
      </c>
      <c r="O26" s="216">
        <v>4</v>
      </c>
      <c r="P26" s="216">
        <v>85</v>
      </c>
      <c r="Q26" s="216">
        <v>128</v>
      </c>
      <c r="R26" s="216">
        <v>6</v>
      </c>
      <c r="S26" s="216">
        <v>6</v>
      </c>
      <c r="T26" s="333">
        <v>2</v>
      </c>
      <c r="U26" s="333">
        <v>3</v>
      </c>
      <c r="V26" s="333">
        <v>9</v>
      </c>
      <c r="W26" s="333">
        <v>26</v>
      </c>
      <c r="X26" s="333">
        <v>58</v>
      </c>
      <c r="Y26" s="333">
        <v>46</v>
      </c>
      <c r="Z26" s="333">
        <v>175</v>
      </c>
      <c r="AA26" s="333">
        <v>319</v>
      </c>
      <c r="AB26" s="216">
        <v>320</v>
      </c>
      <c r="AC26" s="333">
        <v>0</v>
      </c>
      <c r="AD26" s="333">
        <v>0</v>
      </c>
      <c r="AE26" s="333">
        <v>13</v>
      </c>
      <c r="AF26" s="333">
        <v>32</v>
      </c>
      <c r="AG26" s="333">
        <v>106</v>
      </c>
      <c r="AH26" s="333">
        <v>150</v>
      </c>
      <c r="AI26" s="216">
        <v>282</v>
      </c>
      <c r="AJ26" s="333">
        <v>0</v>
      </c>
      <c r="AK26" s="333">
        <v>79</v>
      </c>
      <c r="AL26" s="333">
        <v>548</v>
      </c>
      <c r="AM26" s="216" t="s">
        <v>3</v>
      </c>
      <c r="AN26" s="216" t="s">
        <v>3</v>
      </c>
      <c r="AO26" s="216" t="s">
        <v>3</v>
      </c>
      <c r="AP26" s="216" t="s">
        <v>3</v>
      </c>
      <c r="AQ26" s="216" t="s">
        <v>3</v>
      </c>
      <c r="AR26" s="216" t="s">
        <v>3</v>
      </c>
      <c r="AS26" s="216" t="s">
        <v>3</v>
      </c>
      <c r="AT26" s="216" t="s">
        <v>3</v>
      </c>
      <c r="AU26" s="216" t="s">
        <v>3</v>
      </c>
      <c r="AV26" s="216" t="s">
        <v>3</v>
      </c>
      <c r="AW26" s="216" t="s">
        <v>3</v>
      </c>
      <c r="AX26" s="216" t="s">
        <v>3</v>
      </c>
      <c r="AY26" s="216" t="s">
        <v>3</v>
      </c>
      <c r="AZ26" s="216" t="s">
        <v>3</v>
      </c>
      <c r="BA26" s="216" t="s">
        <v>3</v>
      </c>
      <c r="BB26" s="216" t="s">
        <v>3</v>
      </c>
      <c r="BC26" s="216" t="s">
        <v>3</v>
      </c>
      <c r="BD26" s="216" t="s">
        <v>3</v>
      </c>
      <c r="BE26" s="216" t="s">
        <v>3</v>
      </c>
      <c r="BF26" s="216" t="s">
        <v>3</v>
      </c>
      <c r="BG26" s="216" t="s">
        <v>3</v>
      </c>
      <c r="BH26" s="216" t="s">
        <v>3</v>
      </c>
      <c r="BI26" s="216" t="s">
        <v>3</v>
      </c>
      <c r="BJ26" s="216" t="s">
        <v>3</v>
      </c>
      <c r="BK26" s="216" t="s">
        <v>3</v>
      </c>
      <c r="BL26" s="216" t="s">
        <v>3</v>
      </c>
      <c r="BM26" s="216" t="s">
        <v>3</v>
      </c>
      <c r="BN26" s="216" t="s">
        <v>3</v>
      </c>
      <c r="BO26" s="216" t="s">
        <v>3</v>
      </c>
      <c r="BP26" s="216" t="s">
        <v>3</v>
      </c>
      <c r="BQ26" s="216" t="s">
        <v>3</v>
      </c>
      <c r="BR26" s="216" t="s">
        <v>3</v>
      </c>
      <c r="BS26" s="216" t="s">
        <v>3</v>
      </c>
      <c r="BT26" s="216" t="s">
        <v>3</v>
      </c>
      <c r="BU26" s="216" t="s">
        <v>3</v>
      </c>
      <c r="BV26" s="216" t="s">
        <v>3</v>
      </c>
      <c r="BW26" s="216" t="s">
        <v>3</v>
      </c>
      <c r="BX26" s="216" t="s">
        <v>3</v>
      </c>
      <c r="BY26" s="216" t="s">
        <v>3</v>
      </c>
      <c r="BZ26" s="216" t="s">
        <v>3</v>
      </c>
      <c r="CA26" s="216" t="s">
        <v>3</v>
      </c>
      <c r="CB26" s="216" t="s">
        <v>3</v>
      </c>
      <c r="CC26" s="216" t="s">
        <v>3</v>
      </c>
      <c r="CD26" s="216" t="s">
        <v>3</v>
      </c>
      <c r="CE26" s="216" t="s">
        <v>3</v>
      </c>
      <c r="CF26" s="216" t="s">
        <v>3</v>
      </c>
      <c r="CG26" s="216" t="s">
        <v>3</v>
      </c>
      <c r="CH26" s="216" t="s">
        <v>3</v>
      </c>
      <c r="CI26" s="216" t="s">
        <v>3</v>
      </c>
      <c r="CJ26" s="216" t="s">
        <v>3</v>
      </c>
      <c r="CK26" s="216" t="s">
        <v>3</v>
      </c>
      <c r="CL26" s="216" t="s">
        <v>3</v>
      </c>
      <c r="CM26" s="216" t="s">
        <v>3</v>
      </c>
      <c r="CN26" s="216" t="s">
        <v>3</v>
      </c>
      <c r="CO26" s="333" t="s">
        <v>3</v>
      </c>
      <c r="CP26" s="216" t="s">
        <v>3</v>
      </c>
      <c r="CQ26" s="216" t="s">
        <v>3</v>
      </c>
      <c r="CR26" s="216" t="s">
        <v>3</v>
      </c>
      <c r="CS26" s="216" t="s">
        <v>3</v>
      </c>
      <c r="CT26" s="216" t="s">
        <v>3</v>
      </c>
      <c r="CU26" s="216" t="s">
        <v>3</v>
      </c>
      <c r="CV26" s="216" t="s">
        <v>3</v>
      </c>
      <c r="CW26" s="216" t="s">
        <v>3</v>
      </c>
      <c r="CX26" s="216" t="s">
        <v>3</v>
      </c>
      <c r="CY26" s="216" t="s">
        <v>3</v>
      </c>
      <c r="CZ26" s="216" t="s">
        <v>3</v>
      </c>
      <c r="DA26" s="216" t="s">
        <v>3</v>
      </c>
      <c r="DB26" s="333" t="s">
        <v>3</v>
      </c>
      <c r="DC26" s="333" t="s">
        <v>3</v>
      </c>
      <c r="DD26" s="333" t="s">
        <v>3</v>
      </c>
      <c r="DE26" s="333" t="s">
        <v>3</v>
      </c>
      <c r="DF26" s="333" t="s">
        <v>3</v>
      </c>
      <c r="DG26" s="333" t="s">
        <v>3</v>
      </c>
      <c r="DH26" s="216" t="s">
        <v>3</v>
      </c>
      <c r="DI26" s="216" t="s">
        <v>3</v>
      </c>
      <c r="DJ26" s="216" t="s">
        <v>3</v>
      </c>
      <c r="DK26" s="216" t="s">
        <v>3</v>
      </c>
      <c r="DL26" s="216" t="s">
        <v>3</v>
      </c>
      <c r="DM26" s="216" t="s">
        <v>3</v>
      </c>
      <c r="DN26" s="216" t="s">
        <v>3</v>
      </c>
      <c r="DO26" s="216" t="s">
        <v>3</v>
      </c>
      <c r="DP26" s="216" t="s">
        <v>3</v>
      </c>
      <c r="DQ26" s="216" t="s">
        <v>3</v>
      </c>
      <c r="DR26" s="216" t="s">
        <v>3</v>
      </c>
      <c r="DS26" s="216" t="s">
        <v>3</v>
      </c>
      <c r="DT26" s="216" t="s">
        <v>3</v>
      </c>
      <c r="DU26" s="216" t="s">
        <v>3</v>
      </c>
      <c r="DV26" s="216" t="s">
        <v>3</v>
      </c>
      <c r="DW26" s="216" t="s">
        <v>3</v>
      </c>
      <c r="DX26" s="216" t="s">
        <v>3</v>
      </c>
      <c r="DY26" s="216" t="s">
        <v>3</v>
      </c>
      <c r="DZ26" s="216" t="s">
        <v>3</v>
      </c>
      <c r="EA26" s="216" t="s">
        <v>3</v>
      </c>
      <c r="EB26" s="216" t="s">
        <v>3</v>
      </c>
      <c r="EC26" s="216" t="s">
        <v>3</v>
      </c>
      <c r="ED26" s="216" t="s">
        <v>3</v>
      </c>
      <c r="EE26" s="216" t="s">
        <v>3</v>
      </c>
      <c r="EF26" s="216" t="s">
        <v>3</v>
      </c>
      <c r="EG26" s="216" t="s">
        <v>3</v>
      </c>
      <c r="EH26" s="216" t="s">
        <v>3</v>
      </c>
      <c r="EI26" s="216" t="s">
        <v>3</v>
      </c>
      <c r="EJ26" s="216" t="s">
        <v>3</v>
      </c>
      <c r="EK26" s="216" t="s">
        <v>3</v>
      </c>
    </row>
    <row r="27" spans="1:141" ht="15" customHeight="1" x14ac:dyDescent="0.2">
      <c r="A27" s="220" t="s">
        <v>81</v>
      </c>
      <c r="B27" s="220" t="s">
        <v>80</v>
      </c>
      <c r="C27" s="219" t="s">
        <v>79</v>
      </c>
      <c r="D27" s="216" t="s">
        <v>3</v>
      </c>
      <c r="E27" s="216" t="s">
        <v>3</v>
      </c>
      <c r="F27" s="216" t="s">
        <v>3</v>
      </c>
      <c r="G27" s="216" t="s">
        <v>3</v>
      </c>
      <c r="H27" s="216" t="s">
        <v>3</v>
      </c>
      <c r="I27" s="216" t="s">
        <v>3</v>
      </c>
      <c r="J27" s="216" t="s">
        <v>3</v>
      </c>
      <c r="K27" s="216" t="s">
        <v>3</v>
      </c>
      <c r="L27" s="216" t="s">
        <v>3</v>
      </c>
      <c r="M27" s="216" t="s">
        <v>3</v>
      </c>
      <c r="N27" s="216" t="s">
        <v>3</v>
      </c>
      <c r="O27" s="216" t="s">
        <v>3</v>
      </c>
      <c r="P27" s="216" t="s">
        <v>3</v>
      </c>
      <c r="Q27" s="216" t="s">
        <v>3</v>
      </c>
      <c r="R27" s="216" t="s">
        <v>3</v>
      </c>
      <c r="S27" s="216" t="s">
        <v>3</v>
      </c>
      <c r="T27" s="333" t="s">
        <v>3</v>
      </c>
      <c r="U27" s="333" t="s">
        <v>3</v>
      </c>
      <c r="V27" s="333" t="s">
        <v>3</v>
      </c>
      <c r="W27" s="333" t="s">
        <v>3</v>
      </c>
      <c r="X27" s="333" t="s">
        <v>3</v>
      </c>
      <c r="Y27" s="333" t="s">
        <v>3</v>
      </c>
      <c r="Z27" s="333" t="s">
        <v>3</v>
      </c>
      <c r="AA27" s="333" t="s">
        <v>3</v>
      </c>
      <c r="AB27" s="216" t="s">
        <v>3</v>
      </c>
      <c r="AC27" s="333">
        <v>0</v>
      </c>
      <c r="AD27" s="333">
        <v>1</v>
      </c>
      <c r="AE27" s="333">
        <v>5</v>
      </c>
      <c r="AF27" s="333">
        <v>6</v>
      </c>
      <c r="AG27" s="333">
        <v>30</v>
      </c>
      <c r="AH27" s="333">
        <v>42</v>
      </c>
      <c r="AI27" s="216">
        <v>42</v>
      </c>
      <c r="AJ27" s="333" t="s">
        <v>3</v>
      </c>
      <c r="AK27" s="333">
        <v>1</v>
      </c>
      <c r="AL27" s="333">
        <v>43</v>
      </c>
      <c r="AM27" s="216" t="s">
        <v>3</v>
      </c>
      <c r="AN27" s="216" t="s">
        <v>3</v>
      </c>
      <c r="AO27" s="216" t="s">
        <v>3</v>
      </c>
      <c r="AP27" s="216" t="s">
        <v>3</v>
      </c>
      <c r="AQ27" s="216" t="s">
        <v>3</v>
      </c>
      <c r="AR27" s="216" t="s">
        <v>3</v>
      </c>
      <c r="AS27" s="216" t="s">
        <v>3</v>
      </c>
      <c r="AT27" s="216" t="s">
        <v>3</v>
      </c>
      <c r="AU27" s="216" t="s">
        <v>3</v>
      </c>
      <c r="AV27" s="216" t="s">
        <v>3</v>
      </c>
      <c r="AW27" s="216" t="s">
        <v>3</v>
      </c>
      <c r="AX27" s="216" t="s">
        <v>3</v>
      </c>
      <c r="AY27" s="216" t="s">
        <v>3</v>
      </c>
      <c r="AZ27" s="216" t="s">
        <v>3</v>
      </c>
      <c r="BA27" s="216" t="s">
        <v>3</v>
      </c>
      <c r="BB27" s="216" t="s">
        <v>3</v>
      </c>
      <c r="BC27" s="216" t="s">
        <v>3</v>
      </c>
      <c r="BD27" s="216" t="s">
        <v>3</v>
      </c>
      <c r="BE27" s="216" t="s">
        <v>3</v>
      </c>
      <c r="BF27" s="216" t="s">
        <v>3</v>
      </c>
      <c r="BG27" s="216" t="s">
        <v>3</v>
      </c>
      <c r="BH27" s="216" t="s">
        <v>3</v>
      </c>
      <c r="BI27" s="216" t="s">
        <v>3</v>
      </c>
      <c r="BJ27" s="216" t="s">
        <v>3</v>
      </c>
      <c r="BK27" s="216" t="s">
        <v>3</v>
      </c>
      <c r="BL27" s="216" t="s">
        <v>3</v>
      </c>
      <c r="BM27" s="216" t="s">
        <v>3</v>
      </c>
      <c r="BN27" s="216" t="s">
        <v>3</v>
      </c>
      <c r="BO27" s="216" t="s">
        <v>3</v>
      </c>
      <c r="BP27" s="216" t="s">
        <v>3</v>
      </c>
      <c r="BQ27" s="216" t="s">
        <v>3</v>
      </c>
      <c r="BR27" s="216" t="s">
        <v>3</v>
      </c>
      <c r="BS27" s="216" t="s">
        <v>3</v>
      </c>
      <c r="BT27" s="216" t="s">
        <v>3</v>
      </c>
      <c r="BU27" s="216" t="s">
        <v>3</v>
      </c>
      <c r="BV27" s="216" t="s">
        <v>3</v>
      </c>
      <c r="BW27" s="216" t="s">
        <v>3</v>
      </c>
      <c r="BX27" s="216" t="s">
        <v>3</v>
      </c>
      <c r="BY27" s="216" t="s">
        <v>3</v>
      </c>
      <c r="BZ27" s="216" t="s">
        <v>3</v>
      </c>
      <c r="CA27" s="216" t="s">
        <v>3</v>
      </c>
      <c r="CB27" s="216" t="s">
        <v>3</v>
      </c>
      <c r="CC27" s="216" t="s">
        <v>3</v>
      </c>
      <c r="CD27" s="216" t="s">
        <v>3</v>
      </c>
      <c r="CE27" s="216" t="s">
        <v>3</v>
      </c>
      <c r="CF27" s="216" t="s">
        <v>3</v>
      </c>
      <c r="CG27" s="216" t="s">
        <v>3</v>
      </c>
      <c r="CH27" s="216" t="s">
        <v>3</v>
      </c>
      <c r="CI27" s="216" t="s">
        <v>3</v>
      </c>
      <c r="CJ27" s="216" t="s">
        <v>3</v>
      </c>
      <c r="CK27" s="216" t="s">
        <v>3</v>
      </c>
      <c r="CL27" s="216" t="s">
        <v>3</v>
      </c>
      <c r="CM27" s="216" t="s">
        <v>3</v>
      </c>
      <c r="CN27" s="216" t="s">
        <v>3</v>
      </c>
      <c r="CO27" s="333" t="s">
        <v>3</v>
      </c>
      <c r="CP27" s="216" t="s">
        <v>3</v>
      </c>
      <c r="CQ27" s="216" t="s">
        <v>3</v>
      </c>
      <c r="CR27" s="216" t="s">
        <v>3</v>
      </c>
      <c r="CS27" s="216" t="s">
        <v>3</v>
      </c>
      <c r="CT27" s="216" t="s">
        <v>3</v>
      </c>
      <c r="CU27" s="216" t="s">
        <v>3</v>
      </c>
      <c r="CV27" s="216" t="s">
        <v>3</v>
      </c>
      <c r="CW27" s="216" t="s">
        <v>3</v>
      </c>
      <c r="CX27" s="216" t="s">
        <v>3</v>
      </c>
      <c r="CY27" s="216" t="s">
        <v>3</v>
      </c>
      <c r="CZ27" s="216" t="s">
        <v>3</v>
      </c>
      <c r="DA27" s="216" t="s">
        <v>3</v>
      </c>
      <c r="DB27" s="333" t="s">
        <v>3</v>
      </c>
      <c r="DC27" s="333" t="s">
        <v>3</v>
      </c>
      <c r="DD27" s="333" t="s">
        <v>3</v>
      </c>
      <c r="DE27" s="333" t="s">
        <v>3</v>
      </c>
      <c r="DF27" s="333" t="s">
        <v>3</v>
      </c>
      <c r="DG27" s="333" t="s">
        <v>3</v>
      </c>
      <c r="DH27" s="216" t="s">
        <v>3</v>
      </c>
      <c r="DI27" s="216" t="s">
        <v>3</v>
      </c>
      <c r="DJ27" s="216" t="s">
        <v>3</v>
      </c>
      <c r="DK27" s="216" t="s">
        <v>3</v>
      </c>
      <c r="DL27" s="216" t="s">
        <v>3</v>
      </c>
      <c r="DM27" s="216" t="s">
        <v>3</v>
      </c>
      <c r="DN27" s="216" t="s">
        <v>3</v>
      </c>
      <c r="DO27" s="216" t="s">
        <v>3</v>
      </c>
      <c r="DP27" s="216" t="s">
        <v>3</v>
      </c>
      <c r="DQ27" s="216" t="s">
        <v>3</v>
      </c>
      <c r="DR27" s="216" t="s">
        <v>3</v>
      </c>
      <c r="DS27" s="216" t="s">
        <v>3</v>
      </c>
      <c r="DT27" s="216" t="s">
        <v>3</v>
      </c>
      <c r="DU27" s="216" t="s">
        <v>3</v>
      </c>
      <c r="DV27" s="216" t="s">
        <v>3</v>
      </c>
      <c r="DW27" s="216" t="s">
        <v>3</v>
      </c>
      <c r="DX27" s="216" t="s">
        <v>3</v>
      </c>
      <c r="DY27" s="216" t="s">
        <v>3</v>
      </c>
      <c r="DZ27" s="216" t="s">
        <v>3</v>
      </c>
      <c r="EA27" s="216" t="s">
        <v>3</v>
      </c>
      <c r="EB27" s="216" t="s">
        <v>3</v>
      </c>
      <c r="EC27" s="216" t="s">
        <v>3</v>
      </c>
      <c r="ED27" s="216" t="s">
        <v>3</v>
      </c>
      <c r="EE27" s="216" t="s">
        <v>3</v>
      </c>
      <c r="EF27" s="216" t="s">
        <v>3</v>
      </c>
      <c r="EG27" s="216" t="s">
        <v>3</v>
      </c>
      <c r="EH27" s="216" t="s">
        <v>3</v>
      </c>
      <c r="EI27" s="216" t="s">
        <v>3</v>
      </c>
      <c r="EJ27" s="216" t="s">
        <v>3</v>
      </c>
      <c r="EK27" s="216" t="s">
        <v>3</v>
      </c>
    </row>
    <row r="28" spans="1:141" ht="15" customHeight="1" x14ac:dyDescent="0.2">
      <c r="A28" s="218" t="s">
        <v>32</v>
      </c>
      <c r="B28" s="218" t="s">
        <v>78</v>
      </c>
      <c r="C28" s="217" t="s">
        <v>77</v>
      </c>
      <c r="D28" s="216">
        <v>7</v>
      </c>
      <c r="E28" s="216">
        <v>11</v>
      </c>
      <c r="F28" s="216">
        <v>3</v>
      </c>
      <c r="G28" s="216">
        <v>0</v>
      </c>
      <c r="H28" s="216">
        <v>21</v>
      </c>
      <c r="I28" s="216">
        <v>8</v>
      </c>
      <c r="J28" s="216">
        <v>33</v>
      </c>
      <c r="K28" s="216">
        <v>4</v>
      </c>
      <c r="L28" s="216">
        <v>19</v>
      </c>
      <c r="M28" s="216">
        <v>37</v>
      </c>
      <c r="N28" s="216">
        <v>0</v>
      </c>
      <c r="O28" s="216">
        <v>12</v>
      </c>
      <c r="P28" s="216">
        <v>105</v>
      </c>
      <c r="Q28" s="216">
        <v>64</v>
      </c>
      <c r="R28" s="216">
        <v>8</v>
      </c>
      <c r="S28" s="216">
        <v>3</v>
      </c>
      <c r="T28" s="333">
        <v>4</v>
      </c>
      <c r="U28" s="333">
        <v>4</v>
      </c>
      <c r="V28" s="333">
        <v>7</v>
      </c>
      <c r="W28" s="333">
        <v>19</v>
      </c>
      <c r="X28" s="333">
        <v>76</v>
      </c>
      <c r="Y28" s="333">
        <v>61</v>
      </c>
      <c r="Z28" s="333">
        <v>295</v>
      </c>
      <c r="AA28" s="333">
        <v>466</v>
      </c>
      <c r="AB28" s="216">
        <v>475</v>
      </c>
      <c r="AC28" s="333">
        <v>0</v>
      </c>
      <c r="AD28" s="333">
        <v>0</v>
      </c>
      <c r="AE28" s="333">
        <v>7</v>
      </c>
      <c r="AF28" s="333">
        <v>25</v>
      </c>
      <c r="AG28" s="333">
        <v>106</v>
      </c>
      <c r="AH28" s="333">
        <v>139</v>
      </c>
      <c r="AI28" s="216">
        <v>217</v>
      </c>
      <c r="AJ28" s="333">
        <v>37</v>
      </c>
      <c r="AK28" s="333">
        <v>123</v>
      </c>
      <c r="AL28" s="333">
        <v>764</v>
      </c>
      <c r="AM28" s="216">
        <v>885</v>
      </c>
      <c r="AN28" s="216">
        <v>18</v>
      </c>
      <c r="AO28" s="216">
        <v>30</v>
      </c>
      <c r="AP28" s="216">
        <v>2</v>
      </c>
      <c r="AQ28" s="216">
        <v>94</v>
      </c>
      <c r="AR28" s="216">
        <v>14</v>
      </c>
      <c r="AS28" s="216">
        <v>491</v>
      </c>
      <c r="AT28" s="216">
        <v>20</v>
      </c>
      <c r="AU28" s="216">
        <v>82</v>
      </c>
      <c r="AV28" s="216">
        <v>124</v>
      </c>
      <c r="AW28" s="216">
        <v>70</v>
      </c>
      <c r="AX28" s="216">
        <v>8</v>
      </c>
      <c r="AY28" s="216">
        <v>21929</v>
      </c>
      <c r="AZ28" s="216">
        <v>0</v>
      </c>
      <c r="BA28" s="216">
        <v>2213</v>
      </c>
      <c r="BB28" s="216">
        <v>0</v>
      </c>
      <c r="BC28" s="216">
        <v>1554</v>
      </c>
      <c r="BD28" s="216">
        <v>0</v>
      </c>
      <c r="BE28" s="216">
        <v>4551</v>
      </c>
      <c r="BF28" s="216">
        <v>0</v>
      </c>
      <c r="BG28" s="216">
        <v>304</v>
      </c>
      <c r="BH28" s="216">
        <v>0</v>
      </c>
      <c r="BI28" s="216">
        <v>1927</v>
      </c>
      <c r="BJ28" s="216">
        <v>0</v>
      </c>
      <c r="BK28" s="216">
        <v>32478</v>
      </c>
      <c r="BL28" s="216">
        <v>0</v>
      </c>
      <c r="BM28" s="216">
        <v>2136.4548500000001</v>
      </c>
      <c r="BN28" s="216" t="s">
        <v>3</v>
      </c>
      <c r="BO28" s="216">
        <v>1275.4111500000001</v>
      </c>
      <c r="BP28" s="216" t="s">
        <v>3</v>
      </c>
      <c r="BQ28" s="216">
        <v>5209.6617899999965</v>
      </c>
      <c r="BR28" s="216" t="s">
        <v>3</v>
      </c>
      <c r="BS28" s="216">
        <v>0</v>
      </c>
      <c r="BT28" s="216" t="s">
        <v>3</v>
      </c>
      <c r="BU28" s="216">
        <v>0</v>
      </c>
      <c r="BV28" s="216">
        <v>0</v>
      </c>
      <c r="BW28" s="216">
        <v>41099.52779</v>
      </c>
      <c r="BX28" s="216">
        <v>-2805</v>
      </c>
      <c r="BY28" s="216">
        <v>0</v>
      </c>
      <c r="BZ28" s="216">
        <v>-674.11710999999991</v>
      </c>
      <c r="CA28" s="216" t="s">
        <v>3</v>
      </c>
      <c r="CB28" s="216">
        <v>-3479.1171100000001</v>
      </c>
      <c r="CC28" s="216">
        <v>37620.410680000001</v>
      </c>
      <c r="CD28" s="216">
        <v>592.50512000000003</v>
      </c>
      <c r="CE28" s="216">
        <v>29605</v>
      </c>
      <c r="CF28" s="216">
        <v>67817.915800000002</v>
      </c>
      <c r="CG28" s="216">
        <v>0</v>
      </c>
      <c r="CH28" s="216">
        <v>2562</v>
      </c>
      <c r="CI28" s="216">
        <v>0</v>
      </c>
      <c r="CJ28" s="216">
        <v>258</v>
      </c>
      <c r="CK28" s="216">
        <v>-209</v>
      </c>
      <c r="CL28" s="216">
        <v>0</v>
      </c>
      <c r="CM28" s="216">
        <v>0</v>
      </c>
      <c r="CN28" s="216">
        <v>0</v>
      </c>
      <c r="CO28" s="333">
        <v>15.3</v>
      </c>
      <c r="CP28" s="216">
        <v>370.70034000000004</v>
      </c>
      <c r="CQ28" s="216">
        <v>977</v>
      </c>
      <c r="CR28" s="216">
        <v>1809</v>
      </c>
      <c r="CS28" s="216">
        <v>2786</v>
      </c>
      <c r="CT28" s="216">
        <v>30486</v>
      </c>
      <c r="CU28" s="216">
        <v>2840</v>
      </c>
      <c r="CV28" s="216">
        <v>117</v>
      </c>
      <c r="CW28" s="216">
        <v>33443</v>
      </c>
      <c r="CX28" s="216">
        <v>0</v>
      </c>
      <c r="CY28" s="216">
        <v>1429</v>
      </c>
      <c r="CZ28" s="216">
        <v>554</v>
      </c>
      <c r="DA28" s="216">
        <v>38212</v>
      </c>
      <c r="DB28" s="333">
        <v>30.725053840631727</v>
      </c>
      <c r="DC28" s="333">
        <v>30.825583829201925</v>
      </c>
      <c r="DD28" s="333">
        <v>0</v>
      </c>
      <c r="DE28" s="333">
        <v>30.720783764870539</v>
      </c>
      <c r="DF28" s="333">
        <v>30.866425992779785</v>
      </c>
      <c r="DG28" s="333">
        <v>30.814927247984926</v>
      </c>
      <c r="DH28" s="216">
        <v>-2829</v>
      </c>
      <c r="DI28" s="216">
        <v>-264</v>
      </c>
      <c r="DJ28" s="216">
        <v>0</v>
      </c>
      <c r="DK28" s="216">
        <v>-2347</v>
      </c>
      <c r="DL28" s="216">
        <v>0</v>
      </c>
      <c r="DM28" s="216">
        <v>13925</v>
      </c>
      <c r="DN28" s="216">
        <v>4429</v>
      </c>
      <c r="DO28" s="216">
        <v>65</v>
      </c>
      <c r="DP28" s="216">
        <v>12979</v>
      </c>
      <c r="DQ28" s="216">
        <v>1330</v>
      </c>
      <c r="DR28" s="216">
        <v>2361</v>
      </c>
      <c r="DS28" s="216">
        <v>1500</v>
      </c>
      <c r="DT28" s="216">
        <v>1453</v>
      </c>
      <c r="DU28" s="216">
        <v>0</v>
      </c>
      <c r="DV28" s="216">
        <v>0</v>
      </c>
      <c r="DW28" s="216">
        <v>412</v>
      </c>
      <c r="DX28" s="216">
        <v>59</v>
      </c>
      <c r="DY28" s="216">
        <v>73</v>
      </c>
      <c r="DZ28" s="216">
        <v>306</v>
      </c>
      <c r="EA28" s="216">
        <v>0</v>
      </c>
      <c r="EB28" s="216">
        <v>0</v>
      </c>
      <c r="EC28" s="216">
        <v>0</v>
      </c>
      <c r="ED28" s="216">
        <v>352</v>
      </c>
      <c r="EE28" s="216">
        <v>109</v>
      </c>
      <c r="EF28" s="216">
        <v>0</v>
      </c>
      <c r="EG28" s="216">
        <v>40.299999999999997</v>
      </c>
      <c r="EH28" s="216">
        <v>0</v>
      </c>
      <c r="EI28" s="216">
        <v>0</v>
      </c>
      <c r="EJ28" s="216">
        <v>0</v>
      </c>
      <c r="EK28" s="216">
        <v>1351.3</v>
      </c>
    </row>
    <row r="29" spans="1:141" ht="15" customHeight="1" x14ac:dyDescent="0.2">
      <c r="A29" s="218" t="s">
        <v>32</v>
      </c>
      <c r="B29" s="218" t="s">
        <v>76</v>
      </c>
      <c r="C29" s="217" t="s">
        <v>75</v>
      </c>
      <c r="D29" s="216">
        <v>3</v>
      </c>
      <c r="E29" s="216">
        <v>8</v>
      </c>
      <c r="F29" s="216">
        <v>3</v>
      </c>
      <c r="G29" s="216">
        <v>0</v>
      </c>
      <c r="H29" s="216">
        <v>14</v>
      </c>
      <c r="I29" s="216" t="s">
        <v>3</v>
      </c>
      <c r="J29" s="216" t="s">
        <v>3</v>
      </c>
      <c r="K29" s="216" t="s">
        <v>3</v>
      </c>
      <c r="L29" s="216" t="s">
        <v>3</v>
      </c>
      <c r="M29" s="216" t="s">
        <v>3</v>
      </c>
      <c r="N29" s="216" t="s">
        <v>3</v>
      </c>
      <c r="O29" s="216" t="s">
        <v>3</v>
      </c>
      <c r="P29" s="216" t="s">
        <v>3</v>
      </c>
      <c r="Q29" s="216" t="s">
        <v>3</v>
      </c>
      <c r="R29" s="216" t="s">
        <v>3</v>
      </c>
      <c r="S29" s="216" t="s">
        <v>3</v>
      </c>
      <c r="T29" s="333">
        <v>2</v>
      </c>
      <c r="U29" s="333">
        <v>4</v>
      </c>
      <c r="V29" s="333">
        <v>10</v>
      </c>
      <c r="W29" s="333">
        <v>13</v>
      </c>
      <c r="X29" s="333">
        <v>37</v>
      </c>
      <c r="Y29" s="333">
        <v>45</v>
      </c>
      <c r="Z29" s="333">
        <v>170</v>
      </c>
      <c r="AA29" s="333">
        <v>281</v>
      </c>
      <c r="AB29" s="216">
        <v>281</v>
      </c>
      <c r="AC29" s="333">
        <v>0</v>
      </c>
      <c r="AD29" s="333">
        <v>0</v>
      </c>
      <c r="AE29" s="333">
        <v>10</v>
      </c>
      <c r="AF29" s="333">
        <v>18</v>
      </c>
      <c r="AG29" s="333">
        <v>90</v>
      </c>
      <c r="AH29" s="333">
        <v>117</v>
      </c>
      <c r="AI29" s="216">
        <v>148</v>
      </c>
      <c r="AJ29" s="333">
        <v>24</v>
      </c>
      <c r="AK29" s="333">
        <v>126</v>
      </c>
      <c r="AL29" s="333">
        <v>548</v>
      </c>
      <c r="AM29" s="216" t="s">
        <v>3</v>
      </c>
      <c r="AN29" s="216" t="s">
        <v>3</v>
      </c>
      <c r="AO29" s="216" t="s">
        <v>3</v>
      </c>
      <c r="AP29" s="216" t="s">
        <v>3</v>
      </c>
      <c r="AQ29" s="216" t="s">
        <v>3</v>
      </c>
      <c r="AR29" s="216" t="s">
        <v>3</v>
      </c>
      <c r="AS29" s="216" t="s">
        <v>3</v>
      </c>
      <c r="AT29" s="216" t="s">
        <v>3</v>
      </c>
      <c r="AU29" s="216" t="s">
        <v>3</v>
      </c>
      <c r="AV29" s="216" t="s">
        <v>3</v>
      </c>
      <c r="AW29" s="216" t="s">
        <v>3</v>
      </c>
      <c r="AX29" s="216" t="s">
        <v>3</v>
      </c>
      <c r="AY29" s="216">
        <v>14026</v>
      </c>
      <c r="AZ29" s="216">
        <v>0</v>
      </c>
      <c r="BA29" s="216">
        <v>1767</v>
      </c>
      <c r="BB29" s="216">
        <v>0</v>
      </c>
      <c r="BC29" s="216">
        <v>979</v>
      </c>
      <c r="BD29" s="216">
        <v>0</v>
      </c>
      <c r="BE29" s="216">
        <v>5475</v>
      </c>
      <c r="BF29" s="216">
        <v>0</v>
      </c>
      <c r="BG29" s="216">
        <v>472</v>
      </c>
      <c r="BH29" s="216">
        <v>0</v>
      </c>
      <c r="BI29" s="216">
        <v>317</v>
      </c>
      <c r="BJ29" s="216">
        <v>0</v>
      </c>
      <c r="BK29" s="216">
        <v>23036</v>
      </c>
      <c r="BL29" s="216">
        <v>0</v>
      </c>
      <c r="BM29" s="216">
        <v>826</v>
      </c>
      <c r="BN29" s="216">
        <v>0</v>
      </c>
      <c r="BO29" s="216">
        <v>568</v>
      </c>
      <c r="BP29" s="216">
        <v>0</v>
      </c>
      <c r="BQ29" s="216">
        <v>3971</v>
      </c>
      <c r="BR29" s="216">
        <v>0</v>
      </c>
      <c r="BS29" s="216">
        <v>0</v>
      </c>
      <c r="BT29" s="216">
        <v>0</v>
      </c>
      <c r="BU29" s="216">
        <v>0</v>
      </c>
      <c r="BV29" s="216">
        <v>0</v>
      </c>
      <c r="BW29" s="216">
        <v>28401</v>
      </c>
      <c r="BX29" s="216">
        <v>-312</v>
      </c>
      <c r="BY29" s="216">
        <v>0</v>
      </c>
      <c r="BZ29" s="216">
        <v>-780</v>
      </c>
      <c r="CA29" s="216">
        <v>-37</v>
      </c>
      <c r="CB29" s="216">
        <v>-1092</v>
      </c>
      <c r="CC29" s="216">
        <v>27309</v>
      </c>
      <c r="CD29" s="216">
        <v>1715</v>
      </c>
      <c r="CE29" s="216">
        <v>-1685</v>
      </c>
      <c r="CF29" s="216">
        <v>27339</v>
      </c>
      <c r="CG29" s="216">
        <v>0</v>
      </c>
      <c r="CH29" s="216">
        <v>428</v>
      </c>
      <c r="CI29" s="216">
        <v>0</v>
      </c>
      <c r="CJ29" s="216">
        <v>422</v>
      </c>
      <c r="CK29" s="216">
        <v>0</v>
      </c>
      <c r="CL29" s="216">
        <v>0</v>
      </c>
      <c r="CM29" s="216">
        <v>0</v>
      </c>
      <c r="CN29" s="216">
        <v>0</v>
      </c>
      <c r="CO29" s="333">
        <v>17.3</v>
      </c>
      <c r="CP29" s="216">
        <v>143</v>
      </c>
      <c r="CQ29" s="216" t="s">
        <v>3</v>
      </c>
      <c r="CR29" s="216" t="s">
        <v>3</v>
      </c>
      <c r="CS29" s="216">
        <v>2458</v>
      </c>
      <c r="CT29" s="216" t="s">
        <v>3</v>
      </c>
      <c r="CU29" s="216" t="s">
        <v>3</v>
      </c>
      <c r="CV29" s="216" t="s">
        <v>3</v>
      </c>
      <c r="CW29" s="216">
        <v>24247</v>
      </c>
      <c r="CX29" s="216">
        <v>476</v>
      </c>
      <c r="CY29" s="216">
        <v>1132</v>
      </c>
      <c r="CZ29" s="216">
        <v>711</v>
      </c>
      <c r="DA29" s="216">
        <v>29024</v>
      </c>
      <c r="DB29" s="333" t="s">
        <v>3</v>
      </c>
      <c r="DC29" s="333" t="s">
        <v>3</v>
      </c>
      <c r="DD29" s="333" t="s">
        <v>3</v>
      </c>
      <c r="DE29" s="333" t="s">
        <v>3</v>
      </c>
      <c r="DF29" s="333" t="s">
        <v>3</v>
      </c>
      <c r="DG29" s="333" t="s">
        <v>3</v>
      </c>
      <c r="DH29" s="216">
        <v>-1597</v>
      </c>
      <c r="DI29" s="216">
        <v>-69</v>
      </c>
      <c r="DJ29" s="216">
        <v>0</v>
      </c>
      <c r="DK29" s="216">
        <v>-1355</v>
      </c>
      <c r="DL29" s="216">
        <v>-45</v>
      </c>
      <c r="DM29" s="216">
        <v>6494</v>
      </c>
      <c r="DN29" s="216">
        <v>1354</v>
      </c>
      <c r="DO29" s="216">
        <v>0</v>
      </c>
      <c r="DP29" s="216">
        <v>4782</v>
      </c>
      <c r="DQ29" s="216">
        <v>0</v>
      </c>
      <c r="DR29" s="216">
        <v>12248</v>
      </c>
      <c r="DS29" s="216">
        <v>2600</v>
      </c>
      <c r="DT29" s="216">
        <v>229</v>
      </c>
      <c r="DU29" s="216" t="s">
        <v>3</v>
      </c>
      <c r="DV29" s="216" t="s">
        <v>3</v>
      </c>
      <c r="DW29" s="216" t="s">
        <v>3</v>
      </c>
      <c r="DX29" s="216">
        <v>151</v>
      </c>
      <c r="DY29" s="216">
        <v>82</v>
      </c>
      <c r="DZ29" s="216">
        <v>542</v>
      </c>
      <c r="EA29" s="216">
        <v>158</v>
      </c>
      <c r="EB29" s="216" t="s">
        <v>3</v>
      </c>
      <c r="EC29" s="216">
        <v>28</v>
      </c>
      <c r="ED29" s="216">
        <v>9</v>
      </c>
      <c r="EE29" s="216">
        <v>286</v>
      </c>
      <c r="EF29" s="216">
        <v>36</v>
      </c>
      <c r="EG29" s="216" t="s">
        <v>3</v>
      </c>
      <c r="EH29" s="216" t="s">
        <v>3</v>
      </c>
      <c r="EI29" s="216" t="s">
        <v>3</v>
      </c>
      <c r="EJ29" s="216" t="s">
        <v>3</v>
      </c>
      <c r="EK29" s="216">
        <v>1292</v>
      </c>
    </row>
    <row r="30" spans="1:141" ht="15" customHeight="1" x14ac:dyDescent="0.2">
      <c r="A30" s="218" t="s">
        <v>32</v>
      </c>
      <c r="B30" s="218" t="s">
        <v>74</v>
      </c>
      <c r="C30" s="217" t="s">
        <v>73</v>
      </c>
      <c r="D30" s="216">
        <v>11</v>
      </c>
      <c r="E30" s="216">
        <v>6</v>
      </c>
      <c r="F30" s="216">
        <v>1</v>
      </c>
      <c r="G30" s="216">
        <v>0</v>
      </c>
      <c r="H30" s="216">
        <v>18</v>
      </c>
      <c r="I30" s="216">
        <v>5</v>
      </c>
      <c r="J30" s="216">
        <v>21</v>
      </c>
      <c r="K30" s="216">
        <v>1</v>
      </c>
      <c r="L30" s="216">
        <v>20</v>
      </c>
      <c r="M30" s="216">
        <v>22</v>
      </c>
      <c r="N30" s="216">
        <v>19</v>
      </c>
      <c r="O30" s="216">
        <v>6</v>
      </c>
      <c r="P30" s="216">
        <v>89</v>
      </c>
      <c r="Q30" s="216">
        <v>39</v>
      </c>
      <c r="R30" s="216">
        <v>9</v>
      </c>
      <c r="S30" s="216">
        <v>4</v>
      </c>
      <c r="T30" s="333">
        <v>3</v>
      </c>
      <c r="U30" s="333">
        <v>2</v>
      </c>
      <c r="V30" s="333">
        <v>6</v>
      </c>
      <c r="W30" s="333">
        <v>17</v>
      </c>
      <c r="X30" s="333">
        <v>54</v>
      </c>
      <c r="Y30" s="333">
        <v>61</v>
      </c>
      <c r="Z30" s="333">
        <v>223</v>
      </c>
      <c r="AA30" s="333">
        <v>366</v>
      </c>
      <c r="AB30" s="216">
        <v>366</v>
      </c>
      <c r="AC30" s="333">
        <v>0</v>
      </c>
      <c r="AD30" s="333">
        <v>0</v>
      </c>
      <c r="AE30" s="333">
        <v>6</v>
      </c>
      <c r="AF30" s="333">
        <v>7</v>
      </c>
      <c r="AG30" s="333">
        <v>44</v>
      </c>
      <c r="AH30" s="333">
        <v>57</v>
      </c>
      <c r="AI30" s="216">
        <v>85</v>
      </c>
      <c r="AJ30" s="333">
        <v>39</v>
      </c>
      <c r="AK30" s="333">
        <v>146</v>
      </c>
      <c r="AL30" s="333">
        <v>607</v>
      </c>
      <c r="AM30" s="216">
        <v>480</v>
      </c>
      <c r="AN30" s="216">
        <v>488</v>
      </c>
      <c r="AO30" s="216">
        <v>19</v>
      </c>
      <c r="AP30" s="216">
        <v>0</v>
      </c>
      <c r="AQ30" s="216">
        <v>65</v>
      </c>
      <c r="AR30" s="216">
        <v>5</v>
      </c>
      <c r="AS30" s="216">
        <v>347</v>
      </c>
      <c r="AT30" s="216">
        <v>3</v>
      </c>
      <c r="AU30" s="216">
        <v>62</v>
      </c>
      <c r="AV30" s="216">
        <v>51</v>
      </c>
      <c r="AW30" s="216">
        <v>41</v>
      </c>
      <c r="AX30" s="216">
        <v>13</v>
      </c>
      <c r="AY30" s="216">
        <v>17734</v>
      </c>
      <c r="AZ30" s="216">
        <v>0</v>
      </c>
      <c r="BA30" s="216">
        <v>675</v>
      </c>
      <c r="BB30" s="216">
        <v>0</v>
      </c>
      <c r="BC30" s="216">
        <v>1586</v>
      </c>
      <c r="BD30" s="216">
        <v>1586</v>
      </c>
      <c r="BE30" s="216">
        <v>6412</v>
      </c>
      <c r="BF30" s="216">
        <v>90</v>
      </c>
      <c r="BG30" s="216">
        <v>703</v>
      </c>
      <c r="BH30" s="216">
        <v>0</v>
      </c>
      <c r="BI30" s="216">
        <v>258</v>
      </c>
      <c r="BJ30" s="216">
        <v>0</v>
      </c>
      <c r="BK30" s="216">
        <v>27368</v>
      </c>
      <c r="BL30" s="216">
        <v>1676</v>
      </c>
      <c r="BM30" s="216">
        <v>2151</v>
      </c>
      <c r="BN30" s="216">
        <v>0</v>
      </c>
      <c r="BO30" s="216">
        <v>983</v>
      </c>
      <c r="BP30" s="216">
        <v>439</v>
      </c>
      <c r="BQ30" s="216">
        <v>3527</v>
      </c>
      <c r="BR30" s="216">
        <v>266</v>
      </c>
      <c r="BS30" s="216">
        <v>0</v>
      </c>
      <c r="BT30" s="216">
        <v>0</v>
      </c>
      <c r="BU30" s="216">
        <v>953</v>
      </c>
      <c r="BV30" s="216">
        <v>0</v>
      </c>
      <c r="BW30" s="216">
        <v>34982</v>
      </c>
      <c r="BX30" s="216">
        <v>-406</v>
      </c>
      <c r="BY30" s="216">
        <v>0</v>
      </c>
      <c r="BZ30" s="216">
        <v>-1769</v>
      </c>
      <c r="CA30" s="216">
        <v>-1539</v>
      </c>
      <c r="CB30" s="216">
        <v>-2175</v>
      </c>
      <c r="CC30" s="216">
        <v>32807</v>
      </c>
      <c r="CD30" s="216">
        <v>813</v>
      </c>
      <c r="CE30" s="216">
        <v>434</v>
      </c>
      <c r="CF30" s="216">
        <v>34054</v>
      </c>
      <c r="CG30" s="216">
        <v>0</v>
      </c>
      <c r="CH30" s="216">
        <v>318</v>
      </c>
      <c r="CI30" s="216">
        <v>0</v>
      </c>
      <c r="CJ30" s="216">
        <v>392</v>
      </c>
      <c r="CK30" s="216">
        <v>-102</v>
      </c>
      <c r="CL30" s="216">
        <v>0</v>
      </c>
      <c r="CM30" s="216">
        <v>0</v>
      </c>
      <c r="CN30" s="216">
        <v>-3</v>
      </c>
      <c r="CO30" s="333">
        <v>15.2</v>
      </c>
      <c r="CP30" s="216">
        <v>198</v>
      </c>
      <c r="CQ30" s="216" t="s">
        <v>3</v>
      </c>
      <c r="CR30" s="216" t="s">
        <v>3</v>
      </c>
      <c r="CS30" s="216">
        <v>16092</v>
      </c>
      <c r="CT30" s="216" t="s">
        <v>3</v>
      </c>
      <c r="CU30" s="216" t="s">
        <v>3</v>
      </c>
      <c r="CV30" s="216" t="s">
        <v>3</v>
      </c>
      <c r="CW30" s="216">
        <v>16926</v>
      </c>
      <c r="CX30" s="216">
        <v>100</v>
      </c>
      <c r="CY30" s="216">
        <v>502</v>
      </c>
      <c r="CZ30" s="216">
        <v>0</v>
      </c>
      <c r="DA30" s="216">
        <v>33620</v>
      </c>
      <c r="DB30" s="333" t="s">
        <v>3</v>
      </c>
      <c r="DC30" s="333" t="s">
        <v>3</v>
      </c>
      <c r="DD30" s="333" t="s">
        <v>3</v>
      </c>
      <c r="DE30" s="333" t="s">
        <v>3</v>
      </c>
      <c r="DF30" s="333" t="s">
        <v>3</v>
      </c>
      <c r="DG30" s="333" t="s">
        <v>3</v>
      </c>
      <c r="DH30" s="216">
        <v>-1976</v>
      </c>
      <c r="DI30" s="216">
        <v>-70</v>
      </c>
      <c r="DJ30" s="216">
        <v>-4</v>
      </c>
      <c r="DK30" s="216">
        <v>-1687</v>
      </c>
      <c r="DL30" s="216">
        <v>-64</v>
      </c>
      <c r="DM30" s="216">
        <v>7884</v>
      </c>
      <c r="DN30" s="216">
        <v>2619</v>
      </c>
      <c r="DO30" s="216">
        <v>36</v>
      </c>
      <c r="DP30" s="216">
        <v>6738</v>
      </c>
      <c r="DQ30" s="216">
        <v>337</v>
      </c>
      <c r="DR30" s="216">
        <v>7937</v>
      </c>
      <c r="DS30" s="216">
        <v>2321</v>
      </c>
      <c r="DT30" s="216">
        <v>442</v>
      </c>
      <c r="DU30" s="216">
        <v>0</v>
      </c>
      <c r="DV30" s="216">
        <v>0</v>
      </c>
      <c r="DW30" s="216">
        <v>167</v>
      </c>
      <c r="DX30" s="216">
        <v>500</v>
      </c>
      <c r="DY30" s="216">
        <v>0</v>
      </c>
      <c r="DZ30" s="216">
        <v>1023</v>
      </c>
      <c r="EA30" s="216">
        <v>115</v>
      </c>
      <c r="EB30" s="216">
        <v>0</v>
      </c>
      <c r="EC30" s="216">
        <v>0</v>
      </c>
      <c r="ED30" s="216">
        <v>0</v>
      </c>
      <c r="EE30" s="216">
        <v>61</v>
      </c>
      <c r="EF30" s="216">
        <v>198</v>
      </c>
      <c r="EG30" s="216">
        <v>0</v>
      </c>
      <c r="EH30" s="216">
        <v>0</v>
      </c>
      <c r="EI30" s="216">
        <v>0</v>
      </c>
      <c r="EJ30" s="216">
        <v>0</v>
      </c>
      <c r="EK30" s="216">
        <v>2064</v>
      </c>
    </row>
    <row r="31" spans="1:141" ht="15" customHeight="1" x14ac:dyDescent="0.2">
      <c r="A31" s="218" t="s">
        <v>32</v>
      </c>
      <c r="B31" s="218" t="s">
        <v>72</v>
      </c>
      <c r="C31" s="217" t="s">
        <v>71</v>
      </c>
      <c r="D31" s="216">
        <v>6</v>
      </c>
      <c r="E31" s="216">
        <v>10</v>
      </c>
      <c r="F31" s="216">
        <v>4</v>
      </c>
      <c r="G31" s="216">
        <v>0</v>
      </c>
      <c r="H31" s="216">
        <v>20</v>
      </c>
      <c r="I31" s="216">
        <v>1</v>
      </c>
      <c r="J31" s="216">
        <v>30</v>
      </c>
      <c r="K31" s="216">
        <v>2</v>
      </c>
      <c r="L31" s="216">
        <v>4</v>
      </c>
      <c r="M31" s="216">
        <v>32</v>
      </c>
      <c r="N31" s="216">
        <v>0</v>
      </c>
      <c r="O31" s="216">
        <v>9</v>
      </c>
      <c r="P31" s="216">
        <v>77</v>
      </c>
      <c r="Q31" s="216">
        <v>47</v>
      </c>
      <c r="R31" s="216">
        <v>2</v>
      </c>
      <c r="S31" s="216">
        <v>3</v>
      </c>
      <c r="T31" s="333">
        <v>2</v>
      </c>
      <c r="U31" s="333">
        <v>2</v>
      </c>
      <c r="V31" s="333">
        <v>6</v>
      </c>
      <c r="W31" s="333">
        <v>22</v>
      </c>
      <c r="X31" s="333">
        <v>34</v>
      </c>
      <c r="Y31" s="333">
        <v>41</v>
      </c>
      <c r="Z31" s="333">
        <v>129</v>
      </c>
      <c r="AA31" s="333">
        <v>236</v>
      </c>
      <c r="AB31" s="216">
        <v>236</v>
      </c>
      <c r="AC31" s="333">
        <v>0</v>
      </c>
      <c r="AD31" s="333">
        <v>0</v>
      </c>
      <c r="AE31" s="333">
        <v>5</v>
      </c>
      <c r="AF31" s="333">
        <v>17</v>
      </c>
      <c r="AG31" s="333">
        <v>66</v>
      </c>
      <c r="AH31" s="333">
        <v>88</v>
      </c>
      <c r="AI31" s="216">
        <v>116</v>
      </c>
      <c r="AJ31" s="333">
        <v>0</v>
      </c>
      <c r="AK31" s="333">
        <v>107</v>
      </c>
      <c r="AL31" s="333">
        <v>431</v>
      </c>
      <c r="AM31" s="216">
        <v>455</v>
      </c>
      <c r="AN31" s="216">
        <v>459</v>
      </c>
      <c r="AO31" s="216">
        <v>29</v>
      </c>
      <c r="AP31" s="216">
        <v>5</v>
      </c>
      <c r="AQ31" s="216">
        <v>30</v>
      </c>
      <c r="AR31" s="216">
        <v>9</v>
      </c>
      <c r="AS31" s="216">
        <v>373</v>
      </c>
      <c r="AT31" s="216">
        <v>0</v>
      </c>
      <c r="AU31" s="216">
        <v>48</v>
      </c>
      <c r="AV31" s="216">
        <v>176</v>
      </c>
      <c r="AW31" s="216">
        <v>59</v>
      </c>
      <c r="AX31" s="216">
        <v>0</v>
      </c>
      <c r="AY31" s="216">
        <v>13027</v>
      </c>
      <c r="AZ31" s="216">
        <v>0</v>
      </c>
      <c r="BA31" s="216">
        <v>1031</v>
      </c>
      <c r="BB31" s="216">
        <v>0</v>
      </c>
      <c r="BC31" s="216">
        <v>722</v>
      </c>
      <c r="BD31" s="216">
        <v>722</v>
      </c>
      <c r="BE31" s="216">
        <v>4432</v>
      </c>
      <c r="BF31" s="216">
        <v>13</v>
      </c>
      <c r="BG31" s="216">
        <v>535</v>
      </c>
      <c r="BH31" s="216">
        <v>0</v>
      </c>
      <c r="BI31" s="216">
        <v>534</v>
      </c>
      <c r="BJ31" s="216">
        <v>0</v>
      </c>
      <c r="BK31" s="216">
        <v>20281</v>
      </c>
      <c r="BL31" s="216">
        <v>735</v>
      </c>
      <c r="BM31" s="216">
        <v>1517</v>
      </c>
      <c r="BN31" s="216">
        <v>0</v>
      </c>
      <c r="BO31" s="216">
        <v>595</v>
      </c>
      <c r="BP31" s="216">
        <v>0</v>
      </c>
      <c r="BQ31" s="216">
        <v>3965</v>
      </c>
      <c r="BR31" s="216">
        <v>110</v>
      </c>
      <c r="BS31" s="216">
        <v>0</v>
      </c>
      <c r="BT31" s="216">
        <v>0</v>
      </c>
      <c r="BU31" s="216">
        <v>0</v>
      </c>
      <c r="BV31" s="216">
        <v>0</v>
      </c>
      <c r="BW31" s="216">
        <v>26358</v>
      </c>
      <c r="BX31" s="216">
        <v>-1098</v>
      </c>
      <c r="BY31" s="216">
        <v>0</v>
      </c>
      <c r="BZ31" s="216">
        <v>-582</v>
      </c>
      <c r="CA31" s="216">
        <v>0</v>
      </c>
      <c r="CB31" s="216">
        <v>-1680</v>
      </c>
      <c r="CC31" s="216">
        <v>24678</v>
      </c>
      <c r="CD31" s="216">
        <v>2919</v>
      </c>
      <c r="CE31" s="216">
        <v>4036</v>
      </c>
      <c r="CF31" s="216">
        <v>31633</v>
      </c>
      <c r="CG31" s="216">
        <v>0</v>
      </c>
      <c r="CH31" s="216">
        <v>47</v>
      </c>
      <c r="CI31" s="216">
        <v>0</v>
      </c>
      <c r="CJ31" s="216">
        <v>314</v>
      </c>
      <c r="CK31" s="216">
        <v>-226</v>
      </c>
      <c r="CL31" s="216">
        <v>0</v>
      </c>
      <c r="CM31" s="216">
        <v>0</v>
      </c>
      <c r="CN31" s="216">
        <v>-30</v>
      </c>
      <c r="CO31" s="333">
        <v>15.5</v>
      </c>
      <c r="CP31" s="216">
        <v>0</v>
      </c>
      <c r="CQ31" s="216" t="s">
        <v>3</v>
      </c>
      <c r="CR31" s="216" t="s">
        <v>3</v>
      </c>
      <c r="CS31" s="216">
        <v>982</v>
      </c>
      <c r="CT31" s="216" t="s">
        <v>3</v>
      </c>
      <c r="CU31" s="216" t="s">
        <v>3</v>
      </c>
      <c r="CV31" s="216" t="s">
        <v>3</v>
      </c>
      <c r="CW31" s="216">
        <v>24979</v>
      </c>
      <c r="CX31" s="216">
        <v>0</v>
      </c>
      <c r="CY31" s="216">
        <v>1249</v>
      </c>
      <c r="CZ31" s="216">
        <v>387</v>
      </c>
      <c r="DA31" s="216">
        <v>27597</v>
      </c>
      <c r="DB31" s="333" t="s">
        <v>3</v>
      </c>
      <c r="DC31" s="333" t="s">
        <v>3</v>
      </c>
      <c r="DD31" s="333" t="s">
        <v>3</v>
      </c>
      <c r="DE31" s="333" t="s">
        <v>3</v>
      </c>
      <c r="DF31" s="333" t="s">
        <v>3</v>
      </c>
      <c r="DG31" s="333" t="s">
        <v>3</v>
      </c>
      <c r="DH31" s="216">
        <v>-1429</v>
      </c>
      <c r="DI31" s="216">
        <v>-122</v>
      </c>
      <c r="DJ31" s="216">
        <v>0</v>
      </c>
      <c r="DK31" s="216">
        <v>-1233</v>
      </c>
      <c r="DL31" s="216">
        <v>0</v>
      </c>
      <c r="DM31" s="216">
        <v>6860</v>
      </c>
      <c r="DN31" s="216">
        <v>2737</v>
      </c>
      <c r="DO31" s="216">
        <v>0</v>
      </c>
      <c r="DP31" s="216">
        <v>6813</v>
      </c>
      <c r="DQ31" s="216">
        <v>217</v>
      </c>
      <c r="DR31" s="216">
        <v>8229</v>
      </c>
      <c r="DS31" s="216">
        <v>1500</v>
      </c>
      <c r="DT31" s="216">
        <v>3196</v>
      </c>
      <c r="DU31" s="216">
        <v>0</v>
      </c>
      <c r="DV31" s="216">
        <v>0</v>
      </c>
      <c r="DW31" s="216">
        <v>6319</v>
      </c>
      <c r="DX31" s="216">
        <v>500</v>
      </c>
      <c r="DY31" s="216">
        <v>0</v>
      </c>
      <c r="DZ31" s="216">
        <v>522</v>
      </c>
      <c r="EA31" s="216">
        <v>0</v>
      </c>
      <c r="EB31" s="216">
        <v>0</v>
      </c>
      <c r="EC31" s="216">
        <v>0</v>
      </c>
      <c r="ED31" s="216">
        <v>0</v>
      </c>
      <c r="EE31" s="216">
        <v>0</v>
      </c>
      <c r="EF31" s="216">
        <v>120</v>
      </c>
      <c r="EG31" s="216">
        <v>197</v>
      </c>
      <c r="EH31" s="216">
        <v>0</v>
      </c>
      <c r="EI31" s="216">
        <v>0</v>
      </c>
      <c r="EJ31" s="216">
        <v>0</v>
      </c>
      <c r="EK31" s="216">
        <v>7658</v>
      </c>
    </row>
    <row r="32" spans="1:141" ht="15" customHeight="1" x14ac:dyDescent="0.2">
      <c r="A32" s="218" t="s">
        <v>32</v>
      </c>
      <c r="B32" s="218" t="s">
        <v>70</v>
      </c>
      <c r="C32" s="217" t="s">
        <v>69</v>
      </c>
      <c r="D32" s="216">
        <v>3</v>
      </c>
      <c r="E32" s="216">
        <v>19</v>
      </c>
      <c r="F32" s="216">
        <v>4</v>
      </c>
      <c r="G32" s="216">
        <v>1</v>
      </c>
      <c r="H32" s="216">
        <v>27</v>
      </c>
      <c r="I32" s="216">
        <v>7</v>
      </c>
      <c r="J32" s="216">
        <v>36</v>
      </c>
      <c r="K32" s="216">
        <v>2</v>
      </c>
      <c r="L32" s="216">
        <v>5</v>
      </c>
      <c r="M32" s="216">
        <v>42</v>
      </c>
      <c r="N32" s="216">
        <v>3</v>
      </c>
      <c r="O32" s="216">
        <v>88</v>
      </c>
      <c r="P32" s="216">
        <v>176</v>
      </c>
      <c r="Q32" s="216">
        <v>74</v>
      </c>
      <c r="R32" s="216">
        <v>4</v>
      </c>
      <c r="S32" s="216">
        <v>3</v>
      </c>
      <c r="T32" s="333">
        <v>2</v>
      </c>
      <c r="U32" s="333">
        <v>3</v>
      </c>
      <c r="V32" s="333">
        <v>10</v>
      </c>
      <c r="W32" s="333">
        <v>25</v>
      </c>
      <c r="X32" s="333">
        <v>49</v>
      </c>
      <c r="Y32" s="333">
        <v>27</v>
      </c>
      <c r="Z32" s="333">
        <v>137</v>
      </c>
      <c r="AA32" s="333">
        <v>253</v>
      </c>
      <c r="AB32" s="216">
        <v>253</v>
      </c>
      <c r="AC32" s="333">
        <v>0</v>
      </c>
      <c r="AD32" s="333">
        <v>0</v>
      </c>
      <c r="AE32" s="333">
        <v>12</v>
      </c>
      <c r="AF32" s="333">
        <v>27</v>
      </c>
      <c r="AG32" s="333">
        <v>68</v>
      </c>
      <c r="AH32" s="333">
        <v>107</v>
      </c>
      <c r="AI32" s="216">
        <v>163</v>
      </c>
      <c r="AJ32" s="333">
        <v>41</v>
      </c>
      <c r="AK32" s="333">
        <v>137</v>
      </c>
      <c r="AL32" s="333">
        <v>537</v>
      </c>
      <c r="AM32" s="216">
        <v>441</v>
      </c>
      <c r="AN32" s="216">
        <v>456</v>
      </c>
      <c r="AO32" s="216">
        <v>22</v>
      </c>
      <c r="AP32" s="216">
        <v>1</v>
      </c>
      <c r="AQ32" s="216">
        <v>43</v>
      </c>
      <c r="AR32" s="216">
        <v>8</v>
      </c>
      <c r="AS32" s="216">
        <v>366</v>
      </c>
      <c r="AT32" s="216">
        <v>13</v>
      </c>
      <c r="AU32" s="216">
        <v>26</v>
      </c>
      <c r="AV32" s="216">
        <v>213</v>
      </c>
      <c r="AW32" s="216">
        <v>16</v>
      </c>
      <c r="AX32" s="216">
        <v>0</v>
      </c>
      <c r="AY32" s="216">
        <v>11983</v>
      </c>
      <c r="AZ32" s="216" t="s">
        <v>3</v>
      </c>
      <c r="BA32" s="216">
        <v>2459</v>
      </c>
      <c r="BB32" s="216" t="s">
        <v>3</v>
      </c>
      <c r="BC32" s="216">
        <v>1611</v>
      </c>
      <c r="BD32" s="216" t="s">
        <v>3</v>
      </c>
      <c r="BE32" s="216">
        <v>5487</v>
      </c>
      <c r="BF32" s="216" t="s">
        <v>3</v>
      </c>
      <c r="BG32" s="216">
        <v>700</v>
      </c>
      <c r="BH32" s="216" t="s">
        <v>3</v>
      </c>
      <c r="BI32" s="216">
        <v>806</v>
      </c>
      <c r="BJ32" s="216" t="s">
        <v>3</v>
      </c>
      <c r="BK32" s="216">
        <v>23046</v>
      </c>
      <c r="BL32" s="216" t="s">
        <v>3</v>
      </c>
      <c r="BM32" s="216">
        <v>1439</v>
      </c>
      <c r="BN32" s="216" t="s">
        <v>3</v>
      </c>
      <c r="BO32" s="216">
        <v>907</v>
      </c>
      <c r="BP32" s="216" t="s">
        <v>3</v>
      </c>
      <c r="BQ32" s="216">
        <v>4893</v>
      </c>
      <c r="BR32" s="216">
        <v>105</v>
      </c>
      <c r="BS32" s="216">
        <v>78</v>
      </c>
      <c r="BT32" s="216" t="s">
        <v>3</v>
      </c>
      <c r="BU32" s="216">
        <v>0</v>
      </c>
      <c r="BV32" s="216">
        <v>0</v>
      </c>
      <c r="BW32" s="216">
        <v>30363</v>
      </c>
      <c r="BX32" s="216">
        <v>0</v>
      </c>
      <c r="BY32" s="216">
        <v>0</v>
      </c>
      <c r="BZ32" s="216">
        <v>-1933</v>
      </c>
      <c r="CA32" s="216">
        <v>-1220</v>
      </c>
      <c r="CB32" s="216">
        <v>-1933</v>
      </c>
      <c r="CC32" s="216">
        <v>28430</v>
      </c>
      <c r="CD32" s="216">
        <v>6663</v>
      </c>
      <c r="CE32" s="216">
        <v>8384</v>
      </c>
      <c r="CF32" s="216">
        <v>43477</v>
      </c>
      <c r="CG32" s="216">
        <v>0</v>
      </c>
      <c r="CH32" s="216">
        <v>129</v>
      </c>
      <c r="CI32" s="216">
        <v>0</v>
      </c>
      <c r="CJ32" s="216">
        <v>141</v>
      </c>
      <c r="CK32" s="216">
        <v>110</v>
      </c>
      <c r="CL32" s="216">
        <v>0</v>
      </c>
      <c r="CM32" s="216">
        <v>0</v>
      </c>
      <c r="CN32" s="216">
        <v>0</v>
      </c>
      <c r="CO32" s="333">
        <v>18.600000000000001</v>
      </c>
      <c r="CP32" s="216">
        <v>364</v>
      </c>
      <c r="CQ32" s="216">
        <v>106</v>
      </c>
      <c r="CR32" s="216">
        <v>288</v>
      </c>
      <c r="CS32" s="216">
        <v>394</v>
      </c>
      <c r="CT32" s="216">
        <v>30395</v>
      </c>
      <c r="CU32" s="216">
        <v>3082</v>
      </c>
      <c r="CV32" s="216">
        <v>393</v>
      </c>
      <c r="CW32" s="216">
        <v>33870</v>
      </c>
      <c r="CX32" s="216">
        <v>127</v>
      </c>
      <c r="CY32" s="216">
        <v>672</v>
      </c>
      <c r="CZ32" s="216">
        <v>30</v>
      </c>
      <c r="DA32" s="216">
        <v>35093</v>
      </c>
      <c r="DB32" s="333">
        <v>52.030456852791872</v>
      </c>
      <c r="DC32" s="333">
        <v>52.335400059049306</v>
      </c>
      <c r="DD32" s="333">
        <v>51.181102362204726</v>
      </c>
      <c r="DE32" s="333">
        <v>0</v>
      </c>
      <c r="DF32" s="333">
        <v>0</v>
      </c>
      <c r="DG32" s="333">
        <v>51.280882227224801</v>
      </c>
      <c r="DH32" s="216">
        <v>-1629</v>
      </c>
      <c r="DI32" s="216">
        <v>-45</v>
      </c>
      <c r="DJ32" s="216">
        <v>0</v>
      </c>
      <c r="DK32" s="216">
        <v>-1402</v>
      </c>
      <c r="DL32" s="216">
        <v>-1</v>
      </c>
      <c r="DM32" s="216">
        <v>6648</v>
      </c>
      <c r="DN32" s="216">
        <v>1693</v>
      </c>
      <c r="DO32" s="216">
        <v>405</v>
      </c>
      <c r="DP32" s="216">
        <v>5669</v>
      </c>
      <c r="DQ32" s="216">
        <v>608</v>
      </c>
      <c r="DR32" s="216">
        <v>10033</v>
      </c>
      <c r="DS32" s="216">
        <v>2471</v>
      </c>
      <c r="DT32" s="216">
        <v>371</v>
      </c>
      <c r="DU32" s="216">
        <v>0</v>
      </c>
      <c r="DV32" s="216">
        <v>0</v>
      </c>
      <c r="DW32" s="216">
        <v>74</v>
      </c>
      <c r="DX32" s="216">
        <v>1216</v>
      </c>
      <c r="DY32" s="216">
        <v>0</v>
      </c>
      <c r="DZ32" s="216">
        <v>548</v>
      </c>
      <c r="EA32" s="216">
        <v>148</v>
      </c>
      <c r="EB32" s="216">
        <v>0</v>
      </c>
      <c r="EC32" s="216">
        <v>0</v>
      </c>
      <c r="ED32" s="216">
        <v>0</v>
      </c>
      <c r="EE32" s="216">
        <v>387</v>
      </c>
      <c r="EF32" s="216">
        <v>0</v>
      </c>
      <c r="EG32" s="216">
        <v>236</v>
      </c>
      <c r="EH32" s="216">
        <v>0</v>
      </c>
      <c r="EI32" s="216">
        <v>0</v>
      </c>
      <c r="EJ32" s="216">
        <v>0</v>
      </c>
      <c r="EK32" s="216">
        <v>2609</v>
      </c>
    </row>
    <row r="33" spans="1:141" ht="15" customHeight="1" x14ac:dyDescent="0.2">
      <c r="A33" s="218" t="s">
        <v>32</v>
      </c>
      <c r="B33" s="218" t="s">
        <v>68</v>
      </c>
      <c r="C33" s="217" t="s">
        <v>67</v>
      </c>
      <c r="D33" s="216">
        <v>7</v>
      </c>
      <c r="E33" s="216">
        <v>11</v>
      </c>
      <c r="F33" s="216">
        <v>10</v>
      </c>
      <c r="G33" s="216">
        <v>0</v>
      </c>
      <c r="H33" s="216">
        <v>28</v>
      </c>
      <c r="I33" s="216">
        <v>6</v>
      </c>
      <c r="J33" s="216">
        <v>36</v>
      </c>
      <c r="K33" s="216">
        <v>3</v>
      </c>
      <c r="L33" s="216">
        <v>7</v>
      </c>
      <c r="M33" s="216">
        <v>27</v>
      </c>
      <c r="N33" s="216">
        <v>9</v>
      </c>
      <c r="O33" s="216">
        <v>12</v>
      </c>
      <c r="P33" s="216">
        <v>94</v>
      </c>
      <c r="Q33" s="216">
        <v>124</v>
      </c>
      <c r="R33" s="216">
        <v>8</v>
      </c>
      <c r="S33" s="216">
        <v>4</v>
      </c>
      <c r="T33" s="333">
        <v>3</v>
      </c>
      <c r="U33" s="333">
        <v>3</v>
      </c>
      <c r="V33" s="333">
        <v>7</v>
      </c>
      <c r="W33" s="333">
        <v>25</v>
      </c>
      <c r="X33" s="333">
        <v>63</v>
      </c>
      <c r="Y33" s="333">
        <v>58</v>
      </c>
      <c r="Z33" s="333">
        <v>255</v>
      </c>
      <c r="AA33" s="333">
        <v>414</v>
      </c>
      <c r="AB33" s="216">
        <v>416</v>
      </c>
      <c r="AC33" s="333">
        <v>0</v>
      </c>
      <c r="AD33" s="333">
        <v>0</v>
      </c>
      <c r="AE33" s="333">
        <v>10</v>
      </c>
      <c r="AF33" s="333">
        <v>30</v>
      </c>
      <c r="AG33" s="333">
        <v>110</v>
      </c>
      <c r="AH33" s="333">
        <v>150</v>
      </c>
      <c r="AI33" s="216">
        <v>256</v>
      </c>
      <c r="AJ33" s="333">
        <v>0</v>
      </c>
      <c r="AK33" s="333">
        <v>152</v>
      </c>
      <c r="AL33" s="333">
        <v>716</v>
      </c>
      <c r="AM33" s="216">
        <v>842</v>
      </c>
      <c r="AN33" s="216">
        <v>860</v>
      </c>
      <c r="AO33" s="216">
        <v>26</v>
      </c>
      <c r="AP33" s="216">
        <v>0</v>
      </c>
      <c r="AQ33" s="216">
        <v>41</v>
      </c>
      <c r="AR33" s="216">
        <v>9</v>
      </c>
      <c r="AS33" s="216">
        <v>540</v>
      </c>
      <c r="AT33" s="216">
        <v>13</v>
      </c>
      <c r="AU33" s="216">
        <v>66</v>
      </c>
      <c r="AV33" s="216">
        <v>187</v>
      </c>
      <c r="AW33" s="216">
        <v>94</v>
      </c>
      <c r="AX33" s="216">
        <v>12</v>
      </c>
      <c r="AY33" s="216">
        <v>19044</v>
      </c>
      <c r="AZ33" s="216">
        <v>0</v>
      </c>
      <c r="BA33" s="216">
        <v>2636</v>
      </c>
      <c r="BB33" s="216">
        <v>0</v>
      </c>
      <c r="BC33" s="216">
        <v>0</v>
      </c>
      <c r="BD33" s="216">
        <v>0</v>
      </c>
      <c r="BE33" s="216">
        <v>5192</v>
      </c>
      <c r="BF33" s="216">
        <v>0</v>
      </c>
      <c r="BG33" s="216">
        <v>462</v>
      </c>
      <c r="BH33" s="216">
        <v>0</v>
      </c>
      <c r="BI33" s="216">
        <v>331</v>
      </c>
      <c r="BJ33" s="216">
        <v>0</v>
      </c>
      <c r="BK33" s="216">
        <v>27665</v>
      </c>
      <c r="BL33" s="216">
        <v>0</v>
      </c>
      <c r="BM33" s="216">
        <v>2422</v>
      </c>
      <c r="BN33" s="216">
        <v>0</v>
      </c>
      <c r="BO33" s="216">
        <v>1101</v>
      </c>
      <c r="BP33" s="216">
        <v>0</v>
      </c>
      <c r="BQ33" s="216">
        <v>4261</v>
      </c>
      <c r="BR33" s="216">
        <v>1161</v>
      </c>
      <c r="BS33" s="216">
        <v>2866</v>
      </c>
      <c r="BT33" s="216">
        <v>2734</v>
      </c>
      <c r="BU33" s="216">
        <v>830</v>
      </c>
      <c r="BV33" s="216">
        <v>1216</v>
      </c>
      <c r="BW33" s="216">
        <v>40361</v>
      </c>
      <c r="BX33" s="216">
        <v>-289</v>
      </c>
      <c r="BY33" s="216">
        <v>0</v>
      </c>
      <c r="BZ33" s="216">
        <v>-1372</v>
      </c>
      <c r="CA33" s="216">
        <v>0</v>
      </c>
      <c r="CB33" s="216">
        <v>-1661</v>
      </c>
      <c r="CC33" s="216">
        <v>38700</v>
      </c>
      <c r="CD33" s="216">
        <v>2186</v>
      </c>
      <c r="CE33" s="216">
        <v>17034</v>
      </c>
      <c r="CF33" s="216">
        <v>57920</v>
      </c>
      <c r="CG33" s="216">
        <v>0</v>
      </c>
      <c r="CH33" s="216">
        <v>478</v>
      </c>
      <c r="CI33" s="216">
        <v>0</v>
      </c>
      <c r="CJ33" s="216">
        <v>85</v>
      </c>
      <c r="CK33" s="216">
        <v>-216</v>
      </c>
      <c r="CL33" s="216">
        <v>0</v>
      </c>
      <c r="CM33" s="216">
        <v>0</v>
      </c>
      <c r="CN33" s="216">
        <v>-636</v>
      </c>
      <c r="CO33" s="333">
        <v>18.3</v>
      </c>
      <c r="CP33" s="216">
        <v>0</v>
      </c>
      <c r="CQ33" s="216" t="s">
        <v>3</v>
      </c>
      <c r="CR33" s="216" t="s">
        <v>3</v>
      </c>
      <c r="CS33" s="216">
        <v>12065</v>
      </c>
      <c r="CT33" s="216" t="s">
        <v>3</v>
      </c>
      <c r="CU33" s="216" t="s">
        <v>3</v>
      </c>
      <c r="CV33" s="216" t="s">
        <v>3</v>
      </c>
      <c r="CW33" s="216">
        <v>27880</v>
      </c>
      <c r="CX33" s="216">
        <v>0</v>
      </c>
      <c r="CY33" s="216">
        <v>941</v>
      </c>
      <c r="CZ33" s="216">
        <v>0</v>
      </c>
      <c r="DA33" s="216">
        <v>40886</v>
      </c>
      <c r="DB33" s="333">
        <v>3.3568172399502694</v>
      </c>
      <c r="DC33" s="333">
        <v>9.6628407460545205</v>
      </c>
      <c r="DD33" s="333">
        <v>0</v>
      </c>
      <c r="DE33" s="333">
        <v>3.2943676939426139</v>
      </c>
      <c r="DF33" s="333">
        <v>0</v>
      </c>
      <c r="DG33" s="333">
        <v>7.6554321772733944</v>
      </c>
      <c r="DH33" s="216">
        <v>-2356</v>
      </c>
      <c r="DI33" s="216">
        <v>-83</v>
      </c>
      <c r="DJ33" s="216">
        <v>43</v>
      </c>
      <c r="DK33" s="216">
        <v>-2000</v>
      </c>
      <c r="DL33" s="216">
        <v>-95</v>
      </c>
      <c r="DM33" s="216">
        <v>13190</v>
      </c>
      <c r="DN33" s="216">
        <v>3405</v>
      </c>
      <c r="DO33" s="216">
        <v>0</v>
      </c>
      <c r="DP33" s="216">
        <v>12104</v>
      </c>
      <c r="DQ33" s="216">
        <v>286</v>
      </c>
      <c r="DR33" s="216">
        <v>19607</v>
      </c>
      <c r="DS33" s="216">
        <v>8211</v>
      </c>
      <c r="DT33" s="216">
        <v>708</v>
      </c>
      <c r="DU33" s="216">
        <v>0</v>
      </c>
      <c r="DV33" s="216">
        <v>0</v>
      </c>
      <c r="DW33" s="216">
        <v>382</v>
      </c>
      <c r="DX33" s="216">
        <v>353</v>
      </c>
      <c r="DY33" s="216">
        <v>0</v>
      </c>
      <c r="DZ33" s="216">
        <v>389</v>
      </c>
      <c r="EA33" s="216">
        <v>100</v>
      </c>
      <c r="EB33" s="216">
        <v>0</v>
      </c>
      <c r="EC33" s="216">
        <v>0</v>
      </c>
      <c r="ED33" s="216">
        <v>0</v>
      </c>
      <c r="EE33" s="216">
        <v>45</v>
      </c>
      <c r="EF33" s="216">
        <v>0</v>
      </c>
      <c r="EG33" s="216">
        <v>26</v>
      </c>
      <c r="EH33" s="216">
        <v>0</v>
      </c>
      <c r="EI33" s="216">
        <v>0</v>
      </c>
      <c r="EJ33" s="216">
        <v>0</v>
      </c>
      <c r="EK33" s="216">
        <v>1295</v>
      </c>
    </row>
    <row r="34" spans="1:141" ht="15" customHeight="1" x14ac:dyDescent="0.2">
      <c r="A34" s="218" t="s">
        <v>32</v>
      </c>
      <c r="B34" s="218" t="s">
        <v>66</v>
      </c>
      <c r="C34" s="217" t="s">
        <v>65</v>
      </c>
      <c r="D34" s="216">
        <v>6</v>
      </c>
      <c r="E34" s="216">
        <v>6</v>
      </c>
      <c r="F34" s="216">
        <v>2</v>
      </c>
      <c r="G34" s="216">
        <v>0</v>
      </c>
      <c r="H34" s="216">
        <v>14</v>
      </c>
      <c r="I34" s="216">
        <v>1</v>
      </c>
      <c r="J34" s="216">
        <v>21</v>
      </c>
      <c r="K34" s="216">
        <v>3</v>
      </c>
      <c r="L34" s="216">
        <v>7</v>
      </c>
      <c r="M34" s="216">
        <v>22</v>
      </c>
      <c r="N34" s="216">
        <v>3</v>
      </c>
      <c r="O34" s="216">
        <v>3</v>
      </c>
      <c r="P34" s="216">
        <v>59</v>
      </c>
      <c r="Q34" s="216">
        <v>40</v>
      </c>
      <c r="R34" s="216">
        <v>4</v>
      </c>
      <c r="S34" s="216" t="s">
        <v>3</v>
      </c>
      <c r="T34" s="333">
        <v>2</v>
      </c>
      <c r="U34" s="333">
        <v>2</v>
      </c>
      <c r="V34" s="333">
        <v>5</v>
      </c>
      <c r="W34" s="333">
        <v>16</v>
      </c>
      <c r="X34" s="333">
        <v>49</v>
      </c>
      <c r="Y34" s="333">
        <v>53</v>
      </c>
      <c r="Z34" s="333">
        <v>199</v>
      </c>
      <c r="AA34" s="333">
        <v>326</v>
      </c>
      <c r="AB34" s="216">
        <v>326</v>
      </c>
      <c r="AC34" s="333">
        <v>0</v>
      </c>
      <c r="AD34" s="333">
        <v>0</v>
      </c>
      <c r="AE34" s="333">
        <v>4</v>
      </c>
      <c r="AF34" s="333">
        <v>11</v>
      </c>
      <c r="AG34" s="333">
        <v>71</v>
      </c>
      <c r="AH34" s="333">
        <v>86</v>
      </c>
      <c r="AI34" s="216">
        <v>113</v>
      </c>
      <c r="AJ34" s="333">
        <v>20</v>
      </c>
      <c r="AK34" s="333">
        <v>106</v>
      </c>
      <c r="AL34" s="333">
        <v>537</v>
      </c>
      <c r="AM34" s="216">
        <v>590</v>
      </c>
      <c r="AN34" s="216">
        <v>620</v>
      </c>
      <c r="AO34" s="216">
        <v>32</v>
      </c>
      <c r="AP34" s="216">
        <v>0</v>
      </c>
      <c r="AQ34" s="216">
        <v>61</v>
      </c>
      <c r="AR34" s="216">
        <v>1</v>
      </c>
      <c r="AS34" s="216">
        <v>272</v>
      </c>
      <c r="AT34" s="216">
        <v>1</v>
      </c>
      <c r="AU34" s="216">
        <v>0</v>
      </c>
      <c r="AV34" s="216">
        <v>0</v>
      </c>
      <c r="AW34" s="216">
        <v>0</v>
      </c>
      <c r="AX34" s="216">
        <v>0</v>
      </c>
      <c r="AY34" s="216">
        <v>14791</v>
      </c>
      <c r="AZ34" s="216">
        <v>0</v>
      </c>
      <c r="BA34" s="216">
        <v>896</v>
      </c>
      <c r="BB34" s="216">
        <v>0</v>
      </c>
      <c r="BC34" s="216">
        <v>950</v>
      </c>
      <c r="BD34" s="216">
        <v>0</v>
      </c>
      <c r="BE34" s="216">
        <v>3672</v>
      </c>
      <c r="BF34" s="216">
        <v>0</v>
      </c>
      <c r="BG34" s="216">
        <v>476</v>
      </c>
      <c r="BH34" s="216">
        <v>0</v>
      </c>
      <c r="BI34" s="216">
        <v>584</v>
      </c>
      <c r="BJ34" s="216">
        <v>0</v>
      </c>
      <c r="BK34" s="216">
        <v>21369</v>
      </c>
      <c r="BL34" s="216">
        <v>0</v>
      </c>
      <c r="BM34" s="216">
        <v>1982</v>
      </c>
      <c r="BN34" s="216">
        <v>1619</v>
      </c>
      <c r="BO34" s="216">
        <v>797</v>
      </c>
      <c r="BP34" s="216">
        <v>651</v>
      </c>
      <c r="BQ34" s="216">
        <v>2305</v>
      </c>
      <c r="BR34" s="216">
        <v>1883</v>
      </c>
      <c r="BS34" s="216">
        <v>412</v>
      </c>
      <c r="BT34" s="216">
        <v>336</v>
      </c>
      <c r="BU34" s="216">
        <v>0</v>
      </c>
      <c r="BV34" s="216">
        <v>0</v>
      </c>
      <c r="BW34" s="216">
        <v>26865</v>
      </c>
      <c r="BX34" s="216">
        <v>0</v>
      </c>
      <c r="BY34" s="216">
        <v>0</v>
      </c>
      <c r="BZ34" s="216">
        <v>-1544</v>
      </c>
      <c r="CA34" s="216">
        <v>-95</v>
      </c>
      <c r="CB34" s="216">
        <v>-1544</v>
      </c>
      <c r="CC34" s="216">
        <v>25321</v>
      </c>
      <c r="CD34" s="216">
        <v>838</v>
      </c>
      <c r="CE34" s="216">
        <v>4188</v>
      </c>
      <c r="CF34" s="216">
        <v>30347</v>
      </c>
      <c r="CG34" s="216">
        <v>352</v>
      </c>
      <c r="CH34" s="216">
        <v>458</v>
      </c>
      <c r="CI34" s="216">
        <v>2</v>
      </c>
      <c r="CJ34" s="216">
        <v>0</v>
      </c>
      <c r="CK34" s="216">
        <v>64</v>
      </c>
      <c r="CL34" s="216">
        <v>0</v>
      </c>
      <c r="CM34" s="216">
        <v>0</v>
      </c>
      <c r="CN34" s="216">
        <v>-2</v>
      </c>
      <c r="CO34" s="333">
        <v>16.100000000000001</v>
      </c>
      <c r="CP34" s="216">
        <v>53</v>
      </c>
      <c r="CQ34" s="216">
        <v>407</v>
      </c>
      <c r="CR34" s="216">
        <v>3054</v>
      </c>
      <c r="CS34" s="216">
        <v>3461</v>
      </c>
      <c r="CT34" s="216">
        <v>20896</v>
      </c>
      <c r="CU34" s="216">
        <v>1426</v>
      </c>
      <c r="CV34" s="216">
        <v>197</v>
      </c>
      <c r="CW34" s="216">
        <v>22519</v>
      </c>
      <c r="CX34" s="216">
        <v>0</v>
      </c>
      <c r="CY34" s="216">
        <v>179</v>
      </c>
      <c r="CZ34" s="216">
        <v>0</v>
      </c>
      <c r="DA34" s="216">
        <v>26159</v>
      </c>
      <c r="DB34" s="333">
        <v>18.751805836463451</v>
      </c>
      <c r="DC34" s="333">
        <v>26.324437141969003</v>
      </c>
      <c r="DD34" s="333">
        <v>0</v>
      </c>
      <c r="DE34" s="333">
        <v>0</v>
      </c>
      <c r="DF34" s="333">
        <v>0</v>
      </c>
      <c r="DG34" s="333">
        <v>25.142398409725143</v>
      </c>
      <c r="DH34" s="216">
        <v>-1638</v>
      </c>
      <c r="DI34" s="216">
        <v>0</v>
      </c>
      <c r="DJ34" s="216">
        <v>0</v>
      </c>
      <c r="DK34" s="216">
        <v>-1351</v>
      </c>
      <c r="DL34" s="216">
        <v>-22</v>
      </c>
      <c r="DM34" s="216">
        <v>12551</v>
      </c>
      <c r="DN34" s="216">
        <v>3622</v>
      </c>
      <c r="DO34" s="216">
        <v>0</v>
      </c>
      <c r="DP34" s="216">
        <v>13162</v>
      </c>
      <c r="DQ34" s="216">
        <v>222</v>
      </c>
      <c r="DR34" s="216">
        <v>8331</v>
      </c>
      <c r="DS34" s="216">
        <v>1552</v>
      </c>
      <c r="DT34" s="216">
        <v>0</v>
      </c>
      <c r="DU34" s="216">
        <v>0</v>
      </c>
      <c r="DV34" s="216">
        <v>0</v>
      </c>
      <c r="DW34" s="216">
        <v>284</v>
      </c>
      <c r="DX34" s="216">
        <v>63</v>
      </c>
      <c r="DY34" s="216">
        <v>0</v>
      </c>
      <c r="DZ34" s="216">
        <v>228</v>
      </c>
      <c r="EA34" s="216">
        <v>21</v>
      </c>
      <c r="EB34" s="216">
        <v>0</v>
      </c>
      <c r="EC34" s="216">
        <v>66</v>
      </c>
      <c r="ED34" s="216">
        <v>0</v>
      </c>
      <c r="EE34" s="216">
        <v>0</v>
      </c>
      <c r="EF34" s="216">
        <v>0</v>
      </c>
      <c r="EG34" s="216">
        <v>0</v>
      </c>
      <c r="EH34" s="216">
        <v>0</v>
      </c>
      <c r="EI34" s="216">
        <v>0</v>
      </c>
      <c r="EJ34" s="216">
        <v>0</v>
      </c>
      <c r="EK34" s="216">
        <v>662</v>
      </c>
    </row>
    <row r="35" spans="1:141" ht="15" customHeight="1" x14ac:dyDescent="0.2">
      <c r="A35" s="218" t="s">
        <v>32</v>
      </c>
      <c r="B35" s="218" t="s">
        <v>64</v>
      </c>
      <c r="C35" s="217" t="s">
        <v>63</v>
      </c>
      <c r="D35" s="216">
        <v>4</v>
      </c>
      <c r="E35" s="216">
        <v>19</v>
      </c>
      <c r="F35" s="216">
        <v>8</v>
      </c>
      <c r="G35" s="216">
        <v>0</v>
      </c>
      <c r="H35" s="216">
        <v>31</v>
      </c>
      <c r="I35" s="216" t="s">
        <v>3</v>
      </c>
      <c r="J35" s="216">
        <v>41</v>
      </c>
      <c r="K35" s="216">
        <v>2</v>
      </c>
      <c r="L35" s="216">
        <v>3</v>
      </c>
      <c r="M35" s="216">
        <v>39</v>
      </c>
      <c r="N35" s="216">
        <v>0</v>
      </c>
      <c r="O35" s="216">
        <v>11</v>
      </c>
      <c r="P35" s="216">
        <v>96</v>
      </c>
      <c r="Q35" s="216">
        <v>140</v>
      </c>
      <c r="R35" s="216">
        <v>4</v>
      </c>
      <c r="S35" s="216">
        <v>6</v>
      </c>
      <c r="T35" s="333">
        <v>2</v>
      </c>
      <c r="U35" s="333">
        <v>3</v>
      </c>
      <c r="V35" s="333">
        <v>9</v>
      </c>
      <c r="W35" s="333">
        <v>20</v>
      </c>
      <c r="X35" s="333">
        <v>58</v>
      </c>
      <c r="Y35" s="333">
        <v>61</v>
      </c>
      <c r="Z35" s="333">
        <v>196</v>
      </c>
      <c r="AA35" s="333">
        <v>349</v>
      </c>
      <c r="AB35" s="216">
        <v>349</v>
      </c>
      <c r="AC35" s="333">
        <v>0</v>
      </c>
      <c r="AD35" s="333">
        <v>0</v>
      </c>
      <c r="AE35" s="333">
        <v>22</v>
      </c>
      <c r="AF35" s="333">
        <v>42</v>
      </c>
      <c r="AG35" s="333">
        <v>149</v>
      </c>
      <c r="AH35" s="333">
        <v>213</v>
      </c>
      <c r="AI35" s="216">
        <v>322</v>
      </c>
      <c r="AJ35" s="333">
        <v>28</v>
      </c>
      <c r="AK35" s="333">
        <v>146</v>
      </c>
      <c r="AL35" s="333">
        <v>736</v>
      </c>
      <c r="AM35" s="216">
        <v>740</v>
      </c>
      <c r="AN35" s="216">
        <v>747</v>
      </c>
      <c r="AO35" s="216">
        <v>23</v>
      </c>
      <c r="AP35" s="216">
        <v>0</v>
      </c>
      <c r="AQ35" s="216">
        <v>50</v>
      </c>
      <c r="AR35" s="216">
        <v>6</v>
      </c>
      <c r="AS35" s="216">
        <v>497</v>
      </c>
      <c r="AT35" s="216">
        <v>10</v>
      </c>
      <c r="AU35" s="216">
        <v>44</v>
      </c>
      <c r="AV35" s="216">
        <v>193</v>
      </c>
      <c r="AW35" s="216">
        <v>111</v>
      </c>
      <c r="AX35" s="216">
        <v>39</v>
      </c>
      <c r="AY35" s="216">
        <v>16731</v>
      </c>
      <c r="AZ35" s="216">
        <v>0</v>
      </c>
      <c r="BA35" s="216">
        <v>3308</v>
      </c>
      <c r="BB35" s="216">
        <v>0</v>
      </c>
      <c r="BC35" s="216">
        <v>1088</v>
      </c>
      <c r="BD35" s="216">
        <v>0</v>
      </c>
      <c r="BE35" s="216">
        <v>6524</v>
      </c>
      <c r="BF35" s="216">
        <v>0</v>
      </c>
      <c r="BG35" s="216">
        <v>358</v>
      </c>
      <c r="BH35" s="216">
        <v>0</v>
      </c>
      <c r="BI35" s="216">
        <v>1272</v>
      </c>
      <c r="BJ35" s="216">
        <v>932</v>
      </c>
      <c r="BK35" s="216">
        <v>29281</v>
      </c>
      <c r="BL35" s="216">
        <v>932</v>
      </c>
      <c r="BM35" s="216">
        <v>3272</v>
      </c>
      <c r="BN35" s="216" t="s">
        <v>3</v>
      </c>
      <c r="BO35" s="216">
        <v>1450</v>
      </c>
      <c r="BP35" s="216" t="s">
        <v>3</v>
      </c>
      <c r="BQ35" s="216">
        <v>3909</v>
      </c>
      <c r="BR35" s="216" t="s">
        <v>3</v>
      </c>
      <c r="BS35" s="216">
        <v>58</v>
      </c>
      <c r="BT35" s="216" t="s">
        <v>3</v>
      </c>
      <c r="BU35" s="216">
        <v>0</v>
      </c>
      <c r="BV35" s="216">
        <v>0</v>
      </c>
      <c r="BW35" s="216">
        <v>37970</v>
      </c>
      <c r="BX35" s="216">
        <v>-342</v>
      </c>
      <c r="BY35" s="216">
        <v>0</v>
      </c>
      <c r="BZ35" s="216">
        <v>-2130</v>
      </c>
      <c r="CA35" s="216">
        <v>-552</v>
      </c>
      <c r="CB35" s="216">
        <v>-2472</v>
      </c>
      <c r="CC35" s="216">
        <v>35498</v>
      </c>
      <c r="CD35" s="216">
        <v>4877</v>
      </c>
      <c r="CE35" s="216">
        <v>25204</v>
      </c>
      <c r="CF35" s="216">
        <v>65579</v>
      </c>
      <c r="CG35" s="216">
        <v>0</v>
      </c>
      <c r="CH35" s="216">
        <v>679</v>
      </c>
      <c r="CI35" s="216">
        <v>162</v>
      </c>
      <c r="CJ35" s="216">
        <v>432</v>
      </c>
      <c r="CK35" s="216">
        <v>-69</v>
      </c>
      <c r="CL35" s="216">
        <v>0</v>
      </c>
      <c r="CM35" s="216">
        <v>0</v>
      </c>
      <c r="CN35" s="216">
        <v>0</v>
      </c>
      <c r="CO35" s="333">
        <v>12.8</v>
      </c>
      <c r="CP35" s="216">
        <v>168</v>
      </c>
      <c r="CQ35" s="216">
        <v>2261</v>
      </c>
      <c r="CR35" s="216">
        <v>4082</v>
      </c>
      <c r="CS35" s="216">
        <v>6343</v>
      </c>
      <c r="CT35" s="216">
        <v>31111</v>
      </c>
      <c r="CU35" s="216">
        <v>2067</v>
      </c>
      <c r="CV35" s="216">
        <v>0</v>
      </c>
      <c r="CW35" s="216">
        <v>33178</v>
      </c>
      <c r="CX35" s="216">
        <v>171</v>
      </c>
      <c r="CY35" s="216">
        <v>683</v>
      </c>
      <c r="CZ35" s="216">
        <v>0</v>
      </c>
      <c r="DA35" s="216">
        <v>40375</v>
      </c>
      <c r="DB35" s="333">
        <v>5.9277944190446155</v>
      </c>
      <c r="DC35" s="333">
        <v>5.8382060401470852</v>
      </c>
      <c r="DD35" s="333">
        <v>6.4327485380116958</v>
      </c>
      <c r="DE35" s="333">
        <v>10.68814055636896</v>
      </c>
      <c r="DF35" s="333">
        <v>0</v>
      </c>
      <c r="DG35" s="333">
        <v>5.9368421052631577</v>
      </c>
      <c r="DH35" s="216">
        <v>-2234</v>
      </c>
      <c r="DI35" s="216">
        <v>-274</v>
      </c>
      <c r="DJ35" s="216">
        <v>0</v>
      </c>
      <c r="DK35" s="216">
        <v>-1822</v>
      </c>
      <c r="DL35" s="216">
        <v>-12</v>
      </c>
      <c r="DM35" s="216">
        <v>11227</v>
      </c>
      <c r="DN35" s="216">
        <v>2616</v>
      </c>
      <c r="DO35" s="216">
        <v>166</v>
      </c>
      <c r="DP35" s="216">
        <v>9667</v>
      </c>
      <c r="DQ35" s="216">
        <v>437</v>
      </c>
      <c r="DR35" s="216">
        <v>8308</v>
      </c>
      <c r="DS35" s="216">
        <v>2500</v>
      </c>
      <c r="DT35" s="216">
        <v>390</v>
      </c>
      <c r="DU35" s="216">
        <v>0</v>
      </c>
      <c r="DV35" s="216">
        <v>0</v>
      </c>
      <c r="DW35" s="216">
        <v>2686</v>
      </c>
      <c r="DX35" s="216">
        <v>0</v>
      </c>
      <c r="DY35" s="216">
        <v>162</v>
      </c>
      <c r="DZ35" s="216">
        <v>110</v>
      </c>
      <c r="EA35" s="216">
        <v>77</v>
      </c>
      <c r="EB35" s="216">
        <v>0</v>
      </c>
      <c r="EC35" s="216">
        <v>68</v>
      </c>
      <c r="ED35" s="216">
        <v>46</v>
      </c>
      <c r="EE35" s="216">
        <v>7</v>
      </c>
      <c r="EF35" s="216">
        <v>162</v>
      </c>
      <c r="EG35" s="216">
        <v>0</v>
      </c>
      <c r="EH35" s="216">
        <v>0</v>
      </c>
      <c r="EI35" s="216">
        <v>0</v>
      </c>
      <c r="EJ35" s="216">
        <v>0</v>
      </c>
      <c r="EK35" s="216">
        <v>3318</v>
      </c>
    </row>
    <row r="36" spans="1:141" ht="15" customHeight="1" x14ac:dyDescent="0.2">
      <c r="A36" s="218" t="s">
        <v>32</v>
      </c>
      <c r="B36" s="218" t="s">
        <v>62</v>
      </c>
      <c r="C36" s="217" t="s">
        <v>61</v>
      </c>
      <c r="D36" s="216">
        <v>3</v>
      </c>
      <c r="E36" s="216">
        <v>71</v>
      </c>
      <c r="F36" s="216">
        <v>9</v>
      </c>
      <c r="G36" s="216">
        <v>2</v>
      </c>
      <c r="H36" s="216">
        <v>85</v>
      </c>
      <c r="I36" s="216">
        <v>10</v>
      </c>
      <c r="J36" s="216">
        <v>121</v>
      </c>
      <c r="K36" s="216">
        <v>7</v>
      </c>
      <c r="L36" s="216">
        <v>154</v>
      </c>
      <c r="M36" s="216">
        <v>80</v>
      </c>
      <c r="N36" s="216">
        <v>2</v>
      </c>
      <c r="O36" s="216">
        <v>21</v>
      </c>
      <c r="P36" s="216">
        <v>385</v>
      </c>
      <c r="Q36" s="216">
        <v>179</v>
      </c>
      <c r="R36" s="216">
        <v>21</v>
      </c>
      <c r="S36" s="216">
        <v>17</v>
      </c>
      <c r="T36" s="333">
        <v>3</v>
      </c>
      <c r="U36" s="333">
        <v>7</v>
      </c>
      <c r="V36" s="333">
        <v>26</v>
      </c>
      <c r="W36" s="333">
        <v>52</v>
      </c>
      <c r="X36" s="333">
        <v>111</v>
      </c>
      <c r="Y36" s="333">
        <v>75</v>
      </c>
      <c r="Z36" s="333">
        <v>250</v>
      </c>
      <c r="AA36" s="333">
        <v>522</v>
      </c>
      <c r="AB36" s="216">
        <v>529</v>
      </c>
      <c r="AC36" s="333">
        <v>0</v>
      </c>
      <c r="AD36" s="333">
        <v>0</v>
      </c>
      <c r="AE36" s="333">
        <v>75</v>
      </c>
      <c r="AF36" s="333">
        <v>184</v>
      </c>
      <c r="AG36" s="333">
        <v>682</v>
      </c>
      <c r="AH36" s="333">
        <v>941</v>
      </c>
      <c r="AI36" s="216">
        <v>1144</v>
      </c>
      <c r="AJ36" s="333">
        <v>33</v>
      </c>
      <c r="AK36" s="333">
        <v>253</v>
      </c>
      <c r="AL36" s="333">
        <v>1749</v>
      </c>
      <c r="AM36" s="216">
        <v>1257</v>
      </c>
      <c r="AN36" s="216">
        <v>1283</v>
      </c>
      <c r="AO36" s="216">
        <v>26</v>
      </c>
      <c r="AP36" s="216">
        <v>4</v>
      </c>
      <c r="AQ36" s="216">
        <v>117</v>
      </c>
      <c r="AR36" s="216">
        <v>56</v>
      </c>
      <c r="AS36" s="216">
        <v>1302</v>
      </c>
      <c r="AT36" s="216">
        <v>63</v>
      </c>
      <c r="AU36" s="216">
        <v>64</v>
      </c>
      <c r="AV36" s="216">
        <v>607</v>
      </c>
      <c r="AW36" s="216">
        <v>281</v>
      </c>
      <c r="AX36" s="216">
        <v>98</v>
      </c>
      <c r="AY36" s="216">
        <v>28716</v>
      </c>
      <c r="AZ36" s="216" t="s">
        <v>3</v>
      </c>
      <c r="BA36" s="216">
        <v>12618</v>
      </c>
      <c r="BB36" s="216" t="s">
        <v>3</v>
      </c>
      <c r="BC36" s="216">
        <v>1422</v>
      </c>
      <c r="BD36" s="216" t="s">
        <v>3</v>
      </c>
      <c r="BE36" s="216">
        <v>9661</v>
      </c>
      <c r="BF36" s="216" t="s">
        <v>3</v>
      </c>
      <c r="BG36" s="216">
        <v>3473</v>
      </c>
      <c r="BH36" s="216" t="s">
        <v>3</v>
      </c>
      <c r="BI36" s="216">
        <v>487</v>
      </c>
      <c r="BJ36" s="216" t="s">
        <v>3</v>
      </c>
      <c r="BK36" s="216">
        <v>56377</v>
      </c>
      <c r="BL36" s="216" t="s">
        <v>3</v>
      </c>
      <c r="BM36" s="216">
        <v>3933</v>
      </c>
      <c r="BN36" s="216" t="s">
        <v>3</v>
      </c>
      <c r="BO36" s="216">
        <v>4259</v>
      </c>
      <c r="BP36" s="216" t="s">
        <v>3</v>
      </c>
      <c r="BQ36" s="216">
        <v>8449</v>
      </c>
      <c r="BR36" s="216">
        <v>31</v>
      </c>
      <c r="BS36" s="216">
        <v>768</v>
      </c>
      <c r="BT36" s="216" t="s">
        <v>3</v>
      </c>
      <c r="BU36" s="216">
        <v>0</v>
      </c>
      <c r="BV36" s="216">
        <v>0</v>
      </c>
      <c r="BW36" s="216">
        <v>73786</v>
      </c>
      <c r="BX36" s="216">
        <v>-4752</v>
      </c>
      <c r="BY36" s="216">
        <v>0</v>
      </c>
      <c r="BZ36" s="216">
        <v>-768</v>
      </c>
      <c r="CA36" s="216">
        <v>-64</v>
      </c>
      <c r="CB36" s="216">
        <v>-5520</v>
      </c>
      <c r="CC36" s="216">
        <v>68266</v>
      </c>
      <c r="CD36" s="216">
        <v>6930</v>
      </c>
      <c r="CE36" s="216">
        <v>9414</v>
      </c>
      <c r="CF36" s="216">
        <v>84610</v>
      </c>
      <c r="CG36" s="216">
        <v>0</v>
      </c>
      <c r="CH36" s="216">
        <v>2004</v>
      </c>
      <c r="CI36" s="216">
        <v>0</v>
      </c>
      <c r="CJ36" s="216">
        <v>1084</v>
      </c>
      <c r="CK36" s="216">
        <v>345</v>
      </c>
      <c r="CL36" s="216">
        <v>90</v>
      </c>
      <c r="CM36" s="216">
        <v>0</v>
      </c>
      <c r="CN36" s="216">
        <v>-64</v>
      </c>
      <c r="CO36" s="333">
        <v>19.600000000000001</v>
      </c>
      <c r="CP36" s="216" t="s">
        <v>3</v>
      </c>
      <c r="CQ36" s="216" t="s">
        <v>3</v>
      </c>
      <c r="CR36" s="216" t="s">
        <v>3</v>
      </c>
      <c r="CS36" s="216">
        <v>4081</v>
      </c>
      <c r="CT36" s="216" t="s">
        <v>3</v>
      </c>
      <c r="CU36" s="216" t="s">
        <v>3</v>
      </c>
      <c r="CV36" s="216" t="s">
        <v>3</v>
      </c>
      <c r="CW36" s="216">
        <v>69662</v>
      </c>
      <c r="CX36" s="216">
        <v>337</v>
      </c>
      <c r="CY36" s="216">
        <v>1116</v>
      </c>
      <c r="CZ36" s="216">
        <v>0</v>
      </c>
      <c r="DA36" s="216">
        <v>75196</v>
      </c>
      <c r="DB36" s="333">
        <v>28.522420975251162</v>
      </c>
      <c r="DC36" s="333">
        <v>29.028738767190148</v>
      </c>
      <c r="DD36" s="333">
        <v>31.454005934718097</v>
      </c>
      <c r="DE36" s="333">
        <v>40.949820788530467</v>
      </c>
      <c r="DF36" s="333">
        <v>0</v>
      </c>
      <c r="DG36" s="333">
        <v>29.189052609181338</v>
      </c>
      <c r="DH36" s="216">
        <v>-4470</v>
      </c>
      <c r="DI36" s="216">
        <v>-281</v>
      </c>
      <c r="DJ36" s="216">
        <v>0</v>
      </c>
      <c r="DK36" s="216">
        <v>-3810</v>
      </c>
      <c r="DL36" s="216">
        <v>-19</v>
      </c>
      <c r="DM36" s="216">
        <v>17480</v>
      </c>
      <c r="DN36" s="216">
        <v>4070</v>
      </c>
      <c r="DO36" s="216">
        <v>0</v>
      </c>
      <c r="DP36" s="216">
        <v>12970</v>
      </c>
      <c r="DQ36" s="216">
        <v>2380</v>
      </c>
      <c r="DR36" s="216">
        <v>31994</v>
      </c>
      <c r="DS36" s="216">
        <v>5316</v>
      </c>
      <c r="DT36" s="216">
        <v>1167</v>
      </c>
      <c r="DU36" s="216">
        <v>0</v>
      </c>
      <c r="DV36" s="216">
        <v>0</v>
      </c>
      <c r="DW36" s="216">
        <v>83</v>
      </c>
      <c r="DX36" s="216">
        <v>148</v>
      </c>
      <c r="DY36" s="216">
        <v>581</v>
      </c>
      <c r="DZ36" s="216">
        <v>1584</v>
      </c>
      <c r="EA36" s="216">
        <v>0</v>
      </c>
      <c r="EB36" s="216">
        <v>30</v>
      </c>
      <c r="EC36" s="216">
        <v>0</v>
      </c>
      <c r="ED36" s="216">
        <v>74</v>
      </c>
      <c r="EE36" s="216">
        <v>0</v>
      </c>
      <c r="EF36" s="216">
        <v>0</v>
      </c>
      <c r="EG36" s="216">
        <v>236</v>
      </c>
      <c r="EH36" s="216">
        <v>0</v>
      </c>
      <c r="EI36" s="216">
        <v>0</v>
      </c>
      <c r="EJ36" s="216">
        <v>142</v>
      </c>
      <c r="EK36" s="216">
        <v>2878</v>
      </c>
    </row>
    <row r="37" spans="1:141" ht="15" customHeight="1" x14ac:dyDescent="0.2">
      <c r="A37" s="218" t="s">
        <v>32</v>
      </c>
      <c r="B37" s="218" t="s">
        <v>359</v>
      </c>
      <c r="C37" s="217" t="s">
        <v>358</v>
      </c>
      <c r="D37" s="216">
        <v>3</v>
      </c>
      <c r="E37" s="216">
        <v>37</v>
      </c>
      <c r="F37" s="216">
        <v>10</v>
      </c>
      <c r="G37" s="216">
        <v>0</v>
      </c>
      <c r="H37" s="216">
        <v>50</v>
      </c>
      <c r="I37" s="216">
        <v>6</v>
      </c>
      <c r="J37" s="216">
        <v>74</v>
      </c>
      <c r="K37" s="216">
        <v>4</v>
      </c>
      <c r="L37" s="216">
        <v>58</v>
      </c>
      <c r="M37" s="216">
        <v>50</v>
      </c>
      <c r="N37" s="216">
        <v>4</v>
      </c>
      <c r="O37" s="216">
        <v>3</v>
      </c>
      <c r="P37" s="216">
        <v>193</v>
      </c>
      <c r="Q37" s="216">
        <v>195</v>
      </c>
      <c r="R37" s="216">
        <v>8</v>
      </c>
      <c r="S37" s="216">
        <v>7</v>
      </c>
      <c r="T37" s="333">
        <v>3</v>
      </c>
      <c r="U37" s="333">
        <v>5</v>
      </c>
      <c r="V37" s="333">
        <v>10</v>
      </c>
      <c r="W37" s="333">
        <v>37</v>
      </c>
      <c r="X37" s="333">
        <v>74</v>
      </c>
      <c r="Y37" s="333">
        <v>67</v>
      </c>
      <c r="Z37" s="333">
        <v>228</v>
      </c>
      <c r="AA37" s="333">
        <v>424</v>
      </c>
      <c r="AB37" s="216">
        <v>424</v>
      </c>
      <c r="AC37" s="333">
        <v>0</v>
      </c>
      <c r="AD37" s="333">
        <v>0</v>
      </c>
      <c r="AE37" s="333">
        <v>55</v>
      </c>
      <c r="AF37" s="333">
        <v>101</v>
      </c>
      <c r="AG37" s="333">
        <v>316</v>
      </c>
      <c r="AH37" s="333">
        <v>472</v>
      </c>
      <c r="AI37" s="216">
        <v>581</v>
      </c>
      <c r="AJ37" s="333">
        <v>34</v>
      </c>
      <c r="AK37" s="333">
        <v>260</v>
      </c>
      <c r="AL37" s="333">
        <v>1190</v>
      </c>
      <c r="AM37" s="216">
        <v>883</v>
      </c>
      <c r="AN37" s="216">
        <v>900</v>
      </c>
      <c r="AO37" s="216">
        <v>34</v>
      </c>
      <c r="AP37" s="216">
        <v>7</v>
      </c>
      <c r="AQ37" s="216">
        <v>80</v>
      </c>
      <c r="AR37" s="216">
        <v>73</v>
      </c>
      <c r="AS37" s="216">
        <v>846</v>
      </c>
      <c r="AT37" s="216">
        <v>59</v>
      </c>
      <c r="AU37" s="216">
        <v>47</v>
      </c>
      <c r="AV37" s="216">
        <v>277</v>
      </c>
      <c r="AW37" s="216">
        <v>172</v>
      </c>
      <c r="AX37" s="216">
        <v>57</v>
      </c>
      <c r="AY37" s="216">
        <v>23568</v>
      </c>
      <c r="AZ37" s="216">
        <v>0</v>
      </c>
      <c r="BA37" s="216">
        <v>7267</v>
      </c>
      <c r="BB37" s="216">
        <v>0</v>
      </c>
      <c r="BC37" s="216">
        <v>1430</v>
      </c>
      <c r="BD37" s="216">
        <v>1430</v>
      </c>
      <c r="BE37" s="216">
        <v>9719</v>
      </c>
      <c r="BF37" s="216">
        <v>353</v>
      </c>
      <c r="BG37" s="216">
        <v>520</v>
      </c>
      <c r="BH37" s="216">
        <v>2</v>
      </c>
      <c r="BI37" s="216">
        <v>1358</v>
      </c>
      <c r="BJ37" s="216">
        <v>4</v>
      </c>
      <c r="BK37" s="216">
        <v>43862</v>
      </c>
      <c r="BL37" s="216">
        <v>1789</v>
      </c>
      <c r="BM37" s="216">
        <v>3781</v>
      </c>
      <c r="BN37" s="216">
        <v>0</v>
      </c>
      <c r="BO37" s="216">
        <v>1410</v>
      </c>
      <c r="BP37" s="216">
        <v>6</v>
      </c>
      <c r="BQ37" s="216">
        <v>5145</v>
      </c>
      <c r="BR37" s="216">
        <v>702</v>
      </c>
      <c r="BS37" s="216">
        <v>1727</v>
      </c>
      <c r="BT37" s="216">
        <v>57</v>
      </c>
      <c r="BU37" s="216">
        <v>0</v>
      </c>
      <c r="BV37" s="216">
        <v>0</v>
      </c>
      <c r="BW37" s="216">
        <v>55925</v>
      </c>
      <c r="BX37" s="216">
        <v>-2164</v>
      </c>
      <c r="BY37" s="216">
        <v>0</v>
      </c>
      <c r="BZ37" s="216">
        <v>-1460</v>
      </c>
      <c r="CA37" s="216">
        <v>-584</v>
      </c>
      <c r="CB37" s="216">
        <v>-3624</v>
      </c>
      <c r="CC37" s="216">
        <v>52301</v>
      </c>
      <c r="CD37" s="216">
        <v>4013</v>
      </c>
      <c r="CE37" s="216">
        <v>5815</v>
      </c>
      <c r="CF37" s="216">
        <v>62129</v>
      </c>
      <c r="CG37" s="216">
        <v>1103</v>
      </c>
      <c r="CH37" s="216">
        <v>1406</v>
      </c>
      <c r="CI37" s="216">
        <v>110</v>
      </c>
      <c r="CJ37" s="216">
        <v>434</v>
      </c>
      <c r="CK37" s="216">
        <v>-53</v>
      </c>
      <c r="CL37" s="216">
        <v>840</v>
      </c>
      <c r="CM37" s="216">
        <v>0</v>
      </c>
      <c r="CN37" s="216">
        <v>-21</v>
      </c>
      <c r="CO37" s="333">
        <v>18.8</v>
      </c>
      <c r="CP37" s="216">
        <v>232</v>
      </c>
      <c r="CQ37" s="216" t="s">
        <v>3</v>
      </c>
      <c r="CR37" s="216" t="s">
        <v>3</v>
      </c>
      <c r="CS37" s="216">
        <v>9309</v>
      </c>
      <c r="CT37" s="216" t="s">
        <v>3</v>
      </c>
      <c r="CU37" s="216" t="s">
        <v>3</v>
      </c>
      <c r="CV37" s="216" t="s">
        <v>3</v>
      </c>
      <c r="CW37" s="216">
        <v>44635</v>
      </c>
      <c r="CX37" s="216">
        <v>79</v>
      </c>
      <c r="CY37" s="216">
        <v>552</v>
      </c>
      <c r="CZ37" s="216">
        <v>1739</v>
      </c>
      <c r="DA37" s="216">
        <v>56314</v>
      </c>
      <c r="DB37" s="333" t="s">
        <v>3</v>
      </c>
      <c r="DC37" s="333" t="s">
        <v>3</v>
      </c>
      <c r="DD37" s="333" t="s">
        <v>3</v>
      </c>
      <c r="DE37" s="333" t="s">
        <v>3</v>
      </c>
      <c r="DF37" s="333" t="s">
        <v>3</v>
      </c>
      <c r="DG37" s="333" t="s">
        <v>3</v>
      </c>
      <c r="DH37" s="216">
        <v>-3265</v>
      </c>
      <c r="DI37" s="216">
        <v>-31</v>
      </c>
      <c r="DJ37" s="216">
        <v>0</v>
      </c>
      <c r="DK37" s="216">
        <v>-2813</v>
      </c>
      <c r="DL37" s="216">
        <v>0</v>
      </c>
      <c r="DM37" s="216">
        <v>12313</v>
      </c>
      <c r="DN37" s="216">
        <v>2493</v>
      </c>
      <c r="DO37" s="216">
        <v>0</v>
      </c>
      <c r="DP37" s="216">
        <v>8697</v>
      </c>
      <c r="DQ37" s="216">
        <v>1313</v>
      </c>
      <c r="DR37" s="216">
        <v>15611</v>
      </c>
      <c r="DS37" s="216">
        <v>6686</v>
      </c>
      <c r="DT37" s="216">
        <v>638</v>
      </c>
      <c r="DU37" s="216">
        <v>593</v>
      </c>
      <c r="DV37" s="216">
        <v>0</v>
      </c>
      <c r="DW37" s="216">
        <v>0</v>
      </c>
      <c r="DX37" s="216">
        <v>924</v>
      </c>
      <c r="DY37" s="216">
        <v>0</v>
      </c>
      <c r="DZ37" s="216">
        <v>3267</v>
      </c>
      <c r="EA37" s="216">
        <v>509</v>
      </c>
      <c r="EB37" s="216">
        <v>0</v>
      </c>
      <c r="EC37" s="216">
        <v>3</v>
      </c>
      <c r="ED37" s="216">
        <v>324</v>
      </c>
      <c r="EE37" s="216">
        <v>14</v>
      </c>
      <c r="EF37" s="216">
        <v>335</v>
      </c>
      <c r="EG37" s="216">
        <v>97</v>
      </c>
      <c r="EH37" s="216">
        <v>0</v>
      </c>
      <c r="EI37" s="216">
        <v>0</v>
      </c>
      <c r="EJ37" s="216">
        <v>0</v>
      </c>
      <c r="EK37" s="216">
        <v>6066</v>
      </c>
    </row>
    <row r="38" spans="1:141" ht="15" customHeight="1" x14ac:dyDescent="0.2">
      <c r="A38" s="218" t="s">
        <v>32</v>
      </c>
      <c r="B38" s="218" t="s">
        <v>58</v>
      </c>
      <c r="C38" s="217" t="s">
        <v>57</v>
      </c>
      <c r="D38" s="216">
        <v>2</v>
      </c>
      <c r="E38" s="216">
        <v>6</v>
      </c>
      <c r="F38" s="216">
        <v>7</v>
      </c>
      <c r="G38" s="216">
        <v>0</v>
      </c>
      <c r="H38" s="216">
        <v>15</v>
      </c>
      <c r="I38" s="216">
        <v>4</v>
      </c>
      <c r="J38" s="216">
        <v>26</v>
      </c>
      <c r="K38" s="216">
        <v>2</v>
      </c>
      <c r="L38" s="216">
        <v>15</v>
      </c>
      <c r="M38" s="216">
        <v>34</v>
      </c>
      <c r="N38" s="216">
        <v>3</v>
      </c>
      <c r="O38" s="216">
        <v>3</v>
      </c>
      <c r="P38" s="216">
        <v>83</v>
      </c>
      <c r="Q38" s="216">
        <v>38</v>
      </c>
      <c r="R38" s="216">
        <v>6</v>
      </c>
      <c r="S38" s="216">
        <v>4</v>
      </c>
      <c r="T38" s="333">
        <v>3</v>
      </c>
      <c r="U38" s="333">
        <v>3</v>
      </c>
      <c r="V38" s="333">
        <v>4</v>
      </c>
      <c r="W38" s="333">
        <v>23</v>
      </c>
      <c r="X38" s="333">
        <v>37</v>
      </c>
      <c r="Y38" s="333">
        <v>52</v>
      </c>
      <c r="Z38" s="333">
        <v>173</v>
      </c>
      <c r="AA38" s="333">
        <v>295</v>
      </c>
      <c r="AB38" s="216">
        <v>295</v>
      </c>
      <c r="AC38" s="333">
        <v>0</v>
      </c>
      <c r="AD38" s="333">
        <v>0</v>
      </c>
      <c r="AE38" s="333">
        <v>10</v>
      </c>
      <c r="AF38" s="333">
        <v>26</v>
      </c>
      <c r="AG38" s="333">
        <v>101</v>
      </c>
      <c r="AH38" s="333">
        <v>137</v>
      </c>
      <c r="AI38" s="216">
        <v>180</v>
      </c>
      <c r="AJ38" s="333">
        <v>21</v>
      </c>
      <c r="AK38" s="333">
        <v>80</v>
      </c>
      <c r="AL38" s="333">
        <v>533</v>
      </c>
      <c r="AM38" s="216">
        <v>596</v>
      </c>
      <c r="AN38" s="216">
        <v>614</v>
      </c>
      <c r="AO38" s="216">
        <v>14</v>
      </c>
      <c r="AP38" s="216">
        <v>0</v>
      </c>
      <c r="AQ38" s="216">
        <v>43</v>
      </c>
      <c r="AR38" s="216">
        <v>3</v>
      </c>
      <c r="AS38" s="216">
        <v>384</v>
      </c>
      <c r="AT38" s="216">
        <v>8</v>
      </c>
      <c r="AU38" s="216">
        <v>29</v>
      </c>
      <c r="AV38" s="216">
        <v>128</v>
      </c>
      <c r="AW38" s="216">
        <v>72</v>
      </c>
      <c r="AX38" s="216">
        <v>12</v>
      </c>
      <c r="AY38" s="216">
        <v>17750</v>
      </c>
      <c r="AZ38" s="216">
        <v>0</v>
      </c>
      <c r="BA38" s="216">
        <v>2111</v>
      </c>
      <c r="BB38" s="216">
        <v>0</v>
      </c>
      <c r="BC38" s="216">
        <v>844</v>
      </c>
      <c r="BD38" s="216">
        <v>0</v>
      </c>
      <c r="BE38" s="216">
        <v>3264</v>
      </c>
      <c r="BF38" s="216">
        <v>0</v>
      </c>
      <c r="BG38" s="216">
        <v>428</v>
      </c>
      <c r="BH38" s="216">
        <v>0</v>
      </c>
      <c r="BI38" s="216">
        <v>232</v>
      </c>
      <c r="BJ38" s="216">
        <v>0</v>
      </c>
      <c r="BK38" s="216">
        <v>24629</v>
      </c>
      <c r="BL38" s="216">
        <v>0</v>
      </c>
      <c r="BM38" s="216">
        <v>2677</v>
      </c>
      <c r="BN38" s="216">
        <v>0</v>
      </c>
      <c r="BO38" s="216">
        <v>640</v>
      </c>
      <c r="BP38" s="216">
        <v>0</v>
      </c>
      <c r="BQ38" s="216">
        <v>3736</v>
      </c>
      <c r="BR38" s="216">
        <v>0</v>
      </c>
      <c r="BS38" s="216">
        <v>370</v>
      </c>
      <c r="BT38" s="216">
        <v>0</v>
      </c>
      <c r="BU38" s="216">
        <v>0</v>
      </c>
      <c r="BV38" s="216">
        <v>0</v>
      </c>
      <c r="BW38" s="216">
        <v>32052</v>
      </c>
      <c r="BX38" s="216">
        <v>-1702</v>
      </c>
      <c r="BY38" s="216">
        <v>0</v>
      </c>
      <c r="BZ38" s="216">
        <v>-838</v>
      </c>
      <c r="CA38" s="216">
        <v>0</v>
      </c>
      <c r="CB38" s="216">
        <v>-2540</v>
      </c>
      <c r="CC38" s="216">
        <v>29512</v>
      </c>
      <c r="CD38" s="216">
        <v>2920</v>
      </c>
      <c r="CE38" s="216">
        <v>3083</v>
      </c>
      <c r="CF38" s="216">
        <v>35515</v>
      </c>
      <c r="CG38" s="216">
        <v>0</v>
      </c>
      <c r="CH38" s="216">
        <v>1305</v>
      </c>
      <c r="CI38" s="216">
        <v>0</v>
      </c>
      <c r="CJ38" s="216">
        <v>136</v>
      </c>
      <c r="CK38" s="216">
        <v>-56</v>
      </c>
      <c r="CL38" s="216">
        <v>905</v>
      </c>
      <c r="CM38" s="216">
        <v>0</v>
      </c>
      <c r="CN38" s="216">
        <v>0</v>
      </c>
      <c r="CO38" s="333">
        <v>16.600000000000001</v>
      </c>
      <c r="CP38" s="216">
        <v>82</v>
      </c>
      <c r="CQ38" s="216" t="s">
        <v>3</v>
      </c>
      <c r="CR38" s="216" t="s">
        <v>3</v>
      </c>
      <c r="CS38" s="216">
        <v>6633</v>
      </c>
      <c r="CT38" s="216" t="s">
        <v>3</v>
      </c>
      <c r="CU38" s="216" t="s">
        <v>3</v>
      </c>
      <c r="CV38" s="216" t="s">
        <v>3</v>
      </c>
      <c r="CW38" s="216">
        <v>25587</v>
      </c>
      <c r="CX38" s="216">
        <v>0</v>
      </c>
      <c r="CY38" s="216">
        <v>212</v>
      </c>
      <c r="CZ38" s="216">
        <v>0</v>
      </c>
      <c r="DA38" s="216">
        <v>32432</v>
      </c>
      <c r="DB38" s="333">
        <v>3.1961405095733455</v>
      </c>
      <c r="DC38" s="333">
        <v>49.599405948333136</v>
      </c>
      <c r="DD38" s="333">
        <v>0</v>
      </c>
      <c r="DE38" s="333">
        <v>0</v>
      </c>
      <c r="DF38" s="333">
        <v>0</v>
      </c>
      <c r="DG38" s="333">
        <v>39.784780463739516</v>
      </c>
      <c r="DH38" s="216">
        <v>-1831</v>
      </c>
      <c r="DI38" s="216">
        <v>-165</v>
      </c>
      <c r="DJ38" s="216">
        <v>0</v>
      </c>
      <c r="DK38" s="216">
        <v>-1555</v>
      </c>
      <c r="DL38" s="216">
        <v>0</v>
      </c>
      <c r="DM38" s="216">
        <v>8929</v>
      </c>
      <c r="DN38" s="216">
        <v>1563</v>
      </c>
      <c r="DO38" s="216">
        <v>0</v>
      </c>
      <c r="DP38" s="216">
        <v>6941</v>
      </c>
      <c r="DQ38" s="216">
        <v>470</v>
      </c>
      <c r="DR38" s="216">
        <v>5929</v>
      </c>
      <c r="DS38" s="216">
        <v>1388</v>
      </c>
      <c r="DT38" s="216">
        <v>384</v>
      </c>
      <c r="DU38" s="216">
        <v>0</v>
      </c>
      <c r="DV38" s="216">
        <v>0</v>
      </c>
      <c r="DW38" s="216">
        <v>668</v>
      </c>
      <c r="DX38" s="216">
        <v>39</v>
      </c>
      <c r="DY38" s="216">
        <v>0</v>
      </c>
      <c r="DZ38" s="216">
        <v>0</v>
      </c>
      <c r="EA38" s="216">
        <v>79</v>
      </c>
      <c r="EB38" s="216">
        <v>0</v>
      </c>
      <c r="EC38" s="216">
        <v>21</v>
      </c>
      <c r="ED38" s="216">
        <v>0</v>
      </c>
      <c r="EE38" s="216">
        <v>136</v>
      </c>
      <c r="EF38" s="216">
        <v>0</v>
      </c>
      <c r="EG38" s="216">
        <v>63</v>
      </c>
      <c r="EH38" s="216">
        <v>0</v>
      </c>
      <c r="EI38" s="216">
        <v>0</v>
      </c>
      <c r="EJ38" s="216">
        <v>54</v>
      </c>
      <c r="EK38" s="216">
        <v>1060</v>
      </c>
    </row>
    <row r="39" spans="1:141" ht="15" customHeight="1" x14ac:dyDescent="0.2">
      <c r="A39" s="218" t="s">
        <v>32</v>
      </c>
      <c r="B39" s="218" t="s">
        <v>56</v>
      </c>
      <c r="C39" s="217" t="s">
        <v>55</v>
      </c>
      <c r="D39" s="362">
        <v>6</v>
      </c>
      <c r="E39" s="362">
        <v>12</v>
      </c>
      <c r="F39" s="362">
        <v>6</v>
      </c>
      <c r="G39" s="362">
        <v>0</v>
      </c>
      <c r="H39" s="362">
        <v>24</v>
      </c>
      <c r="I39" s="362">
        <v>3</v>
      </c>
      <c r="J39" s="362">
        <v>41</v>
      </c>
      <c r="K39" s="362">
        <v>3</v>
      </c>
      <c r="L39" s="368">
        <v>2</v>
      </c>
      <c r="M39" s="368">
        <v>47</v>
      </c>
      <c r="N39" s="368">
        <v>0</v>
      </c>
      <c r="O39" s="368">
        <v>9</v>
      </c>
      <c r="P39" s="368">
        <v>102</v>
      </c>
      <c r="Q39" s="368">
        <v>84</v>
      </c>
      <c r="R39" s="368">
        <v>2</v>
      </c>
      <c r="S39" s="368">
        <v>3</v>
      </c>
      <c r="T39" s="363">
        <v>3</v>
      </c>
      <c r="U39" s="363">
        <v>3</v>
      </c>
      <c r="V39" s="363">
        <v>8</v>
      </c>
      <c r="W39" s="363">
        <v>25</v>
      </c>
      <c r="X39" s="363">
        <v>56</v>
      </c>
      <c r="Y39" s="363">
        <v>59</v>
      </c>
      <c r="Z39" s="363">
        <v>198</v>
      </c>
      <c r="AA39" s="363">
        <v>351</v>
      </c>
      <c r="AB39" s="362">
        <v>352</v>
      </c>
      <c r="AC39" s="363">
        <v>0</v>
      </c>
      <c r="AD39" s="363">
        <v>0</v>
      </c>
      <c r="AE39" s="363">
        <v>14</v>
      </c>
      <c r="AF39" s="363">
        <v>28</v>
      </c>
      <c r="AG39" s="363">
        <v>154</v>
      </c>
      <c r="AH39" s="363">
        <v>196</v>
      </c>
      <c r="AI39" s="362">
        <v>235</v>
      </c>
      <c r="AJ39" s="363">
        <v>45</v>
      </c>
      <c r="AK39" s="363">
        <v>162</v>
      </c>
      <c r="AL39" s="363">
        <v>753</v>
      </c>
      <c r="AM39" s="362" t="s">
        <v>3</v>
      </c>
      <c r="AN39" s="362" t="s">
        <v>3</v>
      </c>
      <c r="AO39" s="362" t="s">
        <v>3</v>
      </c>
      <c r="AP39" s="362" t="s">
        <v>3</v>
      </c>
      <c r="AQ39" s="362" t="s">
        <v>3</v>
      </c>
      <c r="AR39" s="362" t="s">
        <v>3</v>
      </c>
      <c r="AS39" s="362" t="s">
        <v>3</v>
      </c>
      <c r="AT39" s="362" t="s">
        <v>3</v>
      </c>
      <c r="AU39" s="362" t="s">
        <v>3</v>
      </c>
      <c r="AV39" s="362" t="s">
        <v>3</v>
      </c>
      <c r="AW39" s="362" t="s">
        <v>3</v>
      </c>
      <c r="AX39" s="362" t="s">
        <v>3</v>
      </c>
      <c r="AY39" s="362">
        <v>16533.080859999998</v>
      </c>
      <c r="AZ39" s="362">
        <v>79.123709999999988</v>
      </c>
      <c r="BA39" s="362">
        <v>2133.9435800000001</v>
      </c>
      <c r="BB39" s="362">
        <v>0</v>
      </c>
      <c r="BC39" s="362">
        <v>1955.5976999999998</v>
      </c>
      <c r="BD39" s="362">
        <v>1812.70526</v>
      </c>
      <c r="BE39" s="362">
        <v>5871.8395100000007</v>
      </c>
      <c r="BF39" s="362">
        <v>0</v>
      </c>
      <c r="BG39" s="362">
        <v>811.03707999999995</v>
      </c>
      <c r="BH39" s="362">
        <v>0.245</v>
      </c>
      <c r="BI39" s="362">
        <v>1039.7499199999997</v>
      </c>
      <c r="BJ39" s="362">
        <v>6.8811900000000001</v>
      </c>
      <c r="BK39" s="362">
        <v>28345.248649999994</v>
      </c>
      <c r="BL39" s="362">
        <v>1898.95516</v>
      </c>
      <c r="BM39" s="362">
        <v>2347.9080700000009</v>
      </c>
      <c r="BN39" s="362">
        <v>17.566330000000001</v>
      </c>
      <c r="BO39" s="362">
        <v>1181.6636199999998</v>
      </c>
      <c r="BP39" s="362">
        <v>0.62008000000000008</v>
      </c>
      <c r="BQ39" s="362">
        <v>6846.3233599999994</v>
      </c>
      <c r="BR39" s="362">
        <v>111.43139000000001</v>
      </c>
      <c r="BS39" s="362">
        <v>947.67369999999994</v>
      </c>
      <c r="BT39" s="362">
        <v>357.01476000000002</v>
      </c>
      <c r="BU39" s="362">
        <v>0</v>
      </c>
      <c r="BV39" s="362">
        <v>2289.6102999999998</v>
      </c>
      <c r="BW39" s="362">
        <v>41958.427699999993</v>
      </c>
      <c r="BX39" s="362">
        <v>-932.53217999999993</v>
      </c>
      <c r="BY39" s="362">
        <v>-1373.36617</v>
      </c>
      <c r="BZ39" s="362">
        <v>-1099.2051000000004</v>
      </c>
      <c r="CA39" s="362">
        <v>-1373.36617</v>
      </c>
      <c r="CB39" s="362">
        <v>-3405.1034500000005</v>
      </c>
      <c r="CC39" s="362">
        <v>38553</v>
      </c>
      <c r="CD39" s="362">
        <v>2966</v>
      </c>
      <c r="CE39" s="362" t="s">
        <v>3</v>
      </c>
      <c r="CF39" s="362" t="s">
        <v>3</v>
      </c>
      <c r="CG39" s="362" t="s">
        <v>3</v>
      </c>
      <c r="CH39" s="362">
        <v>431</v>
      </c>
      <c r="CI39" s="362" t="s">
        <v>3</v>
      </c>
      <c r="CJ39" s="362">
        <v>496</v>
      </c>
      <c r="CK39" s="362">
        <v>-206</v>
      </c>
      <c r="CL39" s="362" t="s">
        <v>3</v>
      </c>
      <c r="CM39" s="362" t="s">
        <v>3</v>
      </c>
      <c r="CN39" s="362">
        <v>0</v>
      </c>
      <c r="CO39" s="363" t="s">
        <v>3</v>
      </c>
      <c r="CP39" s="362" t="s">
        <v>3</v>
      </c>
      <c r="CQ39" s="362">
        <v>1002.3714699999999</v>
      </c>
      <c r="CR39" s="362">
        <v>1073.3096699999999</v>
      </c>
      <c r="CS39" s="362">
        <v>2076</v>
      </c>
      <c r="CT39" s="362">
        <v>21391.744912000002</v>
      </c>
      <c r="CU39" s="362">
        <v>1757.61203</v>
      </c>
      <c r="CV39" s="362">
        <v>173.2997</v>
      </c>
      <c r="CW39" s="362">
        <v>23323</v>
      </c>
      <c r="CX39" s="362">
        <v>41</v>
      </c>
      <c r="CY39" s="362">
        <v>850</v>
      </c>
      <c r="CZ39" s="362">
        <v>15229</v>
      </c>
      <c r="DA39" s="362">
        <v>41519</v>
      </c>
      <c r="DB39" s="363" t="s">
        <v>3</v>
      </c>
      <c r="DC39" s="363" t="s">
        <v>3</v>
      </c>
      <c r="DD39" s="363" t="s">
        <v>3</v>
      </c>
      <c r="DE39" s="363" t="s">
        <v>3</v>
      </c>
      <c r="DF39" s="363" t="s">
        <v>3</v>
      </c>
      <c r="DG39" s="363" t="s">
        <v>3</v>
      </c>
      <c r="DH39" s="362">
        <v>-2248</v>
      </c>
      <c r="DI39" s="362">
        <v>-31</v>
      </c>
      <c r="DJ39" s="362">
        <v>0</v>
      </c>
      <c r="DK39" s="362">
        <v>-1829</v>
      </c>
      <c r="DL39" s="362">
        <v>0</v>
      </c>
      <c r="DM39" s="362">
        <v>9528</v>
      </c>
      <c r="DN39" s="362">
        <v>2471</v>
      </c>
      <c r="DO39" s="362">
        <v>61</v>
      </c>
      <c r="DP39" s="362">
        <v>7952</v>
      </c>
      <c r="DQ39" s="362">
        <v>0</v>
      </c>
      <c r="DR39" s="362">
        <v>10096</v>
      </c>
      <c r="DS39" s="362">
        <v>3142</v>
      </c>
      <c r="DT39" s="362">
        <v>319</v>
      </c>
      <c r="DU39" s="362">
        <v>0</v>
      </c>
      <c r="DV39" s="362">
        <v>0</v>
      </c>
      <c r="DW39" s="362">
        <v>0</v>
      </c>
      <c r="DX39" s="362">
        <v>317</v>
      </c>
      <c r="DY39" s="362">
        <v>0</v>
      </c>
      <c r="DZ39" s="362">
        <v>680</v>
      </c>
      <c r="EA39" s="362">
        <v>0</v>
      </c>
      <c r="EB39" s="362">
        <v>0</v>
      </c>
      <c r="EC39" s="362">
        <v>0</v>
      </c>
      <c r="ED39" s="362">
        <v>13</v>
      </c>
      <c r="EE39" s="362">
        <v>0</v>
      </c>
      <c r="EF39" s="362">
        <v>0</v>
      </c>
      <c r="EG39" s="362">
        <v>0</v>
      </c>
      <c r="EH39" s="362">
        <v>0</v>
      </c>
      <c r="EI39" s="362">
        <v>0</v>
      </c>
      <c r="EJ39" s="362">
        <v>0</v>
      </c>
      <c r="EK39" s="362">
        <v>1010</v>
      </c>
    </row>
    <row r="40" spans="1:141" ht="15" customHeight="1" x14ac:dyDescent="0.2">
      <c r="A40" s="218" t="s">
        <v>32</v>
      </c>
      <c r="B40" s="218" t="s">
        <v>54</v>
      </c>
      <c r="C40" s="217" t="s">
        <v>53</v>
      </c>
      <c r="D40" s="216">
        <v>13</v>
      </c>
      <c r="E40" s="216">
        <v>34</v>
      </c>
      <c r="F40" s="216">
        <v>3</v>
      </c>
      <c r="G40" s="216">
        <v>0</v>
      </c>
      <c r="H40" s="216">
        <v>50</v>
      </c>
      <c r="I40" s="216">
        <v>19</v>
      </c>
      <c r="J40" s="216">
        <v>69</v>
      </c>
      <c r="K40" s="216">
        <v>4</v>
      </c>
      <c r="L40" s="216">
        <v>26</v>
      </c>
      <c r="M40" s="216">
        <v>49</v>
      </c>
      <c r="N40" s="216">
        <v>0</v>
      </c>
      <c r="O40" s="216">
        <v>13</v>
      </c>
      <c r="P40" s="216">
        <v>161</v>
      </c>
      <c r="Q40" s="216">
        <v>129</v>
      </c>
      <c r="R40" s="216">
        <v>14</v>
      </c>
      <c r="S40" s="216">
        <v>6</v>
      </c>
      <c r="T40" s="333">
        <v>1</v>
      </c>
      <c r="U40" s="333">
        <v>4</v>
      </c>
      <c r="V40" s="333">
        <v>13</v>
      </c>
      <c r="W40" s="333">
        <v>39</v>
      </c>
      <c r="X40" s="333">
        <v>118</v>
      </c>
      <c r="Y40" s="333">
        <v>85</v>
      </c>
      <c r="Z40" s="333">
        <v>368</v>
      </c>
      <c r="AA40" s="333">
        <v>628</v>
      </c>
      <c r="AB40" s="216">
        <v>629</v>
      </c>
      <c r="AC40" s="333">
        <v>0</v>
      </c>
      <c r="AD40" s="333">
        <v>4</v>
      </c>
      <c r="AE40" s="333">
        <v>25</v>
      </c>
      <c r="AF40" s="333">
        <v>72</v>
      </c>
      <c r="AG40" s="333">
        <v>297</v>
      </c>
      <c r="AH40" s="333">
        <v>398</v>
      </c>
      <c r="AI40" s="216">
        <v>500</v>
      </c>
      <c r="AJ40" s="333">
        <v>31</v>
      </c>
      <c r="AK40" s="333">
        <v>263</v>
      </c>
      <c r="AL40" s="333">
        <v>1320</v>
      </c>
      <c r="AM40" s="216">
        <v>1292</v>
      </c>
      <c r="AN40" s="216">
        <v>1300</v>
      </c>
      <c r="AO40" s="216">
        <v>46</v>
      </c>
      <c r="AP40" s="216">
        <v>2</v>
      </c>
      <c r="AQ40" s="216">
        <v>145</v>
      </c>
      <c r="AR40" s="216">
        <v>14</v>
      </c>
      <c r="AS40" s="216">
        <v>747</v>
      </c>
      <c r="AT40" s="216">
        <v>34</v>
      </c>
      <c r="AU40" s="216">
        <v>92</v>
      </c>
      <c r="AV40" s="216">
        <v>151</v>
      </c>
      <c r="AW40" s="216">
        <v>115</v>
      </c>
      <c r="AX40" s="216">
        <v>17</v>
      </c>
      <c r="AY40" s="216">
        <v>30993</v>
      </c>
      <c r="AZ40" s="216">
        <v>0</v>
      </c>
      <c r="BA40" s="216">
        <v>5634</v>
      </c>
      <c r="BB40" s="216">
        <v>0</v>
      </c>
      <c r="BC40" s="216">
        <v>1423</v>
      </c>
      <c r="BD40" s="216">
        <v>0</v>
      </c>
      <c r="BE40" s="216">
        <v>12995</v>
      </c>
      <c r="BF40" s="216">
        <v>0</v>
      </c>
      <c r="BG40" s="216">
        <v>2194</v>
      </c>
      <c r="BH40" s="216">
        <v>0</v>
      </c>
      <c r="BI40" s="216">
        <v>669</v>
      </c>
      <c r="BJ40" s="216">
        <v>0</v>
      </c>
      <c r="BK40" s="216">
        <v>53908</v>
      </c>
      <c r="BL40" s="216">
        <v>0</v>
      </c>
      <c r="BM40" s="216">
        <v>4314</v>
      </c>
      <c r="BN40" s="216">
        <v>0</v>
      </c>
      <c r="BO40" s="216">
        <v>1752</v>
      </c>
      <c r="BP40" s="216">
        <v>0</v>
      </c>
      <c r="BQ40" s="216">
        <v>7667</v>
      </c>
      <c r="BR40" s="216">
        <v>214</v>
      </c>
      <c r="BS40" s="216">
        <v>568</v>
      </c>
      <c r="BT40" s="216">
        <v>0</v>
      </c>
      <c r="BU40" s="216">
        <v>0</v>
      </c>
      <c r="BV40" s="216">
        <v>1911</v>
      </c>
      <c r="BW40" s="216">
        <v>70120</v>
      </c>
      <c r="BX40" s="216">
        <v>-2690</v>
      </c>
      <c r="BY40" s="216">
        <v>0</v>
      </c>
      <c r="BZ40" s="216">
        <v>-1552</v>
      </c>
      <c r="CA40" s="216">
        <v>-512</v>
      </c>
      <c r="CB40" s="216">
        <v>-4242</v>
      </c>
      <c r="CC40" s="216">
        <v>65878</v>
      </c>
      <c r="CD40" s="216">
        <v>4489</v>
      </c>
      <c r="CE40" s="216">
        <v>7685</v>
      </c>
      <c r="CF40" s="216">
        <v>78052</v>
      </c>
      <c r="CG40" s="216">
        <v>0</v>
      </c>
      <c r="CH40" s="216">
        <v>4973</v>
      </c>
      <c r="CI40" s="216">
        <v>0</v>
      </c>
      <c r="CJ40" s="216">
        <v>1301</v>
      </c>
      <c r="CK40" s="216">
        <v>-83</v>
      </c>
      <c r="CL40" s="216">
        <v>0</v>
      </c>
      <c r="CM40" s="216">
        <v>-70367</v>
      </c>
      <c r="CN40" s="216">
        <v>0</v>
      </c>
      <c r="CO40" s="333">
        <v>16.2</v>
      </c>
      <c r="CP40" s="216">
        <v>0</v>
      </c>
      <c r="CQ40" s="216">
        <v>4683</v>
      </c>
      <c r="CR40" s="216">
        <v>7683</v>
      </c>
      <c r="CS40" s="216">
        <v>12366</v>
      </c>
      <c r="CT40" s="216">
        <v>48502</v>
      </c>
      <c r="CU40" s="216">
        <v>6221</v>
      </c>
      <c r="CV40" s="216">
        <v>719</v>
      </c>
      <c r="CW40" s="216">
        <v>55442</v>
      </c>
      <c r="CX40" s="216">
        <v>1053</v>
      </c>
      <c r="CY40" s="216">
        <v>991</v>
      </c>
      <c r="CZ40" s="216">
        <v>515</v>
      </c>
      <c r="DA40" s="216">
        <v>70367</v>
      </c>
      <c r="DB40" s="333">
        <v>3.2346757237586933E-2</v>
      </c>
      <c r="DC40" s="333">
        <v>1.4429493885501965E-2</v>
      </c>
      <c r="DD40" s="333">
        <v>0</v>
      </c>
      <c r="DE40" s="333">
        <v>0</v>
      </c>
      <c r="DF40" s="333">
        <v>0</v>
      </c>
      <c r="DG40" s="333">
        <v>1.7053448349368311E-2</v>
      </c>
      <c r="DH40" s="216">
        <v>-3903</v>
      </c>
      <c r="DI40" s="216">
        <v>-241</v>
      </c>
      <c r="DJ40" s="216">
        <v>0</v>
      </c>
      <c r="DK40" s="216">
        <v>-3178</v>
      </c>
      <c r="DL40" s="216">
        <v>-8</v>
      </c>
      <c r="DM40" s="216">
        <v>18359</v>
      </c>
      <c r="DN40" s="216">
        <v>3919</v>
      </c>
      <c r="DO40" s="216">
        <v>325</v>
      </c>
      <c r="DP40" s="216">
        <v>15273</v>
      </c>
      <c r="DQ40" s="216">
        <v>2079</v>
      </c>
      <c r="DR40" s="216">
        <v>5761</v>
      </c>
      <c r="DS40" s="216">
        <v>6823</v>
      </c>
      <c r="DT40" s="216">
        <v>1046</v>
      </c>
      <c r="DU40" s="216">
        <v>0</v>
      </c>
      <c r="DV40" s="216">
        <v>0</v>
      </c>
      <c r="DW40" s="216">
        <v>0</v>
      </c>
      <c r="DX40" s="216">
        <v>1404</v>
      </c>
      <c r="DY40" s="216">
        <v>185</v>
      </c>
      <c r="DZ40" s="216">
        <v>419</v>
      </c>
      <c r="EA40" s="216">
        <v>621</v>
      </c>
      <c r="EB40" s="216">
        <v>27</v>
      </c>
      <c r="EC40" s="216">
        <v>0</v>
      </c>
      <c r="ED40" s="216">
        <v>424</v>
      </c>
      <c r="EE40" s="216">
        <v>0</v>
      </c>
      <c r="EF40" s="216">
        <v>243</v>
      </c>
      <c r="EG40" s="216">
        <v>210</v>
      </c>
      <c r="EH40" s="216">
        <v>0</v>
      </c>
      <c r="EI40" s="216">
        <v>0</v>
      </c>
      <c r="EJ40" s="216">
        <v>0</v>
      </c>
      <c r="EK40" s="216">
        <v>3533</v>
      </c>
    </row>
    <row r="41" spans="1:141" ht="15" customHeight="1" x14ac:dyDescent="0.2">
      <c r="A41" s="218" t="s">
        <v>32</v>
      </c>
      <c r="B41" s="218" t="s">
        <v>52</v>
      </c>
      <c r="C41" s="217" t="s">
        <v>51</v>
      </c>
      <c r="D41" s="216">
        <v>5</v>
      </c>
      <c r="E41" s="216">
        <v>38</v>
      </c>
      <c r="F41" s="216">
        <v>8</v>
      </c>
      <c r="G41" s="216">
        <v>0</v>
      </c>
      <c r="H41" s="216">
        <v>51</v>
      </c>
      <c r="I41" s="216">
        <v>17</v>
      </c>
      <c r="J41" s="216">
        <v>74</v>
      </c>
      <c r="K41" s="216">
        <v>3</v>
      </c>
      <c r="L41" s="216">
        <v>27</v>
      </c>
      <c r="M41" s="216">
        <v>61</v>
      </c>
      <c r="N41" s="216">
        <v>22</v>
      </c>
      <c r="O41" s="216">
        <v>22</v>
      </c>
      <c r="P41" s="216">
        <v>209</v>
      </c>
      <c r="Q41" s="216">
        <v>165</v>
      </c>
      <c r="R41" s="216">
        <v>11</v>
      </c>
      <c r="S41" s="216">
        <v>12</v>
      </c>
      <c r="T41" s="333">
        <v>4</v>
      </c>
      <c r="U41" s="333">
        <v>5</v>
      </c>
      <c r="V41" s="333">
        <v>18</v>
      </c>
      <c r="W41" s="333">
        <v>37</v>
      </c>
      <c r="X41" s="333">
        <v>91</v>
      </c>
      <c r="Y41" s="333">
        <v>97</v>
      </c>
      <c r="Z41" s="333">
        <v>399</v>
      </c>
      <c r="AA41" s="333">
        <v>650</v>
      </c>
      <c r="AB41" s="216">
        <v>658</v>
      </c>
      <c r="AC41" s="333">
        <v>0</v>
      </c>
      <c r="AD41" s="333">
        <v>2</v>
      </c>
      <c r="AE41" s="333">
        <v>50</v>
      </c>
      <c r="AF41" s="333">
        <v>96</v>
      </c>
      <c r="AG41" s="333">
        <v>421</v>
      </c>
      <c r="AH41" s="333">
        <v>569</v>
      </c>
      <c r="AI41" s="216">
        <v>697</v>
      </c>
      <c r="AJ41" s="333">
        <v>33</v>
      </c>
      <c r="AK41" s="333">
        <v>226</v>
      </c>
      <c r="AL41" s="333">
        <v>1478</v>
      </c>
      <c r="AM41" s="216">
        <v>1083</v>
      </c>
      <c r="AN41" s="216">
        <v>1063</v>
      </c>
      <c r="AO41" s="216">
        <v>41</v>
      </c>
      <c r="AP41" s="216">
        <v>2</v>
      </c>
      <c r="AQ41" s="216">
        <v>110</v>
      </c>
      <c r="AR41" s="216">
        <v>30</v>
      </c>
      <c r="AS41" s="216">
        <v>1056</v>
      </c>
      <c r="AT41" s="216">
        <v>27</v>
      </c>
      <c r="AU41" s="216">
        <v>81</v>
      </c>
      <c r="AV41" s="216">
        <v>421</v>
      </c>
      <c r="AW41" s="216">
        <v>358</v>
      </c>
      <c r="AX41" s="216">
        <v>42</v>
      </c>
      <c r="AY41" s="216">
        <v>30093</v>
      </c>
      <c r="AZ41" s="216">
        <v>0</v>
      </c>
      <c r="BA41" s="216">
        <v>6819</v>
      </c>
      <c r="BB41" s="216">
        <v>0</v>
      </c>
      <c r="BC41" s="216">
        <v>1370</v>
      </c>
      <c r="BD41" s="216">
        <v>0</v>
      </c>
      <c r="BE41" s="216">
        <v>8902</v>
      </c>
      <c r="BF41" s="216">
        <v>0</v>
      </c>
      <c r="BG41" s="216">
        <v>490</v>
      </c>
      <c r="BH41" s="216">
        <v>0</v>
      </c>
      <c r="BI41" s="216">
        <v>2144</v>
      </c>
      <c r="BJ41" s="216">
        <v>0</v>
      </c>
      <c r="BK41" s="216">
        <v>49818</v>
      </c>
      <c r="BL41" s="216">
        <v>0</v>
      </c>
      <c r="BM41" s="216">
        <v>5626</v>
      </c>
      <c r="BN41" s="216">
        <v>0</v>
      </c>
      <c r="BO41" s="216">
        <v>2053</v>
      </c>
      <c r="BP41" s="216">
        <v>0</v>
      </c>
      <c r="BQ41" s="216">
        <v>7272</v>
      </c>
      <c r="BR41" s="216">
        <v>0</v>
      </c>
      <c r="BS41" s="216">
        <v>2411</v>
      </c>
      <c r="BT41" s="216">
        <v>2411</v>
      </c>
      <c r="BU41" s="216">
        <v>0</v>
      </c>
      <c r="BV41" s="216">
        <v>0</v>
      </c>
      <c r="BW41" s="216">
        <v>67180</v>
      </c>
      <c r="BX41" s="216">
        <v>0</v>
      </c>
      <c r="BY41" s="216">
        <v>-1595</v>
      </c>
      <c r="BZ41" s="216">
        <v>0</v>
      </c>
      <c r="CA41" s="216">
        <v>0</v>
      </c>
      <c r="CB41" s="216">
        <v>-1595</v>
      </c>
      <c r="CC41" s="216">
        <v>65585</v>
      </c>
      <c r="CD41" s="216">
        <v>5214</v>
      </c>
      <c r="CE41" s="216">
        <v>8519</v>
      </c>
      <c r="CF41" s="216">
        <v>79318</v>
      </c>
      <c r="CG41" s="216">
        <v>0</v>
      </c>
      <c r="CH41" s="216">
        <v>465</v>
      </c>
      <c r="CI41" s="216">
        <v>0</v>
      </c>
      <c r="CJ41" s="216">
        <v>393</v>
      </c>
      <c r="CK41" s="216">
        <v>378</v>
      </c>
      <c r="CL41" s="216">
        <v>0</v>
      </c>
      <c r="CM41" s="216">
        <v>0</v>
      </c>
      <c r="CN41" s="216">
        <v>-271</v>
      </c>
      <c r="CO41" s="333">
        <v>16.100000000000001</v>
      </c>
      <c r="CP41" s="216">
        <v>763</v>
      </c>
      <c r="CQ41" s="216" t="s">
        <v>3</v>
      </c>
      <c r="CR41" s="216" t="s">
        <v>3</v>
      </c>
      <c r="CS41" s="216">
        <v>3938</v>
      </c>
      <c r="CT41" s="216" t="s">
        <v>3</v>
      </c>
      <c r="CU41" s="216" t="s">
        <v>3</v>
      </c>
      <c r="CV41" s="216" t="s">
        <v>3</v>
      </c>
      <c r="CW41" s="216">
        <v>66861</v>
      </c>
      <c r="CX41" s="216">
        <v>0</v>
      </c>
      <c r="CY41" s="216">
        <v>0</v>
      </c>
      <c r="CZ41" s="216">
        <v>0</v>
      </c>
      <c r="DA41" s="216">
        <v>70799</v>
      </c>
      <c r="DB41" s="333">
        <v>12.315896394108684</v>
      </c>
      <c r="DC41" s="333">
        <v>12.327066600858497</v>
      </c>
      <c r="DD41" s="333">
        <v>0</v>
      </c>
      <c r="DE41" s="333">
        <v>0</v>
      </c>
      <c r="DF41" s="333">
        <v>0</v>
      </c>
      <c r="DG41" s="333">
        <v>12.326445288775265</v>
      </c>
      <c r="DH41" s="216">
        <v>-3975</v>
      </c>
      <c r="DI41" s="216">
        <v>-142</v>
      </c>
      <c r="DJ41" s="216">
        <v>0</v>
      </c>
      <c r="DK41" s="216">
        <v>-3338</v>
      </c>
      <c r="DL41" s="216">
        <v>-51</v>
      </c>
      <c r="DM41" s="216">
        <v>16007</v>
      </c>
      <c r="DN41" s="216">
        <v>3637</v>
      </c>
      <c r="DO41" s="216">
        <v>0</v>
      </c>
      <c r="DP41" s="216">
        <v>12138</v>
      </c>
      <c r="DQ41" s="216">
        <v>935</v>
      </c>
      <c r="DR41" s="216">
        <v>27833</v>
      </c>
      <c r="DS41" s="216">
        <v>2500</v>
      </c>
      <c r="DT41" s="216">
        <v>1263</v>
      </c>
      <c r="DU41" s="216">
        <v>0</v>
      </c>
      <c r="DV41" s="216">
        <v>0</v>
      </c>
      <c r="DW41" s="216">
        <v>2741</v>
      </c>
      <c r="DX41" s="216">
        <v>20</v>
      </c>
      <c r="DY41" s="216">
        <v>445</v>
      </c>
      <c r="DZ41" s="216">
        <v>1166</v>
      </c>
      <c r="EA41" s="216">
        <v>39</v>
      </c>
      <c r="EB41" s="216">
        <v>56</v>
      </c>
      <c r="EC41" s="216" t="s">
        <v>3</v>
      </c>
      <c r="ED41" s="216" t="s">
        <v>3</v>
      </c>
      <c r="EE41" s="216" t="s">
        <v>3</v>
      </c>
      <c r="EF41" s="216" t="s">
        <v>3</v>
      </c>
      <c r="EG41" s="216">
        <v>233</v>
      </c>
      <c r="EH41" s="216" t="s">
        <v>3</v>
      </c>
      <c r="EI41" s="216" t="s">
        <v>3</v>
      </c>
      <c r="EJ41" s="216" t="s">
        <v>3</v>
      </c>
      <c r="EK41" s="216">
        <v>4700</v>
      </c>
    </row>
    <row r="42" spans="1:141" ht="15" customHeight="1" x14ac:dyDescent="0.2">
      <c r="A42" s="218" t="s">
        <v>32</v>
      </c>
      <c r="B42" s="218" t="s">
        <v>50</v>
      </c>
      <c r="C42" s="217" t="s">
        <v>49</v>
      </c>
      <c r="D42" s="216">
        <v>0</v>
      </c>
      <c r="E42" s="216">
        <v>19</v>
      </c>
      <c r="F42" s="216">
        <v>8</v>
      </c>
      <c r="G42" s="216">
        <v>0</v>
      </c>
      <c r="H42" s="216">
        <v>27</v>
      </c>
      <c r="I42" s="216">
        <v>1</v>
      </c>
      <c r="J42" s="216">
        <v>41</v>
      </c>
      <c r="K42" s="216">
        <v>2</v>
      </c>
      <c r="L42" s="216">
        <v>19</v>
      </c>
      <c r="M42" s="216">
        <v>36</v>
      </c>
      <c r="N42" s="216">
        <v>0</v>
      </c>
      <c r="O42" s="216">
        <v>7</v>
      </c>
      <c r="P42" s="216">
        <v>105</v>
      </c>
      <c r="Q42" s="216">
        <v>56</v>
      </c>
      <c r="R42" s="216">
        <v>5</v>
      </c>
      <c r="S42" s="216">
        <v>3</v>
      </c>
      <c r="T42" s="333">
        <v>3</v>
      </c>
      <c r="U42" s="333">
        <v>3</v>
      </c>
      <c r="V42" s="333">
        <v>11</v>
      </c>
      <c r="W42" s="333">
        <v>17</v>
      </c>
      <c r="X42" s="333">
        <v>45</v>
      </c>
      <c r="Y42" s="333">
        <v>43</v>
      </c>
      <c r="Z42" s="333">
        <v>102</v>
      </c>
      <c r="AA42" s="333">
        <v>224</v>
      </c>
      <c r="AB42" s="216">
        <v>224</v>
      </c>
      <c r="AC42" s="333">
        <v>0</v>
      </c>
      <c r="AD42" s="333">
        <v>0</v>
      </c>
      <c r="AE42" s="333">
        <v>18</v>
      </c>
      <c r="AF42" s="333">
        <v>42</v>
      </c>
      <c r="AG42" s="333">
        <v>161</v>
      </c>
      <c r="AH42" s="333">
        <v>221</v>
      </c>
      <c r="AI42" s="216">
        <v>366</v>
      </c>
      <c r="AJ42" s="333">
        <v>16</v>
      </c>
      <c r="AK42" s="333">
        <v>96</v>
      </c>
      <c r="AL42" s="333">
        <v>557</v>
      </c>
      <c r="AM42" s="216">
        <v>450</v>
      </c>
      <c r="AN42" s="216">
        <v>456</v>
      </c>
      <c r="AO42" s="216">
        <v>24</v>
      </c>
      <c r="AP42" s="216">
        <v>0</v>
      </c>
      <c r="AQ42" s="216">
        <v>38</v>
      </c>
      <c r="AR42" s="216">
        <v>19</v>
      </c>
      <c r="AS42" s="216">
        <v>513</v>
      </c>
      <c r="AT42" s="216">
        <v>22</v>
      </c>
      <c r="AU42" s="216">
        <v>38</v>
      </c>
      <c r="AV42" s="216">
        <v>127</v>
      </c>
      <c r="AW42" s="216">
        <v>116</v>
      </c>
      <c r="AX42" s="216">
        <v>10</v>
      </c>
      <c r="AY42" s="216">
        <v>12526</v>
      </c>
      <c r="AZ42" s="216">
        <v>257</v>
      </c>
      <c r="BA42" s="216">
        <v>3393</v>
      </c>
      <c r="BB42" s="216" t="s">
        <v>3</v>
      </c>
      <c r="BC42" s="216">
        <v>789</v>
      </c>
      <c r="BD42" s="216" t="s">
        <v>3</v>
      </c>
      <c r="BE42" s="216">
        <v>3745</v>
      </c>
      <c r="BF42" s="216">
        <v>72</v>
      </c>
      <c r="BG42" s="216">
        <v>503</v>
      </c>
      <c r="BH42" s="216" t="s">
        <v>3</v>
      </c>
      <c r="BI42" s="216">
        <v>73</v>
      </c>
      <c r="BJ42" s="216" t="s">
        <v>3</v>
      </c>
      <c r="BK42" s="216">
        <v>21029</v>
      </c>
      <c r="BL42" s="216" t="s">
        <v>3</v>
      </c>
      <c r="BM42" s="216">
        <v>2405</v>
      </c>
      <c r="BN42" s="216">
        <v>1641</v>
      </c>
      <c r="BO42" s="216">
        <v>786</v>
      </c>
      <c r="BP42" s="216" t="s">
        <v>3</v>
      </c>
      <c r="BQ42" s="216">
        <v>4548</v>
      </c>
      <c r="BR42" s="216">
        <v>326</v>
      </c>
      <c r="BS42" s="216">
        <v>0</v>
      </c>
      <c r="BT42" s="216" t="s">
        <v>3</v>
      </c>
      <c r="BU42" s="216">
        <v>0</v>
      </c>
      <c r="BV42" s="216">
        <v>1033</v>
      </c>
      <c r="BW42" s="216">
        <v>29801</v>
      </c>
      <c r="BX42" s="216">
        <v>-1184</v>
      </c>
      <c r="BY42" s="216">
        <v>-4</v>
      </c>
      <c r="BZ42" s="216">
        <v>-411</v>
      </c>
      <c r="CA42" s="216" t="s">
        <v>3</v>
      </c>
      <c r="CB42" s="216">
        <v>-1599</v>
      </c>
      <c r="CC42" s="216">
        <v>28202</v>
      </c>
      <c r="CD42" s="216">
        <v>4252</v>
      </c>
      <c r="CE42" s="216">
        <v>3874</v>
      </c>
      <c r="CF42" s="216">
        <v>36328</v>
      </c>
      <c r="CG42" s="216">
        <v>1370</v>
      </c>
      <c r="CH42" s="216">
        <v>1365</v>
      </c>
      <c r="CI42" s="216">
        <v>270</v>
      </c>
      <c r="CJ42" s="216">
        <v>486</v>
      </c>
      <c r="CK42" s="216">
        <v>54</v>
      </c>
      <c r="CL42" s="216">
        <v>0</v>
      </c>
      <c r="CM42" s="216">
        <v>0</v>
      </c>
      <c r="CN42" s="216">
        <v>0</v>
      </c>
      <c r="CO42" s="333">
        <v>14.8</v>
      </c>
      <c r="CP42" s="216">
        <v>300</v>
      </c>
      <c r="CQ42" s="216">
        <v>1705</v>
      </c>
      <c r="CR42" s="216">
        <v>1822</v>
      </c>
      <c r="CS42" s="216">
        <v>3527</v>
      </c>
      <c r="CT42" s="216">
        <v>26399</v>
      </c>
      <c r="CU42" s="216">
        <v>1523</v>
      </c>
      <c r="CV42" s="216">
        <v>125</v>
      </c>
      <c r="CW42" s="216">
        <v>28047</v>
      </c>
      <c r="CX42" s="216">
        <v>60</v>
      </c>
      <c r="CY42" s="216">
        <v>820</v>
      </c>
      <c r="CZ42" s="216">
        <v>0</v>
      </c>
      <c r="DA42" s="216">
        <v>32454</v>
      </c>
      <c r="DB42" s="333">
        <v>36.971930819393251</v>
      </c>
      <c r="DC42" s="333">
        <v>48.457945591328837</v>
      </c>
      <c r="DD42" s="333">
        <v>100</v>
      </c>
      <c r="DE42" s="333">
        <v>48.170731707317074</v>
      </c>
      <c r="DF42" s="333">
        <v>0</v>
      </c>
      <c r="DG42" s="333">
        <v>47.297713687064771</v>
      </c>
      <c r="DH42" s="216">
        <v>-1834</v>
      </c>
      <c r="DI42" s="216">
        <v>-5</v>
      </c>
      <c r="DJ42" s="216">
        <v>-4</v>
      </c>
      <c r="DK42" s="216">
        <v>-1507</v>
      </c>
      <c r="DL42" s="216">
        <v>-104</v>
      </c>
      <c r="DM42" s="216">
        <v>7597</v>
      </c>
      <c r="DN42" s="216">
        <v>2427</v>
      </c>
      <c r="DO42" s="216">
        <v>5</v>
      </c>
      <c r="DP42" s="216">
        <v>6575</v>
      </c>
      <c r="DQ42" s="216">
        <v>725</v>
      </c>
      <c r="DR42" s="216">
        <v>12348</v>
      </c>
      <c r="DS42" s="216">
        <v>1838</v>
      </c>
      <c r="DT42" s="216">
        <v>308</v>
      </c>
      <c r="DU42" s="216">
        <v>0</v>
      </c>
      <c r="DV42" s="216">
        <v>0</v>
      </c>
      <c r="DW42" s="216">
        <v>2050</v>
      </c>
      <c r="DX42" s="216">
        <v>485</v>
      </c>
      <c r="DY42" s="216">
        <v>0</v>
      </c>
      <c r="DZ42" s="216">
        <v>3001</v>
      </c>
      <c r="EA42" s="216">
        <v>459</v>
      </c>
      <c r="EB42" s="216">
        <v>0</v>
      </c>
      <c r="EC42" s="216">
        <v>0</v>
      </c>
      <c r="ED42" s="216">
        <v>264</v>
      </c>
      <c r="EE42" s="216">
        <v>5</v>
      </c>
      <c r="EF42" s="216">
        <v>325</v>
      </c>
      <c r="EG42" s="216">
        <v>591</v>
      </c>
      <c r="EH42" s="216">
        <v>1370</v>
      </c>
      <c r="EI42" s="216">
        <v>0</v>
      </c>
      <c r="EJ42" s="216">
        <v>0</v>
      </c>
      <c r="EK42" s="216">
        <v>8550</v>
      </c>
    </row>
    <row r="43" spans="1:141" ht="15" customHeight="1" x14ac:dyDescent="0.2">
      <c r="A43" s="218" t="s">
        <v>32</v>
      </c>
      <c r="B43" s="218" t="s">
        <v>48</v>
      </c>
      <c r="C43" s="217" t="s">
        <v>47</v>
      </c>
      <c r="D43" s="216">
        <v>9</v>
      </c>
      <c r="E43" s="216">
        <v>19</v>
      </c>
      <c r="F43" s="216">
        <v>3</v>
      </c>
      <c r="G43" s="216">
        <v>0</v>
      </c>
      <c r="H43" s="216">
        <v>31</v>
      </c>
      <c r="I43" s="216">
        <v>1</v>
      </c>
      <c r="J43" s="216">
        <v>44</v>
      </c>
      <c r="K43" s="216">
        <v>4</v>
      </c>
      <c r="L43" s="216">
        <v>4</v>
      </c>
      <c r="M43" s="216">
        <v>36</v>
      </c>
      <c r="N43" s="216">
        <v>0</v>
      </c>
      <c r="O43" s="216">
        <v>6</v>
      </c>
      <c r="P43" s="216">
        <v>94</v>
      </c>
      <c r="Q43" s="216">
        <v>109</v>
      </c>
      <c r="R43" s="216">
        <v>6</v>
      </c>
      <c r="S43" s="216">
        <v>4</v>
      </c>
      <c r="T43" s="333">
        <v>2</v>
      </c>
      <c r="U43" s="333">
        <v>3</v>
      </c>
      <c r="V43" s="333">
        <v>12</v>
      </c>
      <c r="W43" s="333">
        <v>24</v>
      </c>
      <c r="X43" s="333">
        <v>76</v>
      </c>
      <c r="Y43" s="333">
        <v>65</v>
      </c>
      <c r="Z43" s="333">
        <v>312</v>
      </c>
      <c r="AA43" s="333">
        <v>494</v>
      </c>
      <c r="AB43" s="216">
        <v>494</v>
      </c>
      <c r="AC43" s="333">
        <v>0</v>
      </c>
      <c r="AD43" s="333">
        <v>0</v>
      </c>
      <c r="AE43" s="333">
        <v>22</v>
      </c>
      <c r="AF43" s="333">
        <v>64</v>
      </c>
      <c r="AG43" s="333">
        <v>256</v>
      </c>
      <c r="AH43" s="333">
        <v>342</v>
      </c>
      <c r="AI43" s="216">
        <v>342</v>
      </c>
      <c r="AJ43" s="333">
        <v>27</v>
      </c>
      <c r="AK43" s="333">
        <v>181</v>
      </c>
      <c r="AL43" s="333">
        <v>1044</v>
      </c>
      <c r="AM43" s="216">
        <v>1025</v>
      </c>
      <c r="AN43" s="216">
        <v>1053</v>
      </c>
      <c r="AO43" s="216">
        <v>28</v>
      </c>
      <c r="AP43" s="216">
        <v>3</v>
      </c>
      <c r="AQ43" s="216">
        <v>89</v>
      </c>
      <c r="AR43" s="216">
        <v>8</v>
      </c>
      <c r="AS43" s="216">
        <v>623</v>
      </c>
      <c r="AT43" s="216">
        <v>42</v>
      </c>
      <c r="AU43" s="216">
        <v>49</v>
      </c>
      <c r="AV43" s="216">
        <v>115</v>
      </c>
      <c r="AW43" s="216">
        <v>74</v>
      </c>
      <c r="AX43" s="216">
        <v>13</v>
      </c>
      <c r="AY43" s="216">
        <v>26131</v>
      </c>
      <c r="AZ43" s="216">
        <v>402</v>
      </c>
      <c r="BA43" s="216">
        <v>4262</v>
      </c>
      <c r="BB43" s="216">
        <v>39</v>
      </c>
      <c r="BC43" s="216">
        <v>1085</v>
      </c>
      <c r="BD43" s="216">
        <v>0</v>
      </c>
      <c r="BE43" s="216">
        <v>3715</v>
      </c>
      <c r="BF43" s="216">
        <v>752</v>
      </c>
      <c r="BG43" s="216">
        <v>533</v>
      </c>
      <c r="BH43" s="216">
        <v>0</v>
      </c>
      <c r="BI43" s="216">
        <v>1482</v>
      </c>
      <c r="BJ43" s="216">
        <v>194</v>
      </c>
      <c r="BK43" s="216">
        <v>37208</v>
      </c>
      <c r="BL43" s="216">
        <v>1387</v>
      </c>
      <c r="BM43" s="216">
        <v>1723</v>
      </c>
      <c r="BN43" s="216">
        <v>1571</v>
      </c>
      <c r="BO43" s="216">
        <v>865</v>
      </c>
      <c r="BP43" s="216">
        <v>829</v>
      </c>
      <c r="BQ43" s="216">
        <v>3299</v>
      </c>
      <c r="BR43" s="216">
        <v>1535</v>
      </c>
      <c r="BS43" s="216">
        <v>187</v>
      </c>
      <c r="BT43" s="216">
        <v>38</v>
      </c>
      <c r="BU43" s="216">
        <v>0</v>
      </c>
      <c r="BV43" s="216">
        <v>0</v>
      </c>
      <c r="BW43" s="216">
        <v>43282</v>
      </c>
      <c r="BX43" s="216">
        <v>-721</v>
      </c>
      <c r="BY43" s="216">
        <v>0</v>
      </c>
      <c r="BZ43" s="216">
        <v>-1915</v>
      </c>
      <c r="CA43" s="216">
        <v>-338</v>
      </c>
      <c r="CB43" s="216">
        <v>-2636</v>
      </c>
      <c r="CC43" s="216">
        <v>40646</v>
      </c>
      <c r="CD43" s="216">
        <v>3401</v>
      </c>
      <c r="CE43" s="216">
        <v>7203</v>
      </c>
      <c r="CF43" s="216">
        <v>51250</v>
      </c>
      <c r="CG43" s="216">
        <v>0</v>
      </c>
      <c r="CH43" s="216">
        <v>1079</v>
      </c>
      <c r="CI43" s="216">
        <v>0</v>
      </c>
      <c r="CJ43" s="216">
        <v>683</v>
      </c>
      <c r="CK43" s="216">
        <v>56</v>
      </c>
      <c r="CL43" s="216">
        <v>0</v>
      </c>
      <c r="CM43" s="216">
        <v>0</v>
      </c>
      <c r="CN43" s="216">
        <v>-337</v>
      </c>
      <c r="CO43" s="333">
        <v>16.8</v>
      </c>
      <c r="CP43" s="216">
        <v>94</v>
      </c>
      <c r="CQ43" s="216" t="s">
        <v>3</v>
      </c>
      <c r="CR43" s="216" t="s">
        <v>3</v>
      </c>
      <c r="CS43" s="216">
        <v>4697</v>
      </c>
      <c r="CT43" s="216" t="s">
        <v>3</v>
      </c>
      <c r="CU43" s="216" t="s">
        <v>3</v>
      </c>
      <c r="CV43" s="216" t="s">
        <v>3</v>
      </c>
      <c r="CW43" s="216">
        <v>39171</v>
      </c>
      <c r="CX43" s="216">
        <v>0</v>
      </c>
      <c r="CY43" s="216">
        <v>179</v>
      </c>
      <c r="CZ43" s="216">
        <v>0</v>
      </c>
      <c r="DA43" s="216">
        <v>44047</v>
      </c>
      <c r="DB43" s="333">
        <v>34.192037470725992</v>
      </c>
      <c r="DC43" s="333">
        <v>31.78371754614383</v>
      </c>
      <c r="DD43" s="333">
        <v>0</v>
      </c>
      <c r="DE43" s="333">
        <v>0</v>
      </c>
      <c r="DF43" s="333">
        <v>0</v>
      </c>
      <c r="DG43" s="333">
        <v>31.911367403001339</v>
      </c>
      <c r="DH43" s="216">
        <v>-2982</v>
      </c>
      <c r="DI43" s="216">
        <v>-251</v>
      </c>
      <c r="DJ43" s="216">
        <v>-10</v>
      </c>
      <c r="DK43" s="216">
        <v>-2573</v>
      </c>
      <c r="DL43" s="216">
        <v>-126</v>
      </c>
      <c r="DM43" s="216">
        <v>15273</v>
      </c>
      <c r="DN43" s="216">
        <v>3955</v>
      </c>
      <c r="DO43" s="216">
        <v>8</v>
      </c>
      <c r="DP43" s="216">
        <v>13294</v>
      </c>
      <c r="DQ43" s="216">
        <v>467</v>
      </c>
      <c r="DR43" s="216">
        <v>4600</v>
      </c>
      <c r="DS43" s="216">
        <v>5270</v>
      </c>
      <c r="DT43" s="216">
        <v>197</v>
      </c>
      <c r="DU43" s="216">
        <v>0</v>
      </c>
      <c r="DV43" s="216">
        <v>0</v>
      </c>
      <c r="DW43" s="216">
        <v>0</v>
      </c>
      <c r="DX43" s="216">
        <v>595</v>
      </c>
      <c r="DY43" s="216">
        <v>0</v>
      </c>
      <c r="DZ43" s="216">
        <v>1556</v>
      </c>
      <c r="EA43" s="216">
        <v>200</v>
      </c>
      <c r="EB43" s="216">
        <v>0</v>
      </c>
      <c r="EC43" s="216">
        <v>0</v>
      </c>
      <c r="ED43" s="216">
        <v>0</v>
      </c>
      <c r="EE43" s="216">
        <v>37</v>
      </c>
      <c r="EF43" s="216">
        <v>297</v>
      </c>
      <c r="EG43" s="216">
        <v>286</v>
      </c>
      <c r="EH43" s="216">
        <v>0</v>
      </c>
      <c r="EI43" s="216">
        <v>0</v>
      </c>
      <c r="EJ43" s="216">
        <v>0</v>
      </c>
      <c r="EK43" s="216">
        <v>2971</v>
      </c>
    </row>
    <row r="44" spans="1:141" ht="15" customHeight="1" x14ac:dyDescent="0.2">
      <c r="A44" s="218" t="s">
        <v>32</v>
      </c>
      <c r="B44" s="218" t="s">
        <v>46</v>
      </c>
      <c r="C44" s="217" t="s">
        <v>45</v>
      </c>
      <c r="D44" s="216">
        <v>8</v>
      </c>
      <c r="E44" s="216">
        <v>34</v>
      </c>
      <c r="F44" s="216">
        <v>15</v>
      </c>
      <c r="G44" s="216">
        <v>0</v>
      </c>
      <c r="H44" s="216">
        <v>57</v>
      </c>
      <c r="I44" s="216">
        <v>0</v>
      </c>
      <c r="J44" s="216">
        <v>75</v>
      </c>
      <c r="K44" s="216">
        <v>3</v>
      </c>
      <c r="L44" s="216">
        <v>32</v>
      </c>
      <c r="M44" s="216">
        <v>82</v>
      </c>
      <c r="N44" s="216">
        <v>0</v>
      </c>
      <c r="O44" s="216">
        <v>12</v>
      </c>
      <c r="P44" s="216">
        <v>204</v>
      </c>
      <c r="Q44" s="216">
        <v>181</v>
      </c>
      <c r="R44" s="216">
        <v>13</v>
      </c>
      <c r="S44" s="216">
        <v>11</v>
      </c>
      <c r="T44" s="333">
        <v>4</v>
      </c>
      <c r="U44" s="333">
        <v>4</v>
      </c>
      <c r="V44" s="333">
        <v>15</v>
      </c>
      <c r="W44" s="333">
        <v>49</v>
      </c>
      <c r="X44" s="333">
        <v>61</v>
      </c>
      <c r="Y44" s="333">
        <v>129</v>
      </c>
      <c r="Z44" s="333">
        <v>396</v>
      </c>
      <c r="AA44" s="333">
        <v>658</v>
      </c>
      <c r="AB44" s="216">
        <v>658</v>
      </c>
      <c r="AC44" s="333">
        <v>0</v>
      </c>
      <c r="AD44" s="333">
        <v>0</v>
      </c>
      <c r="AE44" s="333">
        <v>28</v>
      </c>
      <c r="AF44" s="333">
        <v>81</v>
      </c>
      <c r="AG44" s="333">
        <v>372</v>
      </c>
      <c r="AH44" s="333">
        <v>481</v>
      </c>
      <c r="AI44" s="216">
        <v>481</v>
      </c>
      <c r="AJ44" s="333">
        <v>40</v>
      </c>
      <c r="AK44" s="333">
        <v>281</v>
      </c>
      <c r="AL44" s="333">
        <v>1460</v>
      </c>
      <c r="AM44" s="216">
        <v>1286</v>
      </c>
      <c r="AN44" s="216">
        <v>1326</v>
      </c>
      <c r="AO44" s="216">
        <v>62</v>
      </c>
      <c r="AP44" s="216">
        <v>7</v>
      </c>
      <c r="AQ44" s="216">
        <v>129</v>
      </c>
      <c r="AR44" s="216">
        <v>17</v>
      </c>
      <c r="AS44" s="216">
        <v>849</v>
      </c>
      <c r="AT44" s="216">
        <v>13</v>
      </c>
      <c r="AU44" s="216">
        <v>108</v>
      </c>
      <c r="AV44" s="216">
        <v>460</v>
      </c>
      <c r="AW44" s="216">
        <v>148</v>
      </c>
      <c r="AX44" s="216">
        <v>0</v>
      </c>
      <c r="AY44" s="216">
        <v>32961</v>
      </c>
      <c r="AZ44" s="216">
        <v>0</v>
      </c>
      <c r="BA44" s="216">
        <v>4715</v>
      </c>
      <c r="BB44" s="216">
        <v>0</v>
      </c>
      <c r="BC44" s="216">
        <v>1533</v>
      </c>
      <c r="BD44" s="216">
        <v>0</v>
      </c>
      <c r="BE44" s="216">
        <v>3174</v>
      </c>
      <c r="BF44" s="216">
        <v>0</v>
      </c>
      <c r="BG44" s="216">
        <v>4037</v>
      </c>
      <c r="BH44" s="216">
        <v>0</v>
      </c>
      <c r="BI44" s="216">
        <v>1214</v>
      </c>
      <c r="BJ44" s="216">
        <v>0</v>
      </c>
      <c r="BK44" s="216">
        <v>47634</v>
      </c>
      <c r="BL44" s="216">
        <v>0</v>
      </c>
      <c r="BM44" s="216">
        <v>4524</v>
      </c>
      <c r="BN44" s="216">
        <v>0</v>
      </c>
      <c r="BO44" s="216">
        <v>2626</v>
      </c>
      <c r="BP44" s="216">
        <v>0</v>
      </c>
      <c r="BQ44" s="216">
        <v>6871</v>
      </c>
      <c r="BR44" s="216">
        <v>0</v>
      </c>
      <c r="BS44" s="216">
        <v>7100</v>
      </c>
      <c r="BT44" s="216">
        <v>0</v>
      </c>
      <c r="BU44" s="216">
        <v>197</v>
      </c>
      <c r="BV44" s="216">
        <v>59</v>
      </c>
      <c r="BW44" s="216">
        <v>69011</v>
      </c>
      <c r="BX44" s="216">
        <v>-3037</v>
      </c>
      <c r="BY44" s="216">
        <v>0</v>
      </c>
      <c r="BZ44" s="216">
        <v>-2399</v>
      </c>
      <c r="CA44" s="216">
        <v>0</v>
      </c>
      <c r="CB44" s="216">
        <v>-5436</v>
      </c>
      <c r="CC44" s="216">
        <v>63575</v>
      </c>
      <c r="CD44" s="216">
        <v>4727</v>
      </c>
      <c r="CE44" s="216">
        <v>25460</v>
      </c>
      <c r="CF44" s="216">
        <v>93762</v>
      </c>
      <c r="CG44" s="216">
        <v>0</v>
      </c>
      <c r="CH44" s="216">
        <v>969</v>
      </c>
      <c r="CI44" s="216">
        <v>0</v>
      </c>
      <c r="CJ44" s="216">
        <v>126</v>
      </c>
      <c r="CK44" s="216">
        <v>-278</v>
      </c>
      <c r="CL44" s="216">
        <v>0</v>
      </c>
      <c r="CM44" s="216">
        <v>0</v>
      </c>
      <c r="CN44" s="216">
        <v>0</v>
      </c>
      <c r="CO44" s="333">
        <v>12.5</v>
      </c>
      <c r="CP44" s="216">
        <v>0</v>
      </c>
      <c r="CQ44" s="216" t="s">
        <v>3</v>
      </c>
      <c r="CR44" s="216" t="s">
        <v>3</v>
      </c>
      <c r="CS44" s="216">
        <v>11187</v>
      </c>
      <c r="CT44" s="216" t="s">
        <v>3</v>
      </c>
      <c r="CU44" s="216" t="s">
        <v>3</v>
      </c>
      <c r="CV44" s="216" t="s">
        <v>3</v>
      </c>
      <c r="CW44" s="216">
        <v>55235</v>
      </c>
      <c r="CX44" s="216">
        <v>463</v>
      </c>
      <c r="CY44" s="216">
        <v>1417</v>
      </c>
      <c r="CZ44" s="216">
        <v>0</v>
      </c>
      <c r="DA44" s="216">
        <v>68302</v>
      </c>
      <c r="DB44" s="333">
        <v>13.462054170018773</v>
      </c>
      <c r="DC44" s="333">
        <v>11.067258079116503</v>
      </c>
      <c r="DD44" s="333">
        <v>62.203023758099349</v>
      </c>
      <c r="DE44" s="333">
        <v>89.83768525052929</v>
      </c>
      <c r="DF44" s="333">
        <v>0</v>
      </c>
      <c r="DG44" s="333">
        <v>13.440309214957102</v>
      </c>
      <c r="DH44" s="216">
        <v>-4151</v>
      </c>
      <c r="DI44" s="216">
        <v>-270</v>
      </c>
      <c r="DJ44" s="216">
        <v>-216</v>
      </c>
      <c r="DK44" s="216">
        <v>-3497</v>
      </c>
      <c r="DL44" s="216">
        <v>-58</v>
      </c>
      <c r="DM44" s="216">
        <v>18598</v>
      </c>
      <c r="DN44" s="216">
        <v>6985</v>
      </c>
      <c r="DO44" s="216">
        <v>0</v>
      </c>
      <c r="DP44" s="216">
        <v>17391</v>
      </c>
      <c r="DQ44" s="216">
        <v>1543</v>
      </c>
      <c r="DR44" s="216">
        <v>28615</v>
      </c>
      <c r="DS44" s="216">
        <v>4060</v>
      </c>
      <c r="DT44" s="216">
        <v>1102</v>
      </c>
      <c r="DU44" s="216">
        <v>0</v>
      </c>
      <c r="DV44" s="216">
        <v>0</v>
      </c>
      <c r="DW44" s="216">
        <v>3339</v>
      </c>
      <c r="DX44" s="216">
        <v>204</v>
      </c>
      <c r="DY44" s="216">
        <v>294</v>
      </c>
      <c r="DZ44" s="216">
        <v>451</v>
      </c>
      <c r="EA44" s="216">
        <v>314</v>
      </c>
      <c r="EB44" s="216">
        <v>0</v>
      </c>
      <c r="EC44" s="216">
        <v>0</v>
      </c>
      <c r="ED44" s="216">
        <v>83</v>
      </c>
      <c r="EE44" s="216">
        <v>0</v>
      </c>
      <c r="EF44" s="216">
        <v>0</v>
      </c>
      <c r="EG44" s="216">
        <v>0</v>
      </c>
      <c r="EH44" s="216">
        <v>0</v>
      </c>
      <c r="EI44" s="216">
        <v>0</v>
      </c>
      <c r="EJ44" s="216">
        <v>0</v>
      </c>
      <c r="EK44" s="216">
        <v>4685</v>
      </c>
    </row>
    <row r="45" spans="1:141" ht="15" customHeight="1" x14ac:dyDescent="0.2">
      <c r="A45" s="218" t="s">
        <v>32</v>
      </c>
      <c r="B45" s="218" t="s">
        <v>44</v>
      </c>
      <c r="C45" s="217" t="s">
        <v>43</v>
      </c>
      <c r="D45" s="216">
        <v>9</v>
      </c>
      <c r="E45" s="216">
        <v>18</v>
      </c>
      <c r="F45" s="216">
        <v>12</v>
      </c>
      <c r="G45" s="216">
        <v>0</v>
      </c>
      <c r="H45" s="216">
        <v>39</v>
      </c>
      <c r="I45" s="216">
        <v>6</v>
      </c>
      <c r="J45" s="216">
        <v>59</v>
      </c>
      <c r="K45" s="216">
        <v>4</v>
      </c>
      <c r="L45" s="216">
        <v>17</v>
      </c>
      <c r="M45" s="216">
        <v>25</v>
      </c>
      <c r="N45" s="216">
        <v>28</v>
      </c>
      <c r="O45" s="216">
        <v>14</v>
      </c>
      <c r="P45" s="216">
        <v>147</v>
      </c>
      <c r="Q45" s="216">
        <v>84</v>
      </c>
      <c r="R45" s="216">
        <v>7</v>
      </c>
      <c r="S45" s="216">
        <v>7</v>
      </c>
      <c r="T45" s="333">
        <v>3</v>
      </c>
      <c r="U45" s="333">
        <v>4</v>
      </c>
      <c r="V45" s="333">
        <v>11</v>
      </c>
      <c r="W45" s="333">
        <v>30</v>
      </c>
      <c r="X45" s="333">
        <v>88</v>
      </c>
      <c r="Y45" s="333">
        <v>112</v>
      </c>
      <c r="Z45" s="333">
        <v>397</v>
      </c>
      <c r="AA45" s="333">
        <v>645</v>
      </c>
      <c r="AB45" s="216">
        <v>645</v>
      </c>
      <c r="AC45" s="333">
        <v>0</v>
      </c>
      <c r="AD45" s="333">
        <v>0</v>
      </c>
      <c r="AE45" s="333">
        <v>23</v>
      </c>
      <c r="AF45" s="333">
        <v>67</v>
      </c>
      <c r="AG45" s="333">
        <v>179</v>
      </c>
      <c r="AH45" s="333">
        <v>269</v>
      </c>
      <c r="AI45" s="216">
        <v>427</v>
      </c>
      <c r="AJ45" s="333">
        <v>1</v>
      </c>
      <c r="AK45" s="333">
        <v>210</v>
      </c>
      <c r="AL45" s="333">
        <v>1125</v>
      </c>
      <c r="AM45" s="216">
        <v>1169</v>
      </c>
      <c r="AN45" s="216">
        <v>1158</v>
      </c>
      <c r="AO45" s="216">
        <v>44</v>
      </c>
      <c r="AP45" s="216">
        <v>3</v>
      </c>
      <c r="AQ45" s="216">
        <v>143</v>
      </c>
      <c r="AR45" s="216">
        <v>8</v>
      </c>
      <c r="AS45" s="216">
        <v>779</v>
      </c>
      <c r="AT45" s="216">
        <v>19</v>
      </c>
      <c r="AU45" s="216">
        <v>95</v>
      </c>
      <c r="AV45" s="216">
        <v>306</v>
      </c>
      <c r="AW45" s="216">
        <v>176</v>
      </c>
      <c r="AX45" s="216">
        <v>34</v>
      </c>
      <c r="AY45" s="216">
        <v>29560</v>
      </c>
      <c r="AZ45" s="216">
        <v>0</v>
      </c>
      <c r="BA45" s="216">
        <v>4411</v>
      </c>
      <c r="BB45" s="216">
        <v>0</v>
      </c>
      <c r="BC45" s="216">
        <v>24</v>
      </c>
      <c r="BD45" s="216">
        <v>0</v>
      </c>
      <c r="BE45" s="216">
        <v>6407</v>
      </c>
      <c r="BF45" s="216">
        <v>66</v>
      </c>
      <c r="BG45" s="216">
        <v>865</v>
      </c>
      <c r="BH45" s="216">
        <v>0</v>
      </c>
      <c r="BI45" s="216">
        <v>514</v>
      </c>
      <c r="BJ45" s="216">
        <v>0</v>
      </c>
      <c r="BK45" s="216">
        <v>41781</v>
      </c>
      <c r="BL45" s="216">
        <v>66</v>
      </c>
      <c r="BM45" s="216">
        <v>3873</v>
      </c>
      <c r="BN45" s="216">
        <v>0</v>
      </c>
      <c r="BO45" s="216">
        <v>2027</v>
      </c>
      <c r="BP45" s="216">
        <v>0</v>
      </c>
      <c r="BQ45" s="216">
        <v>6509</v>
      </c>
      <c r="BR45" s="216">
        <v>0</v>
      </c>
      <c r="BS45" s="216">
        <v>321</v>
      </c>
      <c r="BT45" s="216">
        <v>0</v>
      </c>
      <c r="BU45" s="216">
        <v>1179</v>
      </c>
      <c r="BV45" s="216">
        <v>0</v>
      </c>
      <c r="BW45" s="216">
        <v>55690</v>
      </c>
      <c r="BX45" s="216">
        <v>-2811</v>
      </c>
      <c r="BY45" s="216">
        <v>0</v>
      </c>
      <c r="BZ45" s="216">
        <v>-2857</v>
      </c>
      <c r="CA45" s="216">
        <v>-45</v>
      </c>
      <c r="CB45" s="216">
        <v>-5668</v>
      </c>
      <c r="CC45" s="216">
        <v>50022</v>
      </c>
      <c r="CD45" s="216">
        <v>4290</v>
      </c>
      <c r="CE45" s="216">
        <v>-11337</v>
      </c>
      <c r="CF45" s="216">
        <v>42975</v>
      </c>
      <c r="CG45" s="216">
        <v>0</v>
      </c>
      <c r="CH45" s="216">
        <v>10</v>
      </c>
      <c r="CI45" s="216">
        <v>13</v>
      </c>
      <c r="CJ45" s="216">
        <v>89</v>
      </c>
      <c r="CK45" s="216">
        <v>-358</v>
      </c>
      <c r="CL45" s="216">
        <v>1704</v>
      </c>
      <c r="CM45" s="216">
        <v>0</v>
      </c>
      <c r="CN45" s="216">
        <v>0</v>
      </c>
      <c r="CO45" s="333">
        <v>14.7</v>
      </c>
      <c r="CP45" s="216">
        <v>0</v>
      </c>
      <c r="CQ45" s="216" t="s">
        <v>3</v>
      </c>
      <c r="CR45" s="216" t="s">
        <v>3</v>
      </c>
      <c r="CS45" s="216" t="s">
        <v>3</v>
      </c>
      <c r="CT45" s="216" t="s">
        <v>3</v>
      </c>
      <c r="CU45" s="216" t="s">
        <v>3</v>
      </c>
      <c r="CV45" s="216" t="s">
        <v>3</v>
      </c>
      <c r="CW45" s="216" t="s">
        <v>3</v>
      </c>
      <c r="CX45" s="216" t="s">
        <v>3</v>
      </c>
      <c r="CY45" s="216" t="s">
        <v>3</v>
      </c>
      <c r="CZ45" s="216" t="s">
        <v>3</v>
      </c>
      <c r="DA45" s="216" t="s">
        <v>3</v>
      </c>
      <c r="DB45" s="333" t="s">
        <v>3</v>
      </c>
      <c r="DC45" s="333" t="s">
        <v>3</v>
      </c>
      <c r="DD45" s="333" t="s">
        <v>3</v>
      </c>
      <c r="DE45" s="333" t="s">
        <v>3</v>
      </c>
      <c r="DF45" s="333" t="s">
        <v>3</v>
      </c>
      <c r="DG45" s="333" t="s">
        <v>3</v>
      </c>
      <c r="DH45" s="216">
        <v>-3699</v>
      </c>
      <c r="DI45" s="216">
        <v>-266</v>
      </c>
      <c r="DJ45" s="216">
        <v>0</v>
      </c>
      <c r="DK45" s="216">
        <v>-3074</v>
      </c>
      <c r="DL45" s="216">
        <v>-168</v>
      </c>
      <c r="DM45" s="216">
        <v>19297</v>
      </c>
      <c r="DN45" s="216">
        <v>4418</v>
      </c>
      <c r="DO45" s="216">
        <v>3</v>
      </c>
      <c r="DP45" s="216">
        <v>16511</v>
      </c>
      <c r="DQ45" s="216">
        <v>968</v>
      </c>
      <c r="DR45" s="216">
        <v>7884</v>
      </c>
      <c r="DS45" s="216">
        <v>7899</v>
      </c>
      <c r="DT45" s="216">
        <v>1084</v>
      </c>
      <c r="DU45" s="216">
        <v>0</v>
      </c>
      <c r="DV45" s="216">
        <v>0</v>
      </c>
      <c r="DW45" s="216">
        <v>635</v>
      </c>
      <c r="DX45" s="216">
        <v>136</v>
      </c>
      <c r="DY45" s="216">
        <v>0</v>
      </c>
      <c r="DZ45" s="216">
        <v>996</v>
      </c>
      <c r="EA45" s="216">
        <v>211</v>
      </c>
      <c r="EB45" s="216">
        <v>0</v>
      </c>
      <c r="EC45" s="216">
        <v>0</v>
      </c>
      <c r="ED45" s="216">
        <v>0</v>
      </c>
      <c r="EE45" s="216">
        <v>0</v>
      </c>
      <c r="EF45" s="216">
        <v>0</v>
      </c>
      <c r="EG45" s="216">
        <v>0</v>
      </c>
      <c r="EH45" s="216">
        <v>0</v>
      </c>
      <c r="EI45" s="216">
        <v>0</v>
      </c>
      <c r="EJ45" s="216">
        <v>0</v>
      </c>
      <c r="EK45" s="216">
        <v>1978</v>
      </c>
    </row>
    <row r="46" spans="1:141" ht="15" customHeight="1" x14ac:dyDescent="0.2">
      <c r="A46" s="218" t="s">
        <v>32</v>
      </c>
      <c r="B46" s="218" t="s">
        <v>42</v>
      </c>
      <c r="C46" s="217" t="s">
        <v>41</v>
      </c>
      <c r="D46" s="216">
        <v>7</v>
      </c>
      <c r="E46" s="216">
        <v>6</v>
      </c>
      <c r="F46" s="216">
        <v>7</v>
      </c>
      <c r="G46" s="216">
        <v>0</v>
      </c>
      <c r="H46" s="216">
        <v>20</v>
      </c>
      <c r="I46" s="216">
        <v>2</v>
      </c>
      <c r="J46" s="216">
        <v>32</v>
      </c>
      <c r="K46" s="216">
        <v>2</v>
      </c>
      <c r="L46" s="216">
        <v>18</v>
      </c>
      <c r="M46" s="216">
        <v>33</v>
      </c>
      <c r="N46" s="216">
        <v>0</v>
      </c>
      <c r="O46" s="216">
        <v>10</v>
      </c>
      <c r="P46" s="216">
        <v>95</v>
      </c>
      <c r="Q46" s="216">
        <v>69</v>
      </c>
      <c r="R46" s="216">
        <v>3</v>
      </c>
      <c r="S46" s="216">
        <v>5</v>
      </c>
      <c r="T46" s="333">
        <v>4</v>
      </c>
      <c r="U46" s="333">
        <v>3</v>
      </c>
      <c r="V46" s="333">
        <v>5</v>
      </c>
      <c r="W46" s="333">
        <v>20</v>
      </c>
      <c r="X46" s="333">
        <v>52</v>
      </c>
      <c r="Y46" s="333">
        <v>63</v>
      </c>
      <c r="Z46" s="333">
        <v>196</v>
      </c>
      <c r="AA46" s="333">
        <v>343</v>
      </c>
      <c r="AB46" s="216">
        <v>345</v>
      </c>
      <c r="AC46" s="333">
        <v>0</v>
      </c>
      <c r="AD46" s="333">
        <v>0</v>
      </c>
      <c r="AE46" s="333">
        <v>10</v>
      </c>
      <c r="AF46" s="333">
        <v>21</v>
      </c>
      <c r="AG46" s="333">
        <v>96</v>
      </c>
      <c r="AH46" s="333">
        <v>128</v>
      </c>
      <c r="AI46" s="216">
        <v>206</v>
      </c>
      <c r="AJ46" s="333">
        <v>26</v>
      </c>
      <c r="AK46" s="333">
        <v>106</v>
      </c>
      <c r="AL46" s="333">
        <v>602</v>
      </c>
      <c r="AM46" s="216">
        <v>658</v>
      </c>
      <c r="AN46" s="216">
        <v>661</v>
      </c>
      <c r="AO46" s="216">
        <v>23</v>
      </c>
      <c r="AP46" s="216">
        <v>1</v>
      </c>
      <c r="AQ46" s="216">
        <v>83</v>
      </c>
      <c r="AR46" s="216">
        <v>10</v>
      </c>
      <c r="AS46" s="216">
        <v>405</v>
      </c>
      <c r="AT46" s="216">
        <v>10</v>
      </c>
      <c r="AU46" s="216">
        <v>44</v>
      </c>
      <c r="AV46" s="216">
        <v>206</v>
      </c>
      <c r="AW46" s="216">
        <v>70</v>
      </c>
      <c r="AX46" s="216">
        <v>21</v>
      </c>
      <c r="AY46" s="216">
        <v>17180</v>
      </c>
      <c r="AZ46" s="216">
        <v>0</v>
      </c>
      <c r="BA46" s="216">
        <v>1802</v>
      </c>
      <c r="BB46" s="216">
        <v>0</v>
      </c>
      <c r="BC46" s="216">
        <v>1148</v>
      </c>
      <c r="BD46" s="216">
        <v>0</v>
      </c>
      <c r="BE46" s="216">
        <v>4505</v>
      </c>
      <c r="BF46" s="216">
        <v>0</v>
      </c>
      <c r="BG46" s="216">
        <v>370</v>
      </c>
      <c r="BH46" s="216">
        <v>0</v>
      </c>
      <c r="BI46" s="216">
        <v>635</v>
      </c>
      <c r="BJ46" s="216">
        <v>144</v>
      </c>
      <c r="BK46" s="216">
        <v>25640</v>
      </c>
      <c r="BL46" s="216">
        <v>144</v>
      </c>
      <c r="BM46" s="216">
        <v>2399</v>
      </c>
      <c r="BN46" s="216">
        <v>23</v>
      </c>
      <c r="BO46" s="216">
        <v>952</v>
      </c>
      <c r="BP46" s="216">
        <v>135</v>
      </c>
      <c r="BQ46" s="216">
        <v>3441</v>
      </c>
      <c r="BR46" s="216">
        <v>267</v>
      </c>
      <c r="BS46" s="216">
        <v>159</v>
      </c>
      <c r="BT46" s="216">
        <v>183</v>
      </c>
      <c r="BU46" s="216">
        <v>0</v>
      </c>
      <c r="BV46" s="216">
        <v>0</v>
      </c>
      <c r="BW46" s="216">
        <v>32591</v>
      </c>
      <c r="BX46" s="216">
        <v>-2104</v>
      </c>
      <c r="BY46" s="216">
        <v>0</v>
      </c>
      <c r="BZ46" s="216">
        <v>-701</v>
      </c>
      <c r="CA46" s="216">
        <v>-222</v>
      </c>
      <c r="CB46" s="216">
        <v>-2805</v>
      </c>
      <c r="CC46" s="216">
        <v>29786</v>
      </c>
      <c r="CD46" s="216">
        <v>2404</v>
      </c>
      <c r="CE46" s="216">
        <v>27014</v>
      </c>
      <c r="CF46" s="216">
        <v>59204</v>
      </c>
      <c r="CG46" s="216">
        <v>0</v>
      </c>
      <c r="CH46" s="216">
        <v>1316</v>
      </c>
      <c r="CI46" s="216">
        <v>90</v>
      </c>
      <c r="CJ46" s="216">
        <v>574</v>
      </c>
      <c r="CK46" s="216">
        <v>115</v>
      </c>
      <c r="CL46" s="216">
        <v>0</v>
      </c>
      <c r="CM46" s="216">
        <v>0</v>
      </c>
      <c r="CN46" s="216">
        <v>0</v>
      </c>
      <c r="CO46" s="333">
        <v>22.5</v>
      </c>
      <c r="CP46" s="216">
        <v>0</v>
      </c>
      <c r="CQ46" s="216" t="s">
        <v>3</v>
      </c>
      <c r="CR46" s="216" t="s">
        <v>3</v>
      </c>
      <c r="CS46" s="216">
        <v>3627</v>
      </c>
      <c r="CT46" s="216" t="s">
        <v>3</v>
      </c>
      <c r="CU46" s="216" t="s">
        <v>3</v>
      </c>
      <c r="CV46" s="216" t="s">
        <v>3</v>
      </c>
      <c r="CW46" s="216">
        <v>27269</v>
      </c>
      <c r="CX46" s="216">
        <v>535</v>
      </c>
      <c r="CY46" s="216">
        <v>759</v>
      </c>
      <c r="CZ46" s="216">
        <v>0</v>
      </c>
      <c r="DA46" s="216">
        <v>32190</v>
      </c>
      <c r="DB46" s="333" t="s">
        <v>3</v>
      </c>
      <c r="DC46" s="333" t="s">
        <v>3</v>
      </c>
      <c r="DD46" s="333" t="s">
        <v>3</v>
      </c>
      <c r="DE46" s="333" t="s">
        <v>3</v>
      </c>
      <c r="DF46" s="333" t="s">
        <v>3</v>
      </c>
      <c r="DG46" s="333" t="s">
        <v>3</v>
      </c>
      <c r="DH46" s="216">
        <v>-2212</v>
      </c>
      <c r="DI46" s="216">
        <v>-37</v>
      </c>
      <c r="DJ46" s="216">
        <v>0</v>
      </c>
      <c r="DK46" s="216">
        <v>-1799</v>
      </c>
      <c r="DL46" s="216">
        <v>0</v>
      </c>
      <c r="DM46" s="216">
        <v>10700</v>
      </c>
      <c r="DN46" s="216">
        <v>2158</v>
      </c>
      <c r="DO46" s="216">
        <v>150</v>
      </c>
      <c r="DP46" s="216">
        <v>8960</v>
      </c>
      <c r="DQ46" s="216">
        <v>117</v>
      </c>
      <c r="DR46" s="216">
        <v>11599</v>
      </c>
      <c r="DS46" s="216">
        <v>2247</v>
      </c>
      <c r="DT46" s="216">
        <v>375</v>
      </c>
      <c r="DU46" s="216">
        <v>0</v>
      </c>
      <c r="DV46" s="216">
        <v>0</v>
      </c>
      <c r="DW46" s="216">
        <v>0</v>
      </c>
      <c r="DX46" s="216">
        <v>1175</v>
      </c>
      <c r="DY46" s="216">
        <v>0</v>
      </c>
      <c r="DZ46" s="216">
        <v>296</v>
      </c>
      <c r="EA46" s="216">
        <v>30</v>
      </c>
      <c r="EB46" s="216">
        <v>0</v>
      </c>
      <c r="EC46" s="216">
        <v>66</v>
      </c>
      <c r="ED46" s="216">
        <v>0</v>
      </c>
      <c r="EE46" s="216">
        <v>95</v>
      </c>
      <c r="EF46" s="216">
        <v>0</v>
      </c>
      <c r="EG46" s="216">
        <v>108</v>
      </c>
      <c r="EH46" s="216">
        <v>0</v>
      </c>
      <c r="EI46" s="216">
        <v>0</v>
      </c>
      <c r="EJ46" s="216">
        <v>0</v>
      </c>
      <c r="EK46" s="216">
        <v>1770</v>
      </c>
    </row>
    <row r="47" spans="1:141" ht="15" customHeight="1" x14ac:dyDescent="0.2">
      <c r="A47" s="218" t="s">
        <v>32</v>
      </c>
      <c r="B47" s="218" t="s">
        <v>40</v>
      </c>
      <c r="C47" s="217" t="s">
        <v>39</v>
      </c>
      <c r="D47" s="216">
        <v>5</v>
      </c>
      <c r="E47" s="216">
        <v>24</v>
      </c>
      <c r="F47" s="216">
        <v>7</v>
      </c>
      <c r="G47" s="216">
        <v>2</v>
      </c>
      <c r="H47" s="216">
        <v>38</v>
      </c>
      <c r="I47" s="216">
        <v>2</v>
      </c>
      <c r="J47" s="216">
        <v>46</v>
      </c>
      <c r="K47" s="216">
        <v>3</v>
      </c>
      <c r="L47" s="216">
        <v>8</v>
      </c>
      <c r="M47" s="216">
        <v>47</v>
      </c>
      <c r="N47" s="216">
        <v>0</v>
      </c>
      <c r="O47" s="216">
        <v>8</v>
      </c>
      <c r="P47" s="216">
        <v>112</v>
      </c>
      <c r="Q47" s="216">
        <v>71</v>
      </c>
      <c r="R47" s="216">
        <v>4</v>
      </c>
      <c r="S47" s="216">
        <v>3</v>
      </c>
      <c r="T47" s="333">
        <v>2</v>
      </c>
      <c r="U47" s="333">
        <v>2</v>
      </c>
      <c r="V47" s="333">
        <v>9</v>
      </c>
      <c r="W47" s="333">
        <v>16</v>
      </c>
      <c r="X47" s="333">
        <v>54</v>
      </c>
      <c r="Y47" s="333">
        <v>56</v>
      </c>
      <c r="Z47" s="333">
        <v>158</v>
      </c>
      <c r="AA47" s="333">
        <v>297</v>
      </c>
      <c r="AB47" s="216">
        <v>299</v>
      </c>
      <c r="AC47" s="333">
        <v>0</v>
      </c>
      <c r="AD47" s="333">
        <v>0</v>
      </c>
      <c r="AE47" s="333">
        <v>24</v>
      </c>
      <c r="AF47" s="333">
        <v>58</v>
      </c>
      <c r="AG47" s="333">
        <v>207</v>
      </c>
      <c r="AH47" s="333">
        <v>289</v>
      </c>
      <c r="AI47" s="216">
        <v>358</v>
      </c>
      <c r="AJ47" s="333">
        <v>15</v>
      </c>
      <c r="AK47" s="333">
        <v>82</v>
      </c>
      <c r="AL47" s="333">
        <v>683</v>
      </c>
      <c r="AM47" s="216">
        <v>592</v>
      </c>
      <c r="AN47" s="216">
        <v>630</v>
      </c>
      <c r="AO47" s="216">
        <v>27</v>
      </c>
      <c r="AP47" s="216">
        <v>2</v>
      </c>
      <c r="AQ47" s="216">
        <v>92</v>
      </c>
      <c r="AR47" s="216">
        <v>30</v>
      </c>
      <c r="AS47" s="216">
        <v>541</v>
      </c>
      <c r="AT47" s="216">
        <v>18</v>
      </c>
      <c r="AU47" s="216">
        <v>29</v>
      </c>
      <c r="AV47" s="216">
        <v>173</v>
      </c>
      <c r="AW47" s="216">
        <v>133</v>
      </c>
      <c r="AX47" s="216">
        <v>30</v>
      </c>
      <c r="AY47" s="216">
        <v>14781</v>
      </c>
      <c r="AZ47" s="216" t="s">
        <v>3</v>
      </c>
      <c r="BA47" s="216">
        <v>2968</v>
      </c>
      <c r="BB47" s="216" t="s">
        <v>3</v>
      </c>
      <c r="BC47" s="216">
        <v>701</v>
      </c>
      <c r="BD47" s="216" t="s">
        <v>3</v>
      </c>
      <c r="BE47" s="216">
        <v>3077</v>
      </c>
      <c r="BF47" s="216" t="s">
        <v>3</v>
      </c>
      <c r="BG47" s="216">
        <v>1108</v>
      </c>
      <c r="BH47" s="216" t="s">
        <v>3</v>
      </c>
      <c r="BI47" s="216">
        <v>134</v>
      </c>
      <c r="BJ47" s="216" t="s">
        <v>3</v>
      </c>
      <c r="BK47" s="216">
        <v>22769</v>
      </c>
      <c r="BL47" s="216" t="s">
        <v>3</v>
      </c>
      <c r="BM47" s="216">
        <v>2889</v>
      </c>
      <c r="BN47" s="216" t="s">
        <v>3</v>
      </c>
      <c r="BO47" s="216">
        <v>1321</v>
      </c>
      <c r="BP47" s="216" t="s">
        <v>3</v>
      </c>
      <c r="BQ47" s="216">
        <v>3150</v>
      </c>
      <c r="BR47" s="216" t="s">
        <v>3</v>
      </c>
      <c r="BS47" s="216">
        <v>228</v>
      </c>
      <c r="BT47" s="216" t="s">
        <v>3</v>
      </c>
      <c r="BU47" s="216">
        <v>0</v>
      </c>
      <c r="BV47" s="216">
        <v>0</v>
      </c>
      <c r="BW47" s="216">
        <v>30357</v>
      </c>
      <c r="BX47" s="216">
        <v>-1245</v>
      </c>
      <c r="BY47" s="216">
        <v>0</v>
      </c>
      <c r="BZ47" s="216">
        <v>-575</v>
      </c>
      <c r="CA47" s="216">
        <v>0</v>
      </c>
      <c r="CB47" s="216">
        <v>-1820</v>
      </c>
      <c r="CC47" s="216">
        <v>28537</v>
      </c>
      <c r="CD47" s="216">
        <v>2995</v>
      </c>
      <c r="CE47" s="216">
        <v>3459</v>
      </c>
      <c r="CF47" s="216">
        <v>34991</v>
      </c>
      <c r="CG47" s="216">
        <v>0</v>
      </c>
      <c r="CH47" s="216">
        <v>1454</v>
      </c>
      <c r="CI47" s="216">
        <v>0</v>
      </c>
      <c r="CJ47" s="216">
        <v>1019</v>
      </c>
      <c r="CK47" s="216">
        <v>0</v>
      </c>
      <c r="CL47" s="216">
        <v>660</v>
      </c>
      <c r="CM47" s="216">
        <v>0</v>
      </c>
      <c r="CN47" s="216">
        <v>0</v>
      </c>
      <c r="CO47" s="333">
        <v>16.899999999999999</v>
      </c>
      <c r="CP47" s="216">
        <v>98</v>
      </c>
      <c r="CQ47" s="216" t="s">
        <v>3</v>
      </c>
      <c r="CR47" s="216" t="s">
        <v>3</v>
      </c>
      <c r="CS47" s="216">
        <v>2595</v>
      </c>
      <c r="CT47" s="216" t="s">
        <v>3</v>
      </c>
      <c r="CU47" s="216" t="s">
        <v>3</v>
      </c>
      <c r="CV47" s="216" t="s">
        <v>3</v>
      </c>
      <c r="CW47" s="216">
        <v>27805</v>
      </c>
      <c r="CX47" s="216">
        <v>158</v>
      </c>
      <c r="CY47" s="216">
        <v>974</v>
      </c>
      <c r="CZ47" s="216">
        <v>0</v>
      </c>
      <c r="DA47" s="216">
        <v>31532</v>
      </c>
      <c r="DB47" s="333">
        <v>22.543352601156069</v>
      </c>
      <c r="DC47" s="333">
        <v>22.539111670562846</v>
      </c>
      <c r="DD47" s="333">
        <v>22.784810126582279</v>
      </c>
      <c r="DE47" s="333">
        <v>22.587268993839835</v>
      </c>
      <c r="DF47" s="333">
        <v>0</v>
      </c>
      <c r="DG47" s="333">
        <v>22.542179373335024</v>
      </c>
      <c r="DH47" s="216">
        <v>-2051</v>
      </c>
      <c r="DI47" s="216">
        <v>-105</v>
      </c>
      <c r="DJ47" s="216">
        <v>0</v>
      </c>
      <c r="DK47" s="216">
        <v>-1761</v>
      </c>
      <c r="DL47" s="216">
        <v>-194</v>
      </c>
      <c r="DM47" s="216">
        <v>8649</v>
      </c>
      <c r="DN47" s="216">
        <v>3194</v>
      </c>
      <c r="DO47" s="216">
        <v>0</v>
      </c>
      <c r="DP47" s="216">
        <v>7732</v>
      </c>
      <c r="DQ47" s="216">
        <v>746</v>
      </c>
      <c r="DR47" s="216">
        <v>3972</v>
      </c>
      <c r="DS47" s="216">
        <v>3838</v>
      </c>
      <c r="DT47" s="216">
        <v>296</v>
      </c>
      <c r="DU47" s="216">
        <v>0</v>
      </c>
      <c r="DV47" s="216">
        <v>0</v>
      </c>
      <c r="DW47" s="216">
        <v>76</v>
      </c>
      <c r="DX47" s="216">
        <v>0</v>
      </c>
      <c r="DY47" s="216">
        <v>509</v>
      </c>
      <c r="DZ47" s="216">
        <v>919</v>
      </c>
      <c r="EA47" s="216">
        <v>7</v>
      </c>
      <c r="EB47" s="216">
        <v>12</v>
      </c>
      <c r="EC47" s="216">
        <v>40</v>
      </c>
      <c r="ED47" s="216">
        <v>0</v>
      </c>
      <c r="EE47" s="216">
        <v>261</v>
      </c>
      <c r="EF47" s="216">
        <v>96</v>
      </c>
      <c r="EG47" s="216">
        <v>0</v>
      </c>
      <c r="EH47" s="216">
        <v>0</v>
      </c>
      <c r="EI47" s="216">
        <v>0</v>
      </c>
      <c r="EJ47" s="216">
        <v>0</v>
      </c>
      <c r="EK47" s="216">
        <v>1920</v>
      </c>
    </row>
    <row r="48" spans="1:141" ht="15" customHeight="1" x14ac:dyDescent="0.2">
      <c r="A48" s="218" t="s">
        <v>32</v>
      </c>
      <c r="B48" s="218" t="s">
        <v>38</v>
      </c>
      <c r="C48" s="217" t="s">
        <v>37</v>
      </c>
      <c r="D48" s="216">
        <v>8</v>
      </c>
      <c r="E48" s="216">
        <v>12</v>
      </c>
      <c r="F48" s="216">
        <v>4</v>
      </c>
      <c r="G48" s="216">
        <v>0</v>
      </c>
      <c r="H48" s="216">
        <v>24</v>
      </c>
      <c r="I48" s="216">
        <v>3</v>
      </c>
      <c r="J48" s="216">
        <v>30</v>
      </c>
      <c r="K48" s="216">
        <v>2</v>
      </c>
      <c r="L48" s="216">
        <v>7</v>
      </c>
      <c r="M48" s="216">
        <v>8</v>
      </c>
      <c r="N48" s="216">
        <v>30</v>
      </c>
      <c r="O48" s="216">
        <v>3</v>
      </c>
      <c r="P48" s="216">
        <v>80</v>
      </c>
      <c r="Q48" s="216">
        <v>82</v>
      </c>
      <c r="R48" s="216">
        <v>6</v>
      </c>
      <c r="S48" s="216">
        <v>3</v>
      </c>
      <c r="T48" s="333">
        <v>3</v>
      </c>
      <c r="U48" s="333">
        <v>4</v>
      </c>
      <c r="V48" s="333">
        <v>8</v>
      </c>
      <c r="W48" s="333">
        <v>23</v>
      </c>
      <c r="X48" s="333">
        <v>77</v>
      </c>
      <c r="Y48" s="333">
        <v>72</v>
      </c>
      <c r="Z48" s="333">
        <v>264</v>
      </c>
      <c r="AA48" s="333">
        <v>451</v>
      </c>
      <c r="AB48" s="216">
        <v>456</v>
      </c>
      <c r="AC48" s="333">
        <v>0</v>
      </c>
      <c r="AD48" s="333">
        <v>0</v>
      </c>
      <c r="AE48" s="333">
        <v>17</v>
      </c>
      <c r="AF48" s="333">
        <v>25</v>
      </c>
      <c r="AG48" s="333">
        <v>98</v>
      </c>
      <c r="AH48" s="333">
        <v>139</v>
      </c>
      <c r="AI48" s="216">
        <v>259</v>
      </c>
      <c r="AJ48" s="333">
        <v>26</v>
      </c>
      <c r="AK48" s="333">
        <v>149</v>
      </c>
      <c r="AL48" s="333">
        <v>765</v>
      </c>
      <c r="AM48" s="216">
        <v>879</v>
      </c>
      <c r="AN48" s="216">
        <v>878</v>
      </c>
      <c r="AO48" s="216">
        <v>28</v>
      </c>
      <c r="AP48" s="216">
        <v>1</v>
      </c>
      <c r="AQ48" s="216">
        <v>84</v>
      </c>
      <c r="AR48" s="216">
        <v>17</v>
      </c>
      <c r="AS48" s="216">
        <v>523</v>
      </c>
      <c r="AT48" s="216">
        <v>21</v>
      </c>
      <c r="AU48" s="216">
        <v>197</v>
      </c>
      <c r="AV48" s="216">
        <v>454</v>
      </c>
      <c r="AW48" s="216">
        <v>105</v>
      </c>
      <c r="AX48" s="216">
        <v>54</v>
      </c>
      <c r="AY48" s="216">
        <v>21868</v>
      </c>
      <c r="AZ48" s="216" t="s">
        <v>3</v>
      </c>
      <c r="BA48" s="216">
        <v>3052</v>
      </c>
      <c r="BB48" s="216" t="s">
        <v>3</v>
      </c>
      <c r="BC48" s="216">
        <v>1205</v>
      </c>
      <c r="BD48" s="216" t="s">
        <v>3</v>
      </c>
      <c r="BE48" s="216">
        <v>6086</v>
      </c>
      <c r="BF48" s="216" t="s">
        <v>3</v>
      </c>
      <c r="BG48" s="216">
        <v>399</v>
      </c>
      <c r="BH48" s="216" t="s">
        <v>3</v>
      </c>
      <c r="BI48" s="216">
        <v>1747</v>
      </c>
      <c r="BJ48" s="216" t="s">
        <v>3</v>
      </c>
      <c r="BK48" s="216">
        <v>34357</v>
      </c>
      <c r="BL48" s="216" t="s">
        <v>3</v>
      </c>
      <c r="BM48" s="216">
        <v>2530</v>
      </c>
      <c r="BN48" s="216" t="s">
        <v>3</v>
      </c>
      <c r="BO48" s="216">
        <v>1965</v>
      </c>
      <c r="BP48" s="216" t="s">
        <v>3</v>
      </c>
      <c r="BQ48" s="216">
        <v>3462</v>
      </c>
      <c r="BR48" s="216" t="s">
        <v>3</v>
      </c>
      <c r="BS48" s="216">
        <v>172</v>
      </c>
      <c r="BT48" s="216" t="s">
        <v>3</v>
      </c>
      <c r="BU48" s="216">
        <v>35</v>
      </c>
      <c r="BV48" s="216">
        <v>0</v>
      </c>
      <c r="BW48" s="216">
        <v>42521</v>
      </c>
      <c r="BX48" s="216">
        <v>-562</v>
      </c>
      <c r="BY48" s="216">
        <v>0</v>
      </c>
      <c r="BZ48" s="216">
        <v>-754</v>
      </c>
      <c r="CA48" s="216" t="s">
        <v>3</v>
      </c>
      <c r="CB48" s="216">
        <v>-1316</v>
      </c>
      <c r="CC48" s="216">
        <v>41205</v>
      </c>
      <c r="CD48" s="216">
        <v>3325</v>
      </c>
      <c r="CE48" s="216">
        <v>8852</v>
      </c>
      <c r="CF48" s="216">
        <v>53382</v>
      </c>
      <c r="CG48" s="216">
        <v>0</v>
      </c>
      <c r="CH48" s="216">
        <v>1436</v>
      </c>
      <c r="CI48" s="216">
        <v>0</v>
      </c>
      <c r="CJ48" s="216">
        <v>793</v>
      </c>
      <c r="CK48" s="216">
        <v>-81</v>
      </c>
      <c r="CL48" s="216">
        <v>0</v>
      </c>
      <c r="CM48" s="216">
        <v>0</v>
      </c>
      <c r="CN48" s="216">
        <v>0</v>
      </c>
      <c r="CO48" s="333">
        <v>14.8</v>
      </c>
      <c r="CP48" s="216">
        <v>201</v>
      </c>
      <c r="CQ48" s="216" t="s">
        <v>3</v>
      </c>
      <c r="CR48" s="216" t="s">
        <v>3</v>
      </c>
      <c r="CS48" s="216">
        <v>4517</v>
      </c>
      <c r="CT48" s="216" t="s">
        <v>3</v>
      </c>
      <c r="CU48" s="216" t="s">
        <v>3</v>
      </c>
      <c r="CV48" s="216" t="s">
        <v>3</v>
      </c>
      <c r="CW48" s="216">
        <v>37706</v>
      </c>
      <c r="CX48" s="216">
        <v>422</v>
      </c>
      <c r="CY48" s="216">
        <v>1885</v>
      </c>
      <c r="CZ48" s="216">
        <v>0</v>
      </c>
      <c r="DA48" s="216">
        <v>44530</v>
      </c>
      <c r="DB48" s="333">
        <v>25.90214744299314</v>
      </c>
      <c r="DC48" s="333">
        <v>26.01973160770169</v>
      </c>
      <c r="DD48" s="333">
        <v>23.459715639810426</v>
      </c>
      <c r="DE48" s="333">
        <v>8.9655172413793096</v>
      </c>
      <c r="DF48" s="333">
        <v>0</v>
      </c>
      <c r="DG48" s="333">
        <v>25.261621378845721</v>
      </c>
      <c r="DH48" s="216">
        <v>-2774</v>
      </c>
      <c r="DI48" s="216">
        <v>-115</v>
      </c>
      <c r="DJ48" s="216">
        <v>0</v>
      </c>
      <c r="DK48" s="216">
        <v>-2327</v>
      </c>
      <c r="DL48" s="216">
        <v>-13</v>
      </c>
      <c r="DM48" s="216">
        <v>12966</v>
      </c>
      <c r="DN48" s="216">
        <v>3490</v>
      </c>
      <c r="DO48" s="216">
        <v>0</v>
      </c>
      <c r="DP48" s="216">
        <v>11227</v>
      </c>
      <c r="DQ48" s="216">
        <v>720</v>
      </c>
      <c r="DR48" s="216">
        <v>5156</v>
      </c>
      <c r="DS48" s="216">
        <v>6953</v>
      </c>
      <c r="DT48" s="216">
        <v>599</v>
      </c>
      <c r="DU48" s="216">
        <v>0</v>
      </c>
      <c r="DV48" s="216">
        <v>0</v>
      </c>
      <c r="DW48" s="216">
        <v>497</v>
      </c>
      <c r="DX48" s="216">
        <v>69</v>
      </c>
      <c r="DY48" s="216">
        <v>0</v>
      </c>
      <c r="DZ48" s="216">
        <v>0</v>
      </c>
      <c r="EA48" s="216">
        <v>0</v>
      </c>
      <c r="EB48" s="216">
        <v>69</v>
      </c>
      <c r="EC48" s="216">
        <v>0</v>
      </c>
      <c r="ED48" s="216">
        <v>20</v>
      </c>
      <c r="EE48" s="216">
        <v>306</v>
      </c>
      <c r="EF48" s="216">
        <v>0</v>
      </c>
      <c r="EG48" s="216">
        <v>114</v>
      </c>
      <c r="EH48" s="216">
        <v>0</v>
      </c>
      <c r="EI48" s="216">
        <v>0</v>
      </c>
      <c r="EJ48" s="216">
        <v>0</v>
      </c>
      <c r="EK48" s="216">
        <v>1075</v>
      </c>
    </row>
    <row r="49" spans="1:141" ht="15" customHeight="1" x14ac:dyDescent="0.2">
      <c r="A49" s="218" t="s">
        <v>32</v>
      </c>
      <c r="B49" s="218" t="s">
        <v>36</v>
      </c>
      <c r="C49" s="217" t="s">
        <v>35</v>
      </c>
      <c r="D49" s="216">
        <v>1</v>
      </c>
      <c r="E49" s="216">
        <v>20</v>
      </c>
      <c r="F49" s="216">
        <v>2</v>
      </c>
      <c r="G49" s="216">
        <v>0</v>
      </c>
      <c r="H49" s="216">
        <v>23</v>
      </c>
      <c r="I49" s="216">
        <v>23</v>
      </c>
      <c r="J49" s="216">
        <v>28</v>
      </c>
      <c r="K49" s="216">
        <v>2</v>
      </c>
      <c r="L49" s="216">
        <v>19</v>
      </c>
      <c r="M49" s="216">
        <v>10</v>
      </c>
      <c r="N49" s="216">
        <v>14</v>
      </c>
      <c r="O49" s="216">
        <v>2</v>
      </c>
      <c r="P49" s="216">
        <v>75</v>
      </c>
      <c r="Q49" s="216">
        <v>33</v>
      </c>
      <c r="R49" s="216">
        <v>5</v>
      </c>
      <c r="S49" s="216">
        <v>2</v>
      </c>
      <c r="T49" s="333">
        <v>3</v>
      </c>
      <c r="U49" s="333">
        <v>3</v>
      </c>
      <c r="V49" s="333">
        <v>7</v>
      </c>
      <c r="W49" s="333">
        <v>14</v>
      </c>
      <c r="X49" s="333">
        <v>25</v>
      </c>
      <c r="Y49" s="333">
        <v>24</v>
      </c>
      <c r="Z49" s="333">
        <v>106</v>
      </c>
      <c r="AA49" s="333">
        <v>182</v>
      </c>
      <c r="AB49" s="216">
        <v>185</v>
      </c>
      <c r="AC49" s="333">
        <v>0</v>
      </c>
      <c r="AD49" s="333">
        <v>0</v>
      </c>
      <c r="AE49" s="333">
        <v>23</v>
      </c>
      <c r="AF49" s="333">
        <v>65</v>
      </c>
      <c r="AG49" s="333">
        <v>235</v>
      </c>
      <c r="AH49" s="333">
        <v>323</v>
      </c>
      <c r="AI49" s="216">
        <v>326</v>
      </c>
      <c r="AJ49" s="333">
        <v>19</v>
      </c>
      <c r="AK49" s="333">
        <v>67</v>
      </c>
      <c r="AL49" s="333">
        <v>591</v>
      </c>
      <c r="AM49" s="216">
        <v>337</v>
      </c>
      <c r="AN49" s="216">
        <v>340</v>
      </c>
      <c r="AO49" s="216">
        <v>12</v>
      </c>
      <c r="AP49" s="216">
        <v>1</v>
      </c>
      <c r="AQ49" s="216">
        <v>29</v>
      </c>
      <c r="AR49" s="216">
        <v>12</v>
      </c>
      <c r="AS49" s="216">
        <v>417</v>
      </c>
      <c r="AT49" s="216">
        <v>15</v>
      </c>
      <c r="AU49" s="216">
        <v>22</v>
      </c>
      <c r="AV49" s="216">
        <v>217</v>
      </c>
      <c r="AW49" s="216">
        <v>60</v>
      </c>
      <c r="AX49" s="216">
        <v>20</v>
      </c>
      <c r="AY49" s="216">
        <v>8677</v>
      </c>
      <c r="AZ49" s="216" t="s">
        <v>3</v>
      </c>
      <c r="BA49" s="216">
        <v>3501</v>
      </c>
      <c r="BB49" s="216" t="s">
        <v>3</v>
      </c>
      <c r="BC49" s="216">
        <v>715</v>
      </c>
      <c r="BD49" s="216" t="s">
        <v>3</v>
      </c>
      <c r="BE49" s="216">
        <v>2538</v>
      </c>
      <c r="BF49" s="216" t="s">
        <v>3</v>
      </c>
      <c r="BG49" s="216">
        <v>491</v>
      </c>
      <c r="BH49" s="216" t="s">
        <v>3</v>
      </c>
      <c r="BI49" s="216">
        <v>209</v>
      </c>
      <c r="BJ49" s="216" t="s">
        <v>3</v>
      </c>
      <c r="BK49" s="216">
        <v>16131</v>
      </c>
      <c r="BL49" s="216" t="s">
        <v>3</v>
      </c>
      <c r="BM49" s="216">
        <v>1057</v>
      </c>
      <c r="BN49" s="216" t="s">
        <v>3</v>
      </c>
      <c r="BO49" s="216">
        <v>720</v>
      </c>
      <c r="BP49" s="216" t="s">
        <v>3</v>
      </c>
      <c r="BQ49" s="216">
        <v>2321</v>
      </c>
      <c r="BR49" s="216" t="s">
        <v>3</v>
      </c>
      <c r="BS49" s="216">
        <v>317</v>
      </c>
      <c r="BT49" s="216" t="s">
        <v>3</v>
      </c>
      <c r="BU49" s="216">
        <v>0</v>
      </c>
      <c r="BV49" s="216">
        <v>0</v>
      </c>
      <c r="BW49" s="216">
        <v>20546</v>
      </c>
      <c r="BX49" s="216">
        <v>-86</v>
      </c>
      <c r="BY49" s="216">
        <v>0</v>
      </c>
      <c r="BZ49" s="216">
        <v>-190</v>
      </c>
      <c r="CA49" s="216">
        <v>0</v>
      </c>
      <c r="CB49" s="216">
        <v>-276</v>
      </c>
      <c r="CC49" s="216">
        <v>20270</v>
      </c>
      <c r="CD49" s="216">
        <v>2796</v>
      </c>
      <c r="CE49" s="216">
        <v>94</v>
      </c>
      <c r="CF49" s="216">
        <v>23160</v>
      </c>
      <c r="CG49" s="216">
        <v>0</v>
      </c>
      <c r="CH49" s="216">
        <v>259</v>
      </c>
      <c r="CI49" s="216">
        <v>8</v>
      </c>
      <c r="CJ49" s="216">
        <v>256</v>
      </c>
      <c r="CK49" s="216">
        <v>-130</v>
      </c>
      <c r="CL49" s="216">
        <v>0</v>
      </c>
      <c r="CM49" s="216">
        <v>0</v>
      </c>
      <c r="CN49" s="216">
        <v>0</v>
      </c>
      <c r="CO49" s="333">
        <v>13.9</v>
      </c>
      <c r="CP49" s="216">
        <v>103.9</v>
      </c>
      <c r="CQ49" s="216" t="s">
        <v>3</v>
      </c>
      <c r="CR49" s="216" t="s">
        <v>3</v>
      </c>
      <c r="CS49" s="216">
        <v>1384</v>
      </c>
      <c r="CT49" s="216" t="s">
        <v>3</v>
      </c>
      <c r="CU49" s="216" t="s">
        <v>3</v>
      </c>
      <c r="CV49" s="216" t="s">
        <v>3</v>
      </c>
      <c r="CW49" s="216">
        <v>21119</v>
      </c>
      <c r="CX49" s="216">
        <v>70</v>
      </c>
      <c r="CY49" s="216">
        <v>470</v>
      </c>
      <c r="CZ49" s="216">
        <v>23</v>
      </c>
      <c r="DA49" s="216">
        <v>23066</v>
      </c>
      <c r="DB49" s="333">
        <v>0</v>
      </c>
      <c r="DC49" s="333">
        <v>0</v>
      </c>
      <c r="DD49" s="333">
        <v>0</v>
      </c>
      <c r="DE49" s="333">
        <v>0</v>
      </c>
      <c r="DF49" s="333">
        <v>0</v>
      </c>
      <c r="DG49" s="333">
        <v>0</v>
      </c>
      <c r="DH49" s="216">
        <v>-1268</v>
      </c>
      <c r="DI49" s="216">
        <v>-86</v>
      </c>
      <c r="DJ49" s="216">
        <v>0</v>
      </c>
      <c r="DK49" s="216">
        <v>-1161</v>
      </c>
      <c r="DL49" s="216">
        <v>-84</v>
      </c>
      <c r="DM49" s="216">
        <v>4704</v>
      </c>
      <c r="DN49" s="216">
        <v>740</v>
      </c>
      <c r="DO49" s="216">
        <v>0</v>
      </c>
      <c r="DP49" s="216">
        <v>2845</v>
      </c>
      <c r="DQ49" s="216">
        <v>315</v>
      </c>
      <c r="DR49" s="216">
        <v>15029</v>
      </c>
      <c r="DS49" s="216">
        <v>1105</v>
      </c>
      <c r="DT49" s="216">
        <v>0</v>
      </c>
      <c r="DU49" s="216">
        <v>0</v>
      </c>
      <c r="DV49" s="216">
        <v>0</v>
      </c>
      <c r="DW49" s="216">
        <v>0</v>
      </c>
      <c r="DX49" s="216">
        <v>1136</v>
      </c>
      <c r="DY49" s="216">
        <v>0</v>
      </c>
      <c r="DZ49" s="216">
        <v>1555</v>
      </c>
      <c r="EA49" s="216">
        <v>0</v>
      </c>
      <c r="EB49" s="216">
        <v>0</v>
      </c>
      <c r="EC49" s="216">
        <v>167</v>
      </c>
      <c r="ED49" s="216">
        <v>152</v>
      </c>
      <c r="EE49" s="216">
        <v>66</v>
      </c>
      <c r="EF49" s="216">
        <v>0</v>
      </c>
      <c r="EG49" s="216">
        <v>17</v>
      </c>
      <c r="EH49" s="216">
        <v>0</v>
      </c>
      <c r="EI49" s="216">
        <v>0</v>
      </c>
      <c r="EJ49" s="216">
        <v>0</v>
      </c>
      <c r="EK49" s="216">
        <v>3093</v>
      </c>
    </row>
    <row r="50" spans="1:141" ht="15" customHeight="1" x14ac:dyDescent="0.2">
      <c r="A50" s="218" t="s">
        <v>32</v>
      </c>
      <c r="B50" s="218" t="s">
        <v>34</v>
      </c>
      <c r="C50" s="217" t="s">
        <v>33</v>
      </c>
      <c r="D50" s="216">
        <v>8</v>
      </c>
      <c r="E50" s="216">
        <v>23</v>
      </c>
      <c r="F50" s="216">
        <v>2</v>
      </c>
      <c r="G50" s="216">
        <v>0</v>
      </c>
      <c r="H50" s="216">
        <v>33</v>
      </c>
      <c r="I50" s="216">
        <v>0</v>
      </c>
      <c r="J50" s="216">
        <v>41</v>
      </c>
      <c r="K50" s="216">
        <v>2</v>
      </c>
      <c r="L50" s="216">
        <v>11</v>
      </c>
      <c r="M50" s="216">
        <v>42</v>
      </c>
      <c r="N50" s="216">
        <v>0</v>
      </c>
      <c r="O50" s="216">
        <v>7</v>
      </c>
      <c r="P50" s="216">
        <v>103</v>
      </c>
      <c r="Q50" s="216">
        <v>70</v>
      </c>
      <c r="R50" s="216">
        <v>8</v>
      </c>
      <c r="S50" s="216">
        <v>3</v>
      </c>
      <c r="T50" s="333">
        <v>2</v>
      </c>
      <c r="U50" s="333">
        <v>2</v>
      </c>
      <c r="V50" s="333">
        <v>8</v>
      </c>
      <c r="W50" s="333">
        <v>26</v>
      </c>
      <c r="X50" s="333">
        <v>63</v>
      </c>
      <c r="Y50" s="333">
        <v>40</v>
      </c>
      <c r="Z50" s="333">
        <v>178</v>
      </c>
      <c r="AA50" s="333">
        <v>319</v>
      </c>
      <c r="AB50" s="216">
        <v>319</v>
      </c>
      <c r="AC50" s="333">
        <v>0</v>
      </c>
      <c r="AD50" s="333">
        <v>0</v>
      </c>
      <c r="AE50" s="333">
        <v>28</v>
      </c>
      <c r="AF50" s="333">
        <v>65</v>
      </c>
      <c r="AG50" s="333">
        <v>278</v>
      </c>
      <c r="AH50" s="333">
        <v>371</v>
      </c>
      <c r="AI50" s="216">
        <v>371</v>
      </c>
      <c r="AJ50" s="333">
        <v>0</v>
      </c>
      <c r="AK50" s="333">
        <v>222</v>
      </c>
      <c r="AL50" s="333">
        <v>912</v>
      </c>
      <c r="AM50" s="216">
        <v>736</v>
      </c>
      <c r="AN50" s="216">
        <v>766</v>
      </c>
      <c r="AO50" s="216">
        <v>20</v>
      </c>
      <c r="AP50" s="216">
        <v>1</v>
      </c>
      <c r="AQ50" s="216">
        <v>51</v>
      </c>
      <c r="AR50" s="216">
        <v>145</v>
      </c>
      <c r="AS50" s="216">
        <v>506</v>
      </c>
      <c r="AT50" s="216">
        <v>26</v>
      </c>
      <c r="AU50" s="216">
        <v>26</v>
      </c>
      <c r="AV50" s="216">
        <v>317</v>
      </c>
      <c r="AW50" s="216">
        <v>193</v>
      </c>
      <c r="AX50" s="216">
        <v>38</v>
      </c>
      <c r="AY50" s="216">
        <v>16625</v>
      </c>
      <c r="AZ50" s="216">
        <v>0</v>
      </c>
      <c r="BA50" s="216">
        <v>4585</v>
      </c>
      <c r="BB50" s="216">
        <v>0</v>
      </c>
      <c r="BC50" s="216">
        <v>0</v>
      </c>
      <c r="BD50" s="216">
        <v>0</v>
      </c>
      <c r="BE50" s="216">
        <v>7502</v>
      </c>
      <c r="BF50" s="216">
        <v>187</v>
      </c>
      <c r="BG50" s="216">
        <v>385</v>
      </c>
      <c r="BH50" s="216">
        <v>0</v>
      </c>
      <c r="BI50" s="216">
        <v>539</v>
      </c>
      <c r="BJ50" s="216">
        <v>0</v>
      </c>
      <c r="BK50" s="216">
        <v>29636</v>
      </c>
      <c r="BL50" s="216">
        <v>187</v>
      </c>
      <c r="BM50" s="216">
        <v>3144</v>
      </c>
      <c r="BN50" s="216">
        <v>103</v>
      </c>
      <c r="BO50" s="216">
        <v>910</v>
      </c>
      <c r="BP50" s="216">
        <v>0</v>
      </c>
      <c r="BQ50" s="216">
        <v>7552</v>
      </c>
      <c r="BR50" s="216">
        <v>1356</v>
      </c>
      <c r="BS50" s="216">
        <v>251</v>
      </c>
      <c r="BT50" s="216">
        <v>0</v>
      </c>
      <c r="BU50" s="216">
        <v>136</v>
      </c>
      <c r="BV50" s="216">
        <v>0</v>
      </c>
      <c r="BW50" s="216">
        <v>41629</v>
      </c>
      <c r="BX50" s="216">
        <v>-4002</v>
      </c>
      <c r="BY50" s="216">
        <v>-50</v>
      </c>
      <c r="BZ50" s="216">
        <v>-1999</v>
      </c>
      <c r="CA50" s="216">
        <v>-297</v>
      </c>
      <c r="CB50" s="216">
        <v>-6051</v>
      </c>
      <c r="CC50" s="216">
        <v>35578</v>
      </c>
      <c r="CD50" s="216">
        <v>3883</v>
      </c>
      <c r="CE50" s="216">
        <v>4173</v>
      </c>
      <c r="CF50" s="216">
        <v>43634</v>
      </c>
      <c r="CG50" s="216">
        <v>0</v>
      </c>
      <c r="CH50" s="216">
        <v>0</v>
      </c>
      <c r="CI50" s="216">
        <v>0</v>
      </c>
      <c r="CJ50" s="216">
        <v>0</v>
      </c>
      <c r="CK50" s="216">
        <v>0</v>
      </c>
      <c r="CL50" s="216">
        <v>0</v>
      </c>
      <c r="CM50" s="216">
        <v>0</v>
      </c>
      <c r="CN50" s="216">
        <v>0</v>
      </c>
      <c r="CO50" s="333">
        <v>16.7</v>
      </c>
      <c r="CP50" s="216">
        <v>315</v>
      </c>
      <c r="CQ50" s="216">
        <v>0</v>
      </c>
      <c r="CR50" s="216">
        <v>4282</v>
      </c>
      <c r="CS50" s="216">
        <v>4282</v>
      </c>
      <c r="CT50" s="216">
        <v>31399</v>
      </c>
      <c r="CU50" s="216">
        <v>2502</v>
      </c>
      <c r="CV50" s="216">
        <v>29</v>
      </c>
      <c r="CW50" s="216">
        <v>33930</v>
      </c>
      <c r="CX50" s="216">
        <v>-41</v>
      </c>
      <c r="CY50" s="216">
        <v>1290</v>
      </c>
      <c r="CZ50" s="216">
        <v>0</v>
      </c>
      <c r="DA50" s="216">
        <v>39461</v>
      </c>
      <c r="DB50" s="333">
        <v>15.20317608594115</v>
      </c>
      <c r="DC50" s="333">
        <v>14.992631889183613</v>
      </c>
      <c r="DD50" s="333">
        <v>0</v>
      </c>
      <c r="DE50" s="333">
        <v>13.720930232558141</v>
      </c>
      <c r="DF50" s="333">
        <v>0</v>
      </c>
      <c r="DG50" s="333">
        <v>14.989483287296318</v>
      </c>
      <c r="DH50" s="216">
        <v>-2180</v>
      </c>
      <c r="DI50" s="216">
        <v>-120</v>
      </c>
      <c r="DJ50" s="216">
        <v>0</v>
      </c>
      <c r="DK50" s="216">
        <v>-1892</v>
      </c>
      <c r="DL50" s="216">
        <v>0</v>
      </c>
      <c r="DM50" s="216">
        <v>10864</v>
      </c>
      <c r="DN50" s="216">
        <v>1738</v>
      </c>
      <c r="DO50" s="216">
        <v>0</v>
      </c>
      <c r="DP50" s="216">
        <v>8410</v>
      </c>
      <c r="DQ50" s="216">
        <v>1052</v>
      </c>
      <c r="DR50" s="216">
        <v>15311</v>
      </c>
      <c r="DS50" s="216">
        <v>1906</v>
      </c>
      <c r="DT50" s="216">
        <v>0</v>
      </c>
      <c r="DU50" s="216">
        <v>0</v>
      </c>
      <c r="DV50" s="216">
        <v>0</v>
      </c>
      <c r="DW50" s="216">
        <v>0</v>
      </c>
      <c r="DX50" s="216">
        <v>54</v>
      </c>
      <c r="DY50" s="216">
        <v>36</v>
      </c>
      <c r="DZ50" s="216">
        <v>1546</v>
      </c>
      <c r="EA50" s="216">
        <v>26</v>
      </c>
      <c r="EB50" s="216">
        <v>133</v>
      </c>
      <c r="EC50" s="216">
        <v>23</v>
      </c>
      <c r="ED50" s="216">
        <v>339</v>
      </c>
      <c r="EE50" s="216">
        <v>2</v>
      </c>
      <c r="EF50" s="216">
        <v>72</v>
      </c>
      <c r="EG50" s="216">
        <v>347</v>
      </c>
      <c r="EH50" s="216">
        <v>0</v>
      </c>
      <c r="EI50" s="216">
        <v>0</v>
      </c>
      <c r="EJ50" s="216">
        <v>0</v>
      </c>
      <c r="EK50" s="216">
        <v>2578</v>
      </c>
    </row>
    <row r="51" spans="1:141" ht="15" customHeight="1" x14ac:dyDescent="0.2">
      <c r="A51" s="220" t="s">
        <v>17</v>
      </c>
      <c r="B51" s="220" t="s">
        <v>29</v>
      </c>
      <c r="C51" s="219" t="s">
        <v>28</v>
      </c>
      <c r="D51" s="216">
        <v>35</v>
      </c>
      <c r="E51" s="216">
        <v>0</v>
      </c>
      <c r="F51" s="216">
        <v>6</v>
      </c>
      <c r="G51" s="216">
        <v>0</v>
      </c>
      <c r="H51" s="216">
        <v>41</v>
      </c>
      <c r="I51" s="216">
        <v>7</v>
      </c>
      <c r="J51" s="216">
        <v>54</v>
      </c>
      <c r="K51" s="216">
        <v>6</v>
      </c>
      <c r="L51" s="216">
        <v>11</v>
      </c>
      <c r="M51" s="216">
        <v>0</v>
      </c>
      <c r="N51" s="216">
        <v>65</v>
      </c>
      <c r="O51" s="216">
        <v>7</v>
      </c>
      <c r="P51" s="216">
        <v>143</v>
      </c>
      <c r="Q51" s="216">
        <v>129</v>
      </c>
      <c r="R51" s="216">
        <v>12</v>
      </c>
      <c r="S51" s="216">
        <v>2</v>
      </c>
      <c r="T51" s="333">
        <v>5</v>
      </c>
      <c r="U51" s="333">
        <v>6</v>
      </c>
      <c r="V51" s="333">
        <v>13</v>
      </c>
      <c r="W51" s="333">
        <v>57</v>
      </c>
      <c r="X51" s="333">
        <v>208</v>
      </c>
      <c r="Y51" s="333">
        <v>179</v>
      </c>
      <c r="Z51" s="333">
        <v>895</v>
      </c>
      <c r="AA51" s="333">
        <v>1363</v>
      </c>
      <c r="AB51" s="216">
        <v>1364</v>
      </c>
      <c r="AC51" s="333">
        <v>0</v>
      </c>
      <c r="AD51" s="333">
        <v>0</v>
      </c>
      <c r="AE51" s="333">
        <v>0</v>
      </c>
      <c r="AF51" s="333">
        <v>0</v>
      </c>
      <c r="AG51" s="333">
        <v>4</v>
      </c>
      <c r="AH51" s="333">
        <v>4</v>
      </c>
      <c r="AI51" s="216">
        <v>4</v>
      </c>
      <c r="AJ51" s="333">
        <v>0</v>
      </c>
      <c r="AK51" s="333">
        <v>391</v>
      </c>
      <c r="AL51" s="333">
        <v>1758</v>
      </c>
      <c r="AM51" s="216">
        <v>2768</v>
      </c>
      <c r="AN51" s="216">
        <v>2812</v>
      </c>
      <c r="AO51" s="216">
        <v>66</v>
      </c>
      <c r="AP51" s="216">
        <v>4</v>
      </c>
      <c r="AQ51" s="216">
        <v>206</v>
      </c>
      <c r="AR51" s="216">
        <v>1</v>
      </c>
      <c r="AS51" s="216">
        <v>1099</v>
      </c>
      <c r="AT51" s="216">
        <v>0</v>
      </c>
      <c r="AU51" s="216">
        <v>160</v>
      </c>
      <c r="AV51" s="216">
        <v>147</v>
      </c>
      <c r="AW51" s="216">
        <v>90</v>
      </c>
      <c r="AX51" s="216">
        <v>3</v>
      </c>
      <c r="AY51" s="216">
        <v>65809</v>
      </c>
      <c r="AZ51" s="216" t="s">
        <v>3</v>
      </c>
      <c r="BA51" s="216">
        <v>0</v>
      </c>
      <c r="BB51" s="216" t="s">
        <v>3</v>
      </c>
      <c r="BC51" s="216">
        <v>0</v>
      </c>
      <c r="BD51" s="216" t="s">
        <v>3</v>
      </c>
      <c r="BE51" s="216">
        <v>10597</v>
      </c>
      <c r="BF51" s="216" t="s">
        <v>3</v>
      </c>
      <c r="BG51" s="216">
        <v>864</v>
      </c>
      <c r="BH51" s="216" t="s">
        <v>3</v>
      </c>
      <c r="BI51" s="216">
        <v>1012</v>
      </c>
      <c r="BJ51" s="216" t="s">
        <v>3</v>
      </c>
      <c r="BK51" s="216">
        <v>78282</v>
      </c>
      <c r="BL51" s="216" t="s">
        <v>3</v>
      </c>
      <c r="BM51" s="216">
        <v>4955</v>
      </c>
      <c r="BN51" s="216" t="s">
        <v>3</v>
      </c>
      <c r="BO51" s="216">
        <v>2604</v>
      </c>
      <c r="BP51" s="216" t="s">
        <v>3</v>
      </c>
      <c r="BQ51" s="216">
        <v>6272</v>
      </c>
      <c r="BR51" s="216" t="s">
        <v>3</v>
      </c>
      <c r="BS51" s="216">
        <v>6977</v>
      </c>
      <c r="BT51" s="216" t="s">
        <v>3</v>
      </c>
      <c r="BU51" s="216">
        <v>2237</v>
      </c>
      <c r="BV51" s="216">
        <v>0</v>
      </c>
      <c r="BW51" s="216">
        <v>101327</v>
      </c>
      <c r="BX51" s="216">
        <v>-2048</v>
      </c>
      <c r="BY51" s="216">
        <v>0</v>
      </c>
      <c r="BZ51" s="216">
        <v>-2140</v>
      </c>
      <c r="CA51" s="216" t="s">
        <v>3</v>
      </c>
      <c r="CB51" s="216">
        <v>-4188</v>
      </c>
      <c r="CC51" s="216">
        <v>97139</v>
      </c>
      <c r="CD51" s="216">
        <v>6061</v>
      </c>
      <c r="CE51" s="216">
        <v>-27990</v>
      </c>
      <c r="CF51" s="216">
        <v>75210</v>
      </c>
      <c r="CG51" s="216">
        <v>0</v>
      </c>
      <c r="CH51" s="216">
        <v>1619</v>
      </c>
      <c r="CI51" s="216">
        <v>0</v>
      </c>
      <c r="CJ51" s="216">
        <v>150</v>
      </c>
      <c r="CK51" s="216">
        <v>0</v>
      </c>
      <c r="CL51" s="216">
        <v>0</v>
      </c>
      <c r="CM51" s="216">
        <v>0</v>
      </c>
      <c r="CN51" s="216">
        <v>0</v>
      </c>
      <c r="CO51" s="333">
        <v>21.2</v>
      </c>
      <c r="CP51" s="216">
        <v>65</v>
      </c>
      <c r="CQ51" s="216" t="s">
        <v>3</v>
      </c>
      <c r="CR51" s="216" t="s">
        <v>3</v>
      </c>
      <c r="CS51" s="216">
        <v>16787</v>
      </c>
      <c r="CT51" s="216">
        <v>82736</v>
      </c>
      <c r="CU51" s="216">
        <v>2237</v>
      </c>
      <c r="CV51" s="216">
        <v>379</v>
      </c>
      <c r="CW51" s="216">
        <v>85352</v>
      </c>
      <c r="CX51" s="216">
        <v>996</v>
      </c>
      <c r="CY51" s="216">
        <v>0</v>
      </c>
      <c r="CZ51" s="216">
        <v>65</v>
      </c>
      <c r="DA51" s="216">
        <v>103200</v>
      </c>
      <c r="DB51" s="333">
        <v>14.284863287067374</v>
      </c>
      <c r="DC51" s="333">
        <v>19.536741962695661</v>
      </c>
      <c r="DD51" s="333">
        <v>12.751004016064257</v>
      </c>
      <c r="DE51" s="333">
        <v>0</v>
      </c>
      <c r="DF51" s="333">
        <v>0</v>
      </c>
      <c r="DG51" s="333">
        <v>18.604651162790699</v>
      </c>
      <c r="DH51" s="216">
        <v>-6476.8050000000003</v>
      </c>
      <c r="DI51" s="216">
        <v>-430.73500000000001</v>
      </c>
      <c r="DJ51" s="216">
        <v>0</v>
      </c>
      <c r="DK51" s="216">
        <v>-5405.5450000000001</v>
      </c>
      <c r="DL51" s="216">
        <v>-281.48099999999999</v>
      </c>
      <c r="DM51" s="216">
        <v>43536.288999999997</v>
      </c>
      <c r="DN51" s="216">
        <v>8036.9189999999999</v>
      </c>
      <c r="DO51" s="216">
        <v>110.298</v>
      </c>
      <c r="DP51" s="216">
        <v>39088.94</v>
      </c>
      <c r="DQ51" s="216">
        <v>2079.8220000000001</v>
      </c>
      <c r="DR51" s="216">
        <v>27541</v>
      </c>
      <c r="DS51" s="216">
        <v>15173</v>
      </c>
      <c r="DT51" s="216">
        <v>975</v>
      </c>
      <c r="DU51" s="216">
        <v>0</v>
      </c>
      <c r="DV51" s="216">
        <v>0</v>
      </c>
      <c r="DW51" s="216">
        <v>0</v>
      </c>
      <c r="DX51" s="216">
        <v>358.86200000000002</v>
      </c>
      <c r="DY51" s="216">
        <v>0</v>
      </c>
      <c r="DZ51" s="216">
        <v>4088.4430000000002</v>
      </c>
      <c r="EA51" s="216">
        <v>0</v>
      </c>
      <c r="EB51" s="216">
        <v>0</v>
      </c>
      <c r="EC51" s="216">
        <v>0</v>
      </c>
      <c r="ED51" s="216">
        <v>0</v>
      </c>
      <c r="EE51" s="216">
        <v>173.542</v>
      </c>
      <c r="EF51" s="216">
        <v>0</v>
      </c>
      <c r="EG51" s="216">
        <v>345.505</v>
      </c>
      <c r="EH51" s="216">
        <v>0</v>
      </c>
      <c r="EI51" s="216">
        <v>0</v>
      </c>
      <c r="EJ51" s="216">
        <v>0</v>
      </c>
      <c r="EK51" s="216">
        <v>4966.3520000000008</v>
      </c>
    </row>
    <row r="52" spans="1:141" ht="15" customHeight="1" x14ac:dyDescent="0.2">
      <c r="A52" s="220" t="s">
        <v>17</v>
      </c>
      <c r="B52" s="220" t="s">
        <v>27</v>
      </c>
      <c r="C52" s="219" t="s">
        <v>26</v>
      </c>
      <c r="D52" s="216">
        <v>12</v>
      </c>
      <c r="E52" s="216">
        <v>0</v>
      </c>
      <c r="F52" s="216">
        <v>11</v>
      </c>
      <c r="G52" s="216">
        <v>0</v>
      </c>
      <c r="H52" s="216">
        <v>23</v>
      </c>
      <c r="I52" s="216">
        <v>7</v>
      </c>
      <c r="J52" s="216">
        <v>29</v>
      </c>
      <c r="K52" s="216">
        <v>4</v>
      </c>
      <c r="L52" s="216">
        <v>31</v>
      </c>
      <c r="M52" s="216">
        <v>46</v>
      </c>
      <c r="N52" s="216">
        <v>0</v>
      </c>
      <c r="O52" s="216">
        <v>16</v>
      </c>
      <c r="P52" s="216">
        <v>126</v>
      </c>
      <c r="Q52" s="216">
        <v>117</v>
      </c>
      <c r="R52" s="216">
        <v>9</v>
      </c>
      <c r="S52" s="216">
        <v>6</v>
      </c>
      <c r="T52" s="333">
        <v>3</v>
      </c>
      <c r="U52" s="333">
        <v>4</v>
      </c>
      <c r="V52" s="333">
        <v>13</v>
      </c>
      <c r="W52" s="333">
        <v>29</v>
      </c>
      <c r="X52" s="333">
        <v>115</v>
      </c>
      <c r="Y52" s="333">
        <v>46</v>
      </c>
      <c r="Z52" s="333">
        <v>397</v>
      </c>
      <c r="AA52" s="333">
        <v>607</v>
      </c>
      <c r="AB52" s="216">
        <v>610</v>
      </c>
      <c r="AC52" s="333">
        <v>0</v>
      </c>
      <c r="AD52" s="333">
        <v>0</v>
      </c>
      <c r="AE52" s="333">
        <v>15</v>
      </c>
      <c r="AF52" s="333">
        <v>6</v>
      </c>
      <c r="AG52" s="333">
        <v>46</v>
      </c>
      <c r="AH52" s="333">
        <v>67</v>
      </c>
      <c r="AI52" s="216">
        <v>192</v>
      </c>
      <c r="AJ52" s="333">
        <v>32</v>
      </c>
      <c r="AK52" s="333">
        <v>319</v>
      </c>
      <c r="AL52" s="333">
        <v>1026</v>
      </c>
      <c r="AM52" s="216">
        <v>1983</v>
      </c>
      <c r="AN52" s="216">
        <v>1986</v>
      </c>
      <c r="AO52" s="216">
        <v>61</v>
      </c>
      <c r="AP52" s="216">
        <v>2</v>
      </c>
      <c r="AQ52" s="216">
        <v>194</v>
      </c>
      <c r="AR52" s="216">
        <v>2</v>
      </c>
      <c r="AS52" s="216">
        <v>607</v>
      </c>
      <c r="AT52" s="216">
        <v>0</v>
      </c>
      <c r="AU52" s="216">
        <v>83</v>
      </c>
      <c r="AV52" s="216">
        <v>55</v>
      </c>
      <c r="AW52" s="216">
        <v>14</v>
      </c>
      <c r="AX52" s="216">
        <v>1</v>
      </c>
      <c r="AY52" s="216">
        <v>30809</v>
      </c>
      <c r="AZ52" s="216">
        <v>0</v>
      </c>
      <c r="BA52" s="216">
        <v>710</v>
      </c>
      <c r="BB52" s="216">
        <v>0</v>
      </c>
      <c r="BC52" s="216">
        <v>1281</v>
      </c>
      <c r="BD52" s="216">
        <v>0</v>
      </c>
      <c r="BE52" s="216">
        <v>9680</v>
      </c>
      <c r="BF52" s="216">
        <v>0</v>
      </c>
      <c r="BG52" s="216">
        <v>1609</v>
      </c>
      <c r="BH52" s="216">
        <v>0</v>
      </c>
      <c r="BI52" s="216">
        <v>731</v>
      </c>
      <c r="BJ52" s="216">
        <v>0</v>
      </c>
      <c r="BK52" s="216">
        <v>44820</v>
      </c>
      <c r="BL52" s="216">
        <v>0</v>
      </c>
      <c r="BM52" s="216">
        <v>4075</v>
      </c>
      <c r="BN52" s="216">
        <v>907</v>
      </c>
      <c r="BO52" s="216">
        <v>7682</v>
      </c>
      <c r="BP52" s="216">
        <v>0</v>
      </c>
      <c r="BQ52" s="216">
        <v>5305</v>
      </c>
      <c r="BR52" s="216">
        <v>0</v>
      </c>
      <c r="BS52" s="216">
        <v>645</v>
      </c>
      <c r="BT52" s="216">
        <v>0</v>
      </c>
      <c r="BU52" s="216">
        <v>0</v>
      </c>
      <c r="BV52" s="216">
        <v>3143</v>
      </c>
      <c r="BW52" s="216">
        <v>65670</v>
      </c>
      <c r="BX52" s="216">
        <v>-14882</v>
      </c>
      <c r="BY52" s="216">
        <v>-907</v>
      </c>
      <c r="BZ52" s="216">
        <v>-2546</v>
      </c>
      <c r="CA52" s="216">
        <v>-907</v>
      </c>
      <c r="CB52" s="216">
        <v>-18335</v>
      </c>
      <c r="CC52" s="216">
        <v>47335</v>
      </c>
      <c r="CD52" s="216">
        <v>11444</v>
      </c>
      <c r="CE52" s="216">
        <v>5156</v>
      </c>
      <c r="CF52" s="216">
        <v>63935</v>
      </c>
      <c r="CG52" s="216">
        <v>1665</v>
      </c>
      <c r="CH52" s="216">
        <v>7830</v>
      </c>
      <c r="CI52" s="216">
        <v>0</v>
      </c>
      <c r="CJ52" s="216">
        <v>1985</v>
      </c>
      <c r="CK52" s="216">
        <v>266</v>
      </c>
      <c r="CL52" s="216">
        <v>363</v>
      </c>
      <c r="CM52" s="216">
        <v>0</v>
      </c>
      <c r="CN52" s="216">
        <v>-8</v>
      </c>
      <c r="CO52" s="333">
        <v>15.2</v>
      </c>
      <c r="CP52" s="216">
        <v>0</v>
      </c>
      <c r="CQ52" s="216" t="s">
        <v>3</v>
      </c>
      <c r="CR52" s="216" t="s">
        <v>3</v>
      </c>
      <c r="CS52" s="216">
        <v>7012</v>
      </c>
      <c r="CT52" s="216" t="s">
        <v>3</v>
      </c>
      <c r="CU52" s="216" t="s">
        <v>3</v>
      </c>
      <c r="CV52" s="216" t="s">
        <v>3</v>
      </c>
      <c r="CW52" s="216">
        <v>50717</v>
      </c>
      <c r="CX52" s="216">
        <v>0</v>
      </c>
      <c r="CY52" s="216">
        <v>1050</v>
      </c>
      <c r="CZ52" s="216">
        <v>0</v>
      </c>
      <c r="DA52" s="216">
        <v>58779</v>
      </c>
      <c r="DB52" s="333">
        <v>28.522532800912721</v>
      </c>
      <c r="DC52" s="333">
        <v>27.604156397263246</v>
      </c>
      <c r="DD52" s="333">
        <v>0</v>
      </c>
      <c r="DE52" s="333">
        <v>47.619047619047613</v>
      </c>
      <c r="DF52" s="333">
        <v>0</v>
      </c>
      <c r="DG52" s="333">
        <v>28.071249936201703</v>
      </c>
      <c r="DH52" s="216">
        <v>-3537</v>
      </c>
      <c r="DI52" s="216">
        <v>-314</v>
      </c>
      <c r="DJ52" s="216">
        <v>0</v>
      </c>
      <c r="DK52" s="216">
        <v>-2773</v>
      </c>
      <c r="DL52" s="216">
        <v>-118</v>
      </c>
      <c r="DM52" s="216">
        <v>30117</v>
      </c>
      <c r="DN52" s="216">
        <v>7811</v>
      </c>
      <c r="DO52" s="216">
        <v>0</v>
      </c>
      <c r="DP52" s="216">
        <v>31186</v>
      </c>
      <c r="DQ52" s="216">
        <v>1751</v>
      </c>
      <c r="DR52" s="216">
        <v>25715</v>
      </c>
      <c r="DS52" s="216">
        <v>2000</v>
      </c>
      <c r="DT52" s="216">
        <v>948</v>
      </c>
      <c r="DU52" s="216">
        <v>0</v>
      </c>
      <c r="DV52" s="216">
        <v>0</v>
      </c>
      <c r="DW52" s="216">
        <v>5163</v>
      </c>
      <c r="DX52" s="216">
        <v>733</v>
      </c>
      <c r="DY52" s="216">
        <v>0</v>
      </c>
      <c r="DZ52" s="216">
        <v>1047</v>
      </c>
      <c r="EA52" s="216">
        <v>227</v>
      </c>
      <c r="EB52" s="216">
        <v>84</v>
      </c>
      <c r="EC52" s="216">
        <v>0</v>
      </c>
      <c r="ED52" s="216">
        <v>243</v>
      </c>
      <c r="EE52" s="216">
        <v>700</v>
      </c>
      <c r="EF52" s="216">
        <v>198</v>
      </c>
      <c r="EG52" s="216">
        <v>473</v>
      </c>
      <c r="EH52" s="216">
        <v>829</v>
      </c>
      <c r="EI52" s="216">
        <v>0</v>
      </c>
      <c r="EJ52" s="216">
        <v>0</v>
      </c>
      <c r="EK52" s="216">
        <v>9697</v>
      </c>
    </row>
    <row r="53" spans="1:141" ht="15" customHeight="1" x14ac:dyDescent="0.2">
      <c r="A53" s="220" t="s">
        <v>17</v>
      </c>
      <c r="B53" s="220" t="s">
        <v>25</v>
      </c>
      <c r="C53" s="219" t="s">
        <v>24</v>
      </c>
      <c r="D53" s="216">
        <v>14</v>
      </c>
      <c r="E53" s="216">
        <v>4</v>
      </c>
      <c r="F53" s="216">
        <v>3</v>
      </c>
      <c r="G53" s="216">
        <v>0</v>
      </c>
      <c r="H53" s="216">
        <v>21</v>
      </c>
      <c r="I53" s="216">
        <v>1</v>
      </c>
      <c r="J53" s="216">
        <v>27</v>
      </c>
      <c r="K53" s="216">
        <v>2</v>
      </c>
      <c r="L53" s="216">
        <v>9</v>
      </c>
      <c r="M53" s="216">
        <v>39</v>
      </c>
      <c r="N53" s="216">
        <v>0</v>
      </c>
      <c r="O53" s="216">
        <v>4</v>
      </c>
      <c r="P53" s="216">
        <v>81</v>
      </c>
      <c r="Q53" s="216">
        <v>101</v>
      </c>
      <c r="R53" s="216">
        <v>4</v>
      </c>
      <c r="S53" s="216">
        <v>3</v>
      </c>
      <c r="T53" s="333">
        <v>3</v>
      </c>
      <c r="U53" s="333">
        <v>3</v>
      </c>
      <c r="V53" s="333">
        <v>10</v>
      </c>
      <c r="W53" s="333">
        <v>24</v>
      </c>
      <c r="X53" s="333">
        <v>84</v>
      </c>
      <c r="Y53" s="333">
        <v>83</v>
      </c>
      <c r="Z53" s="333">
        <v>366</v>
      </c>
      <c r="AA53" s="333">
        <v>573</v>
      </c>
      <c r="AB53" s="216">
        <v>573</v>
      </c>
      <c r="AC53" s="333">
        <v>0</v>
      </c>
      <c r="AD53" s="333">
        <v>0</v>
      </c>
      <c r="AE53" s="333">
        <v>7</v>
      </c>
      <c r="AF53" s="333">
        <v>17</v>
      </c>
      <c r="AG53" s="333">
        <v>56</v>
      </c>
      <c r="AH53" s="333">
        <v>80</v>
      </c>
      <c r="AI53" s="216">
        <v>80</v>
      </c>
      <c r="AJ53" s="333">
        <v>28</v>
      </c>
      <c r="AK53" s="333">
        <v>215</v>
      </c>
      <c r="AL53" s="333">
        <v>896</v>
      </c>
      <c r="AM53" s="216">
        <v>1286</v>
      </c>
      <c r="AN53" s="216">
        <v>1334</v>
      </c>
      <c r="AO53" s="216">
        <v>28</v>
      </c>
      <c r="AP53" s="216">
        <v>0</v>
      </c>
      <c r="AQ53" s="216">
        <v>113</v>
      </c>
      <c r="AR53" s="216">
        <v>0</v>
      </c>
      <c r="AS53" s="216">
        <v>504</v>
      </c>
      <c r="AT53" s="216">
        <v>5</v>
      </c>
      <c r="AU53" s="216">
        <v>52</v>
      </c>
      <c r="AV53" s="216">
        <v>36</v>
      </c>
      <c r="AW53" s="216">
        <v>7</v>
      </c>
      <c r="AX53" s="216">
        <v>5</v>
      </c>
      <c r="AY53" s="216">
        <v>27683</v>
      </c>
      <c r="AZ53" s="216">
        <v>376</v>
      </c>
      <c r="BA53" s="216">
        <v>1346</v>
      </c>
      <c r="BB53" s="216">
        <v>0</v>
      </c>
      <c r="BC53" s="216">
        <v>1241</v>
      </c>
      <c r="BD53" s="216">
        <v>0</v>
      </c>
      <c r="BE53" s="216">
        <v>7137</v>
      </c>
      <c r="BF53" s="216">
        <v>1630</v>
      </c>
      <c r="BG53" s="216">
        <v>466</v>
      </c>
      <c r="BH53" s="216">
        <v>0</v>
      </c>
      <c r="BI53" s="216">
        <v>1245</v>
      </c>
      <c r="BJ53" s="216">
        <v>1</v>
      </c>
      <c r="BK53" s="216">
        <v>39118</v>
      </c>
      <c r="BL53" s="216">
        <v>2007</v>
      </c>
      <c r="BM53" s="216">
        <v>3280</v>
      </c>
      <c r="BN53" s="216">
        <v>21</v>
      </c>
      <c r="BO53" s="216">
        <v>1036</v>
      </c>
      <c r="BP53" s="216">
        <v>329</v>
      </c>
      <c r="BQ53" s="216">
        <v>5470</v>
      </c>
      <c r="BR53" s="216">
        <v>584</v>
      </c>
      <c r="BS53" s="216">
        <v>121</v>
      </c>
      <c r="BT53" s="216">
        <v>0</v>
      </c>
      <c r="BU53" s="216">
        <v>374</v>
      </c>
      <c r="BV53" s="216">
        <v>0</v>
      </c>
      <c r="BW53" s="216">
        <v>49399</v>
      </c>
      <c r="BX53" s="216">
        <v>-411</v>
      </c>
      <c r="BY53" s="216">
        <v>0</v>
      </c>
      <c r="BZ53" s="216">
        <v>-1102</v>
      </c>
      <c r="CA53" s="216">
        <v>-159</v>
      </c>
      <c r="CB53" s="216">
        <v>-1513</v>
      </c>
      <c r="CC53" s="216">
        <v>47886</v>
      </c>
      <c r="CD53" s="216">
        <v>4299</v>
      </c>
      <c r="CE53" s="216">
        <v>40512</v>
      </c>
      <c r="CF53" s="216">
        <v>92697</v>
      </c>
      <c r="CG53" s="216">
        <v>0</v>
      </c>
      <c r="CH53" s="216">
        <v>959</v>
      </c>
      <c r="CI53" s="216">
        <v>266</v>
      </c>
      <c r="CJ53" s="216">
        <v>1067</v>
      </c>
      <c r="CK53" s="216">
        <v>-91</v>
      </c>
      <c r="CL53" s="216">
        <v>0</v>
      </c>
      <c r="CM53" s="216">
        <v>0</v>
      </c>
      <c r="CN53" s="216">
        <v>0</v>
      </c>
      <c r="CO53" s="333">
        <v>13.9</v>
      </c>
      <c r="CP53" s="216">
        <v>555</v>
      </c>
      <c r="CQ53" s="216">
        <v>1491</v>
      </c>
      <c r="CR53" s="216">
        <v>2782</v>
      </c>
      <c r="CS53" s="216">
        <v>4273</v>
      </c>
      <c r="CT53" s="216">
        <v>37654</v>
      </c>
      <c r="CU53" s="216">
        <v>2797</v>
      </c>
      <c r="CV53" s="216">
        <v>484</v>
      </c>
      <c r="CW53" s="216">
        <v>40935</v>
      </c>
      <c r="CX53" s="216">
        <v>377</v>
      </c>
      <c r="CY53" s="216">
        <v>273</v>
      </c>
      <c r="CZ53" s="216">
        <v>6327</v>
      </c>
      <c r="DA53" s="216">
        <v>52185</v>
      </c>
      <c r="DB53" s="333">
        <v>30.259770652937046</v>
      </c>
      <c r="DC53" s="333">
        <v>31.251984854036884</v>
      </c>
      <c r="DD53" s="333">
        <v>38.196286472148536</v>
      </c>
      <c r="DE53" s="333">
        <v>52.747252747252752</v>
      </c>
      <c r="DF53" s="333">
        <v>0</v>
      </c>
      <c r="DG53" s="333">
        <v>27.544313500047906</v>
      </c>
      <c r="DH53" s="216">
        <v>-3222</v>
      </c>
      <c r="DI53" s="216">
        <v>-60</v>
      </c>
      <c r="DJ53" s="216">
        <v>0</v>
      </c>
      <c r="DK53" s="216">
        <v>-2642</v>
      </c>
      <c r="DL53" s="216">
        <v>-196</v>
      </c>
      <c r="DM53" s="216">
        <v>20715</v>
      </c>
      <c r="DN53" s="216">
        <v>4314</v>
      </c>
      <c r="DO53" s="216">
        <v>0</v>
      </c>
      <c r="DP53" s="216">
        <v>18909</v>
      </c>
      <c r="DQ53" s="216">
        <v>669</v>
      </c>
      <c r="DR53" s="216">
        <v>17400</v>
      </c>
      <c r="DS53" s="216">
        <v>7117</v>
      </c>
      <c r="DT53" s="216">
        <v>196</v>
      </c>
      <c r="DU53" s="216">
        <v>18</v>
      </c>
      <c r="DV53" s="216">
        <v>0</v>
      </c>
      <c r="DW53" s="216">
        <v>130</v>
      </c>
      <c r="DX53" s="216">
        <v>555</v>
      </c>
      <c r="DY53" s="216">
        <v>29</v>
      </c>
      <c r="DZ53" s="216">
        <v>163</v>
      </c>
      <c r="EA53" s="216">
        <v>32</v>
      </c>
      <c r="EB53" s="216">
        <v>0</v>
      </c>
      <c r="EC53" s="216">
        <v>33</v>
      </c>
      <c r="ED53" s="216">
        <v>225</v>
      </c>
      <c r="EE53" s="216">
        <v>376</v>
      </c>
      <c r="EF53" s="216">
        <v>0</v>
      </c>
      <c r="EG53" s="216">
        <v>498</v>
      </c>
      <c r="EH53" s="216">
        <v>0</v>
      </c>
      <c r="EI53" s="216">
        <v>0</v>
      </c>
      <c r="EJ53" s="216">
        <v>0</v>
      </c>
      <c r="EK53" s="216">
        <v>2059</v>
      </c>
    </row>
    <row r="54" spans="1:141" ht="15" customHeight="1" x14ac:dyDescent="0.2">
      <c r="A54" s="220" t="s">
        <v>17</v>
      </c>
      <c r="B54" s="220" t="s">
        <v>23</v>
      </c>
      <c r="C54" s="219" t="s">
        <v>22</v>
      </c>
      <c r="D54" s="216">
        <v>16</v>
      </c>
      <c r="E54" s="216">
        <v>1</v>
      </c>
      <c r="F54" s="216">
        <v>0</v>
      </c>
      <c r="G54" s="216">
        <v>0</v>
      </c>
      <c r="H54" s="216">
        <v>17</v>
      </c>
      <c r="I54" s="216">
        <v>10</v>
      </c>
      <c r="J54" s="216">
        <v>24</v>
      </c>
      <c r="K54" s="216">
        <v>3</v>
      </c>
      <c r="L54" s="216">
        <v>10</v>
      </c>
      <c r="M54" s="216">
        <v>3</v>
      </c>
      <c r="N54" s="216">
        <v>0</v>
      </c>
      <c r="O54" s="216">
        <v>10</v>
      </c>
      <c r="P54" s="216">
        <v>50</v>
      </c>
      <c r="Q54" s="216">
        <v>83</v>
      </c>
      <c r="R54" s="216">
        <v>6</v>
      </c>
      <c r="S54" s="216">
        <v>11</v>
      </c>
      <c r="T54" s="333">
        <v>3</v>
      </c>
      <c r="U54" s="333">
        <v>4</v>
      </c>
      <c r="V54" s="333">
        <v>13</v>
      </c>
      <c r="W54" s="333">
        <v>23</v>
      </c>
      <c r="X54" s="333">
        <v>104</v>
      </c>
      <c r="Y54" s="333">
        <v>103</v>
      </c>
      <c r="Z54" s="333">
        <v>337</v>
      </c>
      <c r="AA54" s="333">
        <v>588</v>
      </c>
      <c r="AB54" s="216">
        <v>590</v>
      </c>
      <c r="AC54" s="333">
        <v>0</v>
      </c>
      <c r="AD54" s="333">
        <v>0</v>
      </c>
      <c r="AE54" s="333">
        <v>1</v>
      </c>
      <c r="AF54" s="333">
        <v>1</v>
      </c>
      <c r="AG54" s="333">
        <v>8</v>
      </c>
      <c r="AH54" s="333">
        <v>10</v>
      </c>
      <c r="AI54" s="216">
        <v>11</v>
      </c>
      <c r="AJ54" s="333">
        <v>32</v>
      </c>
      <c r="AK54" s="333">
        <v>183</v>
      </c>
      <c r="AL54" s="333">
        <v>813</v>
      </c>
      <c r="AM54" s="216">
        <v>1387</v>
      </c>
      <c r="AN54" s="216">
        <v>1412</v>
      </c>
      <c r="AO54" s="216">
        <v>46</v>
      </c>
      <c r="AP54" s="216">
        <v>0</v>
      </c>
      <c r="AQ54" s="216">
        <v>127</v>
      </c>
      <c r="AR54" s="216">
        <v>3</v>
      </c>
      <c r="AS54" s="216">
        <v>397</v>
      </c>
      <c r="AT54" s="216">
        <v>1</v>
      </c>
      <c r="AU54" s="216">
        <v>78</v>
      </c>
      <c r="AV54" s="216">
        <v>26</v>
      </c>
      <c r="AW54" s="216">
        <v>12</v>
      </c>
      <c r="AX54" s="216">
        <v>1</v>
      </c>
      <c r="AY54" s="216">
        <v>29840</v>
      </c>
      <c r="AZ54" s="216" t="s">
        <v>3</v>
      </c>
      <c r="BA54" s="216">
        <v>46</v>
      </c>
      <c r="BB54" s="216" t="s">
        <v>3</v>
      </c>
      <c r="BC54" s="216">
        <v>1216</v>
      </c>
      <c r="BD54" s="216" t="s">
        <v>3</v>
      </c>
      <c r="BE54" s="216">
        <v>6134</v>
      </c>
      <c r="BF54" s="216" t="s">
        <v>3</v>
      </c>
      <c r="BG54" s="216">
        <v>227</v>
      </c>
      <c r="BH54" s="216" t="s">
        <v>3</v>
      </c>
      <c r="BI54" s="216">
        <v>362</v>
      </c>
      <c r="BJ54" s="216" t="s">
        <v>3</v>
      </c>
      <c r="BK54" s="216">
        <v>37825</v>
      </c>
      <c r="BL54" s="216" t="s">
        <v>3</v>
      </c>
      <c r="BM54" s="216">
        <v>2418</v>
      </c>
      <c r="BN54" s="216" t="s">
        <v>3</v>
      </c>
      <c r="BO54" s="216">
        <v>1012</v>
      </c>
      <c r="BP54" s="216" t="s">
        <v>3</v>
      </c>
      <c r="BQ54" s="216">
        <v>5881</v>
      </c>
      <c r="BR54" s="216" t="s">
        <v>3</v>
      </c>
      <c r="BS54" s="216">
        <v>293</v>
      </c>
      <c r="BT54" s="216" t="s">
        <v>3</v>
      </c>
      <c r="BU54" s="216">
        <v>0</v>
      </c>
      <c r="BV54" s="216">
        <v>1110</v>
      </c>
      <c r="BW54" s="216">
        <v>48539</v>
      </c>
      <c r="BX54" s="216">
        <v>-4908</v>
      </c>
      <c r="BY54" s="216">
        <v>0</v>
      </c>
      <c r="BZ54" s="216">
        <v>-2339</v>
      </c>
      <c r="CA54" s="216" t="s">
        <v>3</v>
      </c>
      <c r="CB54" s="216">
        <v>-7247</v>
      </c>
      <c r="CC54" s="216">
        <v>41292</v>
      </c>
      <c r="CD54" s="216">
        <v>3436</v>
      </c>
      <c r="CE54" s="216">
        <v>-13207</v>
      </c>
      <c r="CF54" s="216">
        <v>31521</v>
      </c>
      <c r="CG54" s="216">
        <v>0</v>
      </c>
      <c r="CH54" s="216">
        <v>1091</v>
      </c>
      <c r="CI54" s="216">
        <v>1</v>
      </c>
      <c r="CJ54" s="216">
        <v>374</v>
      </c>
      <c r="CK54" s="216">
        <v>-221</v>
      </c>
      <c r="CL54" s="216">
        <v>0</v>
      </c>
      <c r="CM54" s="216">
        <v>0</v>
      </c>
      <c r="CN54" s="216">
        <v>0</v>
      </c>
      <c r="CO54" s="333">
        <v>17.5</v>
      </c>
      <c r="CP54" s="216">
        <v>0</v>
      </c>
      <c r="CQ54" s="216" t="s">
        <v>3</v>
      </c>
      <c r="CR54" s="216" t="s">
        <v>3</v>
      </c>
      <c r="CS54" s="216">
        <v>6412</v>
      </c>
      <c r="CT54" s="216" t="s">
        <v>3</v>
      </c>
      <c r="CU54" s="216" t="s">
        <v>3</v>
      </c>
      <c r="CV54" s="216" t="s">
        <v>3</v>
      </c>
      <c r="CW54" s="216">
        <v>38200</v>
      </c>
      <c r="CX54" s="216">
        <v>0</v>
      </c>
      <c r="CY54" s="216">
        <v>164</v>
      </c>
      <c r="CZ54" s="216">
        <v>-48</v>
      </c>
      <c r="DA54" s="216">
        <v>44728</v>
      </c>
      <c r="DB54" s="333">
        <v>29.663131628197132</v>
      </c>
      <c r="DC54" s="333">
        <v>26.960732984293195</v>
      </c>
      <c r="DD54" s="333">
        <v>0</v>
      </c>
      <c r="DE54" s="333">
        <v>0</v>
      </c>
      <c r="DF54" s="333">
        <v>0</v>
      </c>
      <c r="DG54" s="333">
        <v>27.278214988374174</v>
      </c>
      <c r="DH54" s="216">
        <v>-2979</v>
      </c>
      <c r="DI54" s="216">
        <v>-45</v>
      </c>
      <c r="DJ54" s="216">
        <v>0</v>
      </c>
      <c r="DK54" s="216">
        <v>-2420</v>
      </c>
      <c r="DL54" s="216">
        <v>0</v>
      </c>
      <c r="DM54" s="216">
        <v>21906</v>
      </c>
      <c r="DN54" s="216">
        <v>5700</v>
      </c>
      <c r="DO54" s="216">
        <v>0</v>
      </c>
      <c r="DP54" s="216">
        <v>22162</v>
      </c>
      <c r="DQ54" s="216">
        <v>2026</v>
      </c>
      <c r="DR54" s="216">
        <v>24494</v>
      </c>
      <c r="DS54" s="216">
        <v>3943</v>
      </c>
      <c r="DT54" s="216">
        <v>628</v>
      </c>
      <c r="DU54" s="216">
        <v>166</v>
      </c>
      <c r="DV54" s="216">
        <v>0</v>
      </c>
      <c r="DW54" s="216">
        <v>0</v>
      </c>
      <c r="DX54" s="216">
        <v>130</v>
      </c>
      <c r="DY54" s="216">
        <v>24</v>
      </c>
      <c r="DZ54" s="216">
        <v>48</v>
      </c>
      <c r="EA54" s="216">
        <v>0</v>
      </c>
      <c r="EB54" s="216">
        <v>60</v>
      </c>
      <c r="EC54" s="216">
        <v>0</v>
      </c>
      <c r="ED54" s="216">
        <v>267</v>
      </c>
      <c r="EE54" s="216">
        <v>120</v>
      </c>
      <c r="EF54" s="216">
        <v>44</v>
      </c>
      <c r="EG54" s="216">
        <v>245</v>
      </c>
      <c r="EH54" s="216">
        <v>0</v>
      </c>
      <c r="EI54" s="216">
        <v>0</v>
      </c>
      <c r="EJ54" s="216">
        <v>0</v>
      </c>
      <c r="EK54" s="216">
        <v>1104</v>
      </c>
    </row>
    <row r="55" spans="1:141" ht="15" customHeight="1" x14ac:dyDescent="0.2">
      <c r="A55" s="220" t="s">
        <v>17</v>
      </c>
      <c r="B55" s="220" t="s">
        <v>21</v>
      </c>
      <c r="C55" s="219" t="s">
        <v>20</v>
      </c>
      <c r="D55" s="216">
        <v>38</v>
      </c>
      <c r="E55" s="216">
        <v>0</v>
      </c>
      <c r="F55" s="216">
        <v>0</v>
      </c>
      <c r="G55" s="216">
        <v>0</v>
      </c>
      <c r="H55" s="216">
        <v>38</v>
      </c>
      <c r="I55" s="216">
        <v>4</v>
      </c>
      <c r="J55" s="216">
        <v>41</v>
      </c>
      <c r="K55" s="216">
        <v>4</v>
      </c>
      <c r="L55" s="216">
        <v>24</v>
      </c>
      <c r="M55" s="216">
        <v>0</v>
      </c>
      <c r="N55" s="216">
        <v>68</v>
      </c>
      <c r="O55" s="216">
        <v>10</v>
      </c>
      <c r="P55" s="216">
        <v>147</v>
      </c>
      <c r="Q55" s="216">
        <v>106</v>
      </c>
      <c r="R55" s="216">
        <v>14</v>
      </c>
      <c r="S55" s="216">
        <v>10</v>
      </c>
      <c r="T55" s="333">
        <v>3</v>
      </c>
      <c r="U55" s="333">
        <v>7</v>
      </c>
      <c r="V55" s="333">
        <v>12</v>
      </c>
      <c r="W55" s="333">
        <v>46</v>
      </c>
      <c r="X55" s="333">
        <v>248</v>
      </c>
      <c r="Y55" s="333">
        <v>236</v>
      </c>
      <c r="Z55" s="333">
        <v>843</v>
      </c>
      <c r="AA55" s="333">
        <v>1395</v>
      </c>
      <c r="AB55" s="216">
        <v>1398</v>
      </c>
      <c r="AC55" s="333">
        <v>0</v>
      </c>
      <c r="AD55" s="333">
        <v>1</v>
      </c>
      <c r="AE55" s="333">
        <v>6</v>
      </c>
      <c r="AF55" s="333">
        <v>0</v>
      </c>
      <c r="AG55" s="333">
        <v>0</v>
      </c>
      <c r="AH55" s="333">
        <v>7</v>
      </c>
      <c r="AI55" s="216">
        <v>7</v>
      </c>
      <c r="AJ55" s="333">
        <v>57</v>
      </c>
      <c r="AK55" s="333">
        <v>359</v>
      </c>
      <c r="AL55" s="333">
        <v>1818</v>
      </c>
      <c r="AM55" s="216">
        <v>2579</v>
      </c>
      <c r="AN55" s="216">
        <v>2595</v>
      </c>
      <c r="AO55" s="216">
        <v>74</v>
      </c>
      <c r="AP55" s="216">
        <v>4</v>
      </c>
      <c r="AQ55" s="216">
        <v>212</v>
      </c>
      <c r="AR55" s="216">
        <v>5</v>
      </c>
      <c r="AS55" s="216">
        <v>1022</v>
      </c>
      <c r="AT55" s="216">
        <v>3</v>
      </c>
      <c r="AU55" s="216">
        <v>250</v>
      </c>
      <c r="AV55" s="216">
        <v>312</v>
      </c>
      <c r="AW55" s="216">
        <v>108</v>
      </c>
      <c r="AX55" s="216">
        <v>1</v>
      </c>
      <c r="AY55" s="216">
        <v>63181</v>
      </c>
      <c r="AZ55" s="216">
        <v>0</v>
      </c>
      <c r="BA55" s="216">
        <v>0</v>
      </c>
      <c r="BB55" s="216">
        <v>0</v>
      </c>
      <c r="BC55" s="216">
        <v>2768</v>
      </c>
      <c r="BD55" s="216">
        <v>2365</v>
      </c>
      <c r="BE55" s="216">
        <v>13638</v>
      </c>
      <c r="BF55" s="216">
        <v>0</v>
      </c>
      <c r="BG55" s="216">
        <v>3402</v>
      </c>
      <c r="BH55" s="216">
        <v>0</v>
      </c>
      <c r="BI55" s="216">
        <v>637</v>
      </c>
      <c r="BJ55" s="216">
        <v>0</v>
      </c>
      <c r="BK55" s="216">
        <v>83626</v>
      </c>
      <c r="BL55" s="216">
        <v>2365</v>
      </c>
      <c r="BM55" s="216">
        <v>4987</v>
      </c>
      <c r="BN55" s="216">
        <v>1213</v>
      </c>
      <c r="BO55" s="216">
        <v>1480</v>
      </c>
      <c r="BP55" s="216">
        <v>159</v>
      </c>
      <c r="BQ55" s="216">
        <v>7737</v>
      </c>
      <c r="BR55" s="216">
        <v>1689</v>
      </c>
      <c r="BS55" s="216">
        <v>1550</v>
      </c>
      <c r="BT55" s="216">
        <v>1217</v>
      </c>
      <c r="BU55" s="216">
        <v>0</v>
      </c>
      <c r="BV55" s="216">
        <v>0</v>
      </c>
      <c r="BW55" s="216">
        <v>99380</v>
      </c>
      <c r="BX55" s="216">
        <v>-1481</v>
      </c>
      <c r="BY55" s="216">
        <v>0</v>
      </c>
      <c r="BZ55" s="216">
        <v>-4859</v>
      </c>
      <c r="CA55" s="216">
        <v>-1115</v>
      </c>
      <c r="CB55" s="216">
        <v>-6340</v>
      </c>
      <c r="CC55" s="216">
        <v>93040</v>
      </c>
      <c r="CD55" s="216">
        <v>6614</v>
      </c>
      <c r="CE55" s="216">
        <v>82817</v>
      </c>
      <c r="CF55" s="216">
        <v>182471</v>
      </c>
      <c r="CG55" s="216">
        <v>0</v>
      </c>
      <c r="CH55" s="216">
        <v>834</v>
      </c>
      <c r="CI55" s="216">
        <v>0</v>
      </c>
      <c r="CJ55" s="216">
        <v>1969</v>
      </c>
      <c r="CK55" s="216">
        <v>-436</v>
      </c>
      <c r="CL55" s="216">
        <v>0</v>
      </c>
      <c r="CM55" s="216">
        <v>0</v>
      </c>
      <c r="CN55" s="216">
        <v>0</v>
      </c>
      <c r="CO55" s="333">
        <v>18.600000000000001</v>
      </c>
      <c r="CP55" s="216">
        <v>588</v>
      </c>
      <c r="CQ55" s="216" t="s">
        <v>3</v>
      </c>
      <c r="CR55" s="216" t="s">
        <v>3</v>
      </c>
      <c r="CS55" s="216">
        <v>13449</v>
      </c>
      <c r="CT55" s="216" t="s">
        <v>3</v>
      </c>
      <c r="CU55" s="216" t="s">
        <v>3</v>
      </c>
      <c r="CV55" s="216" t="s">
        <v>3</v>
      </c>
      <c r="CW55" s="216">
        <v>82986</v>
      </c>
      <c r="CX55" s="216">
        <v>199</v>
      </c>
      <c r="CY55" s="216">
        <v>2554</v>
      </c>
      <c r="CZ55" s="216">
        <v>466</v>
      </c>
      <c r="DA55" s="216">
        <v>99654</v>
      </c>
      <c r="DB55" s="333">
        <v>0</v>
      </c>
      <c r="DC55" s="333">
        <v>0</v>
      </c>
      <c r="DD55" s="333">
        <v>0</v>
      </c>
      <c r="DE55" s="333">
        <v>0</v>
      </c>
      <c r="DF55" s="333">
        <v>0</v>
      </c>
      <c r="DG55" s="333">
        <v>0</v>
      </c>
      <c r="DH55" s="216">
        <v>-6713</v>
      </c>
      <c r="DI55" s="216">
        <v>-290</v>
      </c>
      <c r="DJ55" s="216">
        <v>0</v>
      </c>
      <c r="DK55" s="216">
        <v>-5531</v>
      </c>
      <c r="DL55" s="216">
        <v>-13</v>
      </c>
      <c r="DM55" s="216">
        <v>39368</v>
      </c>
      <c r="DN55" s="216">
        <v>8278</v>
      </c>
      <c r="DO55" s="216">
        <v>0</v>
      </c>
      <c r="DP55" s="216">
        <v>35099</v>
      </c>
      <c r="DQ55" s="216">
        <v>1633</v>
      </c>
      <c r="DR55" s="216">
        <v>38984</v>
      </c>
      <c r="DS55" s="216">
        <v>8390</v>
      </c>
      <c r="DT55" s="216">
        <v>722</v>
      </c>
      <c r="DU55" s="216">
        <v>0</v>
      </c>
      <c r="DV55" s="216">
        <v>0</v>
      </c>
      <c r="DW55" s="216">
        <v>5006</v>
      </c>
      <c r="DX55" s="216">
        <v>1015</v>
      </c>
      <c r="DY55" s="216">
        <v>729</v>
      </c>
      <c r="DZ55" s="216">
        <v>1617</v>
      </c>
      <c r="EA55" s="216">
        <v>151</v>
      </c>
      <c r="EB55" s="216">
        <v>0</v>
      </c>
      <c r="EC55" s="216">
        <v>61</v>
      </c>
      <c r="ED55" s="216">
        <v>230</v>
      </c>
      <c r="EE55" s="216">
        <v>0</v>
      </c>
      <c r="EF55" s="216">
        <v>0</v>
      </c>
      <c r="EG55" s="216">
        <v>0</v>
      </c>
      <c r="EH55" s="216">
        <v>0</v>
      </c>
      <c r="EI55" s="216">
        <v>0</v>
      </c>
      <c r="EJ55" s="216">
        <v>0</v>
      </c>
      <c r="EK55" s="216">
        <v>8809</v>
      </c>
    </row>
    <row r="56" spans="1:141" ht="15" customHeight="1" x14ac:dyDescent="0.2">
      <c r="A56" s="220" t="s">
        <v>17</v>
      </c>
      <c r="B56" s="220" t="s">
        <v>19</v>
      </c>
      <c r="C56" s="219" t="s">
        <v>18</v>
      </c>
      <c r="D56" s="216">
        <v>25</v>
      </c>
      <c r="E56" s="216">
        <v>8</v>
      </c>
      <c r="F56" s="216">
        <v>7</v>
      </c>
      <c r="G56" s="216">
        <v>0</v>
      </c>
      <c r="H56" s="216">
        <v>40</v>
      </c>
      <c r="I56" s="216">
        <v>11</v>
      </c>
      <c r="J56" s="216">
        <v>43</v>
      </c>
      <c r="K56" s="216">
        <v>5</v>
      </c>
      <c r="L56" s="216">
        <v>31</v>
      </c>
      <c r="M56" s="216">
        <v>66</v>
      </c>
      <c r="N56" s="216">
        <v>0</v>
      </c>
      <c r="O56" s="216">
        <v>11</v>
      </c>
      <c r="P56" s="216">
        <v>156</v>
      </c>
      <c r="Q56" s="216">
        <v>142</v>
      </c>
      <c r="R56" s="216">
        <v>8</v>
      </c>
      <c r="S56" s="216">
        <v>5</v>
      </c>
      <c r="T56" s="333">
        <v>3</v>
      </c>
      <c r="U56" s="333">
        <v>3</v>
      </c>
      <c r="V56" s="333">
        <v>10</v>
      </c>
      <c r="W56" s="333">
        <v>43</v>
      </c>
      <c r="X56" s="333">
        <v>159</v>
      </c>
      <c r="Y56" s="333">
        <v>143</v>
      </c>
      <c r="Z56" s="333">
        <v>590</v>
      </c>
      <c r="AA56" s="333">
        <v>950</v>
      </c>
      <c r="AB56" s="216">
        <v>952</v>
      </c>
      <c r="AC56" s="333">
        <v>0</v>
      </c>
      <c r="AD56" s="333">
        <v>0</v>
      </c>
      <c r="AE56" s="333">
        <v>7</v>
      </c>
      <c r="AF56" s="333">
        <v>9</v>
      </c>
      <c r="AG56" s="333">
        <v>61</v>
      </c>
      <c r="AH56" s="333">
        <v>77</v>
      </c>
      <c r="AI56" s="216">
        <v>141</v>
      </c>
      <c r="AJ56" s="333">
        <v>41</v>
      </c>
      <c r="AK56" s="333">
        <v>265</v>
      </c>
      <c r="AL56" s="333">
        <v>1334</v>
      </c>
      <c r="AM56" s="216">
        <v>2403</v>
      </c>
      <c r="AN56" s="216">
        <v>2440</v>
      </c>
      <c r="AO56" s="216">
        <v>66</v>
      </c>
      <c r="AP56" s="216">
        <v>4</v>
      </c>
      <c r="AQ56" s="216">
        <v>152</v>
      </c>
      <c r="AR56" s="216">
        <v>2</v>
      </c>
      <c r="AS56" s="216">
        <v>828</v>
      </c>
      <c r="AT56" s="216">
        <v>19</v>
      </c>
      <c r="AU56" s="216">
        <v>105</v>
      </c>
      <c r="AV56" s="216">
        <v>96</v>
      </c>
      <c r="AW56" s="216">
        <v>81</v>
      </c>
      <c r="AX56" s="216">
        <v>17</v>
      </c>
      <c r="AY56" s="216">
        <v>44728</v>
      </c>
      <c r="AZ56" s="216" t="s">
        <v>3</v>
      </c>
      <c r="BA56" s="216">
        <v>1628</v>
      </c>
      <c r="BB56" s="216" t="s">
        <v>3</v>
      </c>
      <c r="BC56" s="216">
        <v>1773</v>
      </c>
      <c r="BD56" s="216" t="s">
        <v>3</v>
      </c>
      <c r="BE56" s="216">
        <v>9365</v>
      </c>
      <c r="BF56" s="216" t="s">
        <v>3</v>
      </c>
      <c r="BG56" s="216">
        <v>743</v>
      </c>
      <c r="BH56" s="216" t="s">
        <v>3</v>
      </c>
      <c r="BI56" s="216">
        <v>2593</v>
      </c>
      <c r="BJ56" s="216" t="s">
        <v>3</v>
      </c>
      <c r="BK56" s="216">
        <v>60830</v>
      </c>
      <c r="BL56" s="216" t="s">
        <v>3</v>
      </c>
      <c r="BM56" s="216">
        <v>4234</v>
      </c>
      <c r="BN56" s="216" t="s">
        <v>3</v>
      </c>
      <c r="BO56" s="216">
        <v>2368</v>
      </c>
      <c r="BP56" s="216" t="s">
        <v>3</v>
      </c>
      <c r="BQ56" s="216">
        <v>2977</v>
      </c>
      <c r="BR56" s="216" t="s">
        <v>3</v>
      </c>
      <c r="BS56" s="216">
        <v>2062</v>
      </c>
      <c r="BT56" s="216" t="s">
        <v>3</v>
      </c>
      <c r="BU56" s="216">
        <v>0</v>
      </c>
      <c r="BV56" s="216">
        <v>517</v>
      </c>
      <c r="BW56" s="216">
        <v>72988</v>
      </c>
      <c r="BX56" s="216">
        <v>-1953</v>
      </c>
      <c r="BY56" s="216">
        <v>-835</v>
      </c>
      <c r="BZ56" s="216">
        <v>0</v>
      </c>
      <c r="CA56" s="216" t="s">
        <v>3</v>
      </c>
      <c r="CB56" s="216">
        <v>-2788</v>
      </c>
      <c r="CC56" s="216">
        <v>70200</v>
      </c>
      <c r="CD56" s="216">
        <v>11595</v>
      </c>
      <c r="CE56" s="216">
        <v>-24092</v>
      </c>
      <c r="CF56" s="216">
        <v>57703</v>
      </c>
      <c r="CG56" s="216">
        <v>0</v>
      </c>
      <c r="CH56" s="216">
        <v>4361</v>
      </c>
      <c r="CI56" s="216">
        <v>0</v>
      </c>
      <c r="CJ56" s="216">
        <v>274</v>
      </c>
      <c r="CK56" s="216">
        <v>264</v>
      </c>
      <c r="CL56" s="216">
        <v>0</v>
      </c>
      <c r="CM56" s="216">
        <v>0</v>
      </c>
      <c r="CN56" s="216">
        <v>0</v>
      </c>
      <c r="CO56" s="333">
        <v>17.2</v>
      </c>
      <c r="CP56" s="216" t="s">
        <v>3</v>
      </c>
      <c r="CQ56" s="216" t="s">
        <v>3</v>
      </c>
      <c r="CR56" s="216" t="s">
        <v>3</v>
      </c>
      <c r="CS56" s="216">
        <v>3152</v>
      </c>
      <c r="CT56" s="216" t="s">
        <v>3</v>
      </c>
      <c r="CU56" s="216" t="s">
        <v>3</v>
      </c>
      <c r="CV56" s="216" t="s">
        <v>3</v>
      </c>
      <c r="CW56" s="216">
        <v>77708</v>
      </c>
      <c r="CX56" s="216">
        <v>0</v>
      </c>
      <c r="CY56" s="216">
        <v>685</v>
      </c>
      <c r="CZ56" s="216">
        <v>250</v>
      </c>
      <c r="DA56" s="216">
        <v>81795</v>
      </c>
      <c r="DB56" s="333">
        <v>32.011421319796959</v>
      </c>
      <c r="DC56" s="333">
        <v>31.997992484686261</v>
      </c>
      <c r="DD56" s="333">
        <v>0</v>
      </c>
      <c r="DE56" s="333">
        <v>0</v>
      </c>
      <c r="DF56" s="333">
        <v>0</v>
      </c>
      <c r="DG56" s="333">
        <v>31.632740387554254</v>
      </c>
      <c r="DH56" s="216">
        <v>-5177</v>
      </c>
      <c r="DI56" s="216">
        <v>-349</v>
      </c>
      <c r="DJ56" s="216">
        <v>0</v>
      </c>
      <c r="DK56" s="216">
        <v>-4323</v>
      </c>
      <c r="DL56" s="216">
        <v>-336</v>
      </c>
      <c r="DM56" s="216">
        <v>36892</v>
      </c>
      <c r="DN56" s="216">
        <v>8471</v>
      </c>
      <c r="DO56" s="216">
        <v>0</v>
      </c>
      <c r="DP56" s="216">
        <v>35178</v>
      </c>
      <c r="DQ56" s="216">
        <v>1208</v>
      </c>
      <c r="DR56" s="216">
        <v>21355</v>
      </c>
      <c r="DS56" s="216">
        <v>14388</v>
      </c>
      <c r="DT56" s="216">
        <v>493</v>
      </c>
      <c r="DU56" s="216">
        <v>30</v>
      </c>
      <c r="DV56" s="216">
        <v>0</v>
      </c>
      <c r="DW56" s="216">
        <v>118</v>
      </c>
      <c r="DX56" s="216">
        <v>1191</v>
      </c>
      <c r="DY56" s="216">
        <v>0</v>
      </c>
      <c r="DZ56" s="216">
        <v>731</v>
      </c>
      <c r="EA56" s="216">
        <v>0</v>
      </c>
      <c r="EB56" s="216">
        <v>0</v>
      </c>
      <c r="EC56" s="216">
        <v>55</v>
      </c>
      <c r="ED56" s="216">
        <v>109</v>
      </c>
      <c r="EE56" s="216">
        <v>139</v>
      </c>
      <c r="EF56" s="216">
        <v>31</v>
      </c>
      <c r="EG56" s="216">
        <v>1416</v>
      </c>
      <c r="EH56" s="216">
        <v>398</v>
      </c>
      <c r="EI56" s="216">
        <v>35</v>
      </c>
      <c r="EJ56" s="216">
        <v>0</v>
      </c>
      <c r="EK56" s="216">
        <v>4253</v>
      </c>
    </row>
    <row r="57" spans="1:141" ht="15" customHeight="1" x14ac:dyDescent="0.2">
      <c r="A57" s="220" t="s">
        <v>17</v>
      </c>
      <c r="B57" s="220" t="s">
        <v>16</v>
      </c>
      <c r="C57" s="219" t="s">
        <v>620</v>
      </c>
      <c r="D57" s="216">
        <v>103</v>
      </c>
      <c r="E57" s="216">
        <v>0</v>
      </c>
      <c r="F57" s="216">
        <v>0</v>
      </c>
      <c r="G57" s="216">
        <v>0</v>
      </c>
      <c r="H57" s="216">
        <v>103</v>
      </c>
      <c r="I57" s="216">
        <v>5</v>
      </c>
      <c r="J57" s="216">
        <v>142</v>
      </c>
      <c r="K57" s="216">
        <v>11</v>
      </c>
      <c r="L57" s="216">
        <v>50</v>
      </c>
      <c r="M57" s="216">
        <v>57</v>
      </c>
      <c r="N57" s="216">
        <v>0</v>
      </c>
      <c r="O57" s="216">
        <v>86</v>
      </c>
      <c r="P57" s="216">
        <v>346</v>
      </c>
      <c r="Q57" s="216">
        <v>32</v>
      </c>
      <c r="R57" s="216">
        <v>54</v>
      </c>
      <c r="S57" s="216">
        <v>42</v>
      </c>
      <c r="T57" s="333">
        <v>1</v>
      </c>
      <c r="U57" s="333">
        <v>26</v>
      </c>
      <c r="V57" s="333">
        <v>67</v>
      </c>
      <c r="W57" s="333">
        <v>154</v>
      </c>
      <c r="X57" s="333">
        <v>686</v>
      </c>
      <c r="Y57" s="333">
        <v>549</v>
      </c>
      <c r="Z57" s="333">
        <v>3187</v>
      </c>
      <c r="AA57" s="333">
        <v>4671</v>
      </c>
      <c r="AB57" s="216">
        <v>4683</v>
      </c>
      <c r="AC57" s="333">
        <v>0</v>
      </c>
      <c r="AD57" s="333">
        <v>0</v>
      </c>
      <c r="AE57" s="333">
        <v>0</v>
      </c>
      <c r="AF57" s="333">
        <v>0</v>
      </c>
      <c r="AG57" s="333">
        <v>0</v>
      </c>
      <c r="AH57" s="333">
        <v>0</v>
      </c>
      <c r="AI57" s="216">
        <v>0</v>
      </c>
      <c r="AJ57" s="333">
        <v>100</v>
      </c>
      <c r="AK57" s="333">
        <v>791</v>
      </c>
      <c r="AL57" s="333">
        <v>5561</v>
      </c>
      <c r="AM57" s="216">
        <v>8792</v>
      </c>
      <c r="AN57" s="216">
        <v>8941</v>
      </c>
      <c r="AO57" s="216">
        <v>149</v>
      </c>
      <c r="AP57" s="216">
        <v>10</v>
      </c>
      <c r="AQ57" s="216">
        <v>783</v>
      </c>
      <c r="AR57" s="216">
        <v>18</v>
      </c>
      <c r="AS57" s="216">
        <v>3522</v>
      </c>
      <c r="AT57" s="216">
        <v>0</v>
      </c>
      <c r="AU57" s="216">
        <v>780</v>
      </c>
      <c r="AV57" s="216">
        <v>396</v>
      </c>
      <c r="AW57" s="216">
        <v>264</v>
      </c>
      <c r="AX57" s="216">
        <v>0</v>
      </c>
      <c r="AY57" s="216">
        <v>239924</v>
      </c>
      <c r="AZ57" s="216" t="s">
        <v>3</v>
      </c>
      <c r="BA57" s="216">
        <v>0</v>
      </c>
      <c r="BB57" s="216" t="s">
        <v>3</v>
      </c>
      <c r="BC57" s="216">
        <v>5676.5659999999998</v>
      </c>
      <c r="BD57" s="216" t="s">
        <v>3</v>
      </c>
      <c r="BE57" s="216">
        <v>48934.279000000002</v>
      </c>
      <c r="BF57" s="216" t="s">
        <v>3</v>
      </c>
      <c r="BG57" s="216">
        <v>17624.871999999999</v>
      </c>
      <c r="BH57" s="216" t="s">
        <v>3</v>
      </c>
      <c r="BI57" s="216">
        <v>2994.5920000000001</v>
      </c>
      <c r="BJ57" s="216" t="s">
        <v>3</v>
      </c>
      <c r="BK57" s="216">
        <v>315154.30899999995</v>
      </c>
      <c r="BL57" s="216" t="s">
        <v>3</v>
      </c>
      <c r="BM57" s="216">
        <v>37361.873</v>
      </c>
      <c r="BN57" s="216" t="s">
        <v>3</v>
      </c>
      <c r="BO57" s="216">
        <v>15449.251</v>
      </c>
      <c r="BP57" s="216" t="s">
        <v>3</v>
      </c>
      <c r="BQ57" s="216">
        <v>30011.014999999999</v>
      </c>
      <c r="BR57" s="216" t="s">
        <v>3</v>
      </c>
      <c r="BS57" s="216">
        <v>34003</v>
      </c>
      <c r="BT57" s="216" t="s">
        <v>3</v>
      </c>
      <c r="BU57" s="216">
        <v>2206.64</v>
      </c>
      <c r="BV57" s="216">
        <v>0</v>
      </c>
      <c r="BW57" s="216">
        <v>434186.08799999999</v>
      </c>
      <c r="BX57" s="216">
        <v>-16826.062999999998</v>
      </c>
      <c r="BY57" s="216">
        <v>-332.86199999999997</v>
      </c>
      <c r="BZ57" s="216">
        <v>-40100.731</v>
      </c>
      <c r="CA57" s="216" t="s">
        <v>3</v>
      </c>
      <c r="CB57" s="216">
        <v>-57259.656000000003</v>
      </c>
      <c r="CC57" s="216">
        <v>376926.43199999997</v>
      </c>
      <c r="CD57" s="216">
        <v>45267.525080000007</v>
      </c>
      <c r="CE57" s="216">
        <v>344775.13199999998</v>
      </c>
      <c r="CF57" s="216">
        <v>766969.08907999995</v>
      </c>
      <c r="CG57" s="216">
        <v>0</v>
      </c>
      <c r="CH57" s="216">
        <v>7262.223</v>
      </c>
      <c r="CI57" s="216">
        <v>3195</v>
      </c>
      <c r="CJ57" s="216">
        <v>6238</v>
      </c>
      <c r="CK57" s="216">
        <v>-861</v>
      </c>
      <c r="CL57" s="216">
        <v>1192</v>
      </c>
      <c r="CM57" s="216" t="s">
        <v>3</v>
      </c>
      <c r="CN57" s="216" t="s">
        <v>3</v>
      </c>
      <c r="CO57" s="333" t="s">
        <v>3</v>
      </c>
      <c r="CP57" s="216" t="s">
        <v>3</v>
      </c>
      <c r="CQ57" s="216" t="s">
        <v>3</v>
      </c>
      <c r="CR57" s="216" t="s">
        <v>3</v>
      </c>
      <c r="CS57" s="216" t="s">
        <v>3</v>
      </c>
      <c r="CT57" s="216" t="s">
        <v>3</v>
      </c>
      <c r="CU57" s="216" t="s">
        <v>3</v>
      </c>
      <c r="CV57" s="216" t="s">
        <v>3</v>
      </c>
      <c r="CW57" s="216" t="s">
        <v>3</v>
      </c>
      <c r="CX57" s="216" t="s">
        <v>3</v>
      </c>
      <c r="CY57" s="216" t="s">
        <v>3</v>
      </c>
      <c r="CZ57" s="216" t="s">
        <v>3</v>
      </c>
      <c r="DA57" s="216" t="s">
        <v>3</v>
      </c>
      <c r="DB57" s="333" t="s">
        <v>3</v>
      </c>
      <c r="DC57" s="333" t="s">
        <v>3</v>
      </c>
      <c r="DD57" s="333" t="s">
        <v>3</v>
      </c>
      <c r="DE57" s="333" t="s">
        <v>3</v>
      </c>
      <c r="DF57" s="333" t="s">
        <v>3</v>
      </c>
      <c r="DG57" s="333" t="s">
        <v>3</v>
      </c>
      <c r="DH57" s="216">
        <v>-25.701953</v>
      </c>
      <c r="DI57" s="216">
        <v>-0.68203800000000003</v>
      </c>
      <c r="DJ57" s="216">
        <v>-0.13489799999999999</v>
      </c>
      <c r="DK57" s="216">
        <v>-21.449354</v>
      </c>
      <c r="DL57" s="216">
        <v>-0.75858500000000006</v>
      </c>
      <c r="DM57" s="216">
        <v>143.09029500000003</v>
      </c>
      <c r="DN57" s="216">
        <v>20.873952000000003</v>
      </c>
      <c r="DO57" s="216">
        <v>6.9096000000000005E-2</v>
      </c>
      <c r="DP57" s="216">
        <v>115.30651500000002</v>
      </c>
      <c r="DQ57" s="216">
        <v>19.720006000000001</v>
      </c>
      <c r="DR57" s="216">
        <v>30201</v>
      </c>
      <c r="DS57" s="216">
        <v>20356</v>
      </c>
      <c r="DT57" s="216">
        <v>5058</v>
      </c>
      <c r="DU57" s="216">
        <v>0</v>
      </c>
      <c r="DV57" s="216">
        <v>0</v>
      </c>
      <c r="DW57" s="216">
        <v>44.809719999999999</v>
      </c>
      <c r="DX57" s="216">
        <v>1013.1027600000001</v>
      </c>
      <c r="DY57" s="216">
        <v>2153.9017599999997</v>
      </c>
      <c r="DZ57" s="216">
        <v>6086.7494900000002</v>
      </c>
      <c r="EA57" s="216">
        <v>1566.5000500000001</v>
      </c>
      <c r="EB57" s="216">
        <v>0</v>
      </c>
      <c r="EC57" s="216">
        <v>49.025640000000003</v>
      </c>
      <c r="ED57" s="216">
        <v>0</v>
      </c>
      <c r="EE57" s="216">
        <v>392.69509000000005</v>
      </c>
      <c r="EF57" s="216">
        <v>140.44382000000002</v>
      </c>
      <c r="EG57" s="216">
        <v>1984.62508</v>
      </c>
      <c r="EH57" s="216">
        <v>0</v>
      </c>
      <c r="EI57" s="216">
        <v>0</v>
      </c>
      <c r="EJ57" s="216">
        <v>0</v>
      </c>
      <c r="EK57" s="216">
        <v>13431.85341</v>
      </c>
    </row>
    <row r="58" spans="1:141" ht="15" customHeight="1" x14ac:dyDescent="0.2">
      <c r="A58" s="218" t="s">
        <v>9</v>
      </c>
      <c r="B58" s="218" t="s">
        <v>14</v>
      </c>
      <c r="C58" s="217" t="s">
        <v>13</v>
      </c>
      <c r="D58" s="216">
        <v>4</v>
      </c>
      <c r="E58" s="216">
        <v>43</v>
      </c>
      <c r="F58" s="216">
        <v>9</v>
      </c>
      <c r="G58" s="216">
        <v>2</v>
      </c>
      <c r="H58" s="216">
        <v>58</v>
      </c>
      <c r="I58" s="216">
        <v>17</v>
      </c>
      <c r="J58" s="216">
        <v>69</v>
      </c>
      <c r="K58" s="216">
        <v>3</v>
      </c>
      <c r="L58" s="216">
        <v>55</v>
      </c>
      <c r="M58" s="216">
        <v>43</v>
      </c>
      <c r="N58" s="216">
        <v>0</v>
      </c>
      <c r="O58" s="216">
        <v>24</v>
      </c>
      <c r="P58" s="216">
        <v>194</v>
      </c>
      <c r="Q58" s="216">
        <v>125</v>
      </c>
      <c r="R58" s="216">
        <v>14</v>
      </c>
      <c r="S58" s="216">
        <v>7</v>
      </c>
      <c r="T58" s="333">
        <v>3</v>
      </c>
      <c r="U58" s="333">
        <v>3</v>
      </c>
      <c r="V58" s="333">
        <v>18</v>
      </c>
      <c r="W58" s="333">
        <v>46</v>
      </c>
      <c r="X58" s="333">
        <v>107</v>
      </c>
      <c r="Y58" s="333">
        <v>47</v>
      </c>
      <c r="Z58" s="333">
        <v>160</v>
      </c>
      <c r="AA58" s="333">
        <v>384</v>
      </c>
      <c r="AB58" s="216">
        <v>384</v>
      </c>
      <c r="AC58" s="333">
        <v>0</v>
      </c>
      <c r="AD58" s="333">
        <v>0</v>
      </c>
      <c r="AE58" s="333">
        <v>52</v>
      </c>
      <c r="AF58" s="333">
        <v>128.5</v>
      </c>
      <c r="AG58" s="333">
        <v>470.25</v>
      </c>
      <c r="AH58" s="333">
        <v>650.75</v>
      </c>
      <c r="AI58" s="216">
        <v>769</v>
      </c>
      <c r="AJ58" s="333">
        <v>26.3</v>
      </c>
      <c r="AK58" s="333">
        <v>197</v>
      </c>
      <c r="AL58" s="333">
        <v>1258.05</v>
      </c>
      <c r="AM58" s="216">
        <v>736</v>
      </c>
      <c r="AN58" s="216">
        <v>761</v>
      </c>
      <c r="AO58" s="216">
        <v>21</v>
      </c>
      <c r="AP58" s="216">
        <v>2</v>
      </c>
      <c r="AQ58" s="216">
        <v>96</v>
      </c>
      <c r="AR58" s="216">
        <v>19</v>
      </c>
      <c r="AS58" s="216">
        <v>947</v>
      </c>
      <c r="AT58" s="216">
        <v>39</v>
      </c>
      <c r="AU58" s="216">
        <v>37</v>
      </c>
      <c r="AV58" s="216">
        <v>482</v>
      </c>
      <c r="AW58" s="216">
        <v>360</v>
      </c>
      <c r="AX58" s="216">
        <v>29</v>
      </c>
      <c r="AY58" s="216">
        <v>20842</v>
      </c>
      <c r="AZ58" s="216" t="s">
        <v>3</v>
      </c>
      <c r="BA58" s="216">
        <v>7130</v>
      </c>
      <c r="BB58" s="216" t="s">
        <v>3</v>
      </c>
      <c r="BC58" s="216">
        <v>1316</v>
      </c>
      <c r="BD58" s="216" t="s">
        <v>3</v>
      </c>
      <c r="BE58" s="216">
        <v>5647</v>
      </c>
      <c r="BF58" s="216" t="s">
        <v>3</v>
      </c>
      <c r="BG58" s="216">
        <v>515</v>
      </c>
      <c r="BH58" s="216" t="s">
        <v>3</v>
      </c>
      <c r="BI58" s="216">
        <v>11</v>
      </c>
      <c r="BJ58" s="216" t="s">
        <v>3</v>
      </c>
      <c r="BK58" s="216">
        <v>35461</v>
      </c>
      <c r="BL58" s="216" t="s">
        <v>3</v>
      </c>
      <c r="BM58" s="216">
        <v>2239</v>
      </c>
      <c r="BN58" s="216" t="s">
        <v>3</v>
      </c>
      <c r="BO58" s="216">
        <v>2893</v>
      </c>
      <c r="BP58" s="216" t="s">
        <v>3</v>
      </c>
      <c r="BQ58" s="216">
        <v>6522</v>
      </c>
      <c r="BR58" s="216" t="s">
        <v>3</v>
      </c>
      <c r="BS58" s="216">
        <v>1123</v>
      </c>
      <c r="BT58" s="216" t="s">
        <v>3</v>
      </c>
      <c r="BU58" s="216">
        <v>0</v>
      </c>
      <c r="BV58" s="216">
        <v>0</v>
      </c>
      <c r="BW58" s="216">
        <v>48238</v>
      </c>
      <c r="BX58" s="216">
        <v>-3072</v>
      </c>
      <c r="BY58" s="216">
        <v>-1332</v>
      </c>
      <c r="BZ58" s="216">
        <v>0</v>
      </c>
      <c r="CA58" s="216" t="s">
        <v>3</v>
      </c>
      <c r="CB58" s="216">
        <v>-4404</v>
      </c>
      <c r="CC58" s="216">
        <v>43834</v>
      </c>
      <c r="CD58" s="216">
        <v>1942</v>
      </c>
      <c r="CE58" s="216">
        <v>883</v>
      </c>
      <c r="CF58" s="216">
        <v>46659</v>
      </c>
      <c r="CG58" s="216">
        <v>118</v>
      </c>
      <c r="CH58" s="216">
        <v>1941</v>
      </c>
      <c r="CI58" s="216">
        <v>729</v>
      </c>
      <c r="CJ58" s="216">
        <v>745</v>
      </c>
      <c r="CK58" s="216">
        <v>42</v>
      </c>
      <c r="CL58" s="216">
        <v>0</v>
      </c>
      <c r="CM58" s="216" t="s">
        <v>3</v>
      </c>
      <c r="CN58" s="216">
        <v>-113976</v>
      </c>
      <c r="CO58" s="333" t="s">
        <v>3</v>
      </c>
      <c r="CP58" s="216" t="s">
        <v>3</v>
      </c>
      <c r="CQ58" s="216" t="s">
        <v>3</v>
      </c>
      <c r="CR58" s="216" t="s">
        <v>3</v>
      </c>
      <c r="CS58" s="216">
        <v>5416</v>
      </c>
      <c r="CT58" s="216" t="s">
        <v>3</v>
      </c>
      <c r="CU58" s="216" t="s">
        <v>3</v>
      </c>
      <c r="CV58" s="216" t="s">
        <v>3</v>
      </c>
      <c r="CW58" s="216">
        <v>38293</v>
      </c>
      <c r="CX58" s="216">
        <v>236</v>
      </c>
      <c r="CY58" s="216">
        <v>1831</v>
      </c>
      <c r="CZ58" s="216">
        <v>0</v>
      </c>
      <c r="DA58" s="216">
        <v>45776</v>
      </c>
      <c r="DB58" s="333">
        <v>100</v>
      </c>
      <c r="DC58" s="333">
        <v>100</v>
      </c>
      <c r="DD58" s="333">
        <v>100</v>
      </c>
      <c r="DE58" s="333">
        <v>100</v>
      </c>
      <c r="DF58" s="333">
        <v>0</v>
      </c>
      <c r="DG58" s="333">
        <v>100</v>
      </c>
      <c r="DH58" s="216">
        <v>-3168</v>
      </c>
      <c r="DI58" s="216">
        <v>-498</v>
      </c>
      <c r="DJ58" s="216">
        <v>0</v>
      </c>
      <c r="DK58" s="216">
        <v>-2560</v>
      </c>
      <c r="DL58" s="216">
        <v>-157</v>
      </c>
      <c r="DM58" s="216">
        <v>11453</v>
      </c>
      <c r="DN58" s="216">
        <v>1955</v>
      </c>
      <c r="DO58" s="216">
        <v>8</v>
      </c>
      <c r="DP58" s="216">
        <v>7033</v>
      </c>
      <c r="DQ58" s="216" t="s">
        <v>3</v>
      </c>
      <c r="DR58" s="216">
        <v>7328</v>
      </c>
      <c r="DS58" s="216">
        <v>707</v>
      </c>
      <c r="DT58" s="216" t="s">
        <v>3</v>
      </c>
      <c r="DU58" s="216">
        <v>204</v>
      </c>
      <c r="DV58" s="216">
        <v>0</v>
      </c>
      <c r="DW58" s="216">
        <v>0</v>
      </c>
      <c r="DX58" s="216">
        <v>626</v>
      </c>
      <c r="DY58" s="216">
        <v>22</v>
      </c>
      <c r="DZ58" s="216">
        <v>629</v>
      </c>
      <c r="EA58" s="216">
        <v>0</v>
      </c>
      <c r="EB58" s="216">
        <v>0</v>
      </c>
      <c r="EC58" s="216">
        <v>300</v>
      </c>
      <c r="ED58" s="216">
        <v>0</v>
      </c>
      <c r="EE58" s="216">
        <v>136</v>
      </c>
      <c r="EF58" s="216">
        <v>0</v>
      </c>
      <c r="EG58" s="216">
        <v>467</v>
      </c>
      <c r="EH58" s="216">
        <v>0</v>
      </c>
      <c r="EI58" s="216">
        <v>0</v>
      </c>
      <c r="EJ58" s="216">
        <v>0</v>
      </c>
      <c r="EK58" s="216">
        <v>2384</v>
      </c>
    </row>
    <row r="59" spans="1:141" ht="15" customHeight="1" x14ac:dyDescent="0.2">
      <c r="A59" s="218" t="s">
        <v>9</v>
      </c>
      <c r="B59" s="218" t="s">
        <v>11</v>
      </c>
      <c r="C59" s="217" t="s">
        <v>10</v>
      </c>
      <c r="D59" s="216">
        <v>0</v>
      </c>
      <c r="E59" s="216">
        <v>36</v>
      </c>
      <c r="F59" s="216">
        <v>8</v>
      </c>
      <c r="G59" s="216">
        <v>0</v>
      </c>
      <c r="H59" s="216">
        <v>44</v>
      </c>
      <c r="I59" s="216">
        <v>10</v>
      </c>
      <c r="J59" s="216">
        <v>54</v>
      </c>
      <c r="K59" s="216">
        <v>3</v>
      </c>
      <c r="L59" s="216">
        <v>32</v>
      </c>
      <c r="M59" s="216">
        <v>43</v>
      </c>
      <c r="N59" s="216">
        <v>0</v>
      </c>
      <c r="O59" s="216">
        <v>4</v>
      </c>
      <c r="P59" s="216">
        <v>136</v>
      </c>
      <c r="Q59" s="216">
        <v>110</v>
      </c>
      <c r="R59" s="216">
        <v>12</v>
      </c>
      <c r="S59" s="216">
        <v>4</v>
      </c>
      <c r="T59" s="333">
        <v>4</v>
      </c>
      <c r="U59" s="333">
        <v>3</v>
      </c>
      <c r="V59" s="333">
        <v>11</v>
      </c>
      <c r="W59" s="333">
        <v>25</v>
      </c>
      <c r="X59" s="333">
        <v>42</v>
      </c>
      <c r="Y59" s="333">
        <v>49</v>
      </c>
      <c r="Z59" s="333">
        <v>111</v>
      </c>
      <c r="AA59" s="333">
        <v>245</v>
      </c>
      <c r="AB59" s="216">
        <v>248</v>
      </c>
      <c r="AC59" s="333">
        <v>0</v>
      </c>
      <c r="AD59" s="333">
        <v>0</v>
      </c>
      <c r="AE59" s="333">
        <v>38.75</v>
      </c>
      <c r="AF59" s="333">
        <v>62.5</v>
      </c>
      <c r="AG59" s="333">
        <v>276.25</v>
      </c>
      <c r="AH59" s="333">
        <v>377.5</v>
      </c>
      <c r="AI59" s="216">
        <v>456</v>
      </c>
      <c r="AJ59" s="333">
        <v>30.25</v>
      </c>
      <c r="AK59" s="333">
        <v>147.32</v>
      </c>
      <c r="AL59" s="333">
        <v>800.06999999999994</v>
      </c>
      <c r="AM59" s="216">
        <v>438</v>
      </c>
      <c r="AN59" s="216">
        <v>453</v>
      </c>
      <c r="AO59" s="216">
        <v>12</v>
      </c>
      <c r="AP59" s="216">
        <v>1</v>
      </c>
      <c r="AQ59" s="216">
        <v>55</v>
      </c>
      <c r="AR59" s="216">
        <v>5</v>
      </c>
      <c r="AS59" s="216">
        <v>548</v>
      </c>
      <c r="AT59" s="216">
        <v>19</v>
      </c>
      <c r="AU59" s="216">
        <v>15</v>
      </c>
      <c r="AV59" s="216">
        <v>47</v>
      </c>
      <c r="AW59" s="216">
        <v>96</v>
      </c>
      <c r="AX59" s="216">
        <v>83</v>
      </c>
      <c r="AY59" s="216">
        <v>13068</v>
      </c>
      <c r="AZ59" s="216">
        <v>0</v>
      </c>
      <c r="BA59" s="216">
        <v>4293</v>
      </c>
      <c r="BB59" s="216">
        <v>0</v>
      </c>
      <c r="BC59" s="216">
        <v>1365</v>
      </c>
      <c r="BD59" s="216">
        <v>0</v>
      </c>
      <c r="BE59" s="216">
        <v>4377</v>
      </c>
      <c r="BF59" s="216">
        <v>0</v>
      </c>
      <c r="BG59" s="216">
        <v>319</v>
      </c>
      <c r="BH59" s="216">
        <v>58</v>
      </c>
      <c r="BI59" s="216">
        <v>1456</v>
      </c>
      <c r="BJ59" s="216">
        <v>0</v>
      </c>
      <c r="BK59" s="216">
        <v>24878</v>
      </c>
      <c r="BL59" s="216">
        <v>58</v>
      </c>
      <c r="BM59" s="216">
        <v>2126</v>
      </c>
      <c r="BN59" s="216">
        <v>337</v>
      </c>
      <c r="BO59" s="216">
        <v>1075</v>
      </c>
      <c r="BP59" s="216">
        <v>643</v>
      </c>
      <c r="BQ59" s="216">
        <v>4573</v>
      </c>
      <c r="BR59" s="216">
        <v>1170</v>
      </c>
      <c r="BS59" s="216">
        <v>438</v>
      </c>
      <c r="BT59" s="216">
        <v>373</v>
      </c>
      <c r="BU59" s="216">
        <v>0</v>
      </c>
      <c r="BV59" s="216">
        <v>0</v>
      </c>
      <c r="BW59" s="216">
        <v>33090</v>
      </c>
      <c r="BX59" s="216">
        <v>-1260</v>
      </c>
      <c r="BY59" s="216">
        <v>-224</v>
      </c>
      <c r="BZ59" s="216">
        <v>-244</v>
      </c>
      <c r="CA59" s="216">
        <v>0</v>
      </c>
      <c r="CB59" s="216">
        <v>-1728</v>
      </c>
      <c r="CC59" s="216">
        <v>31362</v>
      </c>
      <c r="CD59" s="216">
        <v>3149</v>
      </c>
      <c r="CE59" s="216">
        <v>1246</v>
      </c>
      <c r="CF59" s="216">
        <v>35757</v>
      </c>
      <c r="CG59" s="216">
        <v>251</v>
      </c>
      <c r="CH59" s="216">
        <v>2140</v>
      </c>
      <c r="CI59" s="216">
        <v>0</v>
      </c>
      <c r="CJ59" s="216">
        <v>509</v>
      </c>
      <c r="CK59" s="216">
        <v>-12</v>
      </c>
      <c r="CL59" s="216">
        <v>0</v>
      </c>
      <c r="CM59" s="216">
        <v>0</v>
      </c>
      <c r="CN59" s="216">
        <v>0</v>
      </c>
      <c r="CO59" s="333">
        <v>14.7</v>
      </c>
      <c r="CP59" s="216">
        <v>721</v>
      </c>
      <c r="CQ59" s="216" t="s">
        <v>3</v>
      </c>
      <c r="CR59" s="216" t="s">
        <v>3</v>
      </c>
      <c r="CS59" s="216" t="s">
        <v>3</v>
      </c>
      <c r="CT59" s="216" t="s">
        <v>3</v>
      </c>
      <c r="CU59" s="216" t="s">
        <v>3</v>
      </c>
      <c r="CV59" s="216" t="s">
        <v>3</v>
      </c>
      <c r="CW59" s="216" t="s">
        <v>3</v>
      </c>
      <c r="CX59" s="216" t="s">
        <v>3</v>
      </c>
      <c r="CY59" s="216" t="s">
        <v>3</v>
      </c>
      <c r="CZ59" s="216" t="s">
        <v>3</v>
      </c>
      <c r="DA59" s="216" t="s">
        <v>3</v>
      </c>
      <c r="DB59" s="333" t="s">
        <v>3</v>
      </c>
      <c r="DC59" s="333" t="s">
        <v>3</v>
      </c>
      <c r="DD59" s="333" t="s">
        <v>3</v>
      </c>
      <c r="DE59" s="333" t="s">
        <v>3</v>
      </c>
      <c r="DF59" s="333" t="s">
        <v>3</v>
      </c>
      <c r="DG59" s="333" t="s">
        <v>3</v>
      </c>
      <c r="DH59" s="216">
        <v>-1889</v>
      </c>
      <c r="DI59" s="216">
        <v>-31</v>
      </c>
      <c r="DJ59" s="216">
        <v>0</v>
      </c>
      <c r="DK59" s="216">
        <v>-1549</v>
      </c>
      <c r="DL59" s="216">
        <v>-120</v>
      </c>
      <c r="DM59" s="216">
        <v>6954</v>
      </c>
      <c r="DN59" s="216">
        <v>1305</v>
      </c>
      <c r="DO59" s="216">
        <v>95</v>
      </c>
      <c r="DP59" s="216">
        <v>4765</v>
      </c>
      <c r="DQ59" s="216">
        <v>436</v>
      </c>
      <c r="DR59" s="216">
        <v>639</v>
      </c>
      <c r="DS59" s="216">
        <v>2056</v>
      </c>
      <c r="DT59" s="216">
        <v>180</v>
      </c>
      <c r="DU59" s="216">
        <v>0</v>
      </c>
      <c r="DV59" s="216">
        <v>0</v>
      </c>
      <c r="DW59" s="216">
        <v>0</v>
      </c>
      <c r="DX59" s="216">
        <v>582</v>
      </c>
      <c r="DY59" s="216">
        <v>0</v>
      </c>
      <c r="DZ59" s="216">
        <v>42</v>
      </c>
      <c r="EA59" s="216">
        <v>269</v>
      </c>
      <c r="EB59" s="216">
        <v>54</v>
      </c>
      <c r="EC59" s="216">
        <v>86</v>
      </c>
      <c r="ED59" s="216">
        <v>445</v>
      </c>
      <c r="EE59" s="216">
        <v>87</v>
      </c>
      <c r="EF59" s="216">
        <v>3</v>
      </c>
      <c r="EG59" s="216">
        <v>145</v>
      </c>
      <c r="EH59" s="216">
        <v>0</v>
      </c>
      <c r="EI59" s="216">
        <v>143</v>
      </c>
      <c r="EJ59" s="216">
        <v>0</v>
      </c>
      <c r="EK59" s="216">
        <v>1856</v>
      </c>
    </row>
    <row r="60" spans="1:141" ht="15" customHeight="1" x14ac:dyDescent="0.2">
      <c r="A60" s="218" t="s">
        <v>9</v>
      </c>
      <c r="B60" s="218" t="s">
        <v>8</v>
      </c>
      <c r="C60" s="217" t="s">
        <v>7</v>
      </c>
      <c r="D60" s="216">
        <v>11</v>
      </c>
      <c r="E60" s="216">
        <v>27</v>
      </c>
      <c r="F60" s="216">
        <v>9</v>
      </c>
      <c r="G60" s="216">
        <v>0</v>
      </c>
      <c r="H60" s="216">
        <v>47</v>
      </c>
      <c r="I60" s="216">
        <v>10</v>
      </c>
      <c r="J60" s="216">
        <v>61</v>
      </c>
      <c r="K60" s="216">
        <v>3</v>
      </c>
      <c r="L60" s="216">
        <v>63</v>
      </c>
      <c r="M60" s="216">
        <v>115</v>
      </c>
      <c r="N60" s="216">
        <v>0</v>
      </c>
      <c r="O60" s="216">
        <v>10</v>
      </c>
      <c r="P60" s="216">
        <v>252</v>
      </c>
      <c r="Q60" s="216">
        <v>160</v>
      </c>
      <c r="R60" s="216">
        <v>13</v>
      </c>
      <c r="S60" s="216">
        <v>13</v>
      </c>
      <c r="T60" s="333">
        <v>3</v>
      </c>
      <c r="U60" s="333">
        <v>4</v>
      </c>
      <c r="V60" s="333">
        <v>19</v>
      </c>
      <c r="W60" s="333">
        <v>58</v>
      </c>
      <c r="X60" s="333">
        <v>126</v>
      </c>
      <c r="Y60" s="333">
        <v>103</v>
      </c>
      <c r="Z60" s="333">
        <v>479</v>
      </c>
      <c r="AA60" s="333">
        <v>792</v>
      </c>
      <c r="AB60" s="216">
        <v>792</v>
      </c>
      <c r="AC60" s="333">
        <v>0</v>
      </c>
      <c r="AD60" s="333">
        <v>0</v>
      </c>
      <c r="AE60" s="333">
        <v>26.2</v>
      </c>
      <c r="AF60" s="333">
        <v>97.6</v>
      </c>
      <c r="AG60" s="333">
        <v>222.3</v>
      </c>
      <c r="AH60" s="333">
        <v>346</v>
      </c>
      <c r="AI60" s="216">
        <v>346</v>
      </c>
      <c r="AJ60" s="333">
        <v>38.9</v>
      </c>
      <c r="AK60" s="333">
        <v>252.2</v>
      </c>
      <c r="AL60" s="333">
        <v>1429.2</v>
      </c>
      <c r="AM60" s="216">
        <v>1327</v>
      </c>
      <c r="AN60" s="216">
        <v>1363</v>
      </c>
      <c r="AO60" s="216">
        <v>44</v>
      </c>
      <c r="AP60" s="216">
        <v>11</v>
      </c>
      <c r="AQ60" s="216">
        <v>151</v>
      </c>
      <c r="AR60" s="216">
        <v>20</v>
      </c>
      <c r="AS60" s="216">
        <v>1074</v>
      </c>
      <c r="AT60" s="216">
        <v>27</v>
      </c>
      <c r="AU60" s="216">
        <v>61</v>
      </c>
      <c r="AV60" s="216">
        <v>384</v>
      </c>
      <c r="AW60" s="216">
        <v>212</v>
      </c>
      <c r="AX60" s="216">
        <v>36</v>
      </c>
      <c r="AY60" s="216">
        <v>37896</v>
      </c>
      <c r="AZ60" s="216">
        <v>0</v>
      </c>
      <c r="BA60" s="216">
        <v>5559</v>
      </c>
      <c r="BB60" s="216">
        <v>0</v>
      </c>
      <c r="BC60" s="216">
        <v>1363</v>
      </c>
      <c r="BD60" s="216">
        <v>1610</v>
      </c>
      <c r="BE60" s="216">
        <v>9378</v>
      </c>
      <c r="BF60" s="216">
        <v>69</v>
      </c>
      <c r="BG60" s="216">
        <v>1471</v>
      </c>
      <c r="BH60" s="216">
        <v>0</v>
      </c>
      <c r="BI60" s="216">
        <v>736</v>
      </c>
      <c r="BJ60" s="216">
        <v>42</v>
      </c>
      <c r="BK60" s="216">
        <v>56403</v>
      </c>
      <c r="BL60" s="216">
        <v>1721</v>
      </c>
      <c r="BM60" s="216">
        <v>4957</v>
      </c>
      <c r="BN60" s="216">
        <v>8</v>
      </c>
      <c r="BO60" s="216">
        <v>1262</v>
      </c>
      <c r="BP60" s="216">
        <v>0</v>
      </c>
      <c r="BQ60" s="216">
        <v>3827</v>
      </c>
      <c r="BR60" s="216">
        <v>4</v>
      </c>
      <c r="BS60" s="216">
        <v>62</v>
      </c>
      <c r="BT60" s="216">
        <v>0</v>
      </c>
      <c r="BU60" s="216">
        <v>0</v>
      </c>
      <c r="BV60" s="216">
        <v>1591</v>
      </c>
      <c r="BW60" s="216">
        <v>68102</v>
      </c>
      <c r="BX60" s="216">
        <v>0</v>
      </c>
      <c r="BY60" s="216">
        <v>0</v>
      </c>
      <c r="BZ60" s="216">
        <v>-1621</v>
      </c>
      <c r="CA60" s="216">
        <v>56</v>
      </c>
      <c r="CB60" s="216">
        <v>-1621</v>
      </c>
      <c r="CC60" s="216">
        <v>66481</v>
      </c>
      <c r="CD60" s="216">
        <v>6536</v>
      </c>
      <c r="CE60" s="216">
        <v>-6240</v>
      </c>
      <c r="CF60" s="216">
        <v>66777</v>
      </c>
      <c r="CG60" s="216">
        <v>0</v>
      </c>
      <c r="CH60" s="216">
        <v>0</v>
      </c>
      <c r="CI60" s="216">
        <v>100</v>
      </c>
      <c r="CJ60" s="216">
        <v>1389</v>
      </c>
      <c r="CK60" s="216">
        <v>73</v>
      </c>
      <c r="CL60" s="216">
        <v>1560</v>
      </c>
      <c r="CM60" s="216">
        <v>0</v>
      </c>
      <c r="CN60" s="216">
        <v>0</v>
      </c>
      <c r="CO60" s="333">
        <v>16.3</v>
      </c>
      <c r="CP60" s="216">
        <v>282</v>
      </c>
      <c r="CQ60" s="216" t="s">
        <v>3</v>
      </c>
      <c r="CR60" s="216" t="s">
        <v>3</v>
      </c>
      <c r="CS60" s="216" t="s">
        <v>3</v>
      </c>
      <c r="CT60" s="216" t="s">
        <v>3</v>
      </c>
      <c r="CU60" s="216" t="s">
        <v>3</v>
      </c>
      <c r="CV60" s="216" t="s">
        <v>3</v>
      </c>
      <c r="CW60" s="216">
        <v>73017</v>
      </c>
      <c r="CX60" s="216" t="s">
        <v>3</v>
      </c>
      <c r="CY60" s="216" t="s">
        <v>3</v>
      </c>
      <c r="CZ60" s="216" t="s">
        <v>3</v>
      </c>
      <c r="DA60" s="216">
        <v>73017</v>
      </c>
      <c r="DB60" s="333">
        <v>0</v>
      </c>
      <c r="DC60" s="333">
        <v>0</v>
      </c>
      <c r="DD60" s="333">
        <v>0</v>
      </c>
      <c r="DE60" s="333">
        <v>0</v>
      </c>
      <c r="DF60" s="333">
        <v>0</v>
      </c>
      <c r="DG60" s="333">
        <v>0</v>
      </c>
      <c r="DH60" s="216">
        <v>-5103</v>
      </c>
      <c r="DI60" s="216">
        <v>-335</v>
      </c>
      <c r="DJ60" s="216">
        <v>-150</v>
      </c>
      <c r="DK60" s="216">
        <v>-3967</v>
      </c>
      <c r="DL60" s="216">
        <v>-499</v>
      </c>
      <c r="DM60" s="216">
        <v>20120</v>
      </c>
      <c r="DN60" s="216">
        <v>6154</v>
      </c>
      <c r="DO60" s="216">
        <v>182</v>
      </c>
      <c r="DP60" s="216">
        <v>16402</v>
      </c>
      <c r="DQ60" s="216">
        <v>644</v>
      </c>
      <c r="DR60" s="216">
        <v>15762</v>
      </c>
      <c r="DS60" s="216">
        <v>3000</v>
      </c>
      <c r="DT60" s="216">
        <v>38</v>
      </c>
      <c r="DU60" s="216">
        <v>0</v>
      </c>
      <c r="DV60" s="216">
        <v>0</v>
      </c>
      <c r="DW60" s="216">
        <v>2430</v>
      </c>
      <c r="DX60" s="216">
        <v>562</v>
      </c>
      <c r="DY60" s="216">
        <v>999</v>
      </c>
      <c r="DZ60" s="216">
        <v>254</v>
      </c>
      <c r="EA60" s="216">
        <v>0</v>
      </c>
      <c r="EB60" s="216">
        <v>0</v>
      </c>
      <c r="EC60" s="216">
        <v>15</v>
      </c>
      <c r="ED60" s="216">
        <v>0</v>
      </c>
      <c r="EE60" s="216">
        <v>383</v>
      </c>
      <c r="EF60" s="216">
        <v>0</v>
      </c>
      <c r="EG60" s="216">
        <v>24</v>
      </c>
      <c r="EH60" s="216">
        <v>0</v>
      </c>
      <c r="EI60" s="216">
        <v>0</v>
      </c>
      <c r="EJ60" s="216">
        <v>0</v>
      </c>
      <c r="EK60" s="216">
        <v>4667</v>
      </c>
    </row>
    <row r="61" spans="1:141"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216" t="s">
        <v>3</v>
      </c>
      <c r="T61" s="333" t="s">
        <v>3</v>
      </c>
      <c r="U61" s="333" t="s">
        <v>3</v>
      </c>
      <c r="V61" s="333" t="s">
        <v>3</v>
      </c>
      <c r="W61" s="333" t="s">
        <v>3</v>
      </c>
      <c r="X61" s="333" t="s">
        <v>3</v>
      </c>
      <c r="Y61" s="333" t="s">
        <v>3</v>
      </c>
      <c r="Z61" s="333" t="s">
        <v>3</v>
      </c>
      <c r="AA61" s="333" t="s">
        <v>3</v>
      </c>
      <c r="AB61" s="216" t="s">
        <v>3</v>
      </c>
      <c r="AC61" s="333" t="s">
        <v>3</v>
      </c>
      <c r="AD61" s="333" t="s">
        <v>3</v>
      </c>
      <c r="AE61" s="333" t="s">
        <v>3</v>
      </c>
      <c r="AF61" s="333" t="s">
        <v>3</v>
      </c>
      <c r="AG61" s="333" t="s">
        <v>3</v>
      </c>
      <c r="AH61" s="333" t="s">
        <v>3</v>
      </c>
      <c r="AI61" s="216" t="s">
        <v>3</v>
      </c>
      <c r="AJ61" s="333" t="s">
        <v>3</v>
      </c>
      <c r="AK61" s="333" t="s">
        <v>3</v>
      </c>
      <c r="AL61" s="333" t="s">
        <v>3</v>
      </c>
      <c r="AM61" s="216" t="s">
        <v>3</v>
      </c>
      <c r="AN61" s="216" t="s">
        <v>3</v>
      </c>
      <c r="AO61" s="216" t="s">
        <v>3</v>
      </c>
      <c r="AP61" s="216" t="s">
        <v>3</v>
      </c>
      <c r="AQ61" s="216" t="s">
        <v>3</v>
      </c>
      <c r="AR61" s="216" t="s">
        <v>3</v>
      </c>
      <c r="AS61" s="216" t="s">
        <v>3</v>
      </c>
      <c r="AT61" s="216" t="s">
        <v>3</v>
      </c>
      <c r="AU61" s="216" t="s">
        <v>3</v>
      </c>
      <c r="AV61" s="216" t="s">
        <v>3</v>
      </c>
      <c r="AW61" s="216" t="s">
        <v>3</v>
      </c>
      <c r="AX61" s="216" t="s">
        <v>3</v>
      </c>
      <c r="AY61" s="216" t="s">
        <v>3</v>
      </c>
      <c r="AZ61" s="216" t="s">
        <v>3</v>
      </c>
      <c r="BA61" s="216" t="s">
        <v>3</v>
      </c>
      <c r="BB61" s="216" t="s">
        <v>3</v>
      </c>
      <c r="BC61" s="216" t="s">
        <v>3</v>
      </c>
      <c r="BD61" s="216" t="s">
        <v>3</v>
      </c>
      <c r="BE61" s="216" t="s">
        <v>3</v>
      </c>
      <c r="BF61" s="216" t="s">
        <v>3</v>
      </c>
      <c r="BG61" s="216" t="s">
        <v>3</v>
      </c>
      <c r="BH61" s="216" t="s">
        <v>3</v>
      </c>
      <c r="BI61" s="216" t="s">
        <v>3</v>
      </c>
      <c r="BJ61" s="216" t="s">
        <v>3</v>
      </c>
      <c r="BK61" s="216" t="s">
        <v>3</v>
      </c>
      <c r="BL61" s="216" t="s">
        <v>3</v>
      </c>
      <c r="BM61" s="216" t="s">
        <v>3</v>
      </c>
      <c r="BN61" s="216" t="s">
        <v>3</v>
      </c>
      <c r="BO61" s="216" t="s">
        <v>3</v>
      </c>
      <c r="BP61" s="216" t="s">
        <v>3</v>
      </c>
      <c r="BQ61" s="216" t="s">
        <v>3</v>
      </c>
      <c r="BR61" s="216" t="s">
        <v>3</v>
      </c>
      <c r="BS61" s="216" t="s">
        <v>3</v>
      </c>
      <c r="BT61" s="216" t="s">
        <v>3</v>
      </c>
      <c r="BU61" s="216" t="s">
        <v>3</v>
      </c>
      <c r="BV61" s="216" t="s">
        <v>3</v>
      </c>
      <c r="BW61" s="216" t="s">
        <v>3</v>
      </c>
      <c r="BX61" s="216" t="s">
        <v>3</v>
      </c>
      <c r="BY61" s="216" t="s">
        <v>3</v>
      </c>
      <c r="BZ61" s="216" t="s">
        <v>3</v>
      </c>
      <c r="CA61" s="216" t="s">
        <v>3</v>
      </c>
      <c r="CB61" s="216" t="s">
        <v>3</v>
      </c>
      <c r="CC61" s="216" t="s">
        <v>3</v>
      </c>
      <c r="CD61" s="216" t="s">
        <v>3</v>
      </c>
      <c r="CE61" s="216" t="s">
        <v>3</v>
      </c>
      <c r="CF61" s="216" t="s">
        <v>3</v>
      </c>
      <c r="CG61" s="216" t="s">
        <v>3</v>
      </c>
      <c r="CH61" s="216" t="s">
        <v>3</v>
      </c>
      <c r="CI61" s="216" t="s">
        <v>3</v>
      </c>
      <c r="CJ61" s="216" t="s">
        <v>3</v>
      </c>
      <c r="CK61" s="216" t="s">
        <v>3</v>
      </c>
      <c r="CL61" s="216" t="s">
        <v>3</v>
      </c>
      <c r="CM61" s="216" t="s">
        <v>3</v>
      </c>
      <c r="CN61" s="216" t="s">
        <v>3</v>
      </c>
      <c r="CO61" s="333" t="s">
        <v>3</v>
      </c>
      <c r="CP61" s="216" t="s">
        <v>3</v>
      </c>
      <c r="CQ61" s="216" t="s">
        <v>3</v>
      </c>
      <c r="CR61" s="216" t="s">
        <v>3</v>
      </c>
      <c r="CS61" s="216" t="s">
        <v>3</v>
      </c>
      <c r="CT61" s="216" t="s">
        <v>3</v>
      </c>
      <c r="CU61" s="216" t="s">
        <v>3</v>
      </c>
      <c r="CV61" s="216" t="s">
        <v>3</v>
      </c>
      <c r="CW61" s="216" t="s">
        <v>3</v>
      </c>
      <c r="CX61" s="216" t="s">
        <v>3</v>
      </c>
      <c r="CY61" s="216" t="s">
        <v>3</v>
      </c>
      <c r="CZ61" s="216" t="s">
        <v>3</v>
      </c>
      <c r="DA61" s="216" t="s">
        <v>3</v>
      </c>
      <c r="DB61" s="333" t="s">
        <v>3</v>
      </c>
      <c r="DC61" s="333" t="s">
        <v>3</v>
      </c>
      <c r="DD61" s="333" t="s">
        <v>3</v>
      </c>
      <c r="DE61" s="333" t="s">
        <v>3</v>
      </c>
      <c r="DF61" s="333" t="s">
        <v>3</v>
      </c>
      <c r="DG61" s="333" t="s">
        <v>3</v>
      </c>
      <c r="DH61" s="216" t="s">
        <v>3</v>
      </c>
      <c r="DI61" s="216" t="s">
        <v>3</v>
      </c>
      <c r="DJ61" s="216" t="s">
        <v>3</v>
      </c>
      <c r="DK61" s="216" t="s">
        <v>3</v>
      </c>
      <c r="DL61" s="216" t="s">
        <v>3</v>
      </c>
      <c r="DM61" s="216" t="s">
        <v>3</v>
      </c>
      <c r="DN61" s="216" t="s">
        <v>3</v>
      </c>
      <c r="DO61" s="216" t="s">
        <v>3</v>
      </c>
      <c r="DP61" s="216" t="s">
        <v>3</v>
      </c>
      <c r="DQ61" s="216" t="s">
        <v>3</v>
      </c>
      <c r="DR61" s="216" t="s">
        <v>3</v>
      </c>
      <c r="DS61" s="216" t="s">
        <v>3</v>
      </c>
      <c r="DT61" s="216" t="s">
        <v>3</v>
      </c>
      <c r="DU61" s="216" t="s">
        <v>3</v>
      </c>
      <c r="DV61" s="216" t="s">
        <v>3</v>
      </c>
      <c r="DW61" s="216" t="s">
        <v>3</v>
      </c>
      <c r="DX61" s="216" t="s">
        <v>3</v>
      </c>
      <c r="DY61" s="216" t="s">
        <v>3</v>
      </c>
      <c r="DZ61" s="216" t="s">
        <v>3</v>
      </c>
      <c r="EA61" s="216" t="s">
        <v>3</v>
      </c>
      <c r="EB61" s="216" t="s">
        <v>3</v>
      </c>
      <c r="EC61" s="216" t="s">
        <v>3</v>
      </c>
      <c r="ED61" s="216" t="s">
        <v>3</v>
      </c>
      <c r="EE61" s="216" t="s">
        <v>3</v>
      </c>
      <c r="EF61" s="216" t="s">
        <v>3</v>
      </c>
      <c r="EG61" s="216" t="s">
        <v>3</v>
      </c>
      <c r="EH61" s="216" t="s">
        <v>3</v>
      </c>
      <c r="EI61" s="216" t="s">
        <v>3</v>
      </c>
      <c r="EJ61" s="216" t="s">
        <v>3</v>
      </c>
      <c r="EK61" s="216" t="s">
        <v>3</v>
      </c>
    </row>
    <row r="62" spans="1:141" ht="15" customHeight="1" x14ac:dyDescent="0.2">
      <c r="A62" s="218" t="s">
        <v>2</v>
      </c>
      <c r="B62" s="218" t="s">
        <v>1</v>
      </c>
      <c r="C62" s="217" t="s">
        <v>0</v>
      </c>
      <c r="D62" s="216" t="s">
        <v>3</v>
      </c>
      <c r="E62" s="216" t="s">
        <v>3</v>
      </c>
      <c r="F62" s="216" t="s">
        <v>3</v>
      </c>
      <c r="G62" s="216" t="s">
        <v>3</v>
      </c>
      <c r="H62" s="216" t="s">
        <v>3</v>
      </c>
      <c r="I62" s="216" t="s">
        <v>3</v>
      </c>
      <c r="J62" s="216" t="s">
        <v>3</v>
      </c>
      <c r="K62" s="216" t="s">
        <v>3</v>
      </c>
      <c r="L62" s="216" t="s">
        <v>3</v>
      </c>
      <c r="M62" s="216" t="s">
        <v>3</v>
      </c>
      <c r="N62" s="216" t="s">
        <v>3</v>
      </c>
      <c r="O62" s="216" t="s">
        <v>3</v>
      </c>
      <c r="P62" s="216" t="s">
        <v>3</v>
      </c>
      <c r="Q62" s="216" t="s">
        <v>3</v>
      </c>
      <c r="R62" s="216" t="s">
        <v>3</v>
      </c>
      <c r="S62" s="216" t="s">
        <v>3</v>
      </c>
      <c r="T62" s="333" t="s">
        <v>3</v>
      </c>
      <c r="U62" s="333" t="s">
        <v>3</v>
      </c>
      <c r="V62" s="333" t="s">
        <v>3</v>
      </c>
      <c r="W62" s="333" t="s">
        <v>3</v>
      </c>
      <c r="X62" s="333" t="s">
        <v>3</v>
      </c>
      <c r="Y62" s="333" t="s">
        <v>3</v>
      </c>
      <c r="Z62" s="333" t="s">
        <v>3</v>
      </c>
      <c r="AA62" s="333" t="s">
        <v>3</v>
      </c>
      <c r="AB62" s="216" t="s">
        <v>3</v>
      </c>
      <c r="AC62" s="333" t="s">
        <v>3</v>
      </c>
      <c r="AD62" s="333" t="s">
        <v>3</v>
      </c>
      <c r="AE62" s="333" t="s">
        <v>3</v>
      </c>
      <c r="AF62" s="333" t="s">
        <v>3</v>
      </c>
      <c r="AG62" s="333" t="s">
        <v>3</v>
      </c>
      <c r="AH62" s="333" t="s">
        <v>3</v>
      </c>
      <c r="AI62" s="216" t="s">
        <v>3</v>
      </c>
      <c r="AJ62" s="333" t="s">
        <v>3</v>
      </c>
      <c r="AK62" s="333" t="s">
        <v>3</v>
      </c>
      <c r="AL62" s="333" t="s">
        <v>3</v>
      </c>
      <c r="AM62" s="216" t="s">
        <v>3</v>
      </c>
      <c r="AN62" s="216" t="s">
        <v>3</v>
      </c>
      <c r="AO62" s="216" t="s">
        <v>3</v>
      </c>
      <c r="AP62" s="216" t="s">
        <v>3</v>
      </c>
      <c r="AQ62" s="216" t="s">
        <v>3</v>
      </c>
      <c r="AR62" s="216" t="s">
        <v>3</v>
      </c>
      <c r="AS62" s="216" t="s">
        <v>3</v>
      </c>
      <c r="AT62" s="216" t="s">
        <v>3</v>
      </c>
      <c r="AU62" s="216" t="s">
        <v>3</v>
      </c>
      <c r="AV62" s="216" t="s">
        <v>3</v>
      </c>
      <c r="AW62" s="216" t="s">
        <v>3</v>
      </c>
      <c r="AX62" s="216" t="s">
        <v>3</v>
      </c>
      <c r="AY62" s="216" t="s">
        <v>3</v>
      </c>
      <c r="AZ62" s="216" t="s">
        <v>3</v>
      </c>
      <c r="BA62" s="216" t="s">
        <v>3</v>
      </c>
      <c r="BB62" s="216" t="s">
        <v>3</v>
      </c>
      <c r="BC62" s="216" t="s">
        <v>3</v>
      </c>
      <c r="BD62" s="216" t="s">
        <v>3</v>
      </c>
      <c r="BE62" s="216" t="s">
        <v>3</v>
      </c>
      <c r="BF62" s="216" t="s">
        <v>3</v>
      </c>
      <c r="BG62" s="216" t="s">
        <v>3</v>
      </c>
      <c r="BH62" s="216" t="s">
        <v>3</v>
      </c>
      <c r="BI62" s="216" t="s">
        <v>3</v>
      </c>
      <c r="BJ62" s="216" t="s">
        <v>3</v>
      </c>
      <c r="BK62" s="216" t="s">
        <v>3</v>
      </c>
      <c r="BL62" s="216" t="s">
        <v>3</v>
      </c>
      <c r="BM62" s="216" t="s">
        <v>3</v>
      </c>
      <c r="BN62" s="216" t="s">
        <v>3</v>
      </c>
      <c r="BO62" s="216" t="s">
        <v>3</v>
      </c>
      <c r="BP62" s="216" t="s">
        <v>3</v>
      </c>
      <c r="BQ62" s="216" t="s">
        <v>3</v>
      </c>
      <c r="BR62" s="216" t="s">
        <v>3</v>
      </c>
      <c r="BS62" s="216" t="s">
        <v>3</v>
      </c>
      <c r="BT62" s="216" t="s">
        <v>3</v>
      </c>
      <c r="BU62" s="216" t="s">
        <v>3</v>
      </c>
      <c r="BV62" s="216" t="s">
        <v>3</v>
      </c>
      <c r="BW62" s="216" t="s">
        <v>3</v>
      </c>
      <c r="BX62" s="216" t="s">
        <v>3</v>
      </c>
      <c r="BY62" s="216" t="s">
        <v>3</v>
      </c>
      <c r="BZ62" s="216" t="s">
        <v>3</v>
      </c>
      <c r="CA62" s="216" t="s">
        <v>3</v>
      </c>
      <c r="CB62" s="216" t="s">
        <v>3</v>
      </c>
      <c r="CC62" s="216" t="s">
        <v>3</v>
      </c>
      <c r="CD62" s="216" t="s">
        <v>3</v>
      </c>
      <c r="CE62" s="216" t="s">
        <v>3</v>
      </c>
      <c r="CF62" s="216" t="s">
        <v>3</v>
      </c>
      <c r="CG62" s="216" t="s">
        <v>3</v>
      </c>
      <c r="CH62" s="216" t="s">
        <v>3</v>
      </c>
      <c r="CI62" s="216" t="s">
        <v>3</v>
      </c>
      <c r="CJ62" s="216" t="s">
        <v>3</v>
      </c>
      <c r="CK62" s="216" t="s">
        <v>3</v>
      </c>
      <c r="CL62" s="216" t="s">
        <v>3</v>
      </c>
      <c r="CM62" s="216" t="s">
        <v>3</v>
      </c>
      <c r="CN62" s="216" t="s">
        <v>3</v>
      </c>
      <c r="CO62" s="333" t="s">
        <v>3</v>
      </c>
      <c r="CP62" s="216" t="s">
        <v>3</v>
      </c>
      <c r="CQ62" s="216" t="s">
        <v>3</v>
      </c>
      <c r="CR62" s="216" t="s">
        <v>3</v>
      </c>
      <c r="CS62" s="216" t="s">
        <v>3</v>
      </c>
      <c r="CT62" s="216" t="s">
        <v>3</v>
      </c>
      <c r="CU62" s="216" t="s">
        <v>3</v>
      </c>
      <c r="CV62" s="216" t="s">
        <v>3</v>
      </c>
      <c r="CW62" s="216" t="s">
        <v>3</v>
      </c>
      <c r="CX62" s="216" t="s">
        <v>3</v>
      </c>
      <c r="CY62" s="216" t="s">
        <v>3</v>
      </c>
      <c r="CZ62" s="216" t="s">
        <v>3</v>
      </c>
      <c r="DA62" s="216" t="s">
        <v>3</v>
      </c>
      <c r="DB62" s="333" t="s">
        <v>3</v>
      </c>
      <c r="DC62" s="333" t="s">
        <v>3</v>
      </c>
      <c r="DD62" s="333" t="s">
        <v>3</v>
      </c>
      <c r="DE62" s="333" t="s">
        <v>3</v>
      </c>
      <c r="DF62" s="333" t="s">
        <v>3</v>
      </c>
      <c r="DG62" s="333" t="s">
        <v>3</v>
      </c>
      <c r="DH62" s="216" t="s">
        <v>3</v>
      </c>
      <c r="DI62" s="216" t="s">
        <v>3</v>
      </c>
      <c r="DJ62" s="216" t="s">
        <v>3</v>
      </c>
      <c r="DK62" s="216" t="s">
        <v>3</v>
      </c>
      <c r="DL62" s="216" t="s">
        <v>3</v>
      </c>
      <c r="DM62" s="216" t="s">
        <v>3</v>
      </c>
      <c r="DN62" s="216" t="s">
        <v>3</v>
      </c>
      <c r="DO62" s="216" t="s">
        <v>3</v>
      </c>
      <c r="DP62" s="216" t="s">
        <v>3</v>
      </c>
      <c r="DQ62" s="216" t="s">
        <v>3</v>
      </c>
      <c r="DR62" s="216" t="s">
        <v>3</v>
      </c>
      <c r="DS62" s="216" t="s">
        <v>3</v>
      </c>
      <c r="DT62" s="216" t="s">
        <v>3</v>
      </c>
      <c r="DU62" s="216" t="s">
        <v>3</v>
      </c>
      <c r="DV62" s="216" t="s">
        <v>3</v>
      </c>
      <c r="DW62" s="216" t="s">
        <v>3</v>
      </c>
      <c r="DX62" s="216" t="s">
        <v>3</v>
      </c>
      <c r="DY62" s="216" t="s">
        <v>3</v>
      </c>
      <c r="DZ62" s="216" t="s">
        <v>3</v>
      </c>
      <c r="EA62" s="216" t="s">
        <v>3</v>
      </c>
      <c r="EB62" s="216" t="s">
        <v>3</v>
      </c>
      <c r="EC62" s="216" t="s">
        <v>3</v>
      </c>
      <c r="ED62" s="216" t="s">
        <v>3</v>
      </c>
      <c r="EE62" s="216" t="s">
        <v>3</v>
      </c>
      <c r="EF62" s="216" t="s">
        <v>3</v>
      </c>
      <c r="EG62" s="216" t="s">
        <v>3</v>
      </c>
      <c r="EH62" s="216" t="s">
        <v>3</v>
      </c>
      <c r="EI62" s="216" t="s">
        <v>3</v>
      </c>
      <c r="EJ62" s="216" t="s">
        <v>3</v>
      </c>
      <c r="EK62" s="216" t="s">
        <v>3</v>
      </c>
    </row>
    <row r="63" spans="1:141" ht="15" customHeight="1" x14ac:dyDescent="0.2">
      <c r="AA63" s="364" t="e">
        <v>#REF!</v>
      </c>
    </row>
    <row r="64" spans="1:141" ht="15" customHeight="1" x14ac:dyDescent="0.2">
      <c r="AA64" s="364" t="e">
        <v>#REF!</v>
      </c>
    </row>
    <row r="65" spans="27:27" ht="15" customHeight="1" x14ac:dyDescent="0.2">
      <c r="AA65" s="364" t="e">
        <v>#REF!</v>
      </c>
    </row>
  </sheetData>
  <autoFilter ref="A12:C12" xr:uid="{00000000-0009-0000-0000-000004000000}"/>
  <mergeCells count="14">
    <mergeCell ref="J4:P4"/>
    <mergeCell ref="BX4:CB4"/>
    <mergeCell ref="CG4:CL4"/>
    <mergeCell ref="CQ4:CS4"/>
    <mergeCell ref="CT4:CW4"/>
    <mergeCell ref="EC4:EF4"/>
    <mergeCell ref="EH4:EJ4"/>
    <mergeCell ref="AA11:AB11"/>
    <mergeCell ref="AH11:AI11"/>
    <mergeCell ref="CM3:CP3"/>
    <mergeCell ref="DU3:EK3"/>
    <mergeCell ref="DU4:DV4"/>
    <mergeCell ref="DW4:DY4"/>
    <mergeCell ref="DZ4:EB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A0FBC-BCA7-49A5-9BE8-E8628B406E84}">
  <sheetPr>
    <tabColor rgb="FFFF0000"/>
  </sheetPr>
  <dimension ref="A1:AQ3713"/>
  <sheetViews>
    <sheetView topLeftCell="B1" zoomScale="80" zoomScaleNormal="80" workbookViewId="0">
      <pane ySplit="3" topLeftCell="A13" activePane="bottomLeft" state="frozen"/>
      <selection activeCell="A4" sqref="A4:H4"/>
      <selection pane="bottomLeft" activeCell="A4" sqref="A4:H4"/>
    </sheetView>
  </sheetViews>
  <sheetFormatPr defaultRowHeight="15.5" x14ac:dyDescent="0.35"/>
  <cols>
    <col min="1" max="1" width="10.81640625" style="48" hidden="1" customWidth="1"/>
    <col min="2" max="2" width="22.54296875" style="103" customWidth="1"/>
    <col min="3" max="3" width="2.453125" style="103" hidden="1" customWidth="1"/>
    <col min="4" max="4" width="11.26953125" style="103" hidden="1" customWidth="1"/>
    <col min="5" max="5" width="12.81640625" style="105" hidden="1" customWidth="1"/>
    <col min="6" max="6" width="12.26953125" style="105" hidden="1" customWidth="1"/>
    <col min="7" max="7" width="13.26953125" style="105" hidden="1"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9.1796875" style="103"/>
    <col min="19" max="20" width="9.1796875" style="104"/>
    <col min="21" max="256" width="9.1796875" style="103"/>
    <col min="257" max="257" width="0" style="103" hidden="1" customWidth="1"/>
    <col min="258" max="258" width="22.54296875" style="103" customWidth="1"/>
    <col min="259" max="259" width="2.453125" style="103" customWidth="1"/>
    <col min="260" max="260" width="11.26953125" style="103" customWidth="1"/>
    <col min="261" max="261" width="12.81640625" style="103" customWidth="1"/>
    <col min="262" max="262" width="12.26953125" style="103" customWidth="1"/>
    <col min="263" max="263" width="13.26953125" style="103" customWidth="1"/>
    <col min="264" max="264" width="16.81640625" style="103" bestFit="1" customWidth="1"/>
    <col min="265" max="266" width="12.1796875" style="103" customWidth="1"/>
    <col min="267" max="269" width="13.1796875" style="103" customWidth="1"/>
    <col min="270" max="270" width="13.54296875" style="103" customWidth="1"/>
    <col min="271" max="271" width="12.7265625" style="103" customWidth="1"/>
    <col min="272" max="272" width="11.1796875" style="103" customWidth="1"/>
    <col min="273" max="273" width="7.54296875" style="103" customWidth="1"/>
    <col min="274" max="512" width="9.1796875" style="103"/>
    <col min="513" max="513" width="0" style="103" hidden="1" customWidth="1"/>
    <col min="514" max="514" width="22.54296875" style="103" customWidth="1"/>
    <col min="515" max="515" width="2.453125" style="103" customWidth="1"/>
    <col min="516" max="516" width="11.26953125" style="103" customWidth="1"/>
    <col min="517" max="517" width="12.81640625" style="103" customWidth="1"/>
    <col min="518" max="518" width="12.26953125" style="103" customWidth="1"/>
    <col min="519" max="519" width="13.26953125" style="103" customWidth="1"/>
    <col min="520" max="520" width="16.81640625" style="103" bestFit="1" customWidth="1"/>
    <col min="521" max="522" width="12.1796875" style="103" customWidth="1"/>
    <col min="523" max="525" width="13.1796875" style="103" customWidth="1"/>
    <col min="526" max="526" width="13.54296875" style="103" customWidth="1"/>
    <col min="527" max="527" width="12.7265625" style="103" customWidth="1"/>
    <col min="528" max="528" width="11.1796875" style="103" customWidth="1"/>
    <col min="529" max="529" width="7.54296875" style="103" customWidth="1"/>
    <col min="530" max="768" width="9.1796875" style="103"/>
    <col min="769" max="769" width="0" style="103" hidden="1" customWidth="1"/>
    <col min="770" max="770" width="22.54296875" style="103" customWidth="1"/>
    <col min="771" max="771" width="2.453125" style="103" customWidth="1"/>
    <col min="772" max="772" width="11.26953125" style="103" customWidth="1"/>
    <col min="773" max="773" width="12.81640625" style="103" customWidth="1"/>
    <col min="774" max="774" width="12.26953125" style="103" customWidth="1"/>
    <col min="775" max="775" width="13.26953125" style="103" customWidth="1"/>
    <col min="776" max="776" width="16.81640625" style="103" bestFit="1" customWidth="1"/>
    <col min="777" max="778" width="12.1796875" style="103" customWidth="1"/>
    <col min="779" max="781" width="13.1796875" style="103" customWidth="1"/>
    <col min="782" max="782" width="13.54296875" style="103" customWidth="1"/>
    <col min="783" max="783" width="12.7265625" style="103" customWidth="1"/>
    <col min="784" max="784" width="11.1796875" style="103" customWidth="1"/>
    <col min="785" max="785" width="7.54296875" style="103" customWidth="1"/>
    <col min="786" max="1024" width="9.1796875" style="103"/>
    <col min="1025" max="1025" width="0" style="103" hidden="1" customWidth="1"/>
    <col min="1026" max="1026" width="22.54296875" style="103" customWidth="1"/>
    <col min="1027" max="1027" width="2.453125" style="103" customWidth="1"/>
    <col min="1028" max="1028" width="11.26953125" style="103" customWidth="1"/>
    <col min="1029" max="1029" width="12.81640625" style="103" customWidth="1"/>
    <col min="1030" max="1030" width="12.26953125" style="103" customWidth="1"/>
    <col min="1031" max="1031" width="13.26953125" style="103" customWidth="1"/>
    <col min="1032" max="1032" width="16.81640625" style="103" bestFit="1" customWidth="1"/>
    <col min="1033" max="1034" width="12.1796875" style="103" customWidth="1"/>
    <col min="1035" max="1037" width="13.1796875" style="103" customWidth="1"/>
    <col min="1038" max="1038" width="13.54296875" style="103" customWidth="1"/>
    <col min="1039" max="1039" width="12.7265625" style="103" customWidth="1"/>
    <col min="1040" max="1040" width="11.1796875" style="103" customWidth="1"/>
    <col min="1041" max="1041" width="7.54296875" style="103" customWidth="1"/>
    <col min="1042" max="1280" width="9.1796875" style="103"/>
    <col min="1281" max="1281" width="0" style="103" hidden="1" customWidth="1"/>
    <col min="1282" max="1282" width="22.54296875" style="103" customWidth="1"/>
    <col min="1283" max="1283" width="2.453125" style="103" customWidth="1"/>
    <col min="1284" max="1284" width="11.26953125" style="103" customWidth="1"/>
    <col min="1285" max="1285" width="12.81640625" style="103" customWidth="1"/>
    <col min="1286" max="1286" width="12.26953125" style="103" customWidth="1"/>
    <col min="1287" max="1287" width="13.26953125" style="103" customWidth="1"/>
    <col min="1288" max="1288" width="16.81640625" style="103" bestFit="1" customWidth="1"/>
    <col min="1289" max="1290" width="12.1796875" style="103" customWidth="1"/>
    <col min="1291" max="1293" width="13.1796875" style="103" customWidth="1"/>
    <col min="1294" max="1294" width="13.54296875" style="103" customWidth="1"/>
    <col min="1295" max="1295" width="12.7265625" style="103" customWidth="1"/>
    <col min="1296" max="1296" width="11.1796875" style="103" customWidth="1"/>
    <col min="1297" max="1297" width="7.54296875" style="103" customWidth="1"/>
    <col min="1298" max="1536" width="9.1796875" style="103"/>
    <col min="1537" max="1537" width="0" style="103" hidden="1" customWidth="1"/>
    <col min="1538" max="1538" width="22.54296875" style="103" customWidth="1"/>
    <col min="1539" max="1539" width="2.453125" style="103" customWidth="1"/>
    <col min="1540" max="1540" width="11.26953125" style="103" customWidth="1"/>
    <col min="1541" max="1541" width="12.81640625" style="103" customWidth="1"/>
    <col min="1542" max="1542" width="12.26953125" style="103" customWidth="1"/>
    <col min="1543" max="1543" width="13.26953125" style="103" customWidth="1"/>
    <col min="1544" max="1544" width="16.81640625" style="103" bestFit="1" customWidth="1"/>
    <col min="1545" max="1546" width="12.1796875" style="103" customWidth="1"/>
    <col min="1547" max="1549" width="13.1796875" style="103" customWidth="1"/>
    <col min="1550" max="1550" width="13.54296875" style="103" customWidth="1"/>
    <col min="1551" max="1551" width="12.7265625" style="103" customWidth="1"/>
    <col min="1552" max="1552" width="11.1796875" style="103" customWidth="1"/>
    <col min="1553" max="1553" width="7.54296875" style="103" customWidth="1"/>
    <col min="1554" max="1792" width="9.1796875" style="103"/>
    <col min="1793" max="1793" width="0" style="103" hidden="1" customWidth="1"/>
    <col min="1794" max="1794" width="22.54296875" style="103" customWidth="1"/>
    <col min="1795" max="1795" width="2.453125" style="103" customWidth="1"/>
    <col min="1796" max="1796" width="11.26953125" style="103" customWidth="1"/>
    <col min="1797" max="1797" width="12.81640625" style="103" customWidth="1"/>
    <col min="1798" max="1798" width="12.26953125" style="103" customWidth="1"/>
    <col min="1799" max="1799" width="13.26953125" style="103" customWidth="1"/>
    <col min="1800" max="1800" width="16.81640625" style="103" bestFit="1" customWidth="1"/>
    <col min="1801" max="1802" width="12.1796875" style="103" customWidth="1"/>
    <col min="1803" max="1805" width="13.1796875" style="103" customWidth="1"/>
    <col min="1806" max="1806" width="13.54296875" style="103" customWidth="1"/>
    <col min="1807" max="1807" width="12.7265625" style="103" customWidth="1"/>
    <col min="1808" max="1808" width="11.1796875" style="103" customWidth="1"/>
    <col min="1809" max="1809" width="7.54296875" style="103" customWidth="1"/>
    <col min="1810" max="2048" width="9.1796875" style="103"/>
    <col min="2049" max="2049" width="0" style="103" hidden="1" customWidth="1"/>
    <col min="2050" max="2050" width="22.54296875" style="103" customWidth="1"/>
    <col min="2051" max="2051" width="2.453125" style="103" customWidth="1"/>
    <col min="2052" max="2052" width="11.26953125" style="103" customWidth="1"/>
    <col min="2053" max="2053" width="12.81640625" style="103" customWidth="1"/>
    <col min="2054" max="2054" width="12.26953125" style="103" customWidth="1"/>
    <col min="2055" max="2055" width="13.26953125" style="103" customWidth="1"/>
    <col min="2056" max="2056" width="16.81640625" style="103" bestFit="1" customWidth="1"/>
    <col min="2057" max="2058" width="12.1796875" style="103" customWidth="1"/>
    <col min="2059" max="2061" width="13.1796875" style="103" customWidth="1"/>
    <col min="2062" max="2062" width="13.54296875" style="103" customWidth="1"/>
    <col min="2063" max="2063" width="12.7265625" style="103" customWidth="1"/>
    <col min="2064" max="2064" width="11.1796875" style="103" customWidth="1"/>
    <col min="2065" max="2065" width="7.54296875" style="103" customWidth="1"/>
    <col min="2066" max="2304" width="9.1796875" style="103"/>
    <col min="2305" max="2305" width="0" style="103" hidden="1" customWidth="1"/>
    <col min="2306" max="2306" width="22.54296875" style="103" customWidth="1"/>
    <col min="2307" max="2307" width="2.453125" style="103" customWidth="1"/>
    <col min="2308" max="2308" width="11.26953125" style="103" customWidth="1"/>
    <col min="2309" max="2309" width="12.81640625" style="103" customWidth="1"/>
    <col min="2310" max="2310" width="12.26953125" style="103" customWidth="1"/>
    <col min="2311" max="2311" width="13.26953125" style="103" customWidth="1"/>
    <col min="2312" max="2312" width="16.81640625" style="103" bestFit="1" customWidth="1"/>
    <col min="2313" max="2314" width="12.1796875" style="103" customWidth="1"/>
    <col min="2315" max="2317" width="13.1796875" style="103" customWidth="1"/>
    <col min="2318" max="2318" width="13.54296875" style="103" customWidth="1"/>
    <col min="2319" max="2319" width="12.7265625" style="103" customWidth="1"/>
    <col min="2320" max="2320" width="11.1796875" style="103" customWidth="1"/>
    <col min="2321" max="2321" width="7.54296875" style="103" customWidth="1"/>
    <col min="2322" max="2560" width="9.1796875" style="103"/>
    <col min="2561" max="2561" width="0" style="103" hidden="1" customWidth="1"/>
    <col min="2562" max="2562" width="22.54296875" style="103" customWidth="1"/>
    <col min="2563" max="2563" width="2.453125" style="103" customWidth="1"/>
    <col min="2564" max="2564" width="11.26953125" style="103" customWidth="1"/>
    <col min="2565" max="2565" width="12.81640625" style="103" customWidth="1"/>
    <col min="2566" max="2566" width="12.26953125" style="103" customWidth="1"/>
    <col min="2567" max="2567" width="13.26953125" style="103" customWidth="1"/>
    <col min="2568" max="2568" width="16.81640625" style="103" bestFit="1" customWidth="1"/>
    <col min="2569" max="2570" width="12.1796875" style="103" customWidth="1"/>
    <col min="2571" max="2573" width="13.1796875" style="103" customWidth="1"/>
    <col min="2574" max="2574" width="13.54296875" style="103" customWidth="1"/>
    <col min="2575" max="2575" width="12.7265625" style="103" customWidth="1"/>
    <col min="2576" max="2576" width="11.1796875" style="103" customWidth="1"/>
    <col min="2577" max="2577" width="7.54296875" style="103" customWidth="1"/>
    <col min="2578" max="2816" width="9.1796875" style="103"/>
    <col min="2817" max="2817" width="0" style="103" hidden="1" customWidth="1"/>
    <col min="2818" max="2818" width="22.54296875" style="103" customWidth="1"/>
    <col min="2819" max="2819" width="2.453125" style="103" customWidth="1"/>
    <col min="2820" max="2820" width="11.26953125" style="103" customWidth="1"/>
    <col min="2821" max="2821" width="12.81640625" style="103" customWidth="1"/>
    <col min="2822" max="2822" width="12.26953125" style="103" customWidth="1"/>
    <col min="2823" max="2823" width="13.26953125" style="103" customWidth="1"/>
    <col min="2824" max="2824" width="16.81640625" style="103" bestFit="1" customWidth="1"/>
    <col min="2825" max="2826" width="12.1796875" style="103" customWidth="1"/>
    <col min="2827" max="2829" width="13.1796875" style="103" customWidth="1"/>
    <col min="2830" max="2830" width="13.54296875" style="103" customWidth="1"/>
    <col min="2831" max="2831" width="12.7265625" style="103" customWidth="1"/>
    <col min="2832" max="2832" width="11.1796875" style="103" customWidth="1"/>
    <col min="2833" max="2833" width="7.54296875" style="103" customWidth="1"/>
    <col min="2834" max="3072" width="9.1796875" style="103"/>
    <col min="3073" max="3073" width="0" style="103" hidden="1" customWidth="1"/>
    <col min="3074" max="3074" width="22.54296875" style="103" customWidth="1"/>
    <col min="3075" max="3075" width="2.453125" style="103" customWidth="1"/>
    <col min="3076" max="3076" width="11.26953125" style="103" customWidth="1"/>
    <col min="3077" max="3077" width="12.81640625" style="103" customWidth="1"/>
    <col min="3078" max="3078" width="12.26953125" style="103" customWidth="1"/>
    <col min="3079" max="3079" width="13.26953125" style="103" customWidth="1"/>
    <col min="3080" max="3080" width="16.81640625" style="103" bestFit="1" customWidth="1"/>
    <col min="3081" max="3082" width="12.1796875" style="103" customWidth="1"/>
    <col min="3083" max="3085" width="13.1796875" style="103" customWidth="1"/>
    <col min="3086" max="3086" width="13.54296875" style="103" customWidth="1"/>
    <col min="3087" max="3087" width="12.7265625" style="103" customWidth="1"/>
    <col min="3088" max="3088" width="11.1796875" style="103" customWidth="1"/>
    <col min="3089" max="3089" width="7.54296875" style="103" customWidth="1"/>
    <col min="3090" max="3328" width="9.1796875" style="103"/>
    <col min="3329" max="3329" width="0" style="103" hidden="1" customWidth="1"/>
    <col min="3330" max="3330" width="22.54296875" style="103" customWidth="1"/>
    <col min="3331" max="3331" width="2.453125" style="103" customWidth="1"/>
    <col min="3332" max="3332" width="11.26953125" style="103" customWidth="1"/>
    <col min="3333" max="3333" width="12.81640625" style="103" customWidth="1"/>
    <col min="3334" max="3334" width="12.26953125" style="103" customWidth="1"/>
    <col min="3335" max="3335" width="13.26953125" style="103" customWidth="1"/>
    <col min="3336" max="3336" width="16.81640625" style="103" bestFit="1" customWidth="1"/>
    <col min="3337" max="3338" width="12.1796875" style="103" customWidth="1"/>
    <col min="3339" max="3341" width="13.1796875" style="103" customWidth="1"/>
    <col min="3342" max="3342" width="13.54296875" style="103" customWidth="1"/>
    <col min="3343" max="3343" width="12.7265625" style="103" customWidth="1"/>
    <col min="3344" max="3344" width="11.1796875" style="103" customWidth="1"/>
    <col min="3345" max="3345" width="7.54296875" style="103" customWidth="1"/>
    <col min="3346" max="3584" width="9.1796875" style="103"/>
    <col min="3585" max="3585" width="0" style="103" hidden="1" customWidth="1"/>
    <col min="3586" max="3586" width="22.54296875" style="103" customWidth="1"/>
    <col min="3587" max="3587" width="2.453125" style="103" customWidth="1"/>
    <col min="3588" max="3588" width="11.26953125" style="103" customWidth="1"/>
    <col min="3589" max="3589" width="12.81640625" style="103" customWidth="1"/>
    <col min="3590" max="3590" width="12.26953125" style="103" customWidth="1"/>
    <col min="3591" max="3591" width="13.26953125" style="103" customWidth="1"/>
    <col min="3592" max="3592" width="16.81640625" style="103" bestFit="1" customWidth="1"/>
    <col min="3593" max="3594" width="12.1796875" style="103" customWidth="1"/>
    <col min="3595" max="3597" width="13.1796875" style="103" customWidth="1"/>
    <col min="3598" max="3598" width="13.54296875" style="103" customWidth="1"/>
    <col min="3599" max="3599" width="12.7265625" style="103" customWidth="1"/>
    <col min="3600" max="3600" width="11.1796875" style="103" customWidth="1"/>
    <col min="3601" max="3601" width="7.54296875" style="103" customWidth="1"/>
    <col min="3602" max="3840" width="9.1796875" style="103"/>
    <col min="3841" max="3841" width="0" style="103" hidden="1" customWidth="1"/>
    <col min="3842" max="3842" width="22.54296875" style="103" customWidth="1"/>
    <col min="3843" max="3843" width="2.453125" style="103" customWidth="1"/>
    <col min="3844" max="3844" width="11.26953125" style="103" customWidth="1"/>
    <col min="3845" max="3845" width="12.81640625" style="103" customWidth="1"/>
    <col min="3846" max="3846" width="12.26953125" style="103" customWidth="1"/>
    <col min="3847" max="3847" width="13.26953125" style="103" customWidth="1"/>
    <col min="3848" max="3848" width="16.81640625" style="103" bestFit="1" customWidth="1"/>
    <col min="3849" max="3850" width="12.1796875" style="103" customWidth="1"/>
    <col min="3851" max="3853" width="13.1796875" style="103" customWidth="1"/>
    <col min="3854" max="3854" width="13.54296875" style="103" customWidth="1"/>
    <col min="3855" max="3855" width="12.7265625" style="103" customWidth="1"/>
    <col min="3856" max="3856" width="11.1796875" style="103" customWidth="1"/>
    <col min="3857" max="3857" width="7.54296875" style="103" customWidth="1"/>
    <col min="3858" max="4096" width="9.1796875" style="103"/>
    <col min="4097" max="4097" width="0" style="103" hidden="1" customWidth="1"/>
    <col min="4098" max="4098" width="22.54296875" style="103" customWidth="1"/>
    <col min="4099" max="4099" width="2.453125" style="103" customWidth="1"/>
    <col min="4100" max="4100" width="11.26953125" style="103" customWidth="1"/>
    <col min="4101" max="4101" width="12.81640625" style="103" customWidth="1"/>
    <col min="4102" max="4102" width="12.26953125" style="103" customWidth="1"/>
    <col min="4103" max="4103" width="13.26953125" style="103" customWidth="1"/>
    <col min="4104" max="4104" width="16.81640625" style="103" bestFit="1" customWidth="1"/>
    <col min="4105" max="4106" width="12.1796875" style="103" customWidth="1"/>
    <col min="4107" max="4109" width="13.1796875" style="103" customWidth="1"/>
    <col min="4110" max="4110" width="13.54296875" style="103" customWidth="1"/>
    <col min="4111" max="4111" width="12.7265625" style="103" customWidth="1"/>
    <col min="4112" max="4112" width="11.1796875" style="103" customWidth="1"/>
    <col min="4113" max="4113" width="7.54296875" style="103" customWidth="1"/>
    <col min="4114" max="4352" width="9.1796875" style="103"/>
    <col min="4353" max="4353" width="0" style="103" hidden="1" customWidth="1"/>
    <col min="4354" max="4354" width="22.54296875" style="103" customWidth="1"/>
    <col min="4355" max="4355" width="2.453125" style="103" customWidth="1"/>
    <col min="4356" max="4356" width="11.26953125" style="103" customWidth="1"/>
    <col min="4357" max="4357" width="12.81640625" style="103" customWidth="1"/>
    <col min="4358" max="4358" width="12.26953125" style="103" customWidth="1"/>
    <col min="4359" max="4359" width="13.26953125" style="103" customWidth="1"/>
    <col min="4360" max="4360" width="16.81640625" style="103" bestFit="1" customWidth="1"/>
    <col min="4361" max="4362" width="12.1796875" style="103" customWidth="1"/>
    <col min="4363" max="4365" width="13.1796875" style="103" customWidth="1"/>
    <col min="4366" max="4366" width="13.54296875" style="103" customWidth="1"/>
    <col min="4367" max="4367" width="12.7265625" style="103" customWidth="1"/>
    <col min="4368" max="4368" width="11.1796875" style="103" customWidth="1"/>
    <col min="4369" max="4369" width="7.54296875" style="103" customWidth="1"/>
    <col min="4370" max="4608" width="9.1796875" style="103"/>
    <col min="4609" max="4609" width="0" style="103" hidden="1" customWidth="1"/>
    <col min="4610" max="4610" width="22.54296875" style="103" customWidth="1"/>
    <col min="4611" max="4611" width="2.453125" style="103" customWidth="1"/>
    <col min="4612" max="4612" width="11.26953125" style="103" customWidth="1"/>
    <col min="4613" max="4613" width="12.81640625" style="103" customWidth="1"/>
    <col min="4614" max="4614" width="12.26953125" style="103" customWidth="1"/>
    <col min="4615" max="4615" width="13.26953125" style="103" customWidth="1"/>
    <col min="4616" max="4616" width="16.81640625" style="103" bestFit="1" customWidth="1"/>
    <col min="4617" max="4618" width="12.1796875" style="103" customWidth="1"/>
    <col min="4619" max="4621" width="13.1796875" style="103" customWidth="1"/>
    <col min="4622" max="4622" width="13.54296875" style="103" customWidth="1"/>
    <col min="4623" max="4623" width="12.7265625" style="103" customWidth="1"/>
    <col min="4624" max="4624" width="11.1796875" style="103" customWidth="1"/>
    <col min="4625" max="4625" width="7.54296875" style="103" customWidth="1"/>
    <col min="4626" max="4864" width="9.1796875" style="103"/>
    <col min="4865" max="4865" width="0" style="103" hidden="1" customWidth="1"/>
    <col min="4866" max="4866" width="22.54296875" style="103" customWidth="1"/>
    <col min="4867" max="4867" width="2.453125" style="103" customWidth="1"/>
    <col min="4868" max="4868" width="11.26953125" style="103" customWidth="1"/>
    <col min="4869" max="4869" width="12.81640625" style="103" customWidth="1"/>
    <col min="4870" max="4870" width="12.26953125" style="103" customWidth="1"/>
    <col min="4871" max="4871" width="13.26953125" style="103" customWidth="1"/>
    <col min="4872" max="4872" width="16.81640625" style="103" bestFit="1" customWidth="1"/>
    <col min="4873" max="4874" width="12.1796875" style="103" customWidth="1"/>
    <col min="4875" max="4877" width="13.1796875" style="103" customWidth="1"/>
    <col min="4878" max="4878" width="13.54296875" style="103" customWidth="1"/>
    <col min="4879" max="4879" width="12.7265625" style="103" customWidth="1"/>
    <col min="4880" max="4880" width="11.1796875" style="103" customWidth="1"/>
    <col min="4881" max="4881" width="7.54296875" style="103" customWidth="1"/>
    <col min="4882" max="5120" width="9.1796875" style="103"/>
    <col min="5121" max="5121" width="0" style="103" hidden="1" customWidth="1"/>
    <col min="5122" max="5122" width="22.54296875" style="103" customWidth="1"/>
    <col min="5123" max="5123" width="2.453125" style="103" customWidth="1"/>
    <col min="5124" max="5124" width="11.26953125" style="103" customWidth="1"/>
    <col min="5125" max="5125" width="12.81640625" style="103" customWidth="1"/>
    <col min="5126" max="5126" width="12.26953125" style="103" customWidth="1"/>
    <col min="5127" max="5127" width="13.26953125" style="103" customWidth="1"/>
    <col min="5128" max="5128" width="16.81640625" style="103" bestFit="1" customWidth="1"/>
    <col min="5129" max="5130" width="12.1796875" style="103" customWidth="1"/>
    <col min="5131" max="5133" width="13.1796875" style="103" customWidth="1"/>
    <col min="5134" max="5134" width="13.54296875" style="103" customWidth="1"/>
    <col min="5135" max="5135" width="12.7265625" style="103" customWidth="1"/>
    <col min="5136" max="5136" width="11.1796875" style="103" customWidth="1"/>
    <col min="5137" max="5137" width="7.54296875" style="103" customWidth="1"/>
    <col min="5138" max="5376" width="9.1796875" style="103"/>
    <col min="5377" max="5377" width="0" style="103" hidden="1" customWidth="1"/>
    <col min="5378" max="5378" width="22.54296875" style="103" customWidth="1"/>
    <col min="5379" max="5379" width="2.453125" style="103" customWidth="1"/>
    <col min="5380" max="5380" width="11.26953125" style="103" customWidth="1"/>
    <col min="5381" max="5381" width="12.81640625" style="103" customWidth="1"/>
    <col min="5382" max="5382" width="12.26953125" style="103" customWidth="1"/>
    <col min="5383" max="5383" width="13.26953125" style="103" customWidth="1"/>
    <col min="5384" max="5384" width="16.81640625" style="103" bestFit="1" customWidth="1"/>
    <col min="5385" max="5386" width="12.1796875" style="103" customWidth="1"/>
    <col min="5387" max="5389" width="13.1796875" style="103" customWidth="1"/>
    <col min="5390" max="5390" width="13.54296875" style="103" customWidth="1"/>
    <col min="5391" max="5391" width="12.7265625" style="103" customWidth="1"/>
    <col min="5392" max="5392" width="11.1796875" style="103" customWidth="1"/>
    <col min="5393" max="5393" width="7.54296875" style="103" customWidth="1"/>
    <col min="5394" max="5632" width="9.1796875" style="103"/>
    <col min="5633" max="5633" width="0" style="103" hidden="1" customWidth="1"/>
    <col min="5634" max="5634" width="22.54296875" style="103" customWidth="1"/>
    <col min="5635" max="5635" width="2.453125" style="103" customWidth="1"/>
    <col min="5636" max="5636" width="11.26953125" style="103" customWidth="1"/>
    <col min="5637" max="5637" width="12.81640625" style="103" customWidth="1"/>
    <col min="5638" max="5638" width="12.26953125" style="103" customWidth="1"/>
    <col min="5639" max="5639" width="13.26953125" style="103" customWidth="1"/>
    <col min="5640" max="5640" width="16.81640625" style="103" bestFit="1" customWidth="1"/>
    <col min="5641" max="5642" width="12.1796875" style="103" customWidth="1"/>
    <col min="5643" max="5645" width="13.1796875" style="103" customWidth="1"/>
    <col min="5646" max="5646" width="13.54296875" style="103" customWidth="1"/>
    <col min="5647" max="5647" width="12.7265625" style="103" customWidth="1"/>
    <col min="5648" max="5648" width="11.1796875" style="103" customWidth="1"/>
    <col min="5649" max="5649" width="7.54296875" style="103" customWidth="1"/>
    <col min="5650" max="5888" width="9.1796875" style="103"/>
    <col min="5889" max="5889" width="0" style="103" hidden="1" customWidth="1"/>
    <col min="5890" max="5890" width="22.54296875" style="103" customWidth="1"/>
    <col min="5891" max="5891" width="2.453125" style="103" customWidth="1"/>
    <col min="5892" max="5892" width="11.26953125" style="103" customWidth="1"/>
    <col min="5893" max="5893" width="12.81640625" style="103" customWidth="1"/>
    <col min="5894" max="5894" width="12.26953125" style="103" customWidth="1"/>
    <col min="5895" max="5895" width="13.26953125" style="103" customWidth="1"/>
    <col min="5896" max="5896" width="16.81640625" style="103" bestFit="1" customWidth="1"/>
    <col min="5897" max="5898" width="12.1796875" style="103" customWidth="1"/>
    <col min="5899" max="5901" width="13.1796875" style="103" customWidth="1"/>
    <col min="5902" max="5902" width="13.54296875" style="103" customWidth="1"/>
    <col min="5903" max="5903" width="12.7265625" style="103" customWidth="1"/>
    <col min="5904" max="5904" width="11.1796875" style="103" customWidth="1"/>
    <col min="5905" max="5905" width="7.54296875" style="103" customWidth="1"/>
    <col min="5906" max="6144" width="9.1796875" style="103"/>
    <col min="6145" max="6145" width="0" style="103" hidden="1" customWidth="1"/>
    <col min="6146" max="6146" width="22.54296875" style="103" customWidth="1"/>
    <col min="6147" max="6147" width="2.453125" style="103" customWidth="1"/>
    <col min="6148" max="6148" width="11.26953125" style="103" customWidth="1"/>
    <col min="6149" max="6149" width="12.81640625" style="103" customWidth="1"/>
    <col min="6150" max="6150" width="12.26953125" style="103" customWidth="1"/>
    <col min="6151" max="6151" width="13.26953125" style="103" customWidth="1"/>
    <col min="6152" max="6152" width="16.81640625" style="103" bestFit="1" customWidth="1"/>
    <col min="6153" max="6154" width="12.1796875" style="103" customWidth="1"/>
    <col min="6155" max="6157" width="13.1796875" style="103" customWidth="1"/>
    <col min="6158" max="6158" width="13.54296875" style="103" customWidth="1"/>
    <col min="6159" max="6159" width="12.7265625" style="103" customWidth="1"/>
    <col min="6160" max="6160" width="11.1796875" style="103" customWidth="1"/>
    <col min="6161" max="6161" width="7.54296875" style="103" customWidth="1"/>
    <col min="6162" max="6400" width="9.1796875" style="103"/>
    <col min="6401" max="6401" width="0" style="103" hidden="1" customWidth="1"/>
    <col min="6402" max="6402" width="22.54296875" style="103" customWidth="1"/>
    <col min="6403" max="6403" width="2.453125" style="103" customWidth="1"/>
    <col min="6404" max="6404" width="11.26953125" style="103" customWidth="1"/>
    <col min="6405" max="6405" width="12.81640625" style="103" customWidth="1"/>
    <col min="6406" max="6406" width="12.26953125" style="103" customWidth="1"/>
    <col min="6407" max="6407" width="13.26953125" style="103" customWidth="1"/>
    <col min="6408" max="6408" width="16.81640625" style="103" bestFit="1" customWidth="1"/>
    <col min="6409" max="6410" width="12.1796875" style="103" customWidth="1"/>
    <col min="6411" max="6413" width="13.1796875" style="103" customWidth="1"/>
    <col min="6414" max="6414" width="13.54296875" style="103" customWidth="1"/>
    <col min="6415" max="6415" width="12.7265625" style="103" customWidth="1"/>
    <col min="6416" max="6416" width="11.1796875" style="103" customWidth="1"/>
    <col min="6417" max="6417" width="7.54296875" style="103" customWidth="1"/>
    <col min="6418" max="6656" width="9.1796875" style="103"/>
    <col min="6657" max="6657" width="0" style="103" hidden="1" customWidth="1"/>
    <col min="6658" max="6658" width="22.54296875" style="103" customWidth="1"/>
    <col min="6659" max="6659" width="2.453125" style="103" customWidth="1"/>
    <col min="6660" max="6660" width="11.26953125" style="103" customWidth="1"/>
    <col min="6661" max="6661" width="12.81640625" style="103" customWidth="1"/>
    <col min="6662" max="6662" width="12.26953125" style="103" customWidth="1"/>
    <col min="6663" max="6663" width="13.26953125" style="103" customWidth="1"/>
    <col min="6664" max="6664" width="16.81640625" style="103" bestFit="1" customWidth="1"/>
    <col min="6665" max="6666" width="12.1796875" style="103" customWidth="1"/>
    <col min="6667" max="6669" width="13.1796875" style="103" customWidth="1"/>
    <col min="6670" max="6670" width="13.54296875" style="103" customWidth="1"/>
    <col min="6671" max="6671" width="12.7265625" style="103" customWidth="1"/>
    <col min="6672" max="6672" width="11.1796875" style="103" customWidth="1"/>
    <col min="6673" max="6673" width="7.54296875" style="103" customWidth="1"/>
    <col min="6674" max="6912" width="9.1796875" style="103"/>
    <col min="6913" max="6913" width="0" style="103" hidden="1" customWidth="1"/>
    <col min="6914" max="6914" width="22.54296875" style="103" customWidth="1"/>
    <col min="6915" max="6915" width="2.453125" style="103" customWidth="1"/>
    <col min="6916" max="6916" width="11.26953125" style="103" customWidth="1"/>
    <col min="6917" max="6917" width="12.81640625" style="103" customWidth="1"/>
    <col min="6918" max="6918" width="12.26953125" style="103" customWidth="1"/>
    <col min="6919" max="6919" width="13.26953125" style="103" customWidth="1"/>
    <col min="6920" max="6920" width="16.81640625" style="103" bestFit="1" customWidth="1"/>
    <col min="6921" max="6922" width="12.1796875" style="103" customWidth="1"/>
    <col min="6923" max="6925" width="13.1796875" style="103" customWidth="1"/>
    <col min="6926" max="6926" width="13.54296875" style="103" customWidth="1"/>
    <col min="6927" max="6927" width="12.7265625" style="103" customWidth="1"/>
    <col min="6928" max="6928" width="11.1796875" style="103" customWidth="1"/>
    <col min="6929" max="6929" width="7.54296875" style="103" customWidth="1"/>
    <col min="6930" max="7168" width="9.1796875" style="103"/>
    <col min="7169" max="7169" width="0" style="103" hidden="1" customWidth="1"/>
    <col min="7170" max="7170" width="22.54296875" style="103" customWidth="1"/>
    <col min="7171" max="7171" width="2.453125" style="103" customWidth="1"/>
    <col min="7172" max="7172" width="11.26953125" style="103" customWidth="1"/>
    <col min="7173" max="7173" width="12.81640625" style="103" customWidth="1"/>
    <col min="7174" max="7174" width="12.26953125" style="103" customWidth="1"/>
    <col min="7175" max="7175" width="13.26953125" style="103" customWidth="1"/>
    <col min="7176" max="7176" width="16.81640625" style="103" bestFit="1" customWidth="1"/>
    <col min="7177" max="7178" width="12.1796875" style="103" customWidth="1"/>
    <col min="7179" max="7181" width="13.1796875" style="103" customWidth="1"/>
    <col min="7182" max="7182" width="13.54296875" style="103" customWidth="1"/>
    <col min="7183" max="7183" width="12.7265625" style="103" customWidth="1"/>
    <col min="7184" max="7184" width="11.1796875" style="103" customWidth="1"/>
    <col min="7185" max="7185" width="7.54296875" style="103" customWidth="1"/>
    <col min="7186" max="7424" width="9.1796875" style="103"/>
    <col min="7425" max="7425" width="0" style="103" hidden="1" customWidth="1"/>
    <col min="7426" max="7426" width="22.54296875" style="103" customWidth="1"/>
    <col min="7427" max="7427" width="2.453125" style="103" customWidth="1"/>
    <col min="7428" max="7428" width="11.26953125" style="103" customWidth="1"/>
    <col min="7429" max="7429" width="12.81640625" style="103" customWidth="1"/>
    <col min="7430" max="7430" width="12.26953125" style="103" customWidth="1"/>
    <col min="7431" max="7431" width="13.26953125" style="103" customWidth="1"/>
    <col min="7432" max="7432" width="16.81640625" style="103" bestFit="1" customWidth="1"/>
    <col min="7433" max="7434" width="12.1796875" style="103" customWidth="1"/>
    <col min="7435" max="7437" width="13.1796875" style="103" customWidth="1"/>
    <col min="7438" max="7438" width="13.54296875" style="103" customWidth="1"/>
    <col min="7439" max="7439" width="12.7265625" style="103" customWidth="1"/>
    <col min="7440" max="7440" width="11.1796875" style="103" customWidth="1"/>
    <col min="7441" max="7441" width="7.54296875" style="103" customWidth="1"/>
    <col min="7442" max="7680" width="9.1796875" style="103"/>
    <col min="7681" max="7681" width="0" style="103" hidden="1" customWidth="1"/>
    <col min="7682" max="7682" width="22.54296875" style="103" customWidth="1"/>
    <col min="7683" max="7683" width="2.453125" style="103" customWidth="1"/>
    <col min="7684" max="7684" width="11.26953125" style="103" customWidth="1"/>
    <col min="7685" max="7685" width="12.81640625" style="103" customWidth="1"/>
    <col min="7686" max="7686" width="12.26953125" style="103" customWidth="1"/>
    <col min="7687" max="7687" width="13.26953125" style="103" customWidth="1"/>
    <col min="7688" max="7688" width="16.81640625" style="103" bestFit="1" customWidth="1"/>
    <col min="7689" max="7690" width="12.1796875" style="103" customWidth="1"/>
    <col min="7691" max="7693" width="13.1796875" style="103" customWidth="1"/>
    <col min="7694" max="7694" width="13.54296875" style="103" customWidth="1"/>
    <col min="7695" max="7695" width="12.7265625" style="103" customWidth="1"/>
    <col min="7696" max="7696" width="11.1796875" style="103" customWidth="1"/>
    <col min="7697" max="7697" width="7.54296875" style="103" customWidth="1"/>
    <col min="7698" max="7936" width="9.1796875" style="103"/>
    <col min="7937" max="7937" width="0" style="103" hidden="1" customWidth="1"/>
    <col min="7938" max="7938" width="22.54296875" style="103" customWidth="1"/>
    <col min="7939" max="7939" width="2.453125" style="103" customWidth="1"/>
    <col min="7940" max="7940" width="11.26953125" style="103" customWidth="1"/>
    <col min="7941" max="7941" width="12.81640625" style="103" customWidth="1"/>
    <col min="7942" max="7942" width="12.26953125" style="103" customWidth="1"/>
    <col min="7943" max="7943" width="13.26953125" style="103" customWidth="1"/>
    <col min="7944" max="7944" width="16.81640625" style="103" bestFit="1" customWidth="1"/>
    <col min="7945" max="7946" width="12.1796875" style="103" customWidth="1"/>
    <col min="7947" max="7949" width="13.1796875" style="103" customWidth="1"/>
    <col min="7950" max="7950" width="13.54296875" style="103" customWidth="1"/>
    <col min="7951" max="7951" width="12.7265625" style="103" customWidth="1"/>
    <col min="7952" max="7952" width="11.1796875" style="103" customWidth="1"/>
    <col min="7953" max="7953" width="7.54296875" style="103" customWidth="1"/>
    <col min="7954" max="8192" width="9.1796875" style="103"/>
    <col min="8193" max="8193" width="0" style="103" hidden="1" customWidth="1"/>
    <col min="8194" max="8194" width="22.54296875" style="103" customWidth="1"/>
    <col min="8195" max="8195" width="2.453125" style="103" customWidth="1"/>
    <col min="8196" max="8196" width="11.26953125" style="103" customWidth="1"/>
    <col min="8197" max="8197" width="12.81640625" style="103" customWidth="1"/>
    <col min="8198" max="8198" width="12.26953125" style="103" customWidth="1"/>
    <col min="8199" max="8199" width="13.26953125" style="103" customWidth="1"/>
    <col min="8200" max="8200" width="16.81640625" style="103" bestFit="1" customWidth="1"/>
    <col min="8201" max="8202" width="12.1796875" style="103" customWidth="1"/>
    <col min="8203" max="8205" width="13.1796875" style="103" customWidth="1"/>
    <col min="8206" max="8206" width="13.54296875" style="103" customWidth="1"/>
    <col min="8207" max="8207" width="12.7265625" style="103" customWidth="1"/>
    <col min="8208" max="8208" width="11.1796875" style="103" customWidth="1"/>
    <col min="8209" max="8209" width="7.54296875" style="103" customWidth="1"/>
    <col min="8210" max="8448" width="9.1796875" style="103"/>
    <col min="8449" max="8449" width="0" style="103" hidden="1" customWidth="1"/>
    <col min="8450" max="8450" width="22.54296875" style="103" customWidth="1"/>
    <col min="8451" max="8451" width="2.453125" style="103" customWidth="1"/>
    <col min="8452" max="8452" width="11.26953125" style="103" customWidth="1"/>
    <col min="8453" max="8453" width="12.81640625" style="103" customWidth="1"/>
    <col min="8454" max="8454" width="12.26953125" style="103" customWidth="1"/>
    <col min="8455" max="8455" width="13.26953125" style="103" customWidth="1"/>
    <col min="8456" max="8456" width="16.81640625" style="103" bestFit="1" customWidth="1"/>
    <col min="8457" max="8458" width="12.1796875" style="103" customWidth="1"/>
    <col min="8459" max="8461" width="13.1796875" style="103" customWidth="1"/>
    <col min="8462" max="8462" width="13.54296875" style="103" customWidth="1"/>
    <col min="8463" max="8463" width="12.7265625" style="103" customWidth="1"/>
    <col min="8464" max="8464" width="11.1796875" style="103" customWidth="1"/>
    <col min="8465" max="8465" width="7.54296875" style="103" customWidth="1"/>
    <col min="8466" max="8704" width="9.1796875" style="103"/>
    <col min="8705" max="8705" width="0" style="103" hidden="1" customWidth="1"/>
    <col min="8706" max="8706" width="22.54296875" style="103" customWidth="1"/>
    <col min="8707" max="8707" width="2.453125" style="103" customWidth="1"/>
    <col min="8708" max="8708" width="11.26953125" style="103" customWidth="1"/>
    <col min="8709" max="8709" width="12.81640625" style="103" customWidth="1"/>
    <col min="8710" max="8710" width="12.26953125" style="103" customWidth="1"/>
    <col min="8711" max="8711" width="13.26953125" style="103" customWidth="1"/>
    <col min="8712" max="8712" width="16.81640625" style="103" bestFit="1" customWidth="1"/>
    <col min="8713" max="8714" width="12.1796875" style="103" customWidth="1"/>
    <col min="8715" max="8717" width="13.1796875" style="103" customWidth="1"/>
    <col min="8718" max="8718" width="13.54296875" style="103" customWidth="1"/>
    <col min="8719" max="8719" width="12.7265625" style="103" customWidth="1"/>
    <col min="8720" max="8720" width="11.1796875" style="103" customWidth="1"/>
    <col min="8721" max="8721" width="7.54296875" style="103" customWidth="1"/>
    <col min="8722" max="8960" width="9.1796875" style="103"/>
    <col min="8961" max="8961" width="0" style="103" hidden="1" customWidth="1"/>
    <col min="8962" max="8962" width="22.54296875" style="103" customWidth="1"/>
    <col min="8963" max="8963" width="2.453125" style="103" customWidth="1"/>
    <col min="8964" max="8964" width="11.26953125" style="103" customWidth="1"/>
    <col min="8965" max="8965" width="12.81640625" style="103" customWidth="1"/>
    <col min="8966" max="8966" width="12.26953125" style="103" customWidth="1"/>
    <col min="8967" max="8967" width="13.26953125" style="103" customWidth="1"/>
    <col min="8968" max="8968" width="16.81640625" style="103" bestFit="1" customWidth="1"/>
    <col min="8969" max="8970" width="12.1796875" style="103" customWidth="1"/>
    <col min="8971" max="8973" width="13.1796875" style="103" customWidth="1"/>
    <col min="8974" max="8974" width="13.54296875" style="103" customWidth="1"/>
    <col min="8975" max="8975" width="12.7265625" style="103" customWidth="1"/>
    <col min="8976" max="8976" width="11.1796875" style="103" customWidth="1"/>
    <col min="8977" max="8977" width="7.54296875" style="103" customWidth="1"/>
    <col min="8978" max="9216" width="9.1796875" style="103"/>
    <col min="9217" max="9217" width="0" style="103" hidden="1" customWidth="1"/>
    <col min="9218" max="9218" width="22.54296875" style="103" customWidth="1"/>
    <col min="9219" max="9219" width="2.453125" style="103" customWidth="1"/>
    <col min="9220" max="9220" width="11.26953125" style="103" customWidth="1"/>
    <col min="9221" max="9221" width="12.81640625" style="103" customWidth="1"/>
    <col min="9222" max="9222" width="12.26953125" style="103" customWidth="1"/>
    <col min="9223" max="9223" width="13.26953125" style="103" customWidth="1"/>
    <col min="9224" max="9224" width="16.81640625" style="103" bestFit="1" customWidth="1"/>
    <col min="9225" max="9226" width="12.1796875" style="103" customWidth="1"/>
    <col min="9227" max="9229" width="13.1796875" style="103" customWidth="1"/>
    <col min="9230" max="9230" width="13.54296875" style="103" customWidth="1"/>
    <col min="9231" max="9231" width="12.7265625" style="103" customWidth="1"/>
    <col min="9232" max="9232" width="11.1796875" style="103" customWidth="1"/>
    <col min="9233" max="9233" width="7.54296875" style="103" customWidth="1"/>
    <col min="9234" max="9472" width="9.1796875" style="103"/>
    <col min="9473" max="9473" width="0" style="103" hidden="1" customWidth="1"/>
    <col min="9474" max="9474" width="22.54296875" style="103" customWidth="1"/>
    <col min="9475" max="9475" width="2.453125" style="103" customWidth="1"/>
    <col min="9476" max="9476" width="11.26953125" style="103" customWidth="1"/>
    <col min="9477" max="9477" width="12.81640625" style="103" customWidth="1"/>
    <col min="9478" max="9478" width="12.26953125" style="103" customWidth="1"/>
    <col min="9479" max="9479" width="13.26953125" style="103" customWidth="1"/>
    <col min="9480" max="9480" width="16.81640625" style="103" bestFit="1" customWidth="1"/>
    <col min="9481" max="9482" width="12.1796875" style="103" customWidth="1"/>
    <col min="9483" max="9485" width="13.1796875" style="103" customWidth="1"/>
    <col min="9486" max="9486" width="13.54296875" style="103" customWidth="1"/>
    <col min="9487" max="9487" width="12.7265625" style="103" customWidth="1"/>
    <col min="9488" max="9488" width="11.1796875" style="103" customWidth="1"/>
    <col min="9489" max="9489" width="7.54296875" style="103" customWidth="1"/>
    <col min="9490" max="9728" width="9.1796875" style="103"/>
    <col min="9729" max="9729" width="0" style="103" hidden="1" customWidth="1"/>
    <col min="9730" max="9730" width="22.54296875" style="103" customWidth="1"/>
    <col min="9731" max="9731" width="2.453125" style="103" customWidth="1"/>
    <col min="9732" max="9732" width="11.26953125" style="103" customWidth="1"/>
    <col min="9733" max="9733" width="12.81640625" style="103" customWidth="1"/>
    <col min="9734" max="9734" width="12.26953125" style="103" customWidth="1"/>
    <col min="9735" max="9735" width="13.26953125" style="103" customWidth="1"/>
    <col min="9736" max="9736" width="16.81640625" style="103" bestFit="1" customWidth="1"/>
    <col min="9737" max="9738" width="12.1796875" style="103" customWidth="1"/>
    <col min="9739" max="9741" width="13.1796875" style="103" customWidth="1"/>
    <col min="9742" max="9742" width="13.54296875" style="103" customWidth="1"/>
    <col min="9743" max="9743" width="12.7265625" style="103" customWidth="1"/>
    <col min="9744" max="9744" width="11.1796875" style="103" customWidth="1"/>
    <col min="9745" max="9745" width="7.54296875" style="103" customWidth="1"/>
    <col min="9746" max="9984" width="9.1796875" style="103"/>
    <col min="9985" max="9985" width="0" style="103" hidden="1" customWidth="1"/>
    <col min="9986" max="9986" width="22.54296875" style="103" customWidth="1"/>
    <col min="9987" max="9987" width="2.453125" style="103" customWidth="1"/>
    <col min="9988" max="9988" width="11.26953125" style="103" customWidth="1"/>
    <col min="9989" max="9989" width="12.81640625" style="103" customWidth="1"/>
    <col min="9990" max="9990" width="12.26953125" style="103" customWidth="1"/>
    <col min="9991" max="9991" width="13.26953125" style="103" customWidth="1"/>
    <col min="9992" max="9992" width="16.81640625" style="103" bestFit="1" customWidth="1"/>
    <col min="9993" max="9994" width="12.1796875" style="103" customWidth="1"/>
    <col min="9995" max="9997" width="13.1796875" style="103" customWidth="1"/>
    <col min="9998" max="9998" width="13.54296875" style="103" customWidth="1"/>
    <col min="9999" max="9999" width="12.7265625" style="103" customWidth="1"/>
    <col min="10000" max="10000" width="11.1796875" style="103" customWidth="1"/>
    <col min="10001" max="10001" width="7.54296875" style="103" customWidth="1"/>
    <col min="10002" max="10240" width="9.1796875" style="103"/>
    <col min="10241" max="10241" width="0" style="103" hidden="1" customWidth="1"/>
    <col min="10242" max="10242" width="22.54296875" style="103" customWidth="1"/>
    <col min="10243" max="10243" width="2.453125" style="103" customWidth="1"/>
    <col min="10244" max="10244" width="11.26953125" style="103" customWidth="1"/>
    <col min="10245" max="10245" width="12.81640625" style="103" customWidth="1"/>
    <col min="10246" max="10246" width="12.26953125" style="103" customWidth="1"/>
    <col min="10247" max="10247" width="13.26953125" style="103" customWidth="1"/>
    <col min="10248" max="10248" width="16.81640625" style="103" bestFit="1" customWidth="1"/>
    <col min="10249" max="10250" width="12.1796875" style="103" customWidth="1"/>
    <col min="10251" max="10253" width="13.1796875" style="103" customWidth="1"/>
    <col min="10254" max="10254" width="13.54296875" style="103" customWidth="1"/>
    <col min="10255" max="10255" width="12.7265625" style="103" customWidth="1"/>
    <col min="10256" max="10256" width="11.1796875" style="103" customWidth="1"/>
    <col min="10257" max="10257" width="7.54296875" style="103" customWidth="1"/>
    <col min="10258" max="10496" width="9.1796875" style="103"/>
    <col min="10497" max="10497" width="0" style="103" hidden="1" customWidth="1"/>
    <col min="10498" max="10498" width="22.54296875" style="103" customWidth="1"/>
    <col min="10499" max="10499" width="2.453125" style="103" customWidth="1"/>
    <col min="10500" max="10500" width="11.26953125" style="103" customWidth="1"/>
    <col min="10501" max="10501" width="12.81640625" style="103" customWidth="1"/>
    <col min="10502" max="10502" width="12.26953125" style="103" customWidth="1"/>
    <col min="10503" max="10503" width="13.26953125" style="103" customWidth="1"/>
    <col min="10504" max="10504" width="16.81640625" style="103" bestFit="1" customWidth="1"/>
    <col min="10505" max="10506" width="12.1796875" style="103" customWidth="1"/>
    <col min="10507" max="10509" width="13.1796875" style="103" customWidth="1"/>
    <col min="10510" max="10510" width="13.54296875" style="103" customWidth="1"/>
    <col min="10511" max="10511" width="12.7265625" style="103" customWidth="1"/>
    <col min="10512" max="10512" width="11.1796875" style="103" customWidth="1"/>
    <col min="10513" max="10513" width="7.54296875" style="103" customWidth="1"/>
    <col min="10514" max="10752" width="9.1796875" style="103"/>
    <col min="10753" max="10753" width="0" style="103" hidden="1" customWidth="1"/>
    <col min="10754" max="10754" width="22.54296875" style="103" customWidth="1"/>
    <col min="10755" max="10755" width="2.453125" style="103" customWidth="1"/>
    <col min="10756" max="10756" width="11.26953125" style="103" customWidth="1"/>
    <col min="10757" max="10757" width="12.81640625" style="103" customWidth="1"/>
    <col min="10758" max="10758" width="12.26953125" style="103" customWidth="1"/>
    <col min="10759" max="10759" width="13.26953125" style="103" customWidth="1"/>
    <col min="10760" max="10760" width="16.81640625" style="103" bestFit="1" customWidth="1"/>
    <col min="10761" max="10762" width="12.1796875" style="103" customWidth="1"/>
    <col min="10763" max="10765" width="13.1796875" style="103" customWidth="1"/>
    <col min="10766" max="10766" width="13.54296875" style="103" customWidth="1"/>
    <col min="10767" max="10767" width="12.7265625" style="103" customWidth="1"/>
    <col min="10768" max="10768" width="11.1796875" style="103" customWidth="1"/>
    <col min="10769" max="10769" width="7.54296875" style="103" customWidth="1"/>
    <col min="10770" max="11008" width="9.1796875" style="103"/>
    <col min="11009" max="11009" width="0" style="103" hidden="1" customWidth="1"/>
    <col min="11010" max="11010" width="22.54296875" style="103" customWidth="1"/>
    <col min="11011" max="11011" width="2.453125" style="103" customWidth="1"/>
    <col min="11012" max="11012" width="11.26953125" style="103" customWidth="1"/>
    <col min="11013" max="11013" width="12.81640625" style="103" customWidth="1"/>
    <col min="11014" max="11014" width="12.26953125" style="103" customWidth="1"/>
    <col min="11015" max="11015" width="13.26953125" style="103" customWidth="1"/>
    <col min="11016" max="11016" width="16.81640625" style="103" bestFit="1" customWidth="1"/>
    <col min="11017" max="11018" width="12.1796875" style="103" customWidth="1"/>
    <col min="11019" max="11021" width="13.1796875" style="103" customWidth="1"/>
    <col min="11022" max="11022" width="13.54296875" style="103" customWidth="1"/>
    <col min="11023" max="11023" width="12.7265625" style="103" customWidth="1"/>
    <col min="11024" max="11024" width="11.1796875" style="103" customWidth="1"/>
    <col min="11025" max="11025" width="7.54296875" style="103" customWidth="1"/>
    <col min="11026" max="11264" width="9.1796875" style="103"/>
    <col min="11265" max="11265" width="0" style="103" hidden="1" customWidth="1"/>
    <col min="11266" max="11266" width="22.54296875" style="103" customWidth="1"/>
    <col min="11267" max="11267" width="2.453125" style="103" customWidth="1"/>
    <col min="11268" max="11268" width="11.26953125" style="103" customWidth="1"/>
    <col min="11269" max="11269" width="12.81640625" style="103" customWidth="1"/>
    <col min="11270" max="11270" width="12.26953125" style="103" customWidth="1"/>
    <col min="11271" max="11271" width="13.26953125" style="103" customWidth="1"/>
    <col min="11272" max="11272" width="16.81640625" style="103" bestFit="1" customWidth="1"/>
    <col min="11273" max="11274" width="12.1796875" style="103" customWidth="1"/>
    <col min="11275" max="11277" width="13.1796875" style="103" customWidth="1"/>
    <col min="11278" max="11278" width="13.54296875" style="103" customWidth="1"/>
    <col min="11279" max="11279" width="12.7265625" style="103" customWidth="1"/>
    <col min="11280" max="11280" width="11.1796875" style="103" customWidth="1"/>
    <col min="11281" max="11281" width="7.54296875" style="103" customWidth="1"/>
    <col min="11282" max="11520" width="9.1796875" style="103"/>
    <col min="11521" max="11521" width="0" style="103" hidden="1" customWidth="1"/>
    <col min="11522" max="11522" width="22.54296875" style="103" customWidth="1"/>
    <col min="11523" max="11523" width="2.453125" style="103" customWidth="1"/>
    <col min="11524" max="11524" width="11.26953125" style="103" customWidth="1"/>
    <col min="11525" max="11525" width="12.81640625" style="103" customWidth="1"/>
    <col min="11526" max="11526" width="12.26953125" style="103" customWidth="1"/>
    <col min="11527" max="11527" width="13.26953125" style="103" customWidth="1"/>
    <col min="11528" max="11528" width="16.81640625" style="103" bestFit="1" customWidth="1"/>
    <col min="11529" max="11530" width="12.1796875" style="103" customWidth="1"/>
    <col min="11531" max="11533" width="13.1796875" style="103" customWidth="1"/>
    <col min="11534" max="11534" width="13.54296875" style="103" customWidth="1"/>
    <col min="11535" max="11535" width="12.7265625" style="103" customWidth="1"/>
    <col min="11536" max="11536" width="11.1796875" style="103" customWidth="1"/>
    <col min="11537" max="11537" width="7.54296875" style="103" customWidth="1"/>
    <col min="11538" max="11776" width="9.1796875" style="103"/>
    <col min="11777" max="11777" width="0" style="103" hidden="1" customWidth="1"/>
    <col min="11778" max="11778" width="22.54296875" style="103" customWidth="1"/>
    <col min="11779" max="11779" width="2.453125" style="103" customWidth="1"/>
    <col min="11780" max="11780" width="11.26953125" style="103" customWidth="1"/>
    <col min="11781" max="11781" width="12.81640625" style="103" customWidth="1"/>
    <col min="11782" max="11782" width="12.26953125" style="103" customWidth="1"/>
    <col min="11783" max="11783" width="13.26953125" style="103" customWidth="1"/>
    <col min="11784" max="11784" width="16.81640625" style="103" bestFit="1" customWidth="1"/>
    <col min="11785" max="11786" width="12.1796875" style="103" customWidth="1"/>
    <col min="11787" max="11789" width="13.1796875" style="103" customWidth="1"/>
    <col min="11790" max="11790" width="13.54296875" style="103" customWidth="1"/>
    <col min="11791" max="11791" width="12.7265625" style="103" customWidth="1"/>
    <col min="11792" max="11792" width="11.1796875" style="103" customWidth="1"/>
    <col min="11793" max="11793" width="7.54296875" style="103" customWidth="1"/>
    <col min="11794" max="12032" width="9.1796875" style="103"/>
    <col min="12033" max="12033" width="0" style="103" hidden="1" customWidth="1"/>
    <col min="12034" max="12034" width="22.54296875" style="103" customWidth="1"/>
    <col min="12035" max="12035" width="2.453125" style="103" customWidth="1"/>
    <col min="12036" max="12036" width="11.26953125" style="103" customWidth="1"/>
    <col min="12037" max="12037" width="12.81640625" style="103" customWidth="1"/>
    <col min="12038" max="12038" width="12.26953125" style="103" customWidth="1"/>
    <col min="12039" max="12039" width="13.26953125" style="103" customWidth="1"/>
    <col min="12040" max="12040" width="16.81640625" style="103" bestFit="1" customWidth="1"/>
    <col min="12041" max="12042" width="12.1796875" style="103" customWidth="1"/>
    <col min="12043" max="12045" width="13.1796875" style="103" customWidth="1"/>
    <col min="12046" max="12046" width="13.54296875" style="103" customWidth="1"/>
    <col min="12047" max="12047" width="12.7265625" style="103" customWidth="1"/>
    <col min="12048" max="12048" width="11.1796875" style="103" customWidth="1"/>
    <col min="12049" max="12049" width="7.54296875" style="103" customWidth="1"/>
    <col min="12050" max="12288" width="9.1796875" style="103"/>
    <col min="12289" max="12289" width="0" style="103" hidden="1" customWidth="1"/>
    <col min="12290" max="12290" width="22.54296875" style="103" customWidth="1"/>
    <col min="12291" max="12291" width="2.453125" style="103" customWidth="1"/>
    <col min="12292" max="12292" width="11.26953125" style="103" customWidth="1"/>
    <col min="12293" max="12293" width="12.81640625" style="103" customWidth="1"/>
    <col min="12294" max="12294" width="12.26953125" style="103" customWidth="1"/>
    <col min="12295" max="12295" width="13.26953125" style="103" customWidth="1"/>
    <col min="12296" max="12296" width="16.81640625" style="103" bestFit="1" customWidth="1"/>
    <col min="12297" max="12298" width="12.1796875" style="103" customWidth="1"/>
    <col min="12299" max="12301" width="13.1796875" style="103" customWidth="1"/>
    <col min="12302" max="12302" width="13.54296875" style="103" customWidth="1"/>
    <col min="12303" max="12303" width="12.7265625" style="103" customWidth="1"/>
    <col min="12304" max="12304" width="11.1796875" style="103" customWidth="1"/>
    <col min="12305" max="12305" width="7.54296875" style="103" customWidth="1"/>
    <col min="12306" max="12544" width="9.1796875" style="103"/>
    <col min="12545" max="12545" width="0" style="103" hidden="1" customWidth="1"/>
    <col min="12546" max="12546" width="22.54296875" style="103" customWidth="1"/>
    <col min="12547" max="12547" width="2.453125" style="103" customWidth="1"/>
    <col min="12548" max="12548" width="11.26953125" style="103" customWidth="1"/>
    <col min="12549" max="12549" width="12.81640625" style="103" customWidth="1"/>
    <col min="12550" max="12550" width="12.26953125" style="103" customWidth="1"/>
    <col min="12551" max="12551" width="13.26953125" style="103" customWidth="1"/>
    <col min="12552" max="12552" width="16.81640625" style="103" bestFit="1" customWidth="1"/>
    <col min="12553" max="12554" width="12.1796875" style="103" customWidth="1"/>
    <col min="12555" max="12557" width="13.1796875" style="103" customWidth="1"/>
    <col min="12558" max="12558" width="13.54296875" style="103" customWidth="1"/>
    <col min="12559" max="12559" width="12.7265625" style="103" customWidth="1"/>
    <col min="12560" max="12560" width="11.1796875" style="103" customWidth="1"/>
    <col min="12561" max="12561" width="7.54296875" style="103" customWidth="1"/>
    <col min="12562" max="12800" width="9.1796875" style="103"/>
    <col min="12801" max="12801" width="0" style="103" hidden="1" customWidth="1"/>
    <col min="12802" max="12802" width="22.54296875" style="103" customWidth="1"/>
    <col min="12803" max="12803" width="2.453125" style="103" customWidth="1"/>
    <col min="12804" max="12804" width="11.26953125" style="103" customWidth="1"/>
    <col min="12805" max="12805" width="12.81640625" style="103" customWidth="1"/>
    <col min="12806" max="12806" width="12.26953125" style="103" customWidth="1"/>
    <col min="12807" max="12807" width="13.26953125" style="103" customWidth="1"/>
    <col min="12808" max="12808" width="16.81640625" style="103" bestFit="1" customWidth="1"/>
    <col min="12809" max="12810" width="12.1796875" style="103" customWidth="1"/>
    <col min="12811" max="12813" width="13.1796875" style="103" customWidth="1"/>
    <col min="12814" max="12814" width="13.54296875" style="103" customWidth="1"/>
    <col min="12815" max="12815" width="12.7265625" style="103" customWidth="1"/>
    <col min="12816" max="12816" width="11.1796875" style="103" customWidth="1"/>
    <col min="12817" max="12817" width="7.54296875" style="103" customWidth="1"/>
    <col min="12818" max="13056" width="9.1796875" style="103"/>
    <col min="13057" max="13057" width="0" style="103" hidden="1" customWidth="1"/>
    <col min="13058" max="13058" width="22.54296875" style="103" customWidth="1"/>
    <col min="13059" max="13059" width="2.453125" style="103" customWidth="1"/>
    <col min="13060" max="13060" width="11.26953125" style="103" customWidth="1"/>
    <col min="13061" max="13061" width="12.81640625" style="103" customWidth="1"/>
    <col min="13062" max="13062" width="12.26953125" style="103" customWidth="1"/>
    <col min="13063" max="13063" width="13.26953125" style="103" customWidth="1"/>
    <col min="13064" max="13064" width="16.81640625" style="103" bestFit="1" customWidth="1"/>
    <col min="13065" max="13066" width="12.1796875" style="103" customWidth="1"/>
    <col min="13067" max="13069" width="13.1796875" style="103" customWidth="1"/>
    <col min="13070" max="13070" width="13.54296875" style="103" customWidth="1"/>
    <col min="13071" max="13071" width="12.7265625" style="103" customWidth="1"/>
    <col min="13072" max="13072" width="11.1796875" style="103" customWidth="1"/>
    <col min="13073" max="13073" width="7.54296875" style="103" customWidth="1"/>
    <col min="13074" max="13312" width="9.1796875" style="103"/>
    <col min="13313" max="13313" width="0" style="103" hidden="1" customWidth="1"/>
    <col min="13314" max="13314" width="22.54296875" style="103" customWidth="1"/>
    <col min="13315" max="13315" width="2.453125" style="103" customWidth="1"/>
    <col min="13316" max="13316" width="11.26953125" style="103" customWidth="1"/>
    <col min="13317" max="13317" width="12.81640625" style="103" customWidth="1"/>
    <col min="13318" max="13318" width="12.26953125" style="103" customWidth="1"/>
    <col min="13319" max="13319" width="13.26953125" style="103" customWidth="1"/>
    <col min="13320" max="13320" width="16.81640625" style="103" bestFit="1" customWidth="1"/>
    <col min="13321" max="13322" width="12.1796875" style="103" customWidth="1"/>
    <col min="13323" max="13325" width="13.1796875" style="103" customWidth="1"/>
    <col min="13326" max="13326" width="13.54296875" style="103" customWidth="1"/>
    <col min="13327" max="13327" width="12.7265625" style="103" customWidth="1"/>
    <col min="13328" max="13328" width="11.1796875" style="103" customWidth="1"/>
    <col min="13329" max="13329" width="7.54296875" style="103" customWidth="1"/>
    <col min="13330" max="13568" width="9.1796875" style="103"/>
    <col min="13569" max="13569" width="0" style="103" hidden="1" customWidth="1"/>
    <col min="13570" max="13570" width="22.54296875" style="103" customWidth="1"/>
    <col min="13571" max="13571" width="2.453125" style="103" customWidth="1"/>
    <col min="13572" max="13572" width="11.26953125" style="103" customWidth="1"/>
    <col min="13573" max="13573" width="12.81640625" style="103" customWidth="1"/>
    <col min="13574" max="13574" width="12.26953125" style="103" customWidth="1"/>
    <col min="13575" max="13575" width="13.26953125" style="103" customWidth="1"/>
    <col min="13576" max="13576" width="16.81640625" style="103" bestFit="1" customWidth="1"/>
    <col min="13577" max="13578" width="12.1796875" style="103" customWidth="1"/>
    <col min="13579" max="13581" width="13.1796875" style="103" customWidth="1"/>
    <col min="13582" max="13582" width="13.54296875" style="103" customWidth="1"/>
    <col min="13583" max="13583" width="12.7265625" style="103" customWidth="1"/>
    <col min="13584" max="13584" width="11.1796875" style="103" customWidth="1"/>
    <col min="13585" max="13585" width="7.54296875" style="103" customWidth="1"/>
    <col min="13586" max="13824" width="9.1796875" style="103"/>
    <col min="13825" max="13825" width="0" style="103" hidden="1" customWidth="1"/>
    <col min="13826" max="13826" width="22.54296875" style="103" customWidth="1"/>
    <col min="13827" max="13827" width="2.453125" style="103" customWidth="1"/>
    <col min="13828" max="13828" width="11.26953125" style="103" customWidth="1"/>
    <col min="13829" max="13829" width="12.81640625" style="103" customWidth="1"/>
    <col min="13830" max="13830" width="12.26953125" style="103" customWidth="1"/>
    <col min="13831" max="13831" width="13.26953125" style="103" customWidth="1"/>
    <col min="13832" max="13832" width="16.81640625" style="103" bestFit="1" customWidth="1"/>
    <col min="13833" max="13834" width="12.1796875" style="103" customWidth="1"/>
    <col min="13835" max="13837" width="13.1796875" style="103" customWidth="1"/>
    <col min="13838" max="13838" width="13.54296875" style="103" customWidth="1"/>
    <col min="13839" max="13839" width="12.7265625" style="103" customWidth="1"/>
    <col min="13840" max="13840" width="11.1796875" style="103" customWidth="1"/>
    <col min="13841" max="13841" width="7.54296875" style="103" customWidth="1"/>
    <col min="13842" max="14080" width="9.1796875" style="103"/>
    <col min="14081" max="14081" width="0" style="103" hidden="1" customWidth="1"/>
    <col min="14082" max="14082" width="22.54296875" style="103" customWidth="1"/>
    <col min="14083" max="14083" width="2.453125" style="103" customWidth="1"/>
    <col min="14084" max="14084" width="11.26953125" style="103" customWidth="1"/>
    <col min="14085" max="14085" width="12.81640625" style="103" customWidth="1"/>
    <col min="14086" max="14086" width="12.26953125" style="103" customWidth="1"/>
    <col min="14087" max="14087" width="13.26953125" style="103" customWidth="1"/>
    <col min="14088" max="14088" width="16.81640625" style="103" bestFit="1" customWidth="1"/>
    <col min="14089" max="14090" width="12.1796875" style="103" customWidth="1"/>
    <col min="14091" max="14093" width="13.1796875" style="103" customWidth="1"/>
    <col min="14094" max="14094" width="13.54296875" style="103" customWidth="1"/>
    <col min="14095" max="14095" width="12.7265625" style="103" customWidth="1"/>
    <col min="14096" max="14096" width="11.1796875" style="103" customWidth="1"/>
    <col min="14097" max="14097" width="7.54296875" style="103" customWidth="1"/>
    <col min="14098" max="14336" width="9.1796875" style="103"/>
    <col min="14337" max="14337" width="0" style="103" hidden="1" customWidth="1"/>
    <col min="14338" max="14338" width="22.54296875" style="103" customWidth="1"/>
    <col min="14339" max="14339" width="2.453125" style="103" customWidth="1"/>
    <col min="14340" max="14340" width="11.26953125" style="103" customWidth="1"/>
    <col min="14341" max="14341" width="12.81640625" style="103" customWidth="1"/>
    <col min="14342" max="14342" width="12.26953125" style="103" customWidth="1"/>
    <col min="14343" max="14343" width="13.26953125" style="103" customWidth="1"/>
    <col min="14344" max="14344" width="16.81640625" style="103" bestFit="1" customWidth="1"/>
    <col min="14345" max="14346" width="12.1796875" style="103" customWidth="1"/>
    <col min="14347" max="14349" width="13.1796875" style="103" customWidth="1"/>
    <col min="14350" max="14350" width="13.54296875" style="103" customWidth="1"/>
    <col min="14351" max="14351" width="12.7265625" style="103" customWidth="1"/>
    <col min="14352" max="14352" width="11.1796875" style="103" customWidth="1"/>
    <col min="14353" max="14353" width="7.54296875" style="103" customWidth="1"/>
    <col min="14354" max="14592" width="9.1796875" style="103"/>
    <col min="14593" max="14593" width="0" style="103" hidden="1" customWidth="1"/>
    <col min="14594" max="14594" width="22.54296875" style="103" customWidth="1"/>
    <col min="14595" max="14595" width="2.453125" style="103" customWidth="1"/>
    <col min="14596" max="14596" width="11.26953125" style="103" customWidth="1"/>
    <col min="14597" max="14597" width="12.81640625" style="103" customWidth="1"/>
    <col min="14598" max="14598" width="12.26953125" style="103" customWidth="1"/>
    <col min="14599" max="14599" width="13.26953125" style="103" customWidth="1"/>
    <col min="14600" max="14600" width="16.81640625" style="103" bestFit="1" customWidth="1"/>
    <col min="14601" max="14602" width="12.1796875" style="103" customWidth="1"/>
    <col min="14603" max="14605" width="13.1796875" style="103" customWidth="1"/>
    <col min="14606" max="14606" width="13.54296875" style="103" customWidth="1"/>
    <col min="14607" max="14607" width="12.7265625" style="103" customWidth="1"/>
    <col min="14608" max="14608" width="11.1796875" style="103" customWidth="1"/>
    <col min="14609" max="14609" width="7.54296875" style="103" customWidth="1"/>
    <col min="14610" max="14848" width="9.1796875" style="103"/>
    <col min="14849" max="14849" width="0" style="103" hidden="1" customWidth="1"/>
    <col min="14850" max="14850" width="22.54296875" style="103" customWidth="1"/>
    <col min="14851" max="14851" width="2.453125" style="103" customWidth="1"/>
    <col min="14852" max="14852" width="11.26953125" style="103" customWidth="1"/>
    <col min="14853" max="14853" width="12.81640625" style="103" customWidth="1"/>
    <col min="14854" max="14854" width="12.26953125" style="103" customWidth="1"/>
    <col min="14855" max="14855" width="13.26953125" style="103" customWidth="1"/>
    <col min="14856" max="14856" width="16.81640625" style="103" bestFit="1" customWidth="1"/>
    <col min="14857" max="14858" width="12.1796875" style="103" customWidth="1"/>
    <col min="14859" max="14861" width="13.1796875" style="103" customWidth="1"/>
    <col min="14862" max="14862" width="13.54296875" style="103" customWidth="1"/>
    <col min="14863" max="14863" width="12.7265625" style="103" customWidth="1"/>
    <col min="14864" max="14864" width="11.1796875" style="103" customWidth="1"/>
    <col min="14865" max="14865" width="7.54296875" style="103" customWidth="1"/>
    <col min="14866" max="15104" width="9.1796875" style="103"/>
    <col min="15105" max="15105" width="0" style="103" hidden="1" customWidth="1"/>
    <col min="15106" max="15106" width="22.54296875" style="103" customWidth="1"/>
    <col min="15107" max="15107" width="2.453125" style="103" customWidth="1"/>
    <col min="15108" max="15108" width="11.26953125" style="103" customWidth="1"/>
    <col min="15109" max="15109" width="12.81640625" style="103" customWidth="1"/>
    <col min="15110" max="15110" width="12.26953125" style="103" customWidth="1"/>
    <col min="15111" max="15111" width="13.26953125" style="103" customWidth="1"/>
    <col min="15112" max="15112" width="16.81640625" style="103" bestFit="1" customWidth="1"/>
    <col min="15113" max="15114" width="12.1796875" style="103" customWidth="1"/>
    <col min="15115" max="15117" width="13.1796875" style="103" customWidth="1"/>
    <col min="15118" max="15118" width="13.54296875" style="103" customWidth="1"/>
    <col min="15119" max="15119" width="12.7265625" style="103" customWidth="1"/>
    <col min="15120" max="15120" width="11.1796875" style="103" customWidth="1"/>
    <col min="15121" max="15121" width="7.54296875" style="103" customWidth="1"/>
    <col min="15122" max="15360" width="9.1796875" style="103"/>
    <col min="15361" max="15361" width="0" style="103" hidden="1" customWidth="1"/>
    <col min="15362" max="15362" width="22.54296875" style="103" customWidth="1"/>
    <col min="15363" max="15363" width="2.453125" style="103" customWidth="1"/>
    <col min="15364" max="15364" width="11.26953125" style="103" customWidth="1"/>
    <col min="15365" max="15365" width="12.81640625" style="103" customWidth="1"/>
    <col min="15366" max="15366" width="12.26953125" style="103" customWidth="1"/>
    <col min="15367" max="15367" width="13.26953125" style="103" customWidth="1"/>
    <col min="15368" max="15368" width="16.81640625" style="103" bestFit="1" customWidth="1"/>
    <col min="15369" max="15370" width="12.1796875" style="103" customWidth="1"/>
    <col min="15371" max="15373" width="13.1796875" style="103" customWidth="1"/>
    <col min="15374" max="15374" width="13.54296875" style="103" customWidth="1"/>
    <col min="15375" max="15375" width="12.7265625" style="103" customWidth="1"/>
    <col min="15376" max="15376" width="11.1796875" style="103" customWidth="1"/>
    <col min="15377" max="15377" width="7.54296875" style="103" customWidth="1"/>
    <col min="15378" max="15616" width="9.1796875" style="103"/>
    <col min="15617" max="15617" width="0" style="103" hidden="1" customWidth="1"/>
    <col min="15618" max="15618" width="22.54296875" style="103" customWidth="1"/>
    <col min="15619" max="15619" width="2.453125" style="103" customWidth="1"/>
    <col min="15620" max="15620" width="11.26953125" style="103" customWidth="1"/>
    <col min="15621" max="15621" width="12.81640625" style="103" customWidth="1"/>
    <col min="15622" max="15622" width="12.26953125" style="103" customWidth="1"/>
    <col min="15623" max="15623" width="13.26953125" style="103" customWidth="1"/>
    <col min="15624" max="15624" width="16.81640625" style="103" bestFit="1" customWidth="1"/>
    <col min="15625" max="15626" width="12.1796875" style="103" customWidth="1"/>
    <col min="15627" max="15629" width="13.1796875" style="103" customWidth="1"/>
    <col min="15630" max="15630" width="13.54296875" style="103" customWidth="1"/>
    <col min="15631" max="15631" width="12.7265625" style="103" customWidth="1"/>
    <col min="15632" max="15632" width="11.1796875" style="103" customWidth="1"/>
    <col min="15633" max="15633" width="7.54296875" style="103" customWidth="1"/>
    <col min="15634" max="15872" width="9.1796875" style="103"/>
    <col min="15873" max="15873" width="0" style="103" hidden="1" customWidth="1"/>
    <col min="15874" max="15874" width="22.54296875" style="103" customWidth="1"/>
    <col min="15875" max="15875" width="2.453125" style="103" customWidth="1"/>
    <col min="15876" max="15876" width="11.26953125" style="103" customWidth="1"/>
    <col min="15877" max="15877" width="12.81640625" style="103" customWidth="1"/>
    <col min="15878" max="15878" width="12.26953125" style="103" customWidth="1"/>
    <col min="15879" max="15879" width="13.26953125" style="103" customWidth="1"/>
    <col min="15880" max="15880" width="16.81640625" style="103" bestFit="1" customWidth="1"/>
    <col min="15881" max="15882" width="12.1796875" style="103" customWidth="1"/>
    <col min="15883" max="15885" width="13.1796875" style="103" customWidth="1"/>
    <col min="15886" max="15886" width="13.54296875" style="103" customWidth="1"/>
    <col min="15887" max="15887" width="12.7265625" style="103" customWidth="1"/>
    <col min="15888" max="15888" width="11.1796875" style="103" customWidth="1"/>
    <col min="15889" max="15889" width="7.54296875" style="103" customWidth="1"/>
    <col min="15890" max="16128" width="9.1796875" style="103"/>
    <col min="16129" max="16129" width="0" style="103" hidden="1" customWidth="1"/>
    <col min="16130" max="16130" width="22.54296875" style="103" customWidth="1"/>
    <col min="16131" max="16131" width="2.453125" style="103" customWidth="1"/>
    <col min="16132" max="16132" width="11.26953125" style="103" customWidth="1"/>
    <col min="16133" max="16133" width="12.81640625" style="103" customWidth="1"/>
    <col min="16134" max="16134" width="12.26953125" style="103" customWidth="1"/>
    <col min="16135" max="16135" width="13.26953125" style="103" customWidth="1"/>
    <col min="16136" max="16136" width="16.81640625" style="103" bestFit="1" customWidth="1"/>
    <col min="16137" max="16138" width="12.1796875" style="103" customWidth="1"/>
    <col min="16139" max="16141" width="13.1796875" style="103" customWidth="1"/>
    <col min="16142" max="16142" width="13.54296875" style="103" customWidth="1"/>
    <col min="16143" max="16143" width="12.7265625" style="103" customWidth="1"/>
    <col min="16144" max="16144" width="11.1796875" style="103" customWidth="1"/>
    <col min="16145" max="16145" width="7.54296875" style="103" customWidth="1"/>
    <col min="16146" max="16384" width="9.1796875" style="103"/>
  </cols>
  <sheetData>
    <row r="1" spans="1:43" s="52" customFormat="1" ht="24.75" customHeight="1" x14ac:dyDescent="0.35">
      <c r="A1" s="48"/>
      <c r="B1" s="49"/>
      <c r="C1" s="50"/>
      <c r="D1" s="50"/>
      <c r="E1" s="51"/>
      <c r="F1" s="51"/>
      <c r="G1" s="51"/>
      <c r="H1" s="50"/>
      <c r="I1" s="50"/>
      <c r="J1" s="50"/>
      <c r="K1" s="50"/>
      <c r="L1" s="50"/>
      <c r="M1" s="50"/>
      <c r="N1" s="50"/>
      <c r="O1" s="50"/>
      <c r="P1" s="50"/>
      <c r="S1" s="53"/>
      <c r="T1" s="53"/>
    </row>
    <row r="2" spans="1:43" s="57" customFormat="1" ht="34.5" customHeight="1" x14ac:dyDescent="0.35">
      <c r="A2" s="48"/>
      <c r="B2" s="351"/>
      <c r="C2" s="55"/>
      <c r="D2" s="378"/>
      <c r="E2" s="378"/>
      <c r="F2" s="378"/>
      <c r="G2" s="378"/>
      <c r="H2" s="378" t="s">
        <v>167</v>
      </c>
      <c r="I2" s="378"/>
      <c r="J2" s="350"/>
      <c r="K2" s="376" t="s">
        <v>168</v>
      </c>
      <c r="L2" s="376"/>
      <c r="M2" s="376"/>
      <c r="N2" s="376" t="s">
        <v>169</v>
      </c>
      <c r="O2" s="376"/>
      <c r="P2" s="376"/>
      <c r="S2" s="58"/>
      <c r="T2" s="58"/>
    </row>
    <row r="3" spans="1:43" s="57" customFormat="1" ht="56" x14ac:dyDescent="0.35">
      <c r="A3" s="48"/>
      <c r="B3" s="351"/>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425</v>
      </c>
      <c r="I4" s="64">
        <f t="shared" si="0"/>
        <v>734</v>
      </c>
      <c r="J4" s="64">
        <f t="shared" si="0"/>
        <v>236</v>
      </c>
      <c r="K4" s="64">
        <f t="shared" si="0"/>
        <v>1905</v>
      </c>
      <c r="L4" s="64">
        <f t="shared" si="0"/>
        <v>128</v>
      </c>
      <c r="M4" s="64">
        <f t="shared" si="0"/>
        <v>1402</v>
      </c>
      <c r="N4" s="64">
        <f t="shared" si="0"/>
        <v>5152</v>
      </c>
      <c r="O4" s="64">
        <f t="shared" si="0"/>
        <v>337</v>
      </c>
      <c r="P4" s="64">
        <f t="shared" si="0"/>
        <v>251</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186</v>
      </c>
      <c r="I5" s="70">
        <f t="shared" si="1"/>
        <v>719</v>
      </c>
      <c r="J5" s="70">
        <f t="shared" si="1"/>
        <v>209</v>
      </c>
      <c r="K5" s="70">
        <f t="shared" si="1"/>
        <v>1545</v>
      </c>
      <c r="L5" s="70">
        <f t="shared" si="1"/>
        <v>93</v>
      </c>
      <c r="M5" s="70">
        <f t="shared" si="1"/>
        <v>1092</v>
      </c>
      <c r="N5" s="70">
        <f t="shared" si="1"/>
        <v>4231</v>
      </c>
      <c r="O5" s="70">
        <f t="shared" si="1"/>
        <v>230</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VLOOKUP($B6,Fire2019!$C$10:$I$57,2,FALSE)</f>
        <v>7</v>
      </c>
      <c r="I6" s="75">
        <f>VLOOKUP($B6,Fire2019!$C$10:$I$57,3,FALSE)</f>
        <v>11</v>
      </c>
      <c r="J6" s="75">
        <f>VLOOKUP($B6,Fire2019!$C$10:$I$57,4,FALSE)</f>
        <v>3</v>
      </c>
      <c r="K6" s="75">
        <f>VLOOKUP($B6,Fire2019!$C$10:$O$58,8,FALSE)</f>
        <v>33</v>
      </c>
      <c r="L6" s="75">
        <f>VLOOKUP($B6,Fire2019!$C$10:$Q$58,9,FALSE)</f>
        <v>4</v>
      </c>
      <c r="M6" s="75">
        <f>VLOOKUP($B6,Fire2019!$C$10:$BA$58,10,FALSE)+VLOOKUP($B6,Fire2019!$C$10:$BA$58,13,FALSE)</f>
        <v>31</v>
      </c>
      <c r="N6" s="75">
        <f>VLOOKUP($B6,Fire2019!$C$10:$BA$58,11,FALSE)+VLOOKUP($B6,Fire2019!$C$10:$BA$58,15,FALSE)</f>
        <v>101</v>
      </c>
      <c r="O6" s="75">
        <f>VLOOKUP($B6,Fire2019!$C$10:$AZ$58,16,FALSE)</f>
        <v>8</v>
      </c>
      <c r="P6" s="75">
        <f>VLOOKUP($B6,Fire2019!$C$10:$AZ$58,17,FALSE)</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75">
        <f>VLOOKUP($B7,Fire2019!$C$10:$I$57,2,FALSE)</f>
        <v>3</v>
      </c>
      <c r="I7" s="75">
        <f>VLOOKUP($B7,Fire2019!$C$10:$I$57,3,FALSE)</f>
        <v>8</v>
      </c>
      <c r="J7" s="75">
        <f>VLOOKUP($B7,Fire2019!$C$10:$I$57,4,FALSE)</f>
        <v>3</v>
      </c>
      <c r="K7" s="106">
        <f>'(2018)'!K7</f>
        <v>22</v>
      </c>
      <c r="L7" s="106">
        <f>'(2018)'!L7</f>
        <v>2</v>
      </c>
      <c r="M7" s="106">
        <f>'(2018)'!M7</f>
        <v>22</v>
      </c>
      <c r="N7" s="106">
        <f>'(2018)'!N7</f>
        <v>67</v>
      </c>
      <c r="O7" s="106">
        <f>'(2018)'!O7</f>
        <v>4</v>
      </c>
      <c r="P7" s="106">
        <f>'(2018)'!P7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75">
        <f>VLOOKUP($B8,Fire2019!$C$10:$I$57,2,FALSE)</f>
        <v>11</v>
      </c>
      <c r="I8" s="75">
        <f>VLOOKUP($B8,Fire2019!$C$10:$I$57,3,FALSE)</f>
        <v>6</v>
      </c>
      <c r="J8" s="75">
        <f>VLOOKUP($B8,Fire2019!$C$10:$I$57,4,FALSE)</f>
        <v>1</v>
      </c>
      <c r="K8" s="75">
        <f>VLOOKUP($B8,Fire2019!$C$10:$O$58,8,FALSE)</f>
        <v>21</v>
      </c>
      <c r="L8" s="75">
        <f>VLOOKUP($B8,Fire2019!$C$10:$Q$58,9,FALSE)</f>
        <v>1</v>
      </c>
      <c r="M8" s="75">
        <f>VLOOKUP($B8,Fire2019!$C$10:$BA$58,10,FALSE)+VLOOKUP($B8,Fire2019!$C$10:$BA$58,13,FALSE)</f>
        <v>26</v>
      </c>
      <c r="N8" s="75">
        <f>VLOOKUP($B8,Fire2019!$C$10:$BA$58,11,FALSE)+VLOOKUP($B8,Fire2019!$C$10:$BA$58,15,FALSE)</f>
        <v>61</v>
      </c>
      <c r="O8" s="75">
        <f>VLOOKUP($B8,Fire2019!$C$10:$AZ$58,16,FALSE)</f>
        <v>9</v>
      </c>
      <c r="P8" s="75">
        <f>VLOOKUP($B8,Fire2019!$C$10:$AZ$58,17,FALSE)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VLOOKUP($B9,Fire2019!$C$10:$I$57,2,FALSE)</f>
        <v>6</v>
      </c>
      <c r="I9" s="75">
        <f>VLOOKUP($B9,Fire2019!$C$10:$I$57,3,FALSE)</f>
        <v>10</v>
      </c>
      <c r="J9" s="75">
        <f>VLOOKUP($B9,Fire2019!$C$10:$I$57,4,FALSE)</f>
        <v>4</v>
      </c>
      <c r="K9" s="75">
        <f>VLOOKUP($B9,Fire2019!$C$10:$O$58,8,FALSE)</f>
        <v>30</v>
      </c>
      <c r="L9" s="75">
        <f>VLOOKUP($B9,Fire2019!$C$10:$Q$58,9,FALSE)</f>
        <v>2</v>
      </c>
      <c r="M9" s="75">
        <f>VLOOKUP($B9,Fire2019!$C$10:$BA$58,10,FALSE)+VLOOKUP($B9,Fire2019!$C$10:$BA$58,13,FALSE)</f>
        <v>13</v>
      </c>
      <c r="N9" s="75">
        <f>VLOOKUP($B9,Fire2019!$C$10:$BA$58,11,FALSE)+VLOOKUP($B9,Fire2019!$C$10:$BA$58,15,FALSE)</f>
        <v>79</v>
      </c>
      <c r="O9" s="75">
        <f>VLOOKUP($B9,Fire2019!$C$10:$AZ$58,16,FALSE)</f>
        <v>2</v>
      </c>
      <c r="P9" s="75">
        <f>VLOOKUP($B9,Fire2019!$C$10:$AZ$58,17,FALSE)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VLOOKUP($B10,Fire2019!$C$10:$I$57,2,FALSE)</f>
        <v>3</v>
      </c>
      <c r="I10" s="75">
        <f>VLOOKUP($B10,Fire2019!$C$10:$I$57,3,FALSE)</f>
        <v>19</v>
      </c>
      <c r="J10" s="75">
        <f>VLOOKUP($B10,Fire2019!$C$10:$I$57,4,FALSE)</f>
        <v>4</v>
      </c>
      <c r="K10" s="75">
        <f>VLOOKUP($B10,Fire2019!$C$10:$O$58,8,FALSE)</f>
        <v>36</v>
      </c>
      <c r="L10" s="75">
        <f>VLOOKUP($B10,Fire2019!$C$10:$Q$58,9,FALSE)</f>
        <v>2</v>
      </c>
      <c r="M10" s="75">
        <f>VLOOKUP($B10,Fire2019!$C$10:$BA$58,10,FALSE)+VLOOKUP($B10,Fire2019!$C$10:$BA$58,13,FALSE)</f>
        <v>93</v>
      </c>
      <c r="N10" s="75">
        <f>VLOOKUP($B10,Fire2019!$C$10:$BA$58,11,FALSE)+VLOOKUP($B10,Fire2019!$C$10:$BA$58,15,FALSE)</f>
        <v>116</v>
      </c>
      <c r="O10" s="75">
        <f>VLOOKUP($B10,Fire2019!$C$10:$AZ$58,16,FALSE)</f>
        <v>4</v>
      </c>
      <c r="P10" s="75">
        <f>VLOOKUP($B10,Fire2019!$C$10:$AZ$58,17,FALSE)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VLOOKUP($B11,Fire2019!$C$10:$I$57,2,FALSE)</f>
        <v>7</v>
      </c>
      <c r="I11" s="75">
        <f>VLOOKUP($B11,Fire2019!$C$10:$I$57,3,FALSE)</f>
        <v>11</v>
      </c>
      <c r="J11" s="75">
        <f>VLOOKUP($B11,Fire2019!$C$10:$I$57,4,FALSE)</f>
        <v>10</v>
      </c>
      <c r="K11" s="75">
        <f>VLOOKUP($B11,Fire2019!$C$10:$O$58,8,FALSE)</f>
        <v>36</v>
      </c>
      <c r="L11" s="75">
        <f>VLOOKUP($B11,Fire2019!$C$10:$Q$58,9,FALSE)</f>
        <v>3</v>
      </c>
      <c r="M11" s="75">
        <f>VLOOKUP($B11,Fire2019!$C$10:$BA$58,10,FALSE)+VLOOKUP($B11,Fire2019!$C$10:$BA$58,13,FALSE)</f>
        <v>19</v>
      </c>
      <c r="N11" s="75">
        <f>VLOOKUP($B11,Fire2019!$C$10:$BA$58,11,FALSE)+VLOOKUP($B11,Fire2019!$C$10:$BA$58,15,FALSE)</f>
        <v>151</v>
      </c>
      <c r="O11" s="75">
        <f>VLOOKUP($B11,Fire2019!$C$10:$AZ$58,16,FALSE)</f>
        <v>8</v>
      </c>
      <c r="P11" s="75">
        <f>VLOOKUP($B11,Fire2019!$C$10:$AZ$58,17,FALSE)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VLOOKUP($B12,Fire2019!$C$10:$I$57,2,FALSE)</f>
        <v>6</v>
      </c>
      <c r="I12" s="75">
        <f>VLOOKUP($B12,Fire2019!$C$10:$I$57,3,FALSE)</f>
        <v>6</v>
      </c>
      <c r="J12" s="75">
        <f>VLOOKUP($B12,Fire2019!$C$10:$I$57,4,FALSE)</f>
        <v>2</v>
      </c>
      <c r="K12" s="75">
        <f>VLOOKUP($B12,Fire2019!$C$10:$O$58,8,FALSE)</f>
        <v>21</v>
      </c>
      <c r="L12" s="75">
        <f>VLOOKUP($B12,Fire2019!$C$10:$Q$58,9,FALSE)</f>
        <v>3</v>
      </c>
      <c r="M12" s="75">
        <f>VLOOKUP($B12,Fire2019!$C$10:$BA$58,10,FALSE)+VLOOKUP($B12,Fire2019!$C$10:$BA$58,13,FALSE)</f>
        <v>10</v>
      </c>
      <c r="N12" s="75">
        <f>VLOOKUP($B12,Fire2019!$C$10:$BA$58,11,FALSE)+VLOOKUP($B12,Fire2019!$C$10:$BA$58,15,FALSE)</f>
        <v>62</v>
      </c>
      <c r="O12" s="75">
        <f>VLOOKUP($B12,Fire2019!$C$10:$AZ$58,16,FALSE)</f>
        <v>4</v>
      </c>
      <c r="P12" s="106">
        <f>'(2018)'!P12</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VLOOKUP($B13,Fire2019!$C$10:$I$57,2,FALSE)</f>
        <v>2</v>
      </c>
      <c r="I13" s="75">
        <f>VLOOKUP($B13,Fire2019!$C$10:$I$57,3,FALSE)</f>
        <v>23</v>
      </c>
      <c r="J13" s="75">
        <f>VLOOKUP($B13,Fire2019!$C$10:$I$57,4,FALSE)</f>
        <v>6</v>
      </c>
      <c r="K13" s="75">
        <f>VLOOKUP($B13,Fire2019!$C$10:$O$58,8,FALSE)</f>
        <v>43</v>
      </c>
      <c r="L13" s="75">
        <f>VLOOKUP($B13,Fire2019!$C$10:$Q$58,9,FALSE)</f>
        <v>2</v>
      </c>
      <c r="M13" s="75">
        <f>VLOOKUP($B13,Fire2019!$C$10:$BA$58,10,FALSE)+VLOOKUP($B13,Fire2019!$C$10:$BA$58,13,FALSE)</f>
        <v>51</v>
      </c>
      <c r="N13" s="75">
        <f>VLOOKUP($B13,Fire2019!$C$10:$BA$58,11,FALSE)+VLOOKUP($B13,Fire2019!$C$10:$BA$58,15,FALSE)</f>
        <v>98</v>
      </c>
      <c r="O13" s="75">
        <f>VLOOKUP($B13,Fire2019!$C$10:$AZ$58,16,FALSE)</f>
        <v>8</v>
      </c>
      <c r="P13" s="75">
        <f>VLOOKUP($B13,Fire2019!$C$10:$AZ$58,17,FALSE)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VLOOKUP($B14,Fire2019!$C$10:$I$57,2,FALSE)</f>
        <v>2</v>
      </c>
      <c r="I14" s="75">
        <f>VLOOKUP($B14,Fire2019!$C$10:$I$57,3,FALSE)</f>
        <v>30</v>
      </c>
      <c r="J14" s="75">
        <f>VLOOKUP($B14,Fire2019!$C$10:$I$57,4,FALSE)</f>
        <v>6</v>
      </c>
      <c r="K14" s="75">
        <f>VLOOKUP($B14,Fire2019!$C$10:$O$58,8,FALSE)</f>
        <v>45</v>
      </c>
      <c r="L14" s="75">
        <f>VLOOKUP($B14,Fire2019!$C$10:$Q$58,9,FALSE)</f>
        <v>2</v>
      </c>
      <c r="M14" s="75">
        <f>VLOOKUP($B14,Fire2019!$C$10:$BA$58,10,FALSE)+VLOOKUP($B14,Fire2019!$C$10:$BA$58,13,FALSE)</f>
        <v>24</v>
      </c>
      <c r="N14" s="75">
        <f>VLOOKUP($B14,Fire2019!$C$10:$BA$58,11,FALSE)+VLOOKUP($B14,Fire2019!$C$10:$BA$58,15,FALSE)</f>
        <v>81</v>
      </c>
      <c r="O14" s="75">
        <f>VLOOKUP($B14,Fire2019!$C$10:$AZ$58,16,FALSE)</f>
        <v>5</v>
      </c>
      <c r="P14" s="75">
        <f>VLOOKUP($B14,Fire2019!$C$10:$AZ$58,17,FALSE)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VLOOKUP($B15,Fire2019!$C$10:$I$57,2,FALSE)</f>
        <v>4</v>
      </c>
      <c r="I15" s="75">
        <f>VLOOKUP($B15,Fire2019!$C$10:$I$57,3,FALSE)</f>
        <v>19</v>
      </c>
      <c r="J15" s="75">
        <f>VLOOKUP($B15,Fire2019!$C$10:$I$57,4,FALSE)</f>
        <v>8</v>
      </c>
      <c r="K15" s="75">
        <f>VLOOKUP($B15,Fire2019!$C$10:$O$58,8,FALSE)</f>
        <v>41</v>
      </c>
      <c r="L15" s="75">
        <f>VLOOKUP($B15,Fire2019!$C$10:$Q$58,9,FALSE)</f>
        <v>2</v>
      </c>
      <c r="M15" s="75">
        <f>VLOOKUP($B15,Fire2019!$C$10:$BA$58,10,FALSE)+VLOOKUP($B15,Fire2019!$C$10:$BA$58,13,FALSE)</f>
        <v>14</v>
      </c>
      <c r="N15" s="75">
        <f>VLOOKUP($B15,Fire2019!$C$10:$BA$58,11,FALSE)+VLOOKUP($B15,Fire2019!$C$10:$BA$58,15,FALSE)</f>
        <v>179</v>
      </c>
      <c r="O15" s="75">
        <f>VLOOKUP($B15,Fire2019!$C$10:$AZ$58,16,FALSE)</f>
        <v>4</v>
      </c>
      <c r="P15" s="75">
        <f>VLOOKUP($B15,Fire2019!$C$10:$AZ$58,17,FALSE)</f>
        <v>6</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VLOOKUP($B16,Fire2019!$C$10:$I$57,2,FALSE)</f>
        <v>3</v>
      </c>
      <c r="I16" s="75">
        <f>VLOOKUP($B16,Fire2019!$C$10:$I$57,3,FALSE)</f>
        <v>71</v>
      </c>
      <c r="J16" s="75">
        <f>VLOOKUP($B16,Fire2019!$C$10:$I$57,4,FALSE)</f>
        <v>9</v>
      </c>
      <c r="K16" s="75">
        <f>VLOOKUP($B16,Fire2019!$C$10:$O$58,8,FALSE)</f>
        <v>121</v>
      </c>
      <c r="L16" s="75">
        <f>VLOOKUP($B16,Fire2019!$C$10:$Q$58,9,FALSE)</f>
        <v>7</v>
      </c>
      <c r="M16" s="75">
        <f>VLOOKUP($B16,Fire2019!$C$10:$BA$58,10,FALSE)+VLOOKUP($B16,Fire2019!$C$10:$BA$58,13,FALSE)</f>
        <v>175</v>
      </c>
      <c r="N16" s="75">
        <f>VLOOKUP($B16,Fire2019!$C$10:$BA$58,11,FALSE)+VLOOKUP($B16,Fire2019!$C$10:$BA$58,15,FALSE)</f>
        <v>259</v>
      </c>
      <c r="O16" s="75">
        <f>VLOOKUP($B16,Fire2019!$C$10:$AZ$58,16,FALSE)</f>
        <v>21</v>
      </c>
      <c r="P16" s="75">
        <f>VLOOKUP($B16,Fire2019!$C$10:$AZ$58,17,FALSE)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358</v>
      </c>
      <c r="C17" s="74"/>
      <c r="D17" s="75"/>
      <c r="E17" s="75"/>
      <c r="F17" s="64"/>
      <c r="G17" s="75"/>
      <c r="H17" s="75">
        <f>VLOOKUP($B17,Fire2019!$C$10:$I$57,2,FALSE)</f>
        <v>3</v>
      </c>
      <c r="I17" s="75">
        <f>VLOOKUP($B17,Fire2019!$C$10:$I$57,3,FALSE)</f>
        <v>37</v>
      </c>
      <c r="J17" s="75">
        <f>VLOOKUP($B17,Fire2019!$C$10:$I$57,4,FALSE)</f>
        <v>10</v>
      </c>
      <c r="K17" s="75">
        <f>VLOOKUP($B17,Fire2019!$C$10:$O$58,8,FALSE)</f>
        <v>74</v>
      </c>
      <c r="L17" s="75">
        <f>VLOOKUP($B17,Fire2019!$C$10:$Q$58,9,FALSE)</f>
        <v>4</v>
      </c>
      <c r="M17" s="75">
        <f>VLOOKUP($B17,Fire2019!$C$10:$BA$58,10,FALSE)+VLOOKUP($B17,Fire2019!$C$10:$BA$58,13,FALSE)</f>
        <v>61</v>
      </c>
      <c r="N17" s="75">
        <f>VLOOKUP($B17,Fire2019!$C$10:$BA$58,11,FALSE)+VLOOKUP($B17,Fire2019!$C$10:$BA$58,15,FALSE)</f>
        <v>245</v>
      </c>
      <c r="O17" s="75">
        <f>VLOOKUP($B17,Fire2019!$C$10:$AZ$58,16,FALSE)</f>
        <v>8</v>
      </c>
      <c r="P17" s="75">
        <f>VLOOKUP($B17,Fire2019!$C$10:$AZ$58,17,FALSE)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VLOOKUP($B18,Fire2019!$C$10:$I$57,2,FALSE)</f>
        <v>2</v>
      </c>
      <c r="I18" s="75">
        <f>VLOOKUP($B18,Fire2019!$C$10:$I$57,3,FALSE)</f>
        <v>6</v>
      </c>
      <c r="J18" s="75">
        <f>VLOOKUP($B18,Fire2019!$C$10:$I$57,4,FALSE)</f>
        <v>7</v>
      </c>
      <c r="K18" s="75">
        <f>VLOOKUP($B18,Fire2019!$C$10:$O$58,8,FALSE)</f>
        <v>26</v>
      </c>
      <c r="L18" s="75">
        <f>VLOOKUP($B18,Fire2019!$C$10:$Q$58,9,FALSE)</f>
        <v>2</v>
      </c>
      <c r="M18" s="75">
        <f>VLOOKUP($B18,Fire2019!$C$10:$BA$58,10,FALSE)+VLOOKUP($B18,Fire2019!$C$10:$BA$58,13,FALSE)</f>
        <v>18</v>
      </c>
      <c r="N18" s="75">
        <f>VLOOKUP($B18,Fire2019!$C$10:$BA$58,11,FALSE)+VLOOKUP($B18,Fire2019!$C$10:$BA$58,15,FALSE)</f>
        <v>72</v>
      </c>
      <c r="O18" s="75">
        <f>VLOOKUP($B18,Fire2019!$C$10:$AZ$58,16,FALSE)</f>
        <v>6</v>
      </c>
      <c r="P18" s="75">
        <f>VLOOKUP($B18,Fire2019!$C$10:$AZ$58,17,FALSE)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VLOOKUP($B19,Fire2019!$C$10:$I$57,2,FALSE)</f>
        <v>6</v>
      </c>
      <c r="I19" s="75">
        <f>VLOOKUP($B19,Fire2019!$C$10:$I$57,3,FALSE)</f>
        <v>12</v>
      </c>
      <c r="J19" s="75">
        <f>VLOOKUP($B19,Fire2019!$C$10:$I$57,4,FALSE)</f>
        <v>6</v>
      </c>
      <c r="K19" s="75">
        <f>VLOOKUP($B19,Fire2019!$C$10:$O$58,8,FALSE)</f>
        <v>41</v>
      </c>
      <c r="L19" s="75">
        <f>VLOOKUP($B19,Fire2019!$C$10:$Q$58,9,FALSE)</f>
        <v>3</v>
      </c>
      <c r="M19" s="75">
        <f>VLOOKUP($B19,Fire2019!$C$10:$BA$58,10,FALSE)+VLOOKUP($B19,Fire2019!$C$10:$BA$58,13,FALSE)</f>
        <v>11</v>
      </c>
      <c r="N19" s="75">
        <f>VLOOKUP($B19,Fire2019!$C$10:$BA$58,11,FALSE)+VLOOKUP($B19,Fire2019!$C$10:$BA$58,15,FALSE)</f>
        <v>131</v>
      </c>
      <c r="O19" s="75">
        <f>VLOOKUP($B19,Fire2019!$C$10:$AZ$58,16,FALSE)</f>
        <v>2</v>
      </c>
      <c r="P19" s="75">
        <f>VLOOKUP($B19,Fire2019!$C$10:$AZ$58,17,FALSE)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VLOOKUP($B20,Fire2019!$C$10:$I$57,2,FALSE)</f>
        <v>13</v>
      </c>
      <c r="I20" s="75">
        <f>VLOOKUP($B20,Fire2019!$C$10:$I$57,3,FALSE)</f>
        <v>34</v>
      </c>
      <c r="J20" s="75">
        <f>VLOOKUP($B20,Fire2019!$C$10:$I$57,4,FALSE)</f>
        <v>3</v>
      </c>
      <c r="K20" s="75">
        <f>VLOOKUP($B20,Fire2019!$C$10:$O$58,8,FALSE)</f>
        <v>69</v>
      </c>
      <c r="L20" s="75">
        <f>VLOOKUP($B20,Fire2019!$C$10:$Q$58,9,FALSE)</f>
        <v>4</v>
      </c>
      <c r="M20" s="75">
        <f>VLOOKUP($B20,Fire2019!$C$10:$BA$58,10,FALSE)+VLOOKUP($B20,Fire2019!$C$10:$BA$58,13,FALSE)</f>
        <v>39</v>
      </c>
      <c r="N20" s="75">
        <f>VLOOKUP($B20,Fire2019!$C$10:$BA$58,11,FALSE)+VLOOKUP($B20,Fire2019!$C$10:$BA$58,15,FALSE)</f>
        <v>178</v>
      </c>
      <c r="O20" s="75">
        <f>VLOOKUP($B20,Fire2019!$C$10:$AZ$58,16,FALSE)</f>
        <v>14</v>
      </c>
      <c r="P20" s="75">
        <f>VLOOKUP($B20,Fire2019!$C$10:$AZ$58,17,FALSE)</f>
        <v>6</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VLOOKUP($B21,Fire2019!$C$10:$I$57,2,FALSE)</f>
        <v>2</v>
      </c>
      <c r="I21" s="75">
        <f>VLOOKUP($B21,Fire2019!$C$10:$I$57,3,FALSE)</f>
        <v>16</v>
      </c>
      <c r="J21" s="75">
        <f>VLOOKUP($B21,Fire2019!$C$10:$I$57,4,FALSE)</f>
        <v>3</v>
      </c>
      <c r="K21" s="75">
        <f>VLOOKUP($B21,Fire2019!$C$10:$O$58,8,FALSE)</f>
        <v>31</v>
      </c>
      <c r="L21" s="75">
        <f>VLOOKUP($B21,Fire2019!$C$10:$Q$58,9,FALSE)</f>
        <v>2</v>
      </c>
      <c r="M21" s="75">
        <f>VLOOKUP($B21,Fire2019!$C$10:$BA$58,10,FALSE)+VLOOKUP($B21,Fire2019!$C$10:$BA$58,13,FALSE)</f>
        <v>16</v>
      </c>
      <c r="N21" s="75">
        <f>VLOOKUP($B21,Fire2019!$C$10:$BA$58,11,FALSE)+VLOOKUP($B21,Fire2019!$C$10:$BA$58,15,FALSE)</f>
        <v>79</v>
      </c>
      <c r="O21" s="75">
        <f>VLOOKUP($B21,Fire2019!$C$10:$AZ$58,16,FALSE)</f>
        <v>4</v>
      </c>
      <c r="P21" s="75">
        <f>VLOOKUP($B21,Fire2019!$C$10:$AZ$58,17,FALSE)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75">
        <f>VLOOKUP($B22,Fire2019!$C$10:$I$57,2,FALSE)</f>
        <v>5</v>
      </c>
      <c r="I22" s="75">
        <f>VLOOKUP($B22,Fire2019!$C$10:$I$57,3,FALSE)</f>
        <v>38</v>
      </c>
      <c r="J22" s="75">
        <f>VLOOKUP($B22,Fire2019!$C$10:$I$57,4,FALSE)</f>
        <v>8</v>
      </c>
      <c r="K22" s="75">
        <f>VLOOKUP($B22,Fire2019!$C$10:$O$58,8,FALSE)</f>
        <v>74</v>
      </c>
      <c r="L22" s="75">
        <f>VLOOKUP($B22,Fire2019!$C$10:$Q$58,9,FALSE)</f>
        <v>3</v>
      </c>
      <c r="M22" s="75">
        <f>VLOOKUP($B22,Fire2019!$C$10:$BA$58,10,FALSE)+VLOOKUP($B22,Fire2019!$C$10:$BA$58,13,FALSE)</f>
        <v>49</v>
      </c>
      <c r="N22" s="75">
        <f>VLOOKUP($B22,Fire2019!$C$10:$BA$58,11,FALSE)+VLOOKUP($B22,Fire2019!$C$10:$BA$58,15,FALSE)</f>
        <v>226</v>
      </c>
      <c r="O22" s="75">
        <f>VLOOKUP($B22,Fire2019!$C$10:$AZ$58,16,FALSE)</f>
        <v>11</v>
      </c>
      <c r="P22" s="75">
        <f>VLOOKUP($B22,Fire2019!$C$10:$AZ$58,17,FALSE)</f>
        <v>12</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75">
        <f>VLOOKUP($B23,Fire2019!$C$10:$I$57,2,FALSE)</f>
        <v>0</v>
      </c>
      <c r="I23" s="75">
        <f>VLOOKUP($B23,Fire2019!$C$10:$I$57,3,FALSE)</f>
        <v>19</v>
      </c>
      <c r="J23" s="75">
        <f>VLOOKUP($B23,Fire2019!$C$10:$I$57,4,FALSE)</f>
        <v>8</v>
      </c>
      <c r="K23" s="75">
        <f>VLOOKUP($B23,Fire2019!$C$10:$O$58,8,FALSE)</f>
        <v>41</v>
      </c>
      <c r="L23" s="75">
        <f>VLOOKUP($B23,Fire2019!$C$10:$Q$58,9,FALSE)</f>
        <v>2</v>
      </c>
      <c r="M23" s="75">
        <f>VLOOKUP($B23,Fire2019!$C$10:$BA$58,10,FALSE)+VLOOKUP($B23,Fire2019!$C$10:$BA$58,13,FALSE)</f>
        <v>26</v>
      </c>
      <c r="N23" s="75">
        <f>VLOOKUP($B23,Fire2019!$C$10:$BA$58,11,FALSE)+VLOOKUP($B23,Fire2019!$C$10:$BA$58,15,FALSE)</f>
        <v>92</v>
      </c>
      <c r="O23" s="75">
        <f>VLOOKUP($B23,Fire2019!$C$10:$AZ$58,16,FALSE)</f>
        <v>5</v>
      </c>
      <c r="P23" s="75">
        <f>VLOOKUP($B23,Fire2019!$C$10:$AZ$58,17,FALSE)</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VLOOKUP($B24,Fire2019!$C$10:$I$57,2,FALSE)</f>
        <v>13</v>
      </c>
      <c r="I24" s="75">
        <f>VLOOKUP($B24,Fire2019!$C$10:$I$57,3,FALSE)</f>
        <v>9</v>
      </c>
      <c r="J24" s="75">
        <f>VLOOKUP($B24,Fire2019!$C$10:$I$57,4,FALSE)</f>
        <v>7</v>
      </c>
      <c r="K24" s="75">
        <f>VLOOKUP($B24,Fire2019!$C$10:$O$58,8,FALSE)</f>
        <v>40</v>
      </c>
      <c r="L24" s="75">
        <f>VLOOKUP($B24,Fire2019!$C$10:$Q$58,9,FALSE)</f>
        <v>2</v>
      </c>
      <c r="M24" s="75">
        <f>VLOOKUP($B24,Fire2019!$C$10:$BA$58,10,FALSE)+VLOOKUP($B24,Fire2019!$C$10:$BA$58,13,FALSE)</f>
        <v>8</v>
      </c>
      <c r="N24" s="75">
        <f>VLOOKUP($B24,Fire2019!$C$10:$BA$58,11,FALSE)+VLOOKUP($B24,Fire2019!$C$10:$BA$58,15,FALSE)</f>
        <v>98</v>
      </c>
      <c r="O24" s="75">
        <f>VLOOKUP($B24,Fire2019!$C$10:$AZ$58,16,FALSE)</f>
        <v>7</v>
      </c>
      <c r="P24" s="75">
        <f>VLOOKUP($B24,Fire2019!$C$10:$AZ$58,17,FALSE)</f>
        <v>6</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75">
        <f>VLOOKUP($B25,Fire2019!$C$10:$I$57,2,FALSE)</f>
        <v>9</v>
      </c>
      <c r="I25" s="75">
        <f>VLOOKUP($B25,Fire2019!$C$10:$I$57,3,FALSE)</f>
        <v>19</v>
      </c>
      <c r="J25" s="75">
        <f>VLOOKUP($B25,Fire2019!$C$10:$I$57,4,FALSE)</f>
        <v>3</v>
      </c>
      <c r="K25" s="75">
        <f>VLOOKUP($B25,Fire2019!$C$10:$O$58,8,FALSE)</f>
        <v>44</v>
      </c>
      <c r="L25" s="75">
        <f>VLOOKUP($B25,Fire2019!$C$10:$Q$58,9,FALSE)</f>
        <v>4</v>
      </c>
      <c r="M25" s="75">
        <f>VLOOKUP($B25,Fire2019!$C$10:$BA$58,10,FALSE)+VLOOKUP($B25,Fire2019!$C$10:$BA$58,13,FALSE)</f>
        <v>10</v>
      </c>
      <c r="N25" s="75">
        <f>VLOOKUP($B25,Fire2019!$C$10:$BA$58,11,FALSE)+VLOOKUP($B25,Fire2019!$C$10:$BA$58,15,FALSE)</f>
        <v>145</v>
      </c>
      <c r="O25" s="75">
        <f>VLOOKUP($B25,Fire2019!$C$10:$AZ$58,16,FALSE)</f>
        <v>6</v>
      </c>
      <c r="P25" s="75">
        <f>VLOOKUP($B25,Fire2019!$C$10:$AZ$58,17,FALSE)</f>
        <v>4</v>
      </c>
      <c r="Q25" s="76"/>
      <c r="R25" s="65"/>
      <c r="S25" s="72"/>
      <c r="T25" s="72" t="s">
        <v>736</v>
      </c>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2">
      <c r="A26" s="48">
        <v>71</v>
      </c>
      <c r="B26" s="85" t="s">
        <v>100</v>
      </c>
      <c r="C26" s="74"/>
      <c r="D26" s="75"/>
      <c r="E26" s="75"/>
      <c r="F26" s="64"/>
      <c r="G26" s="75"/>
      <c r="H26" s="75">
        <f>VLOOKUP($B26,Fire2019!$C$10:$I$57,2,FALSE)</f>
        <v>1</v>
      </c>
      <c r="I26" s="75">
        <f>VLOOKUP($B26,Fire2019!$C$10:$I$57,3,FALSE)</f>
        <v>8</v>
      </c>
      <c r="J26" s="75">
        <f>VLOOKUP($B26,Fire2019!$C$10:$I$57,4,FALSE)</f>
        <v>1</v>
      </c>
      <c r="K26" s="75">
        <f>VLOOKUP($B26,Fire2019!$C$10:$O$58,8,FALSE)</f>
        <v>16</v>
      </c>
      <c r="L26" s="75">
        <f>VLOOKUP($B26,Fire2019!$C$10:$Q$58,9,FALSE)</f>
        <v>2</v>
      </c>
      <c r="M26" s="75">
        <f>VLOOKUP($B26,Fire2019!$C$10:$BA$58,10,FALSE)+VLOOKUP($B26,Fire2019!$C$10:$BA$58,13,FALSE)</f>
        <v>7</v>
      </c>
      <c r="N26" s="75">
        <f>VLOOKUP($B26,Fire2019!$C$10:$BA$58,11,FALSE)+VLOOKUP($B26,Fire2019!$C$10:$BA$58,15,FALSE)</f>
        <v>29</v>
      </c>
      <c r="O26" s="75">
        <f>VLOOKUP($B26,Fire2019!$C$10:$AZ$58,16,FALSE)</f>
        <v>2</v>
      </c>
      <c r="P26" s="75">
        <f>VLOOKUP($B26,Fire2019!$C$10:$AZ$58,17,FALSE)</f>
        <v>1</v>
      </c>
      <c r="Q26" s="76"/>
      <c r="R26" s="65"/>
      <c r="S26" s="72"/>
      <c r="T26" s="233" t="s">
        <v>509</v>
      </c>
      <c r="U26" s="233" t="s">
        <v>509</v>
      </c>
      <c r="V26" s="228" t="s">
        <v>375</v>
      </c>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2">
      <c r="A27" s="48">
        <v>73</v>
      </c>
      <c r="B27" s="82" t="s">
        <v>45</v>
      </c>
      <c r="C27" s="74"/>
      <c r="D27" s="75"/>
      <c r="E27" s="75"/>
      <c r="F27" s="64"/>
      <c r="G27" s="75"/>
      <c r="H27" s="75">
        <f>VLOOKUP($B27,Fire2019!$C$10:$I$57,2,FALSE)</f>
        <v>8</v>
      </c>
      <c r="I27" s="75">
        <f>VLOOKUP($B27,Fire2019!$C$10:$I$57,3,FALSE)</f>
        <v>34</v>
      </c>
      <c r="J27" s="75">
        <f>VLOOKUP($B27,Fire2019!$C$10:$I$57,4,FALSE)</f>
        <v>15</v>
      </c>
      <c r="K27" s="75">
        <f>VLOOKUP($B27,Fire2019!$C$10:$O$58,8,FALSE)</f>
        <v>75</v>
      </c>
      <c r="L27" s="75">
        <f>VLOOKUP($B27,Fire2019!$C$10:$Q$58,9,FALSE)</f>
        <v>3</v>
      </c>
      <c r="M27" s="75">
        <f>VLOOKUP($B27,Fire2019!$C$10:$BA$58,10,FALSE)+VLOOKUP($B27,Fire2019!$C$10:$BA$58,13,FALSE)</f>
        <v>44</v>
      </c>
      <c r="N27" s="75">
        <f>VLOOKUP($B27,Fire2019!$C$10:$BA$58,11,FALSE)+VLOOKUP($B27,Fire2019!$C$10:$BA$58,15,FALSE)</f>
        <v>263</v>
      </c>
      <c r="O27" s="75">
        <f>VLOOKUP($B27,Fire2019!$C$10:$AZ$58,16,FALSE)</f>
        <v>13</v>
      </c>
      <c r="P27" s="75">
        <f>VLOOKUP($B27,Fire2019!$C$10:$AZ$58,17,FALSE)</f>
        <v>11</v>
      </c>
      <c r="Q27" s="76"/>
      <c r="R27" s="65"/>
      <c r="S27" s="72"/>
      <c r="T27" s="228" t="s">
        <v>518</v>
      </c>
      <c r="U27" s="228" t="s">
        <v>518</v>
      </c>
      <c r="V27" s="347" t="s">
        <v>538</v>
      </c>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2">
      <c r="A28" s="48">
        <v>74</v>
      </c>
      <c r="B28" s="82" t="s">
        <v>43</v>
      </c>
      <c r="C28" s="74"/>
      <c r="D28" s="75"/>
      <c r="E28" s="75"/>
      <c r="F28" s="64"/>
      <c r="G28" s="75"/>
      <c r="H28" s="75">
        <f>VLOOKUP($B28,Fire2019!$C$10:$I$57,2,FALSE)</f>
        <v>9</v>
      </c>
      <c r="I28" s="75">
        <f>VLOOKUP($B28,Fire2019!$C$10:$I$57,3,FALSE)</f>
        <v>18</v>
      </c>
      <c r="J28" s="75">
        <f>VLOOKUP($B28,Fire2019!$C$10:$I$57,4,FALSE)</f>
        <v>12</v>
      </c>
      <c r="K28" s="75">
        <f>VLOOKUP($B28,Fire2019!$C$10:$O$58,8,FALSE)</f>
        <v>59</v>
      </c>
      <c r="L28" s="75">
        <f>VLOOKUP($B28,Fire2019!$C$10:$Q$58,9,FALSE)</f>
        <v>4</v>
      </c>
      <c r="M28" s="75">
        <f>VLOOKUP($B28,Fire2019!$C$10:$BA$58,10,FALSE)+VLOOKUP($B28,Fire2019!$C$10:$BA$58,13,FALSE)</f>
        <v>31</v>
      </c>
      <c r="N28" s="75">
        <f>VLOOKUP($B28,Fire2019!$C$10:$BA$58,11,FALSE)+VLOOKUP($B28,Fire2019!$C$10:$BA$58,15,FALSE)</f>
        <v>109</v>
      </c>
      <c r="O28" s="75">
        <f>VLOOKUP($B28,Fire2019!$C$10:$AZ$58,16,FALSE)</f>
        <v>7</v>
      </c>
      <c r="P28" s="75">
        <f>VLOOKUP($B28,Fire2019!$C$10:$AZ$58,17,FALSE)</f>
        <v>7</v>
      </c>
      <c r="Q28" s="76"/>
      <c r="R28" s="65"/>
      <c r="S28" s="72"/>
      <c r="T28" s="233" t="s">
        <v>537</v>
      </c>
      <c r="U28" s="233" t="s">
        <v>537</v>
      </c>
      <c r="V28" s="228" t="s">
        <v>537</v>
      </c>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2">
      <c r="A29" s="48">
        <v>75</v>
      </c>
      <c r="B29" s="82" t="s">
        <v>41</v>
      </c>
      <c r="C29" s="74"/>
      <c r="D29" s="75"/>
      <c r="E29" s="75"/>
      <c r="F29" s="64"/>
      <c r="G29" s="75"/>
      <c r="H29" s="75">
        <f>VLOOKUP($B29,Fire2019!$C$10:$I$57,2,FALSE)</f>
        <v>7</v>
      </c>
      <c r="I29" s="75">
        <f>VLOOKUP($B29,Fire2019!$C$10:$I$57,3,FALSE)</f>
        <v>6</v>
      </c>
      <c r="J29" s="75">
        <f>VLOOKUP($B29,Fire2019!$C$10:$I$57,4,FALSE)</f>
        <v>7</v>
      </c>
      <c r="K29" s="75">
        <f>VLOOKUP($B29,Fire2019!$C$10:$O$58,8,FALSE)</f>
        <v>32</v>
      </c>
      <c r="L29" s="75">
        <f>VLOOKUP($B29,Fire2019!$C$10:$Q$58,9,FALSE)</f>
        <v>2</v>
      </c>
      <c r="M29" s="75">
        <f>VLOOKUP($B29,Fire2019!$C$10:$BA$58,10,FALSE)+VLOOKUP($B29,Fire2019!$C$10:$BA$58,13,FALSE)</f>
        <v>28</v>
      </c>
      <c r="N29" s="75">
        <f>VLOOKUP($B29,Fire2019!$C$10:$BA$58,11,FALSE)+VLOOKUP($B29,Fire2019!$C$10:$BA$58,15,FALSE)</f>
        <v>102</v>
      </c>
      <c r="O29" s="75">
        <f>VLOOKUP($B29,Fire2019!$C$10:$AZ$58,16,FALSE)</f>
        <v>3</v>
      </c>
      <c r="P29" s="75">
        <f>VLOOKUP($B29,Fire2019!$C$10:$AZ$58,17,FALSE)</f>
        <v>5</v>
      </c>
      <c r="Q29" s="76"/>
      <c r="R29" s="65"/>
      <c r="S29" s="72"/>
      <c r="T29" s="233" t="s">
        <v>584</v>
      </c>
      <c r="U29" s="233" t="s">
        <v>716</v>
      </c>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VLOOKUP($B30,Fire2019!$C$10:$I$57,2,FALSE)</f>
        <v>0</v>
      </c>
      <c r="I30" s="75">
        <f>VLOOKUP($B30,Fire2019!$C$10:$I$57,3,FALSE)</f>
        <v>29</v>
      </c>
      <c r="J30" s="75">
        <f>VLOOKUP($B30,Fire2019!$C$10:$I$57,4,FALSE)</f>
        <v>9</v>
      </c>
      <c r="K30" s="75">
        <f>VLOOKUP($B30,Fire2019!$C$10:$O$58,8,FALSE)</f>
        <v>48</v>
      </c>
      <c r="L30" s="75">
        <f>VLOOKUP($B30,Fire2019!$C$10:$Q$58,9,FALSE)</f>
        <v>2</v>
      </c>
      <c r="M30" s="75">
        <f>VLOOKUP($B30,Fire2019!$C$10:$BA$58,10,FALSE)+VLOOKUP($B30,Fire2019!$C$10:$BA$58,13,FALSE)</f>
        <v>43</v>
      </c>
      <c r="N30" s="75">
        <f>VLOOKUP($B30,Fire2019!$C$10:$BA$58,11,FALSE)+VLOOKUP($B30,Fire2019!$C$10:$BA$58,15,FALSE)</f>
        <v>89</v>
      </c>
      <c r="O30" s="75">
        <f>VLOOKUP($B30,Fire2019!$C$10:$AZ$58,16,FALSE)</f>
        <v>5</v>
      </c>
      <c r="P30" s="75">
        <f>VLOOKUP($B30,Fire2019!$C$10:$AZ$58,17,FALSE)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VLOOKUP($B31,Fire2019!$C$10:$I$57,2,FALSE)</f>
        <v>3</v>
      </c>
      <c r="I31" s="75">
        <f>VLOOKUP($B31,Fire2019!$C$10:$I$57,3,FALSE)</f>
        <v>33</v>
      </c>
      <c r="J31" s="75">
        <f>VLOOKUP($B31,Fire2019!$C$10:$I$57,4,FALSE)</f>
        <v>6</v>
      </c>
      <c r="K31" s="75">
        <f>VLOOKUP($B31,Fire2019!$C$10:$O$58,8,FALSE)</f>
        <v>53</v>
      </c>
      <c r="L31" s="75">
        <f>VLOOKUP($B31,Fire2019!$C$10:$Q$58,9,FALSE)</f>
        <v>4</v>
      </c>
      <c r="M31" s="75">
        <f>VLOOKUP($B31,Fire2019!$C$10:$BA$58,10,FALSE)+VLOOKUP($B31,Fire2019!$C$10:$BA$58,13,FALSE)</f>
        <v>22</v>
      </c>
      <c r="N31" s="75">
        <f>VLOOKUP($B31,Fire2019!$C$10:$BA$58,11,FALSE)+VLOOKUP($B31,Fire2019!$C$10:$BA$58,15,FALSE)</f>
        <v>98</v>
      </c>
      <c r="O31" s="75">
        <f>VLOOKUP($B31,Fire2019!$C$10:$AZ$58,16,FALSE)</f>
        <v>4</v>
      </c>
      <c r="P31" s="75">
        <f>VLOOKUP($B31,Fire2019!$C$10:$AZ$58,17,FALSE)</f>
        <v>6</v>
      </c>
      <c r="Q31" s="76"/>
      <c r="R31" s="65"/>
      <c r="S31" s="72" t="s">
        <v>737</v>
      </c>
      <c r="T31" s="72">
        <v>11</v>
      </c>
      <c r="U31" s="57">
        <v>12</v>
      </c>
      <c r="V31" s="65">
        <v>15</v>
      </c>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VLOOKUP($B32,Fire2019!$C$10:$I$57,2,FALSE)</f>
        <v>5</v>
      </c>
      <c r="I32" s="75">
        <f>VLOOKUP($B32,Fire2019!$C$10:$I$57,3,FALSE)</f>
        <v>24</v>
      </c>
      <c r="J32" s="75">
        <f>VLOOKUP($B32,Fire2019!$C$10:$I$57,4,FALSE)</f>
        <v>7</v>
      </c>
      <c r="K32" s="75">
        <f>VLOOKUP($B32,Fire2019!$C$10:$O$58,8,FALSE)</f>
        <v>46</v>
      </c>
      <c r="L32" s="75">
        <f>VLOOKUP($B32,Fire2019!$C$10:$Q$58,9,FALSE)</f>
        <v>3</v>
      </c>
      <c r="M32" s="75">
        <f>VLOOKUP($B32,Fire2019!$C$10:$BA$58,10,FALSE)+VLOOKUP($B32,Fire2019!$C$10:$BA$58,13,FALSE)</f>
        <v>16</v>
      </c>
      <c r="N32" s="75">
        <f>VLOOKUP($B32,Fire2019!$C$10:$BA$58,11,FALSE)+VLOOKUP($B32,Fire2019!$C$10:$BA$58,15,FALSE)</f>
        <v>118</v>
      </c>
      <c r="O32" s="75">
        <f>VLOOKUP($B32,Fire2019!$C$10:$AZ$58,16,FALSE)</f>
        <v>4</v>
      </c>
      <c r="P32" s="75">
        <f>VLOOKUP($B32,Fire2019!$C$10:$AZ$58,17,FALSE)</f>
        <v>3</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VLOOKUP($B33,Fire2019!$C$10:$I$57,2,FALSE)</f>
        <v>3</v>
      </c>
      <c r="I33" s="75">
        <f>VLOOKUP($B33,Fire2019!$C$10:$I$57,3,FALSE)</f>
        <v>14</v>
      </c>
      <c r="J33" s="75">
        <f>VLOOKUP($B33,Fire2019!$C$10:$I$57,4,FALSE)</f>
        <v>5</v>
      </c>
      <c r="K33" s="75">
        <f>VLOOKUP($B33,Fire2019!$C$10:$O$58,8,FALSE)</f>
        <v>26</v>
      </c>
      <c r="L33" s="75">
        <f>VLOOKUP($B33,Fire2019!$C$10:$Q$58,9,FALSE)</f>
        <v>2</v>
      </c>
      <c r="M33" s="75">
        <f>VLOOKUP($B33,Fire2019!$C$10:$BA$58,10,FALSE)+VLOOKUP($B33,Fire2019!$C$10:$BA$58,13,FALSE)</f>
        <v>34</v>
      </c>
      <c r="N33" s="75">
        <f>VLOOKUP($B33,Fire2019!$C$10:$BA$58,11,FALSE)+VLOOKUP($B33,Fire2019!$C$10:$BA$58,15,FALSE)</f>
        <v>86</v>
      </c>
      <c r="O33" s="75">
        <f>VLOOKUP($B33,Fire2019!$C$10:$AZ$58,16,FALSE)</f>
        <v>4</v>
      </c>
      <c r="P33" s="75">
        <f>VLOOKUP($B33,Fire2019!$C$10:$AZ$58,17,FALSE)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VLOOKUP($B34,Fire2019!$C$10:$I$57,2,FALSE)</f>
        <v>1</v>
      </c>
      <c r="I34" s="75">
        <f>VLOOKUP($B34,Fire2019!$C$10:$I$57,3,FALSE)</f>
        <v>11</v>
      </c>
      <c r="J34" s="75">
        <f>VLOOKUP($B34,Fire2019!$C$10:$I$57,4,FALSE)</f>
        <v>3</v>
      </c>
      <c r="K34" s="75">
        <f>VLOOKUP($B34,Fire2019!$C$10:$O$58,8,FALSE)</f>
        <v>22</v>
      </c>
      <c r="L34" s="75">
        <f>VLOOKUP($B34,Fire2019!$C$10:$Q$58,9,FALSE)</f>
        <v>0</v>
      </c>
      <c r="M34" s="75">
        <f>VLOOKUP($B34,Fire2019!$C$10:$BA$58,10,FALSE)+VLOOKUP($B34,Fire2019!$C$10:$BA$58,13,FALSE)</f>
        <v>14</v>
      </c>
      <c r="N34" s="75">
        <f>VLOOKUP($B34,Fire2019!$C$10:$BA$58,11,FALSE)+VLOOKUP($B34,Fire2019!$C$10:$BA$58,15,FALSE)</f>
        <v>40</v>
      </c>
      <c r="O34" s="75">
        <f>VLOOKUP($B34,Fire2019!$C$10:$AZ$58,16,FALSE)</f>
        <v>3</v>
      </c>
      <c r="P34" s="75">
        <f>VLOOKUP($B34,Fire2019!$C$10:$AZ$58,17,FALSE)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VLOOKUP($B35,Fire2019!$C$10:$I$57,2,FALSE)</f>
        <v>8</v>
      </c>
      <c r="I35" s="75">
        <f>VLOOKUP($B35,Fire2019!$C$10:$I$57,3,FALSE)</f>
        <v>12</v>
      </c>
      <c r="J35" s="75">
        <f>VLOOKUP($B35,Fire2019!$C$10:$I$57,4,FALSE)</f>
        <v>4</v>
      </c>
      <c r="K35" s="75">
        <f>VLOOKUP($B35,Fire2019!$C$10:$O$58,8,FALSE)</f>
        <v>30</v>
      </c>
      <c r="L35" s="75">
        <f>VLOOKUP($B35,Fire2019!$C$10:$Q$58,9,FALSE)</f>
        <v>2</v>
      </c>
      <c r="M35" s="75">
        <f>VLOOKUP($B35,Fire2019!$C$10:$BA$58,10,FALSE)+VLOOKUP($B35,Fire2019!$C$10:$BA$58,13,FALSE)</f>
        <v>10</v>
      </c>
      <c r="N35" s="75">
        <f>VLOOKUP($B35,Fire2019!$C$10:$BA$58,11,FALSE)+VLOOKUP($B35,Fire2019!$C$10:$BA$58,15,FALSE)</f>
        <v>90</v>
      </c>
      <c r="O35" s="75">
        <f>VLOOKUP($B35,Fire2019!$C$10:$AZ$58,16,FALSE)</f>
        <v>6</v>
      </c>
      <c r="P35" s="75">
        <f>VLOOKUP($B35,Fire2019!$C$10:$AZ$58,17,FALSE)</f>
        <v>3</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VLOOKUP($B36,Fire2019!$C$10:$I$57,2,FALSE)</f>
        <v>0</v>
      </c>
      <c r="I36" s="75">
        <f>VLOOKUP($B36,Fire2019!$C$10:$I$57,3,FALSE)</f>
        <v>19</v>
      </c>
      <c r="J36" s="75">
        <f>VLOOKUP($B36,Fire2019!$C$10:$I$57,4,FALSE)</f>
        <v>6</v>
      </c>
      <c r="K36" s="75">
        <f>VLOOKUP($B36,Fire2019!$C$10:$O$58,8,FALSE)</f>
        <v>35</v>
      </c>
      <c r="L36" s="75">
        <f>VLOOKUP($B36,Fire2019!$C$10:$Q$58,9,FALSE)</f>
        <v>1</v>
      </c>
      <c r="M36" s="75">
        <f>VLOOKUP($B36,Fire2019!$C$10:$BA$58,10,FALSE)+VLOOKUP($B36,Fire2019!$C$10:$BA$58,13,FALSE)</f>
        <v>9</v>
      </c>
      <c r="N36" s="75">
        <f>VLOOKUP($B36,Fire2019!$C$10:$BA$58,11,FALSE)+VLOOKUP($B36,Fire2019!$C$10:$BA$58,15,FALSE)</f>
        <v>94</v>
      </c>
      <c r="O36" s="75">
        <f>VLOOKUP($B36,Fire2019!$C$10:$AZ$58,16,FALSE)</f>
        <v>5</v>
      </c>
      <c r="P36" s="75">
        <f>VLOOKUP($B36,Fire2019!$C$10:$AZ$58,17,FALSE)</f>
        <v>7</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VLOOKUP($B37,Fire2019!$C$10:$I$57,2,FALSE)</f>
        <v>1</v>
      </c>
      <c r="I37" s="75">
        <f>VLOOKUP($B37,Fire2019!$C$10:$I$57,3,FALSE)</f>
        <v>20</v>
      </c>
      <c r="J37" s="75">
        <f>VLOOKUP($B37,Fire2019!$C$10:$I$57,4,FALSE)</f>
        <v>2</v>
      </c>
      <c r="K37" s="75">
        <f>VLOOKUP($B37,Fire2019!$C$10:$O$58,8,FALSE)</f>
        <v>28</v>
      </c>
      <c r="L37" s="75">
        <f>VLOOKUP($B37,Fire2019!$C$10:$Q$58,9,FALSE)</f>
        <v>2</v>
      </c>
      <c r="M37" s="75">
        <f>VLOOKUP($B37,Fire2019!$C$10:$BA$58,10,FALSE)+VLOOKUP($B37,Fire2019!$C$10:$BA$58,13,FALSE)</f>
        <v>21</v>
      </c>
      <c r="N37" s="75">
        <f>VLOOKUP($B37,Fire2019!$C$10:$BA$58,11,FALSE)+VLOOKUP($B37,Fire2019!$C$10:$BA$58,15,FALSE)</f>
        <v>43</v>
      </c>
      <c r="O37" s="75">
        <f>VLOOKUP($B37,Fire2019!$C$10:$AZ$58,16,FALSE)</f>
        <v>5</v>
      </c>
      <c r="P37" s="75">
        <f>VLOOKUP($B37,Fire2019!$C$10:$AZ$58,17,FALSE)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VLOOKUP($B38,Fire2019!$C$10:$I$57,2,FALSE)</f>
        <v>8</v>
      </c>
      <c r="I38" s="75">
        <f>VLOOKUP($B38,Fire2019!$C$10:$I$57,3,FALSE)</f>
        <v>23</v>
      </c>
      <c r="J38" s="75">
        <f>VLOOKUP($B38,Fire2019!$C$10:$I$57,4,FALSE)</f>
        <v>2</v>
      </c>
      <c r="K38" s="75">
        <f>VLOOKUP($B38,Fire2019!$C$10:$O$58,8,FALSE)</f>
        <v>41</v>
      </c>
      <c r="L38" s="75">
        <f>VLOOKUP($B38,Fire2019!$C$10:$Q$58,9,FALSE)</f>
        <v>2</v>
      </c>
      <c r="M38" s="75">
        <f>VLOOKUP($B38,Fire2019!$C$10:$BA$58,10,FALSE)+VLOOKUP($B38,Fire2019!$C$10:$BA$58,13,FALSE)</f>
        <v>18</v>
      </c>
      <c r="N38" s="75">
        <f>VLOOKUP($B38,Fire2019!$C$10:$BA$58,11,FALSE)+VLOOKUP($B38,Fire2019!$C$10:$BA$58,15,FALSE)</f>
        <v>112</v>
      </c>
      <c r="O38" s="75">
        <f>VLOOKUP($B38,Fire2019!$C$10:$AZ$58,16,FALSE)</f>
        <v>8</v>
      </c>
      <c r="P38" s="75">
        <f>VLOOKUP($B38,Fire2019!$C$10:$AZ$58,17,FALSE)</f>
        <v>3</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VLOOKUP($B39,Fire2019!$C$10:$I$57,2,FALSE)</f>
        <v>0</v>
      </c>
      <c r="I39" s="75">
        <f>VLOOKUP($B39,Fire2019!$C$10:$I$57,3,FALSE)</f>
        <v>29</v>
      </c>
      <c r="J39" s="75">
        <f>VLOOKUP($B39,Fire2019!$C$10:$I$57,4,FALSE)</f>
        <v>6</v>
      </c>
      <c r="K39" s="75">
        <f>VLOOKUP($B39,Fire2019!$C$10:$O$58,8,FALSE)</f>
        <v>43</v>
      </c>
      <c r="L39" s="75">
        <f>VLOOKUP($B39,Fire2019!$C$10:$Q$58,9,FALSE)</f>
        <v>2</v>
      </c>
      <c r="M39" s="75">
        <f>VLOOKUP($B39,Fire2019!$C$10:$BA$58,10,FALSE)+VLOOKUP($B39,Fire2019!$C$10:$BA$58,13,FALSE)</f>
        <v>16</v>
      </c>
      <c r="N39" s="75">
        <f>VLOOKUP($B39,Fire2019!$C$10:$BA$58,11,FALSE)+VLOOKUP($B39,Fire2019!$C$10:$BA$58,15,FALSE)</f>
        <v>82</v>
      </c>
      <c r="O39" s="75">
        <f>VLOOKUP($B39,Fire2019!$C$10:$AZ$58,16,FALSE)</f>
        <v>4</v>
      </c>
      <c r="P39" s="75">
        <f>VLOOKUP($B39,Fire2019!$C$10:$AZ$58,17,FALSE)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VLOOKUP($B40,Fire2019!$C$10:$I$57,2,FALSE)</f>
        <v>18</v>
      </c>
      <c r="I40" s="75">
        <f>VLOOKUP($B40,Fire2019!$C$10:$I$57,3,FALSE)</f>
        <v>7</v>
      </c>
      <c r="J40" s="75">
        <f>VLOOKUP($B40,Fire2019!$C$10:$I$57,4,FALSE)</f>
        <v>1</v>
      </c>
      <c r="K40" s="75">
        <f>VLOOKUP($B40,Fire2019!$C$10:$O$58,8,FALSE)</f>
        <v>30</v>
      </c>
      <c r="L40" s="75">
        <f>VLOOKUP($B40,Fire2019!$C$10:$Q$58,9,FALSE)</f>
        <v>2</v>
      </c>
      <c r="M40" s="75">
        <f>VLOOKUP($B40,Fire2019!$C$10:$BA$58,10,FALSE)+VLOOKUP($B40,Fire2019!$C$10:$BA$58,13,FALSE)</f>
        <v>46</v>
      </c>
      <c r="N40" s="75">
        <f>VLOOKUP($B40,Fire2019!$C$10:$BA$58,11,FALSE)+VLOOKUP($B40,Fire2019!$C$10:$BA$58,15,FALSE)</f>
        <v>116</v>
      </c>
      <c r="O40" s="75">
        <f>VLOOKUP($B40,Fire2019!$C$10:$AZ$58,16,FALSE)</f>
        <v>7</v>
      </c>
      <c r="P40" s="75">
        <f>VLOOKUP($B40,Fire2019!$C$10:$AZ$58,17,FALSE)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VLOOKUP($B41,Fire2019!$C$10:$I$57,2,FALSE)</f>
        <v>5</v>
      </c>
      <c r="I41" s="75">
        <f>VLOOKUP($B41,Fire2019!$C$10:$I$57,3,FALSE)</f>
        <v>9</v>
      </c>
      <c r="J41" s="75">
        <f>VLOOKUP($B41,Fire2019!$C$10:$I$57,4,FALSE)</f>
        <v>3</v>
      </c>
      <c r="K41" s="75">
        <f>VLOOKUP($B41,Fire2019!$C$10:$O$58,8,FALSE)</f>
        <v>23</v>
      </c>
      <c r="L41" s="75">
        <f>VLOOKUP($B41,Fire2019!$C$10:$Q$58,9,FALSE)</f>
        <v>2</v>
      </c>
      <c r="M41" s="75">
        <f>VLOOKUP($B41,Fire2019!$C$10:$BA$58,10,FALSE)+VLOOKUP($B41,Fire2019!$C$10:$BA$58,13,FALSE)</f>
        <v>13</v>
      </c>
      <c r="N41" s="75">
        <f>VLOOKUP($B41,Fire2019!$C$10:$BA$58,11,FALSE)+VLOOKUP($B41,Fire2019!$C$10:$BA$58,15,FALSE)</f>
        <v>72</v>
      </c>
      <c r="O41" s="75">
        <f>VLOOKUP($B41,Fire2019!$C$10:$AZ$58,16,FALSE)</f>
        <v>3</v>
      </c>
      <c r="P41" s="75">
        <f>VLOOKUP($B41,Fire2019!$C$10:$AZ$58,17,FALSE)</f>
        <v>3</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VLOOKUP($B42,Fire2019!$C$10:$I$57,2,FALSE)</f>
        <v>2</v>
      </c>
      <c r="I42" s="75">
        <f>VLOOKUP($B42,Fire2019!$C$10:$I$57,3,FALSE)</f>
        <v>14</v>
      </c>
      <c r="J42" s="75">
        <f>VLOOKUP($B42,Fire2019!$C$10:$I$57,4,FALSE)</f>
        <v>9</v>
      </c>
      <c r="K42" s="75">
        <f>VLOOKUP($B42,Fire2019!$C$10:$O$58,8,FALSE)</f>
        <v>42</v>
      </c>
      <c r="L42" s="75">
        <f>VLOOKUP($B42,Fire2019!$C$10:$Q$58,9,FALSE)</f>
        <v>2</v>
      </c>
      <c r="M42" s="75">
        <f>VLOOKUP($B42,Fire2019!$C$10:$BA$58,10,FALSE)+VLOOKUP($B42,Fire2019!$C$10:$BA$58,13,FALSE)</f>
        <v>4</v>
      </c>
      <c r="N42" s="75">
        <f>VLOOKUP($B42,Fire2019!$C$10:$BA$58,11,FALSE)+VLOOKUP($B42,Fire2019!$C$10:$BA$58,15,FALSE)</f>
        <v>165</v>
      </c>
      <c r="O42" s="75">
        <f>VLOOKUP($B42,Fire2019!$C$10:$AZ$58,16,FALSE)</f>
        <v>6</v>
      </c>
      <c r="P42" s="75">
        <f>VLOOKUP($B42,Fire2019!$C$10:$AZ$58,17,FALSE)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239</v>
      </c>
      <c r="I44" s="70">
        <f t="shared" si="2"/>
        <v>15</v>
      </c>
      <c r="J44" s="70">
        <f t="shared" si="2"/>
        <v>27</v>
      </c>
      <c r="K44" s="70">
        <f t="shared" si="2"/>
        <v>360</v>
      </c>
      <c r="L44" s="70">
        <f t="shared" si="2"/>
        <v>35</v>
      </c>
      <c r="M44" s="70">
        <f t="shared" si="2"/>
        <v>310</v>
      </c>
      <c r="N44" s="70">
        <f t="shared" si="2"/>
        <v>921</v>
      </c>
      <c r="O44" s="70">
        <f t="shared" si="2"/>
        <v>107</v>
      </c>
      <c r="P44" s="70">
        <f t="shared" si="2"/>
        <v>79</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VLOOKUP($B45,Fire2019!$C$10:$I$57,2,FALSE)</f>
        <v>35</v>
      </c>
      <c r="I45" s="75">
        <f>VLOOKUP($B45,Fire2019!$C$10:$I$57,3,FALSE)</f>
        <v>0</v>
      </c>
      <c r="J45" s="75">
        <f>VLOOKUP($B45,Fire2019!$C$10:$I$57,4,FALSE)</f>
        <v>6</v>
      </c>
      <c r="K45" s="75">
        <f>VLOOKUP($B45,Fire2019!$C$10:$O$58,8,FALSE)</f>
        <v>54</v>
      </c>
      <c r="L45" s="75">
        <f>VLOOKUP($B45,Fire2019!$C$10:$Q$58,9,FALSE)</f>
        <v>6</v>
      </c>
      <c r="M45" s="75">
        <f>VLOOKUP($B45,Fire2019!$C$10:$BA$58,10,FALSE)+VLOOKUP($B45,Fire2019!$C$10:$BA$58,13,FALSE)</f>
        <v>18</v>
      </c>
      <c r="N45" s="75">
        <f>VLOOKUP($B45,Fire2019!$C$10:$BA$58,11,FALSE)+VLOOKUP($B45,Fire2019!$C$10:$BA$58,15,FALSE)</f>
        <v>129</v>
      </c>
      <c r="O45" s="75">
        <f>VLOOKUP($B45,Fire2019!$C$10:$AZ$58,16,FALSE)</f>
        <v>12</v>
      </c>
      <c r="P45" s="75">
        <f>VLOOKUP($B45,Fire2019!$C$10:$AZ$58,17,FALSE)</f>
        <v>2</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VLOOKUP($B46,Fire2019!$C$10:$I$57,2,FALSE)</f>
        <v>12</v>
      </c>
      <c r="I46" s="75">
        <f>VLOOKUP($B46,Fire2019!$C$10:$I$57,3,FALSE)</f>
        <v>0</v>
      </c>
      <c r="J46" s="75">
        <f>VLOOKUP($B46,Fire2019!$C$10:$I$57,4,FALSE)</f>
        <v>11</v>
      </c>
      <c r="K46" s="75">
        <f>VLOOKUP($B46,Fire2019!$C$10:$O$58,8,FALSE)</f>
        <v>29</v>
      </c>
      <c r="L46" s="75">
        <f>VLOOKUP($B46,Fire2019!$C$10:$Q$58,9,FALSE)</f>
        <v>4</v>
      </c>
      <c r="M46" s="75">
        <f>VLOOKUP($B46,Fire2019!$C$10:$BA$58,10,FALSE)+VLOOKUP($B46,Fire2019!$C$10:$BA$58,13,FALSE)</f>
        <v>47</v>
      </c>
      <c r="N46" s="75">
        <f>VLOOKUP($B46,Fire2019!$C$10:$BA$58,11,FALSE)+VLOOKUP($B46,Fire2019!$C$10:$BA$58,15,FALSE)</f>
        <v>163</v>
      </c>
      <c r="O46" s="75">
        <f>VLOOKUP($B46,Fire2019!$C$10:$AZ$58,16,FALSE)</f>
        <v>9</v>
      </c>
      <c r="P46" s="75">
        <f>VLOOKUP($B46,Fire2019!$C$10:$AZ$58,17,FALSE)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VLOOKUP($B47,Fire2019!$C$10:$I$57,2,FALSE)</f>
        <v>14</v>
      </c>
      <c r="I47" s="75">
        <f>VLOOKUP($B47,Fire2019!$C$10:$I$57,3,FALSE)</f>
        <v>4</v>
      </c>
      <c r="J47" s="75">
        <f>VLOOKUP($B47,Fire2019!$C$10:$I$57,4,FALSE)</f>
        <v>3</v>
      </c>
      <c r="K47" s="75">
        <f>VLOOKUP($B47,Fire2019!$C$10:$O$58,8,FALSE)</f>
        <v>27</v>
      </c>
      <c r="L47" s="75">
        <f>VLOOKUP($B47,Fire2019!$C$10:$Q$58,9,FALSE)</f>
        <v>2</v>
      </c>
      <c r="M47" s="75">
        <f>VLOOKUP($B47,Fire2019!$C$10:$BA$58,10,FALSE)+VLOOKUP($B47,Fire2019!$C$10:$BA$58,13,FALSE)</f>
        <v>13</v>
      </c>
      <c r="N47" s="75">
        <f>VLOOKUP($B47,Fire2019!$C$10:$BA$58,11,FALSE)+VLOOKUP($B47,Fire2019!$C$10:$BA$58,15,FALSE)</f>
        <v>140</v>
      </c>
      <c r="O47" s="75">
        <f>VLOOKUP($B47,Fire2019!$C$10:$AZ$58,16,FALSE)</f>
        <v>4</v>
      </c>
      <c r="P47" s="75">
        <f>VLOOKUP($B47,Fire2019!$C$10:$AZ$58,17,FALSE)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VLOOKUP($B48,Fire2019!$C$10:$I$57,2,FALSE)</f>
        <v>16</v>
      </c>
      <c r="I48" s="75">
        <f>VLOOKUP($B48,Fire2019!$C$10:$I$57,3,FALSE)</f>
        <v>1</v>
      </c>
      <c r="J48" s="75">
        <f>VLOOKUP($B48,Fire2019!$C$10:$I$57,4,FALSE)</f>
        <v>0</v>
      </c>
      <c r="K48" s="75">
        <f>VLOOKUP($B48,Fire2019!$C$10:$O$58,8,FALSE)</f>
        <v>24</v>
      </c>
      <c r="L48" s="75">
        <f>VLOOKUP($B48,Fire2019!$C$10:$Q$58,9,FALSE)</f>
        <v>3</v>
      </c>
      <c r="M48" s="75">
        <f>VLOOKUP($B48,Fire2019!$C$10:$BA$58,10,FALSE)+VLOOKUP($B48,Fire2019!$C$10:$BA$58,13,FALSE)</f>
        <v>20</v>
      </c>
      <c r="N48" s="75">
        <f>VLOOKUP($B48,Fire2019!$C$10:$BA$58,11,FALSE)+VLOOKUP($B48,Fire2019!$C$10:$BA$58,15,FALSE)</f>
        <v>86</v>
      </c>
      <c r="O48" s="75">
        <f>VLOOKUP($B48,Fire2019!$C$10:$AZ$58,16,FALSE)</f>
        <v>6</v>
      </c>
      <c r="P48" s="75">
        <f>VLOOKUP($B48,Fire2019!$C$10:$AZ$58,17,FALSE)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VLOOKUP($B49,Fire2019!$C$10:$I$57,2,FALSE)</f>
        <v>38</v>
      </c>
      <c r="I49" s="75">
        <f>VLOOKUP($B49,Fire2019!$C$10:$I$57,3,FALSE)</f>
        <v>0</v>
      </c>
      <c r="J49" s="75">
        <f>VLOOKUP($B49,Fire2019!$C$10:$I$57,4,FALSE)</f>
        <v>0</v>
      </c>
      <c r="K49" s="75">
        <f>VLOOKUP($B49,Fire2019!$C$10:$O$58,8,FALSE)</f>
        <v>41</v>
      </c>
      <c r="L49" s="75">
        <f>VLOOKUP($B49,Fire2019!$C$10:$Q$58,9,FALSE)</f>
        <v>4</v>
      </c>
      <c r="M49" s="75">
        <f>VLOOKUP($B49,Fire2019!$C$10:$BA$58,10,FALSE)+VLOOKUP($B49,Fire2019!$C$10:$BA$58,13,FALSE)</f>
        <v>34</v>
      </c>
      <c r="N49" s="75">
        <f>VLOOKUP($B49,Fire2019!$C$10:$BA$58,11,FALSE)+VLOOKUP($B49,Fire2019!$C$10:$BA$58,15,FALSE)</f>
        <v>106</v>
      </c>
      <c r="O49" s="75">
        <f>VLOOKUP($B49,Fire2019!$C$10:$AZ$58,16,FALSE)</f>
        <v>14</v>
      </c>
      <c r="P49" s="75">
        <f>VLOOKUP($B49,Fire2019!$C$10:$AZ$58,17,FALSE)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367">
        <v>21</v>
      </c>
      <c r="I50" s="367">
        <v>10</v>
      </c>
      <c r="J50" s="367">
        <v>7</v>
      </c>
      <c r="K50" s="75">
        <f>VLOOKUP($B50,Fire2019!$C$10:$O$58,8,FALSE)</f>
        <v>43</v>
      </c>
      <c r="L50" s="75">
        <f>VLOOKUP($B50,Fire2019!$C$10:$Q$58,9,FALSE)</f>
        <v>5</v>
      </c>
      <c r="M50" s="75">
        <f>VLOOKUP($B50,Fire2019!$C$10:$BA$58,10,FALSE)+VLOOKUP($B50,Fire2019!$C$10:$BA$58,13,FALSE)</f>
        <v>42</v>
      </c>
      <c r="N50" s="75">
        <f>VLOOKUP($B50,Fire2019!$C$10:$BA$58,11,FALSE)+VLOOKUP($B50,Fire2019!$C$10:$BA$58,15,FALSE)</f>
        <v>208</v>
      </c>
      <c r="O50" s="75">
        <f>VLOOKUP($B50,Fire2019!$C$10:$AZ$58,16,FALSE)</f>
        <v>8</v>
      </c>
      <c r="P50" s="75">
        <f>VLOOKUP($B50,Fire2019!$C$10:$AZ$58,17,FALSE)</f>
        <v>5</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620</v>
      </c>
      <c r="C51" s="90"/>
      <c r="D51" s="91"/>
      <c r="E51" s="91"/>
      <c r="F51" s="91"/>
      <c r="G51" s="75"/>
      <c r="H51" s="75">
        <f>VLOOKUP($B51,Fire2019!$C$10:$I$57,2,FALSE)</f>
        <v>103</v>
      </c>
      <c r="I51" s="75">
        <f>VLOOKUP($B51,Fire2019!$C$10:$I$57,3,FALSE)</f>
        <v>0</v>
      </c>
      <c r="J51" s="75">
        <f>VLOOKUP($B51,Fire2019!$C$10:$I$57,4,FALSE)</f>
        <v>0</v>
      </c>
      <c r="K51" s="75">
        <f>VLOOKUP($B51,Fire2019!$C$10:$O$58,8,FALSE)</f>
        <v>142</v>
      </c>
      <c r="L51" s="75">
        <f>VLOOKUP($B51,Fire2019!$C$10:$Q$58,9,FALSE)</f>
        <v>11</v>
      </c>
      <c r="M51" s="75">
        <f>VLOOKUP($B51,Fire2019!$C$10:$BA$58,10,FALSE)+VLOOKUP($B51,Fire2019!$C$10:$BA$58,13,FALSE)</f>
        <v>136</v>
      </c>
      <c r="N51" s="75">
        <f>VLOOKUP($B51,Fire2019!$C$10:$BA$58,11,FALSE)+VLOOKUP($B51,Fire2019!$C$10:$BA$58,15,FALSE)</f>
        <v>89</v>
      </c>
      <c r="O51" s="75">
        <f>VLOOKUP($B51,Fire2019!$C$10:$AZ$58,16,FALSE)</f>
        <v>54</v>
      </c>
      <c r="P51" s="75">
        <f>VLOOKUP($B51,Fire2019!$C$10:$AZ$58,17,FALSE)</f>
        <v>42</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203" t="s">
        <v>343</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381" t="s">
        <v>344</v>
      </c>
      <c r="C55" s="381"/>
      <c r="D55" s="381"/>
      <c r="E55" s="381"/>
      <c r="F55" s="381"/>
      <c r="G55" s="381"/>
      <c r="H55" s="381"/>
      <c r="I55" s="381"/>
      <c r="J55" s="381"/>
      <c r="K55" s="381"/>
      <c r="L55" s="381"/>
      <c r="M55" s="381"/>
      <c r="N55" s="381"/>
      <c r="O55" s="381"/>
      <c r="P55" s="381"/>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N77"/>
  <sheetViews>
    <sheetView topLeftCell="A7" zoomScale="70" zoomScaleNormal="70" workbookViewId="0">
      <selection activeCell="A4" sqref="A4:H4"/>
    </sheetView>
  </sheetViews>
  <sheetFormatPr defaultColWidth="9.1796875" defaultRowHeight="14.5" x14ac:dyDescent="0.35"/>
  <cols>
    <col min="1" max="1" width="50.7265625" style="116" customWidth="1"/>
    <col min="2" max="5" width="14.7265625" style="116" customWidth="1"/>
    <col min="6" max="6" width="3.7265625" style="116" customWidth="1"/>
    <col min="7" max="10" width="14.7265625" style="116" customWidth="1"/>
    <col min="11" max="11" width="3.7265625" style="116" customWidth="1"/>
    <col min="12" max="15" width="14.7265625" style="116" customWidth="1"/>
    <col min="16" max="17" width="9.1796875" style="116" customWidth="1"/>
    <col min="18" max="18" width="9.1796875" style="116" hidden="1" customWidth="1"/>
    <col min="19" max="19" width="9.1796875" style="116" customWidth="1"/>
    <col min="20" max="20" width="10" style="116" bestFit="1" customWidth="1"/>
    <col min="21" max="21" width="11.81640625" style="116" customWidth="1"/>
    <col min="22" max="26" width="9.1796875" style="116"/>
    <col min="27" max="27" width="11" style="116" customWidth="1"/>
    <col min="28" max="16384" width="9.1796875" style="116"/>
  </cols>
  <sheetData>
    <row r="1" spans="1:40" s="115" customFormat="1" ht="25" customHeight="1" x14ac:dyDescent="0.5">
      <c r="A1" s="394"/>
      <c r="B1" s="394"/>
      <c r="C1" s="394"/>
      <c r="D1" s="394"/>
      <c r="E1" s="394"/>
      <c r="F1" s="394"/>
      <c r="G1" s="394"/>
      <c r="H1" s="394"/>
      <c r="I1" s="394"/>
      <c r="J1" s="394"/>
      <c r="K1" s="394"/>
      <c r="L1" s="394"/>
      <c r="M1" s="394"/>
      <c r="N1" s="394"/>
      <c r="O1" s="394"/>
      <c r="P1" s="113"/>
      <c r="Q1" s="113"/>
      <c r="R1" s="114"/>
      <c r="S1" s="114"/>
    </row>
    <row r="2" spans="1:40" s="117" customFormat="1" ht="15" customHeight="1" x14ac:dyDescent="0.35">
      <c r="A2" s="116"/>
      <c r="B2" s="116"/>
      <c r="C2" s="116"/>
      <c r="D2" s="116"/>
      <c r="E2" s="116"/>
      <c r="F2" s="116"/>
      <c r="G2" s="116"/>
      <c r="H2" s="116"/>
      <c r="I2" s="116"/>
      <c r="J2" s="116"/>
      <c r="K2" s="116"/>
      <c r="L2" s="116"/>
      <c r="M2" s="116"/>
      <c r="N2" s="116"/>
      <c r="O2" s="116"/>
      <c r="P2" s="116"/>
      <c r="Q2" s="116"/>
      <c r="R2" s="116"/>
      <c r="S2" s="116"/>
    </row>
    <row r="3" spans="1:40" s="117" customFormat="1" ht="15" customHeight="1" x14ac:dyDescent="0.35">
      <c r="A3" s="118"/>
      <c r="B3" s="119"/>
      <c r="C3" s="119"/>
      <c r="D3" s="119"/>
      <c r="E3" s="119"/>
      <c r="F3" s="119"/>
      <c r="G3" s="119"/>
      <c r="H3" s="119"/>
      <c r="I3" s="119"/>
      <c r="J3" s="119"/>
      <c r="K3" s="119"/>
      <c r="L3" s="119"/>
      <c r="M3" s="119"/>
      <c r="N3" s="119"/>
      <c r="O3" s="119"/>
      <c r="P3" s="116"/>
      <c r="Q3" s="116"/>
      <c r="R3" s="116"/>
      <c r="S3" s="116"/>
    </row>
    <row r="4" spans="1:40" s="117" customFormat="1" ht="15" customHeight="1" x14ac:dyDescent="0.35">
      <c r="A4" s="395">
        <f>FIRE1403!A4</f>
        <v>2019</v>
      </c>
      <c r="B4" s="395"/>
      <c r="C4" s="395"/>
      <c r="D4" s="395"/>
      <c r="E4" s="395"/>
      <c r="F4" s="395"/>
      <c r="G4" s="395"/>
      <c r="H4" s="395"/>
      <c r="I4" s="119"/>
      <c r="J4" s="119"/>
      <c r="K4" s="119"/>
      <c r="L4" s="119"/>
      <c r="M4" s="119"/>
      <c r="N4" s="119"/>
      <c r="O4" s="119"/>
      <c r="P4" s="116"/>
      <c r="Q4" s="116"/>
      <c r="R4" s="116"/>
      <c r="S4" s="116"/>
      <c r="T4" s="116"/>
    </row>
    <row r="5" spans="1:40" s="117" customFormat="1" ht="15" thickBot="1" x14ac:dyDescent="0.4">
      <c r="A5" s="116"/>
      <c r="B5" s="396"/>
      <c r="C5" s="396"/>
      <c r="D5" s="396"/>
      <c r="E5" s="396"/>
      <c r="F5" s="396"/>
      <c r="G5" s="397"/>
      <c r="H5" s="397"/>
      <c r="I5" s="397"/>
      <c r="J5" s="397"/>
      <c r="K5" s="120"/>
      <c r="L5" s="120"/>
      <c r="M5" s="120"/>
      <c r="N5" s="120"/>
      <c r="O5" s="120"/>
      <c r="P5" s="116"/>
      <c r="Q5" s="116"/>
      <c r="R5" s="121"/>
      <c r="S5" s="121"/>
      <c r="U5" s="121"/>
      <c r="V5" s="121"/>
      <c r="X5" s="121"/>
      <c r="Y5" s="121"/>
      <c r="Z5" s="121"/>
      <c r="AA5" s="121"/>
      <c r="AB5" s="121"/>
      <c r="AE5" s="122"/>
    </row>
    <row r="6" spans="1:40" s="115" customFormat="1" ht="25" customHeight="1" thickBot="1" x14ac:dyDescent="0.4">
      <c r="A6" s="114"/>
      <c r="B6" s="398" t="s">
        <v>214</v>
      </c>
      <c r="C6" s="398"/>
      <c r="D6" s="398"/>
      <c r="E6" s="398"/>
      <c r="F6" s="144"/>
      <c r="G6" s="399" t="s">
        <v>217</v>
      </c>
      <c r="H6" s="399"/>
      <c r="I6" s="399"/>
      <c r="J6" s="399"/>
      <c r="K6" s="123"/>
      <c r="L6" s="399" t="s">
        <v>169</v>
      </c>
      <c r="M6" s="399"/>
      <c r="N6" s="399"/>
      <c r="O6" s="399"/>
      <c r="P6" s="114"/>
      <c r="Q6" s="114"/>
      <c r="R6" s="124"/>
      <c r="S6" s="124"/>
      <c r="U6" s="124"/>
      <c r="V6" s="124"/>
      <c r="X6" s="124"/>
      <c r="Y6" s="124"/>
      <c r="Z6" s="124"/>
      <c r="AA6" s="124"/>
      <c r="AB6" s="124"/>
    </row>
    <row r="7" spans="1:40" s="128" customFormat="1" ht="50.15" customHeight="1" thickBot="1" x14ac:dyDescent="0.4">
      <c r="A7" s="125" t="s">
        <v>201</v>
      </c>
      <c r="B7" s="126" t="s">
        <v>170</v>
      </c>
      <c r="C7" s="126" t="s">
        <v>215</v>
      </c>
      <c r="D7" s="126" t="s">
        <v>222</v>
      </c>
      <c r="E7" s="143" t="s">
        <v>216</v>
      </c>
      <c r="F7" s="127"/>
      <c r="G7" s="126" t="s">
        <v>175</v>
      </c>
      <c r="H7" s="126" t="s">
        <v>176</v>
      </c>
      <c r="I7" s="126" t="s">
        <v>220</v>
      </c>
      <c r="J7" s="143" t="s">
        <v>216</v>
      </c>
      <c r="K7" s="127"/>
      <c r="L7" s="126" t="s">
        <v>221</v>
      </c>
      <c r="M7" s="126" t="s">
        <v>179</v>
      </c>
      <c r="N7" s="126" t="s">
        <v>180</v>
      </c>
      <c r="O7" s="143" t="s">
        <v>216</v>
      </c>
      <c r="T7" s="116"/>
    </row>
    <row r="8" spans="1:40" s="117" customFormat="1" ht="15" customHeight="1" x14ac:dyDescent="0.35">
      <c r="A8" s="129" t="s">
        <v>181</v>
      </c>
      <c r="B8" s="130">
        <f ca="1">INDIRECT("'("&amp;$A$4&amp;")'!h4")</f>
        <v>425</v>
      </c>
      <c r="C8" s="130">
        <f ca="1">INDIRECT("'("&amp;$A$4&amp;")'!i4")</f>
        <v>734</v>
      </c>
      <c r="D8" s="130">
        <f ca="1">INDIRECT("'("&amp;$A$4&amp;")'!j4")</f>
        <v>236</v>
      </c>
      <c r="E8" s="130">
        <f ca="1">SUM(B8:D8)</f>
        <v>1395</v>
      </c>
      <c r="F8" s="130"/>
      <c r="G8" s="130">
        <f ca="1">INDIRECT("'("&amp;$A$4&amp;")'!k4")</f>
        <v>1905</v>
      </c>
      <c r="H8" s="130">
        <f ca="1">INDIRECT("'("&amp;$A$4&amp;")'!l4")</f>
        <v>128</v>
      </c>
      <c r="I8" s="130">
        <f ca="1">INDIRECT("'("&amp;$A$4&amp;")'!m4")</f>
        <v>1402</v>
      </c>
      <c r="J8" s="130">
        <f ca="1">SUM(G8:I8)</f>
        <v>3435</v>
      </c>
      <c r="K8" s="130"/>
      <c r="L8" s="130">
        <f ca="1">INDIRECT("'("&amp;$A$4&amp;")'!n4")</f>
        <v>5152</v>
      </c>
      <c r="M8" s="130">
        <f ca="1">INDIRECT("'("&amp;$A$4&amp;")'!o4")</f>
        <v>337</v>
      </c>
      <c r="N8" s="130">
        <f ca="1">INDIRECT("'("&amp;$A$4&amp;")'!p4")</f>
        <v>251</v>
      </c>
      <c r="O8" s="130">
        <f ca="1">SUM(L8:N8)</f>
        <v>5740</v>
      </c>
      <c r="P8" s="116"/>
      <c r="R8" s="131"/>
      <c r="S8" s="131"/>
      <c r="U8" s="131"/>
      <c r="V8" s="131"/>
      <c r="X8" s="132"/>
      <c r="Y8" s="132"/>
      <c r="Z8" s="132"/>
      <c r="AA8" s="132"/>
      <c r="AB8" s="132"/>
      <c r="AD8" s="133"/>
      <c r="AE8" s="133"/>
      <c r="AF8" s="133"/>
      <c r="AG8" s="133"/>
      <c r="AH8" s="133"/>
      <c r="AI8" s="133"/>
      <c r="AJ8" s="133"/>
      <c r="AK8" s="133"/>
      <c r="AL8" s="133"/>
      <c r="AM8" s="133"/>
      <c r="AN8" s="133"/>
    </row>
    <row r="9" spans="1:40" s="117" customFormat="1" ht="15" customHeight="1" x14ac:dyDescent="0.35">
      <c r="A9" s="134" t="s">
        <v>202</v>
      </c>
      <c r="B9" s="130">
        <f ca="1">INDIRECT("'("&amp;$A$4&amp;")'!h5")</f>
        <v>186</v>
      </c>
      <c r="C9" s="130">
        <f ca="1">INDIRECT("'("&amp;$A$4&amp;")'!i5")</f>
        <v>719</v>
      </c>
      <c r="D9" s="130">
        <f ca="1">INDIRECT("'("&amp;$A$4&amp;")'!j5")</f>
        <v>209</v>
      </c>
      <c r="E9" s="130">
        <f t="shared" ref="E9:E12" ca="1" si="0">SUM(B9:D9)</f>
        <v>1114</v>
      </c>
      <c r="F9" s="130"/>
      <c r="G9" s="130">
        <f ca="1">INDIRECT("'("&amp;$A$4&amp;")'!k5")</f>
        <v>1545</v>
      </c>
      <c r="H9" s="130">
        <f ca="1">INDIRECT("'("&amp;$A$4&amp;")'!l5")</f>
        <v>93</v>
      </c>
      <c r="I9" s="130">
        <f ca="1">INDIRECT("'("&amp;$A$4&amp;")'!m5")</f>
        <v>1092</v>
      </c>
      <c r="J9" s="130">
        <f t="shared" ref="J9:J55" ca="1" si="1">SUM(G9:I9)</f>
        <v>2730</v>
      </c>
      <c r="K9" s="130"/>
      <c r="L9" s="130">
        <f ca="1">INDIRECT("'("&amp;$A$4&amp;")'!n5")</f>
        <v>4231</v>
      </c>
      <c r="M9" s="130">
        <f ca="1">INDIRECT("'("&amp;$A$4&amp;")'!o5")</f>
        <v>230</v>
      </c>
      <c r="N9" s="130">
        <f ca="1">INDIRECT("'("&amp;$A$4&amp;")'!p5")</f>
        <v>172</v>
      </c>
      <c r="O9" s="130">
        <f t="shared" ref="O9:O55" ca="1" si="2">SUM(L9:N9)</f>
        <v>4633</v>
      </c>
      <c r="P9" s="116"/>
      <c r="R9" s="131"/>
      <c r="S9" s="131"/>
      <c r="U9" s="131"/>
      <c r="V9" s="131"/>
      <c r="X9" s="132"/>
      <c r="Y9" s="132"/>
      <c r="Z9" s="132"/>
      <c r="AA9" s="132"/>
      <c r="AB9" s="132"/>
      <c r="AD9" s="133"/>
      <c r="AE9" s="133"/>
      <c r="AF9" s="133"/>
      <c r="AG9" s="133"/>
      <c r="AH9" s="133"/>
      <c r="AI9" s="133"/>
      <c r="AJ9" s="133"/>
      <c r="AK9" s="133"/>
      <c r="AL9" s="133"/>
      <c r="AM9" s="133"/>
      <c r="AN9" s="133"/>
    </row>
    <row r="10" spans="1:40" s="117" customFormat="1" ht="15" customHeight="1" x14ac:dyDescent="0.35">
      <c r="A10" s="116" t="s">
        <v>77</v>
      </c>
      <c r="B10" s="135">
        <f ca="1">INDIRECT("'("&amp;$A$4&amp;")'!h6")</f>
        <v>7</v>
      </c>
      <c r="C10" s="135">
        <f ca="1">INDIRECT("'("&amp;$A$4&amp;")'!i6")</f>
        <v>11</v>
      </c>
      <c r="D10" s="135">
        <f ca="1">INDIRECT("'("&amp;$A$4&amp;")'!j6")</f>
        <v>3</v>
      </c>
      <c r="E10" s="130">
        <f t="shared" ca="1" si="0"/>
        <v>21</v>
      </c>
      <c r="F10" s="135"/>
      <c r="G10" s="135">
        <f ca="1">INDIRECT("'("&amp;$A$4&amp;")'!k6")</f>
        <v>33</v>
      </c>
      <c r="H10" s="135">
        <f ca="1">INDIRECT("'("&amp;$A$4&amp;")'!l6")</f>
        <v>4</v>
      </c>
      <c r="I10" s="135">
        <f ca="1">INDIRECT("'("&amp;$A$4&amp;")'!m6")</f>
        <v>31</v>
      </c>
      <c r="J10" s="130">
        <f t="shared" ca="1" si="1"/>
        <v>68</v>
      </c>
      <c r="K10" s="135"/>
      <c r="L10" s="135">
        <f ca="1">INDIRECT("'("&amp;$A$4&amp;")'!n6")</f>
        <v>101</v>
      </c>
      <c r="M10" s="135">
        <f ca="1">INDIRECT("'("&amp;$A$4&amp;")'!o6")</f>
        <v>8</v>
      </c>
      <c r="N10" s="135">
        <f ca="1">INDIRECT("'("&amp;$A$4&amp;")'!p6")</f>
        <v>3</v>
      </c>
      <c r="O10" s="130">
        <f t="shared" ca="1" si="2"/>
        <v>112</v>
      </c>
      <c r="P10" s="116"/>
      <c r="R10" s="131"/>
      <c r="S10" s="131"/>
      <c r="U10" s="131"/>
      <c r="V10" s="131"/>
      <c r="X10" s="132"/>
      <c r="Y10" s="132"/>
      <c r="Z10" s="132"/>
      <c r="AA10" s="132"/>
      <c r="AB10" s="132"/>
      <c r="AD10" s="133"/>
      <c r="AE10" s="133"/>
      <c r="AF10" s="133"/>
      <c r="AG10" s="133"/>
      <c r="AH10" s="133"/>
      <c r="AI10" s="133"/>
      <c r="AJ10" s="133"/>
      <c r="AK10" s="133"/>
      <c r="AL10" s="133"/>
      <c r="AM10" s="133"/>
      <c r="AN10" s="133"/>
    </row>
    <row r="11" spans="1:40" s="117" customFormat="1" ht="15" customHeight="1" x14ac:dyDescent="0.35">
      <c r="A11" s="116" t="s">
        <v>75</v>
      </c>
      <c r="B11" s="135">
        <f ca="1">INDIRECT("'("&amp;$A$4&amp;")'!h7")</f>
        <v>3</v>
      </c>
      <c r="C11" s="135">
        <f ca="1">INDIRECT("'("&amp;$A$4&amp;")'!i7")</f>
        <v>8</v>
      </c>
      <c r="D11" s="135">
        <f ca="1">INDIRECT("'("&amp;$A$4&amp;")'!j7")</f>
        <v>3</v>
      </c>
      <c r="E11" s="130">
        <f t="shared" ca="1" si="0"/>
        <v>14</v>
      </c>
      <c r="F11" s="135"/>
      <c r="G11" s="135">
        <f ca="1">INDIRECT("'("&amp;$A$4&amp;")'!k7")</f>
        <v>22</v>
      </c>
      <c r="H11" s="135">
        <f ca="1">INDIRECT("'("&amp;$A$4&amp;")'!l7")</f>
        <v>2</v>
      </c>
      <c r="I11" s="135">
        <f ca="1">INDIRECT("'("&amp;$A$4&amp;")'!m7")</f>
        <v>22</v>
      </c>
      <c r="J11" s="130">
        <f t="shared" ca="1" si="1"/>
        <v>46</v>
      </c>
      <c r="K11" s="135"/>
      <c r="L11" s="135">
        <f ca="1">INDIRECT("'("&amp;$A$4&amp;")'!n7")</f>
        <v>67</v>
      </c>
      <c r="M11" s="135">
        <f ca="1">INDIRECT("'("&amp;$A$4&amp;")'!o7")</f>
        <v>4</v>
      </c>
      <c r="N11" s="135">
        <f ca="1">INDIRECT("'("&amp;$A$4&amp;")'!p7")</f>
        <v>2</v>
      </c>
      <c r="O11" s="130">
        <f t="shared" ca="1" si="2"/>
        <v>73</v>
      </c>
      <c r="P11" s="116"/>
      <c r="R11" s="131"/>
      <c r="S11" s="131"/>
      <c r="U11" s="131"/>
      <c r="V11" s="131"/>
      <c r="X11" s="132"/>
      <c r="Y11" s="132"/>
      <c r="Z11" s="132"/>
      <c r="AA11" s="132"/>
      <c r="AB11" s="132"/>
      <c r="AD11" s="133"/>
      <c r="AE11" s="133"/>
      <c r="AF11" s="133"/>
      <c r="AG11" s="133"/>
      <c r="AH11" s="133"/>
      <c r="AI11" s="133"/>
      <c r="AJ11" s="133"/>
      <c r="AK11" s="133"/>
      <c r="AL11" s="133"/>
      <c r="AM11" s="133"/>
      <c r="AN11" s="133"/>
    </row>
    <row r="12" spans="1:40" s="117" customFormat="1" ht="15" customHeight="1" x14ac:dyDescent="0.35">
      <c r="A12" s="116" t="s">
        <v>73</v>
      </c>
      <c r="B12" s="135">
        <f ca="1">INDIRECT("'("&amp;$A$4&amp;")'!h8")</f>
        <v>11</v>
      </c>
      <c r="C12" s="135">
        <f ca="1">INDIRECT("'("&amp;$A$4&amp;")'!i8")</f>
        <v>6</v>
      </c>
      <c r="D12" s="135">
        <f ca="1">INDIRECT("'("&amp;$A$4&amp;")'!j8")</f>
        <v>1</v>
      </c>
      <c r="E12" s="130">
        <f t="shared" ca="1" si="0"/>
        <v>18</v>
      </c>
      <c r="F12" s="135"/>
      <c r="G12" s="135">
        <f ca="1">INDIRECT("'("&amp;$A$4&amp;")'!k8")</f>
        <v>21</v>
      </c>
      <c r="H12" s="135">
        <f ca="1">INDIRECT("'("&amp;$A$4&amp;")'!l8")</f>
        <v>1</v>
      </c>
      <c r="I12" s="135">
        <f ca="1">INDIRECT("'("&amp;$A$4&amp;")'!m8")</f>
        <v>26</v>
      </c>
      <c r="J12" s="130">
        <f t="shared" ca="1" si="1"/>
        <v>48</v>
      </c>
      <c r="K12" s="135"/>
      <c r="L12" s="135">
        <f ca="1">INDIRECT("'("&amp;$A$4&amp;")'!n8")</f>
        <v>61</v>
      </c>
      <c r="M12" s="135">
        <f ca="1">INDIRECT("'("&amp;$A$4&amp;")'!o8")</f>
        <v>9</v>
      </c>
      <c r="N12" s="135">
        <f ca="1">INDIRECT("'("&amp;$A$4&amp;")'!p8")</f>
        <v>4</v>
      </c>
      <c r="O12" s="130">
        <f t="shared" ca="1" si="2"/>
        <v>74</v>
      </c>
      <c r="P12" s="116"/>
      <c r="R12" s="131"/>
      <c r="S12" s="131"/>
      <c r="U12" s="131"/>
      <c r="V12" s="131"/>
      <c r="X12" s="132"/>
      <c r="Y12" s="132"/>
      <c r="Z12" s="132"/>
      <c r="AA12" s="132"/>
      <c r="AB12" s="132"/>
      <c r="AD12" s="133"/>
      <c r="AE12" s="133"/>
      <c r="AF12" s="133"/>
      <c r="AG12" s="133"/>
      <c r="AH12" s="133"/>
      <c r="AI12" s="133"/>
      <c r="AJ12" s="133"/>
      <c r="AK12" s="133"/>
      <c r="AL12" s="133"/>
      <c r="AM12" s="133"/>
      <c r="AN12" s="133"/>
    </row>
    <row r="13" spans="1:40" s="117" customFormat="1" ht="15" customHeight="1" x14ac:dyDescent="0.35">
      <c r="A13" s="116" t="s">
        <v>71</v>
      </c>
      <c r="B13" s="135">
        <f ca="1">INDIRECT("'("&amp;$A$4&amp;")'!h9")</f>
        <v>6</v>
      </c>
      <c r="C13" s="135">
        <f ca="1">INDIRECT("'("&amp;$A$4&amp;")'!i9")</f>
        <v>10</v>
      </c>
      <c r="D13" s="135">
        <f ca="1">INDIRECT("'("&amp;$A$4&amp;")'!j9")</f>
        <v>4</v>
      </c>
      <c r="E13" s="130">
        <f t="shared" ref="E13:E55" ca="1" si="3">SUM(B13:D13)</f>
        <v>20</v>
      </c>
      <c r="F13" s="135"/>
      <c r="G13" s="135">
        <f ca="1">INDIRECT("'("&amp;$A$4&amp;")'!k9")</f>
        <v>30</v>
      </c>
      <c r="H13" s="135">
        <f ca="1">INDIRECT("'("&amp;$A$4&amp;")'!l9")</f>
        <v>2</v>
      </c>
      <c r="I13" s="135">
        <f ca="1">INDIRECT("'("&amp;$A$4&amp;")'!m9")</f>
        <v>13</v>
      </c>
      <c r="J13" s="130">
        <f t="shared" ca="1" si="1"/>
        <v>45</v>
      </c>
      <c r="K13" s="135"/>
      <c r="L13" s="135">
        <f ca="1">INDIRECT("'("&amp;$A$4&amp;")'!n9")</f>
        <v>79</v>
      </c>
      <c r="M13" s="135">
        <f ca="1">INDIRECT("'("&amp;$A$4&amp;")'!o9")</f>
        <v>2</v>
      </c>
      <c r="N13" s="135">
        <f ca="1">INDIRECT("'("&amp;$A$4&amp;")'!p9")</f>
        <v>3</v>
      </c>
      <c r="O13" s="130">
        <f t="shared" ca="1" si="2"/>
        <v>84</v>
      </c>
      <c r="P13" s="116"/>
      <c r="R13" s="131"/>
      <c r="S13" s="131"/>
      <c r="U13" s="131"/>
      <c r="V13" s="131"/>
      <c r="X13" s="132"/>
      <c r="Y13" s="132"/>
      <c r="Z13" s="132"/>
      <c r="AA13" s="132"/>
      <c r="AB13" s="132"/>
      <c r="AD13" s="133"/>
      <c r="AE13" s="133"/>
      <c r="AF13" s="133"/>
      <c r="AG13" s="133"/>
      <c r="AH13" s="133"/>
      <c r="AI13" s="133"/>
      <c r="AJ13" s="133"/>
      <c r="AK13" s="133"/>
      <c r="AL13" s="133"/>
      <c r="AM13" s="133"/>
      <c r="AN13" s="133"/>
    </row>
    <row r="14" spans="1:40" s="117" customFormat="1" ht="15" customHeight="1" x14ac:dyDescent="0.35">
      <c r="A14" s="116" t="s">
        <v>69</v>
      </c>
      <c r="B14" s="135">
        <f ca="1">INDIRECT("'("&amp;$A$4&amp;")'!h10")</f>
        <v>3</v>
      </c>
      <c r="C14" s="135">
        <f ca="1">INDIRECT("'("&amp;$A$4&amp;")'!i10")</f>
        <v>19</v>
      </c>
      <c r="D14" s="135">
        <f ca="1">INDIRECT("'("&amp;$A$4&amp;")'!j10")</f>
        <v>4</v>
      </c>
      <c r="E14" s="130">
        <f t="shared" ca="1" si="3"/>
        <v>26</v>
      </c>
      <c r="F14" s="135"/>
      <c r="G14" s="135">
        <f ca="1">INDIRECT("'("&amp;$A$4&amp;")'!k10")</f>
        <v>36</v>
      </c>
      <c r="H14" s="135">
        <f ca="1">INDIRECT("'("&amp;$A$4&amp;")'!l10")</f>
        <v>2</v>
      </c>
      <c r="I14" s="135">
        <f ca="1">INDIRECT("'("&amp;$A$4&amp;")'!m10")</f>
        <v>93</v>
      </c>
      <c r="J14" s="130">
        <f t="shared" ca="1" si="1"/>
        <v>131</v>
      </c>
      <c r="K14" s="135"/>
      <c r="L14" s="135">
        <f ca="1">INDIRECT("'("&amp;$A$4&amp;")'!n10")</f>
        <v>116</v>
      </c>
      <c r="M14" s="135">
        <f ca="1">INDIRECT("'("&amp;$A$4&amp;")'!o10")</f>
        <v>4</v>
      </c>
      <c r="N14" s="135">
        <f ca="1">INDIRECT("'("&amp;$A$4&amp;")'!p10")</f>
        <v>3</v>
      </c>
      <c r="O14" s="130">
        <f t="shared" ca="1" si="2"/>
        <v>123</v>
      </c>
      <c r="P14" s="116"/>
      <c r="R14" s="131"/>
      <c r="S14" s="131"/>
      <c r="U14" s="131"/>
      <c r="V14" s="131"/>
      <c r="X14" s="132"/>
      <c r="Y14" s="132"/>
      <c r="Z14" s="132"/>
      <c r="AA14" s="132"/>
      <c r="AB14" s="132"/>
      <c r="AD14" s="133"/>
      <c r="AE14" s="133"/>
      <c r="AF14" s="133"/>
      <c r="AG14" s="133"/>
      <c r="AH14" s="133"/>
      <c r="AI14" s="133"/>
      <c r="AJ14" s="133"/>
      <c r="AK14" s="133"/>
      <c r="AL14" s="133"/>
      <c r="AM14" s="133"/>
      <c r="AN14" s="133"/>
    </row>
    <row r="15" spans="1:40" s="117" customFormat="1" ht="15" customHeight="1" x14ac:dyDescent="0.35">
      <c r="A15" s="116" t="s">
        <v>67</v>
      </c>
      <c r="B15" s="135">
        <f ca="1">INDIRECT("'("&amp;$A$4&amp;")'!h11")</f>
        <v>7</v>
      </c>
      <c r="C15" s="135">
        <f ca="1">INDIRECT("'("&amp;$A$4&amp;")'!i11")</f>
        <v>11</v>
      </c>
      <c r="D15" s="135">
        <f ca="1">INDIRECT("'("&amp;$A$4&amp;")'!j11")</f>
        <v>10</v>
      </c>
      <c r="E15" s="130">
        <f t="shared" ca="1" si="3"/>
        <v>28</v>
      </c>
      <c r="F15" s="135"/>
      <c r="G15" s="135">
        <f ca="1">INDIRECT("'("&amp;$A$4&amp;")'!k11")</f>
        <v>36</v>
      </c>
      <c r="H15" s="135">
        <f ca="1">INDIRECT("'("&amp;$A$4&amp;")'!l11")</f>
        <v>3</v>
      </c>
      <c r="I15" s="135">
        <f ca="1">INDIRECT("'("&amp;$A$4&amp;")'!m11")</f>
        <v>19</v>
      </c>
      <c r="J15" s="130">
        <f t="shared" ca="1" si="1"/>
        <v>58</v>
      </c>
      <c r="K15" s="135"/>
      <c r="L15" s="135">
        <f ca="1">INDIRECT("'("&amp;$A$4&amp;")'!n11")</f>
        <v>151</v>
      </c>
      <c r="M15" s="135">
        <f ca="1">INDIRECT("'("&amp;$A$4&amp;")'!o11")</f>
        <v>8</v>
      </c>
      <c r="N15" s="135">
        <f ca="1">INDIRECT("'("&amp;$A$4&amp;")'!p11")</f>
        <v>4</v>
      </c>
      <c r="O15" s="130">
        <f t="shared" ca="1" si="2"/>
        <v>163</v>
      </c>
      <c r="P15" s="116"/>
      <c r="R15" s="131"/>
      <c r="S15" s="131"/>
      <c r="U15" s="131"/>
      <c r="V15" s="131"/>
      <c r="X15" s="132"/>
      <c r="Y15" s="132"/>
      <c r="Z15" s="132"/>
      <c r="AA15" s="132"/>
      <c r="AB15" s="132"/>
      <c r="AD15" s="133"/>
      <c r="AE15" s="133"/>
      <c r="AF15" s="133"/>
      <c r="AG15" s="133"/>
      <c r="AH15" s="133"/>
      <c r="AI15" s="133"/>
      <c r="AJ15" s="133"/>
      <c r="AK15" s="133"/>
      <c r="AL15" s="133"/>
      <c r="AM15" s="133"/>
      <c r="AN15" s="133"/>
    </row>
    <row r="16" spans="1:40" s="117" customFormat="1" ht="15" customHeight="1" x14ac:dyDescent="0.35">
      <c r="A16" s="116" t="s">
        <v>65</v>
      </c>
      <c r="B16" s="135">
        <f ca="1">INDIRECT("'("&amp;$A$4&amp;")'!h12")</f>
        <v>6</v>
      </c>
      <c r="C16" s="135">
        <f ca="1">INDIRECT("'("&amp;$A$4&amp;")'!i12")</f>
        <v>6</v>
      </c>
      <c r="D16" s="135">
        <f ca="1">INDIRECT("'("&amp;$A$4&amp;")'!j12")</f>
        <v>2</v>
      </c>
      <c r="E16" s="130">
        <f t="shared" ca="1" si="3"/>
        <v>14</v>
      </c>
      <c r="F16" s="135"/>
      <c r="G16" s="135">
        <f ca="1">INDIRECT("'("&amp;$A$4&amp;")'!k12")</f>
        <v>21</v>
      </c>
      <c r="H16" s="135">
        <f ca="1">INDIRECT("'("&amp;$A$4&amp;")'!l12")</f>
        <v>3</v>
      </c>
      <c r="I16" s="135">
        <f ca="1">INDIRECT("'("&amp;$A$4&amp;")'!m12")</f>
        <v>10</v>
      </c>
      <c r="J16" s="130">
        <f t="shared" ca="1" si="1"/>
        <v>34</v>
      </c>
      <c r="K16" s="135"/>
      <c r="L16" s="135">
        <f ca="1">INDIRECT("'("&amp;$A$4&amp;")'!n12")</f>
        <v>62</v>
      </c>
      <c r="M16" s="135">
        <f ca="1">INDIRECT("'("&amp;$A$4&amp;")'!o12")</f>
        <v>4</v>
      </c>
      <c r="N16" s="135">
        <f ca="1">INDIRECT("'("&amp;$A$4&amp;")'!p12")</f>
        <v>2</v>
      </c>
      <c r="O16" s="130">
        <f t="shared" ca="1" si="2"/>
        <v>68</v>
      </c>
      <c r="P16" s="116"/>
      <c r="R16" s="131"/>
      <c r="S16" s="131"/>
      <c r="U16" s="131"/>
      <c r="V16" s="131"/>
      <c r="X16" s="132"/>
      <c r="Y16" s="132"/>
      <c r="Z16" s="132"/>
      <c r="AA16" s="132"/>
      <c r="AB16" s="132"/>
      <c r="AD16" s="133"/>
      <c r="AE16" s="133"/>
      <c r="AF16" s="133"/>
      <c r="AG16" s="133"/>
      <c r="AH16" s="133"/>
      <c r="AI16" s="133"/>
      <c r="AJ16" s="133"/>
      <c r="AK16" s="133"/>
      <c r="AL16" s="133"/>
      <c r="AM16" s="133"/>
      <c r="AN16" s="133"/>
    </row>
    <row r="17" spans="1:40" s="117" customFormat="1" ht="15" customHeight="1" x14ac:dyDescent="0.35">
      <c r="A17" s="116" t="s">
        <v>108</v>
      </c>
      <c r="B17" s="135">
        <f ca="1">INDIRECT("'("&amp;$A$4&amp;")'!h13")</f>
        <v>2</v>
      </c>
      <c r="C17" s="135">
        <f ca="1">INDIRECT("'("&amp;$A$4&amp;")'!i13")</f>
        <v>23</v>
      </c>
      <c r="D17" s="135">
        <f ca="1">INDIRECT("'("&amp;$A$4&amp;")'!j13")</f>
        <v>6</v>
      </c>
      <c r="E17" s="130">
        <f t="shared" ca="1" si="3"/>
        <v>31</v>
      </c>
      <c r="F17" s="135"/>
      <c r="G17" s="135">
        <f ca="1">INDIRECT("'("&amp;$A$4&amp;")'!k13")</f>
        <v>43</v>
      </c>
      <c r="H17" s="135">
        <f ca="1">INDIRECT("'("&amp;$A$4&amp;")'!l13")</f>
        <v>2</v>
      </c>
      <c r="I17" s="135">
        <f ca="1">INDIRECT("'("&amp;$A$4&amp;")'!m13")</f>
        <v>51</v>
      </c>
      <c r="J17" s="130">
        <f t="shared" ca="1" si="1"/>
        <v>96</v>
      </c>
      <c r="K17" s="135"/>
      <c r="L17" s="135">
        <f ca="1">INDIRECT("'("&amp;$A$4&amp;")'!n13")</f>
        <v>98</v>
      </c>
      <c r="M17" s="135">
        <f ca="1">INDIRECT("'("&amp;$A$4&amp;")'!o13")</f>
        <v>8</v>
      </c>
      <c r="N17" s="135">
        <f ca="1">INDIRECT("'("&amp;$A$4&amp;")'!p13")</f>
        <v>4</v>
      </c>
      <c r="O17" s="130">
        <f t="shared" ca="1" si="2"/>
        <v>110</v>
      </c>
      <c r="P17" s="116"/>
      <c r="R17" s="131"/>
      <c r="S17" s="131"/>
      <c r="U17" s="131"/>
      <c r="V17" s="131"/>
      <c r="X17" s="132"/>
      <c r="Y17" s="132"/>
      <c r="Z17" s="132"/>
      <c r="AA17" s="132"/>
      <c r="AB17" s="132"/>
      <c r="AD17" s="133"/>
      <c r="AE17" s="133"/>
      <c r="AF17" s="133"/>
      <c r="AG17" s="133"/>
      <c r="AH17" s="133"/>
      <c r="AI17" s="133"/>
      <c r="AJ17" s="133"/>
      <c r="AK17" s="133"/>
      <c r="AL17" s="133"/>
      <c r="AM17" s="133"/>
      <c r="AN17" s="133"/>
    </row>
    <row r="18" spans="1:40" s="117" customFormat="1" ht="15" customHeight="1" x14ac:dyDescent="0.35">
      <c r="A18" s="116" t="s">
        <v>106</v>
      </c>
      <c r="B18" s="135">
        <f ca="1">INDIRECT("'("&amp;$A$4&amp;")'!h14")</f>
        <v>2</v>
      </c>
      <c r="C18" s="135">
        <f ca="1">INDIRECT("'("&amp;$A$4&amp;")'!i14")</f>
        <v>30</v>
      </c>
      <c r="D18" s="135">
        <f ca="1">INDIRECT("'("&amp;$A$4&amp;")'!j14")</f>
        <v>6</v>
      </c>
      <c r="E18" s="130">
        <f t="shared" ca="1" si="3"/>
        <v>38</v>
      </c>
      <c r="F18" s="135"/>
      <c r="G18" s="135">
        <f ca="1">INDIRECT("'("&amp;$A$4&amp;")'!k14")</f>
        <v>45</v>
      </c>
      <c r="H18" s="135">
        <f ca="1">INDIRECT("'("&amp;$A$4&amp;")'!l14")</f>
        <v>2</v>
      </c>
      <c r="I18" s="135">
        <f ca="1">INDIRECT("'("&amp;$A$4&amp;")'!m14")</f>
        <v>24</v>
      </c>
      <c r="J18" s="130">
        <f t="shared" ca="1" si="1"/>
        <v>71</v>
      </c>
      <c r="K18" s="135"/>
      <c r="L18" s="135">
        <f ca="1">INDIRECT("'("&amp;$A$4&amp;")'!n14")</f>
        <v>81</v>
      </c>
      <c r="M18" s="135">
        <f ca="1">INDIRECT("'("&amp;$A$4&amp;")'!o14")</f>
        <v>5</v>
      </c>
      <c r="N18" s="135">
        <f ca="1">INDIRECT("'("&amp;$A$4&amp;")'!p14")</f>
        <v>4</v>
      </c>
      <c r="O18" s="130">
        <f t="shared" ca="1" si="2"/>
        <v>90</v>
      </c>
      <c r="P18" s="116"/>
      <c r="R18" s="131"/>
      <c r="S18" s="131"/>
      <c r="U18" s="131"/>
      <c r="V18" s="131"/>
      <c r="X18" s="132"/>
      <c r="Y18" s="132"/>
      <c r="Z18" s="132"/>
      <c r="AA18" s="132"/>
      <c r="AB18" s="132"/>
      <c r="AD18" s="133"/>
      <c r="AE18" s="133"/>
      <c r="AF18" s="133"/>
      <c r="AG18" s="133"/>
      <c r="AH18" s="133"/>
      <c r="AI18" s="133"/>
      <c r="AJ18" s="133"/>
      <c r="AK18" s="133"/>
      <c r="AL18" s="133"/>
      <c r="AM18" s="133"/>
      <c r="AN18" s="133"/>
    </row>
    <row r="19" spans="1:40" s="117" customFormat="1" ht="15" customHeight="1" x14ac:dyDescent="0.35">
      <c r="A19" s="136" t="s">
        <v>63</v>
      </c>
      <c r="B19" s="135">
        <f ca="1">INDIRECT("'("&amp;$A$4&amp;")'!h15")</f>
        <v>4</v>
      </c>
      <c r="C19" s="135">
        <f ca="1">INDIRECT("'("&amp;$A$4&amp;")'!i15")</f>
        <v>19</v>
      </c>
      <c r="D19" s="135">
        <f ca="1">INDIRECT("'("&amp;$A$4&amp;")'!j15")</f>
        <v>8</v>
      </c>
      <c r="E19" s="130">
        <f t="shared" ca="1" si="3"/>
        <v>31</v>
      </c>
      <c r="F19" s="135"/>
      <c r="G19" s="135">
        <f ca="1">INDIRECT("'("&amp;$A$4&amp;")'!k15")</f>
        <v>41</v>
      </c>
      <c r="H19" s="135">
        <f ca="1">INDIRECT("'("&amp;$A$4&amp;")'!l15")</f>
        <v>2</v>
      </c>
      <c r="I19" s="135">
        <f ca="1">INDIRECT("'("&amp;$A$4&amp;")'!m15")</f>
        <v>14</v>
      </c>
      <c r="J19" s="130">
        <f t="shared" ca="1" si="1"/>
        <v>57</v>
      </c>
      <c r="K19" s="135"/>
      <c r="L19" s="135">
        <f ca="1">INDIRECT("'("&amp;$A$4&amp;")'!n15")</f>
        <v>179</v>
      </c>
      <c r="M19" s="135">
        <f ca="1">INDIRECT("'("&amp;$A$4&amp;")'!o15")</f>
        <v>4</v>
      </c>
      <c r="N19" s="135">
        <f ca="1">INDIRECT("'("&amp;$A$4&amp;")'!p15")</f>
        <v>6</v>
      </c>
      <c r="O19" s="130">
        <f t="shared" ca="1" si="2"/>
        <v>189</v>
      </c>
      <c r="P19" s="116"/>
      <c r="R19" s="131"/>
      <c r="S19" s="131"/>
      <c r="U19" s="131"/>
      <c r="V19" s="131"/>
      <c r="X19" s="132"/>
      <c r="Y19" s="132"/>
      <c r="Z19" s="132"/>
      <c r="AA19" s="132"/>
      <c r="AB19" s="132"/>
      <c r="AD19" s="133"/>
      <c r="AE19" s="133"/>
      <c r="AF19" s="133"/>
      <c r="AG19" s="133"/>
      <c r="AH19" s="133"/>
      <c r="AI19" s="133"/>
      <c r="AJ19" s="133"/>
      <c r="AK19" s="133"/>
      <c r="AL19" s="133"/>
      <c r="AM19" s="133"/>
      <c r="AN19" s="133"/>
    </row>
    <row r="20" spans="1:40" s="117" customFormat="1" ht="15" customHeight="1" x14ac:dyDescent="0.35">
      <c r="A20" s="136" t="s">
        <v>61</v>
      </c>
      <c r="B20" s="135">
        <f ca="1">INDIRECT("'("&amp;$A$4&amp;")'!h16")</f>
        <v>3</v>
      </c>
      <c r="C20" s="135">
        <f ca="1">INDIRECT("'("&amp;$A$4&amp;")'!i16")</f>
        <v>71</v>
      </c>
      <c r="D20" s="135">
        <f ca="1">INDIRECT("'("&amp;$A$4&amp;")'!j16")</f>
        <v>9</v>
      </c>
      <c r="E20" s="130">
        <f t="shared" ca="1" si="3"/>
        <v>83</v>
      </c>
      <c r="F20" s="135"/>
      <c r="G20" s="135">
        <f ca="1">INDIRECT("'("&amp;$A$4&amp;")'!k16")</f>
        <v>121</v>
      </c>
      <c r="H20" s="135">
        <f ca="1">INDIRECT("'("&amp;$A$4&amp;")'!l16")</f>
        <v>7</v>
      </c>
      <c r="I20" s="135">
        <f ca="1">INDIRECT("'("&amp;$A$4&amp;")'!m16")</f>
        <v>175</v>
      </c>
      <c r="J20" s="130">
        <f t="shared" ca="1" si="1"/>
        <v>303</v>
      </c>
      <c r="K20" s="135"/>
      <c r="L20" s="135">
        <f ca="1">INDIRECT("'("&amp;$A$4&amp;")'!n16")</f>
        <v>259</v>
      </c>
      <c r="M20" s="135">
        <f ca="1">INDIRECT("'("&amp;$A$4&amp;")'!o16")</f>
        <v>21</v>
      </c>
      <c r="N20" s="135">
        <f ca="1">INDIRECT("'("&amp;$A$4&amp;")'!p16")</f>
        <v>17</v>
      </c>
      <c r="O20" s="130">
        <f t="shared" ca="1" si="2"/>
        <v>297</v>
      </c>
      <c r="P20" s="116"/>
      <c r="R20" s="131"/>
      <c r="S20" s="131"/>
      <c r="U20" s="131"/>
      <c r="V20" s="131"/>
      <c r="X20" s="132"/>
      <c r="Y20" s="132"/>
      <c r="Z20" s="132"/>
      <c r="AA20" s="132"/>
      <c r="AB20" s="132"/>
      <c r="AD20" s="133"/>
      <c r="AE20" s="133"/>
      <c r="AF20" s="133"/>
      <c r="AG20" s="133"/>
      <c r="AH20" s="133"/>
      <c r="AI20" s="133"/>
      <c r="AJ20" s="133"/>
      <c r="AK20" s="133"/>
      <c r="AL20" s="133"/>
      <c r="AM20" s="133"/>
      <c r="AN20" s="133"/>
    </row>
    <row r="21" spans="1:40" s="117" customFormat="1" ht="15" customHeight="1" x14ac:dyDescent="0.35">
      <c r="A21" s="116" t="s">
        <v>358</v>
      </c>
      <c r="B21" s="135">
        <f ca="1">INDIRECT("'("&amp;$A$4&amp;")'!h17")</f>
        <v>3</v>
      </c>
      <c r="C21" s="135">
        <f ca="1">INDIRECT("'("&amp;$A$4&amp;")'!i17")</f>
        <v>37</v>
      </c>
      <c r="D21" s="135">
        <f ca="1">INDIRECT("'("&amp;$A$4&amp;")'!j17")</f>
        <v>10</v>
      </c>
      <c r="E21" s="130">
        <f t="shared" ca="1" si="3"/>
        <v>50</v>
      </c>
      <c r="F21" s="135"/>
      <c r="G21" s="135">
        <f ca="1">INDIRECT("'("&amp;$A$4&amp;")'!k17")</f>
        <v>74</v>
      </c>
      <c r="H21" s="135">
        <f ca="1">INDIRECT("'("&amp;$A$4&amp;")'!l17")</f>
        <v>4</v>
      </c>
      <c r="I21" s="135">
        <f ca="1">INDIRECT("'("&amp;$A$4&amp;")'!m17")</f>
        <v>61</v>
      </c>
      <c r="J21" s="130">
        <f t="shared" ca="1" si="1"/>
        <v>139</v>
      </c>
      <c r="K21" s="135"/>
      <c r="L21" s="135">
        <f ca="1">INDIRECT("'("&amp;$A$4&amp;")'!n17")</f>
        <v>245</v>
      </c>
      <c r="M21" s="135">
        <f ca="1">INDIRECT("'("&amp;$A$4&amp;")'!o17")</f>
        <v>8</v>
      </c>
      <c r="N21" s="135">
        <f ca="1">INDIRECT("'("&amp;$A$4&amp;")'!p17")</f>
        <v>7</v>
      </c>
      <c r="O21" s="130">
        <f t="shared" ca="1" si="2"/>
        <v>260</v>
      </c>
      <c r="P21" s="116"/>
      <c r="R21" s="131"/>
      <c r="S21" s="131"/>
      <c r="U21" s="131"/>
      <c r="V21" s="131"/>
      <c r="X21" s="132"/>
      <c r="Y21" s="132"/>
      <c r="Z21" s="132"/>
      <c r="AA21" s="132"/>
      <c r="AB21" s="132"/>
      <c r="AD21" s="133"/>
      <c r="AE21" s="133"/>
      <c r="AF21" s="133"/>
      <c r="AG21" s="133"/>
      <c r="AH21" s="133"/>
      <c r="AI21" s="133"/>
      <c r="AJ21" s="133"/>
      <c r="AK21" s="133"/>
      <c r="AL21" s="133"/>
      <c r="AM21" s="133"/>
      <c r="AN21" s="133"/>
    </row>
    <row r="22" spans="1:40" s="117" customFormat="1" ht="15" customHeight="1" x14ac:dyDescent="0.35">
      <c r="A22" s="116" t="s">
        <v>57</v>
      </c>
      <c r="B22" s="135">
        <f ca="1">INDIRECT("'("&amp;$A$4&amp;")'!h18")</f>
        <v>2</v>
      </c>
      <c r="C22" s="135">
        <f ca="1">INDIRECT("'("&amp;$A$4&amp;")'!i18")</f>
        <v>6</v>
      </c>
      <c r="D22" s="135">
        <f ca="1">INDIRECT("'("&amp;$A$4&amp;")'!j18")</f>
        <v>7</v>
      </c>
      <c r="E22" s="130">
        <f t="shared" ca="1" si="3"/>
        <v>15</v>
      </c>
      <c r="F22" s="135"/>
      <c r="G22" s="135">
        <f ca="1">INDIRECT("'("&amp;$A$4&amp;")'!k18")</f>
        <v>26</v>
      </c>
      <c r="H22" s="135">
        <f ca="1">INDIRECT("'("&amp;$A$4&amp;")'!l18")</f>
        <v>2</v>
      </c>
      <c r="I22" s="135">
        <f ca="1">INDIRECT("'("&amp;$A$4&amp;")'!m18")</f>
        <v>18</v>
      </c>
      <c r="J22" s="130">
        <f t="shared" ca="1" si="1"/>
        <v>46</v>
      </c>
      <c r="K22" s="135"/>
      <c r="L22" s="135">
        <f ca="1">INDIRECT("'("&amp;$A$4&amp;")'!n18")</f>
        <v>72</v>
      </c>
      <c r="M22" s="135">
        <f ca="1">INDIRECT("'("&amp;$A$4&amp;")'!o18")</f>
        <v>6</v>
      </c>
      <c r="N22" s="135">
        <f ca="1">INDIRECT("'("&amp;$A$4&amp;")'!p18")</f>
        <v>4</v>
      </c>
      <c r="O22" s="130">
        <f t="shared" ca="1" si="2"/>
        <v>82</v>
      </c>
      <c r="P22" s="116"/>
      <c r="R22" s="131"/>
      <c r="S22" s="131"/>
      <c r="U22" s="131"/>
      <c r="V22" s="131"/>
      <c r="X22" s="132"/>
      <c r="Y22" s="132"/>
      <c r="Z22" s="132"/>
      <c r="AA22" s="132"/>
      <c r="AB22" s="132"/>
      <c r="AD22" s="133"/>
      <c r="AE22" s="133"/>
      <c r="AF22" s="133"/>
      <c r="AG22" s="133"/>
      <c r="AH22" s="133"/>
      <c r="AI22" s="133"/>
      <c r="AJ22" s="133"/>
      <c r="AK22" s="133"/>
      <c r="AL22" s="133"/>
      <c r="AM22" s="133"/>
      <c r="AN22" s="133"/>
    </row>
    <row r="23" spans="1:40" s="117" customFormat="1" ht="15" customHeight="1" x14ac:dyDescent="0.35">
      <c r="A23" s="116" t="s">
        <v>55</v>
      </c>
      <c r="B23" s="135">
        <f ca="1">INDIRECT("'("&amp;$A$4&amp;")'!h19")</f>
        <v>6</v>
      </c>
      <c r="C23" s="135">
        <f ca="1">INDIRECT("'("&amp;$A$4&amp;")'!i19")</f>
        <v>12</v>
      </c>
      <c r="D23" s="135">
        <f ca="1">INDIRECT("'("&amp;$A$4&amp;")'!j19")</f>
        <v>6</v>
      </c>
      <c r="E23" s="130">
        <f t="shared" ca="1" si="3"/>
        <v>24</v>
      </c>
      <c r="F23" s="135"/>
      <c r="G23" s="135">
        <f ca="1">INDIRECT("'("&amp;$A$4&amp;")'!k19")</f>
        <v>41</v>
      </c>
      <c r="H23" s="135">
        <f ca="1">INDIRECT("'("&amp;$A$4&amp;")'!l19")</f>
        <v>3</v>
      </c>
      <c r="I23" s="135">
        <f ca="1">INDIRECT("'("&amp;$A$4&amp;")'!m19")</f>
        <v>11</v>
      </c>
      <c r="J23" s="130">
        <f t="shared" ca="1" si="1"/>
        <v>55</v>
      </c>
      <c r="K23" s="135"/>
      <c r="L23" s="135">
        <f ca="1">INDIRECT("'("&amp;$A$4&amp;")'!n19")</f>
        <v>131</v>
      </c>
      <c r="M23" s="135">
        <f ca="1">INDIRECT("'("&amp;$A$4&amp;")'!o19")</f>
        <v>2</v>
      </c>
      <c r="N23" s="135">
        <f ca="1">INDIRECT("'("&amp;$A$4&amp;")'!p19")</f>
        <v>3</v>
      </c>
      <c r="O23" s="130">
        <f t="shared" ca="1" si="2"/>
        <v>136</v>
      </c>
      <c r="P23" s="116"/>
      <c r="R23" s="131"/>
      <c r="S23" s="131"/>
      <c r="U23" s="131"/>
      <c r="V23" s="131"/>
      <c r="X23" s="132"/>
      <c r="Y23" s="132"/>
      <c r="Z23" s="132"/>
      <c r="AA23" s="132"/>
      <c r="AB23" s="132"/>
      <c r="AD23" s="133"/>
      <c r="AE23" s="133"/>
      <c r="AF23" s="133"/>
      <c r="AG23" s="133"/>
      <c r="AH23" s="133"/>
      <c r="AI23" s="133"/>
      <c r="AJ23" s="133"/>
      <c r="AK23" s="133"/>
      <c r="AL23" s="133"/>
      <c r="AM23" s="133"/>
      <c r="AN23" s="133"/>
    </row>
    <row r="24" spans="1:40" s="117" customFormat="1" ht="15" customHeight="1" x14ac:dyDescent="0.35">
      <c r="A24" s="116" t="s">
        <v>53</v>
      </c>
      <c r="B24" s="135">
        <f ca="1">INDIRECT("'("&amp;$A$4&amp;")'!h20")</f>
        <v>13</v>
      </c>
      <c r="C24" s="135">
        <f ca="1">INDIRECT("'("&amp;$A$4&amp;")'!i20")</f>
        <v>34</v>
      </c>
      <c r="D24" s="135">
        <f ca="1">INDIRECT("'("&amp;$A$4&amp;")'!j20")</f>
        <v>3</v>
      </c>
      <c r="E24" s="130">
        <f t="shared" ca="1" si="3"/>
        <v>50</v>
      </c>
      <c r="F24" s="135"/>
      <c r="G24" s="135">
        <f ca="1">INDIRECT("'("&amp;$A$4&amp;")'!k20")</f>
        <v>69</v>
      </c>
      <c r="H24" s="135">
        <f ca="1">INDIRECT("'("&amp;$A$4&amp;")'!l20")</f>
        <v>4</v>
      </c>
      <c r="I24" s="135">
        <f ca="1">INDIRECT("'("&amp;$A$4&amp;")'!m20")</f>
        <v>39</v>
      </c>
      <c r="J24" s="130">
        <f t="shared" ca="1" si="1"/>
        <v>112</v>
      </c>
      <c r="K24" s="135"/>
      <c r="L24" s="135">
        <f ca="1">INDIRECT("'("&amp;$A$4&amp;")'!n20")</f>
        <v>178</v>
      </c>
      <c r="M24" s="135">
        <f ca="1">INDIRECT("'("&amp;$A$4&amp;")'!o20")</f>
        <v>14</v>
      </c>
      <c r="N24" s="135">
        <f ca="1">INDIRECT("'("&amp;$A$4&amp;")'!p20")</f>
        <v>6</v>
      </c>
      <c r="O24" s="130">
        <f t="shared" ca="1" si="2"/>
        <v>198</v>
      </c>
      <c r="P24" s="116"/>
      <c r="R24" s="131"/>
      <c r="S24" s="131"/>
      <c r="U24" s="131"/>
      <c r="V24" s="131"/>
      <c r="X24" s="132"/>
      <c r="Y24" s="132"/>
      <c r="Z24" s="132"/>
      <c r="AA24" s="132"/>
      <c r="AB24" s="132"/>
      <c r="AD24" s="133"/>
      <c r="AE24" s="133"/>
      <c r="AF24" s="133"/>
      <c r="AG24" s="133"/>
      <c r="AH24" s="133"/>
      <c r="AI24" s="133"/>
      <c r="AJ24" s="133"/>
      <c r="AK24" s="133"/>
      <c r="AL24" s="133"/>
      <c r="AM24" s="133"/>
      <c r="AN24" s="133"/>
    </row>
    <row r="25" spans="1:40" s="117" customFormat="1" ht="15" customHeight="1" x14ac:dyDescent="0.35">
      <c r="A25" s="116" t="s">
        <v>104</v>
      </c>
      <c r="B25" s="135">
        <f ca="1">INDIRECT("'("&amp;$A$4&amp;")'!h21")</f>
        <v>2</v>
      </c>
      <c r="C25" s="135">
        <f ca="1">INDIRECT("'("&amp;$A$4&amp;")'!i21")</f>
        <v>16</v>
      </c>
      <c r="D25" s="135">
        <f ca="1">INDIRECT("'("&amp;$A$4&amp;")'!j21")</f>
        <v>3</v>
      </c>
      <c r="E25" s="130">
        <f t="shared" ca="1" si="3"/>
        <v>21</v>
      </c>
      <c r="F25" s="135"/>
      <c r="G25" s="135">
        <f ca="1">INDIRECT("'("&amp;$A$4&amp;")'!k21")</f>
        <v>31</v>
      </c>
      <c r="H25" s="135">
        <f ca="1">INDIRECT("'("&amp;$A$4&amp;")'!l21")</f>
        <v>2</v>
      </c>
      <c r="I25" s="135">
        <f ca="1">INDIRECT("'("&amp;$A$4&amp;")'!m21")</f>
        <v>16</v>
      </c>
      <c r="J25" s="130">
        <f t="shared" ca="1" si="1"/>
        <v>49</v>
      </c>
      <c r="K25" s="135"/>
      <c r="L25" s="135">
        <f ca="1">INDIRECT("'("&amp;$A$4&amp;")'!n21")</f>
        <v>79</v>
      </c>
      <c r="M25" s="135">
        <f ca="1">INDIRECT("'("&amp;$A$4&amp;")'!o21")</f>
        <v>4</v>
      </c>
      <c r="N25" s="135">
        <f ca="1">INDIRECT("'("&amp;$A$4&amp;")'!p21")</f>
        <v>2</v>
      </c>
      <c r="O25" s="130">
        <f t="shared" ca="1" si="2"/>
        <v>85</v>
      </c>
      <c r="P25" s="116"/>
      <c r="R25" s="131"/>
      <c r="S25" s="131"/>
      <c r="U25" s="131"/>
      <c r="V25" s="131"/>
      <c r="X25" s="132"/>
      <c r="Y25" s="132"/>
      <c r="Z25" s="132"/>
      <c r="AA25" s="132"/>
      <c r="AB25" s="132"/>
      <c r="AD25" s="133"/>
      <c r="AE25" s="133"/>
      <c r="AF25" s="133"/>
      <c r="AG25" s="133"/>
      <c r="AH25" s="133"/>
      <c r="AI25" s="133"/>
      <c r="AJ25" s="133"/>
      <c r="AK25" s="133"/>
      <c r="AL25" s="133"/>
      <c r="AM25" s="133"/>
      <c r="AN25" s="133"/>
    </row>
    <row r="26" spans="1:40" s="117" customFormat="1" ht="15" customHeight="1" x14ac:dyDescent="0.35">
      <c r="A26" s="116" t="s">
        <v>51</v>
      </c>
      <c r="B26" s="135">
        <f ca="1">INDIRECT("'("&amp;$A$4&amp;")'!h22")</f>
        <v>5</v>
      </c>
      <c r="C26" s="135">
        <f ca="1">INDIRECT("'("&amp;$A$4&amp;")'!i22")</f>
        <v>38</v>
      </c>
      <c r="D26" s="135">
        <f ca="1">INDIRECT("'("&amp;$A$4&amp;")'!j22")</f>
        <v>8</v>
      </c>
      <c r="E26" s="130">
        <f t="shared" ca="1" si="3"/>
        <v>51</v>
      </c>
      <c r="F26" s="135"/>
      <c r="G26" s="135">
        <f ca="1">INDIRECT("'("&amp;$A$4&amp;")'!k22")</f>
        <v>74</v>
      </c>
      <c r="H26" s="135">
        <f ca="1">INDIRECT("'("&amp;$A$4&amp;")'!l22")</f>
        <v>3</v>
      </c>
      <c r="I26" s="135">
        <f ca="1">INDIRECT("'("&amp;$A$4&amp;")'!m22")</f>
        <v>49</v>
      </c>
      <c r="J26" s="130">
        <f t="shared" ca="1" si="1"/>
        <v>126</v>
      </c>
      <c r="K26" s="135"/>
      <c r="L26" s="135">
        <f ca="1">INDIRECT("'("&amp;$A$4&amp;")'!n22")</f>
        <v>226</v>
      </c>
      <c r="M26" s="135">
        <f ca="1">INDIRECT("'("&amp;$A$4&amp;")'!o22")</f>
        <v>11</v>
      </c>
      <c r="N26" s="135">
        <f ca="1">INDIRECT("'("&amp;$A$4&amp;")'!p22")</f>
        <v>12</v>
      </c>
      <c r="O26" s="130">
        <f t="shared" ca="1" si="2"/>
        <v>249</v>
      </c>
      <c r="P26" s="116"/>
      <c r="R26" s="131"/>
      <c r="S26" s="131"/>
      <c r="U26" s="131"/>
      <c r="V26" s="131"/>
      <c r="X26" s="132"/>
      <c r="Y26" s="132"/>
      <c r="Z26" s="132"/>
      <c r="AA26" s="132"/>
      <c r="AB26" s="132"/>
      <c r="AD26" s="133"/>
      <c r="AE26" s="133"/>
      <c r="AF26" s="133"/>
      <c r="AG26" s="133"/>
      <c r="AH26" s="133"/>
      <c r="AI26" s="133"/>
      <c r="AJ26" s="133"/>
      <c r="AK26" s="133"/>
      <c r="AL26" s="133"/>
      <c r="AM26" s="133"/>
      <c r="AN26" s="133"/>
    </row>
    <row r="27" spans="1:40" s="117" customFormat="1" ht="15" customHeight="1" x14ac:dyDescent="0.35">
      <c r="A27" s="116" t="s">
        <v>49</v>
      </c>
      <c r="B27" s="135">
        <f ca="1">INDIRECT("'("&amp;$A$4&amp;")'!h23")</f>
        <v>0</v>
      </c>
      <c r="C27" s="135">
        <f ca="1">INDIRECT("'("&amp;$A$4&amp;")'!i23")</f>
        <v>19</v>
      </c>
      <c r="D27" s="135">
        <f ca="1">INDIRECT("'("&amp;$A$4&amp;")'!j23")</f>
        <v>8</v>
      </c>
      <c r="E27" s="130">
        <f t="shared" ca="1" si="3"/>
        <v>27</v>
      </c>
      <c r="F27" s="135"/>
      <c r="G27" s="135">
        <f ca="1">INDIRECT("'("&amp;$A$4&amp;")'!k23")</f>
        <v>41</v>
      </c>
      <c r="H27" s="135">
        <f ca="1">INDIRECT("'("&amp;$A$4&amp;")'!l23")</f>
        <v>2</v>
      </c>
      <c r="I27" s="135">
        <f ca="1">INDIRECT("'("&amp;$A$4&amp;")'!m23")</f>
        <v>26</v>
      </c>
      <c r="J27" s="130">
        <f t="shared" ca="1" si="1"/>
        <v>69</v>
      </c>
      <c r="K27" s="135"/>
      <c r="L27" s="135">
        <f ca="1">INDIRECT("'("&amp;$A$4&amp;")'!n23")</f>
        <v>92</v>
      </c>
      <c r="M27" s="135">
        <f ca="1">INDIRECT("'("&amp;$A$4&amp;")'!o23")</f>
        <v>5</v>
      </c>
      <c r="N27" s="135">
        <f ca="1">INDIRECT("'("&amp;$A$4&amp;")'!p23")</f>
        <v>3</v>
      </c>
      <c r="O27" s="130">
        <f t="shared" ca="1" si="2"/>
        <v>100</v>
      </c>
      <c r="P27" s="116"/>
      <c r="R27" s="131"/>
      <c r="S27" s="131"/>
      <c r="U27" s="131"/>
      <c r="V27" s="131"/>
      <c r="X27" s="132"/>
      <c r="Y27" s="132"/>
      <c r="Z27" s="132"/>
      <c r="AA27" s="132"/>
      <c r="AB27" s="132"/>
      <c r="AD27" s="133"/>
      <c r="AE27" s="133"/>
      <c r="AF27" s="133"/>
      <c r="AG27" s="133"/>
      <c r="AH27" s="133"/>
      <c r="AI27" s="133"/>
      <c r="AJ27" s="133"/>
      <c r="AK27" s="133"/>
      <c r="AL27" s="133"/>
      <c r="AM27" s="133"/>
      <c r="AN27" s="133"/>
    </row>
    <row r="28" spans="1:40" s="117" customFormat="1" ht="15" customHeight="1" x14ac:dyDescent="0.35">
      <c r="A28" s="116" t="s">
        <v>102</v>
      </c>
      <c r="B28" s="135">
        <f ca="1">INDIRECT("'("&amp;$A$4&amp;")'!h24")</f>
        <v>13</v>
      </c>
      <c r="C28" s="135">
        <f ca="1">INDIRECT("'("&amp;$A$4&amp;")'!i24")</f>
        <v>9</v>
      </c>
      <c r="D28" s="135">
        <f ca="1">INDIRECT("'("&amp;$A$4&amp;")'!j24")</f>
        <v>7</v>
      </c>
      <c r="E28" s="130">
        <f t="shared" ca="1" si="3"/>
        <v>29</v>
      </c>
      <c r="F28" s="135"/>
      <c r="G28" s="135">
        <f ca="1">INDIRECT("'("&amp;$A$4&amp;")'!k24")</f>
        <v>40</v>
      </c>
      <c r="H28" s="135">
        <f ca="1">INDIRECT("'("&amp;$A$4&amp;")'!l24")</f>
        <v>2</v>
      </c>
      <c r="I28" s="135">
        <f ca="1">INDIRECT("'("&amp;$A$4&amp;")'!m24")</f>
        <v>8</v>
      </c>
      <c r="J28" s="130">
        <f t="shared" ca="1" si="1"/>
        <v>50</v>
      </c>
      <c r="K28" s="135"/>
      <c r="L28" s="135">
        <f ca="1">INDIRECT("'("&amp;$A$4&amp;")'!n24")</f>
        <v>98</v>
      </c>
      <c r="M28" s="135">
        <f ca="1">INDIRECT("'("&amp;$A$4&amp;")'!o24")</f>
        <v>7</v>
      </c>
      <c r="N28" s="135">
        <f ca="1">INDIRECT("'("&amp;$A$4&amp;")'!p24")</f>
        <v>6</v>
      </c>
      <c r="O28" s="130">
        <f t="shared" ca="1" si="2"/>
        <v>111</v>
      </c>
      <c r="P28" s="116"/>
      <c r="R28" s="131"/>
      <c r="S28" s="131"/>
      <c r="U28" s="131"/>
      <c r="V28" s="131"/>
      <c r="X28" s="132"/>
      <c r="Y28" s="132"/>
      <c r="Z28" s="132"/>
      <c r="AA28" s="132"/>
      <c r="AB28" s="132"/>
      <c r="AD28" s="133"/>
      <c r="AE28" s="133"/>
      <c r="AF28" s="133"/>
      <c r="AG28" s="133"/>
      <c r="AH28" s="133"/>
      <c r="AI28" s="133"/>
      <c r="AJ28" s="133"/>
      <c r="AK28" s="133"/>
      <c r="AL28" s="133"/>
      <c r="AM28" s="133"/>
      <c r="AN28" s="133"/>
    </row>
    <row r="29" spans="1:40" s="117" customFormat="1" ht="15" customHeight="1" x14ac:dyDescent="0.35">
      <c r="A29" s="116" t="s">
        <v>47</v>
      </c>
      <c r="B29" s="135">
        <f ca="1">INDIRECT("'("&amp;$A$4&amp;")'!h25")</f>
        <v>9</v>
      </c>
      <c r="C29" s="135">
        <f ca="1">INDIRECT("'("&amp;$A$4&amp;")'!i25")</f>
        <v>19</v>
      </c>
      <c r="D29" s="135">
        <f ca="1">INDIRECT("'("&amp;$A$4&amp;")'!j25")</f>
        <v>3</v>
      </c>
      <c r="E29" s="130">
        <f t="shared" ca="1" si="3"/>
        <v>31</v>
      </c>
      <c r="F29" s="135"/>
      <c r="G29" s="135">
        <f ca="1">INDIRECT("'("&amp;$A$4&amp;")'!k25")</f>
        <v>44</v>
      </c>
      <c r="H29" s="135">
        <f ca="1">INDIRECT("'("&amp;$A$4&amp;")'!l25")</f>
        <v>4</v>
      </c>
      <c r="I29" s="135">
        <f ca="1">INDIRECT("'("&amp;$A$4&amp;")'!m25")</f>
        <v>10</v>
      </c>
      <c r="J29" s="130">
        <f t="shared" ca="1" si="1"/>
        <v>58</v>
      </c>
      <c r="K29" s="135"/>
      <c r="L29" s="135">
        <f ca="1">INDIRECT("'("&amp;$A$4&amp;")'!n25")</f>
        <v>145</v>
      </c>
      <c r="M29" s="135">
        <f ca="1">INDIRECT("'("&amp;$A$4&amp;")'!o25")</f>
        <v>6</v>
      </c>
      <c r="N29" s="135">
        <f ca="1">INDIRECT("'("&amp;$A$4&amp;")'!p25")</f>
        <v>4</v>
      </c>
      <c r="O29" s="130">
        <f t="shared" ca="1" si="2"/>
        <v>155</v>
      </c>
      <c r="P29" s="116"/>
      <c r="R29" s="131"/>
      <c r="S29" s="131"/>
      <c r="U29" s="131"/>
      <c r="V29" s="131"/>
      <c r="X29" s="132"/>
      <c r="Y29" s="132"/>
      <c r="Z29" s="132"/>
      <c r="AA29" s="132"/>
      <c r="AB29" s="132"/>
      <c r="AD29" s="133"/>
      <c r="AE29" s="133"/>
      <c r="AF29" s="133"/>
      <c r="AG29" s="133"/>
      <c r="AH29" s="133"/>
      <c r="AI29" s="133"/>
      <c r="AJ29" s="133"/>
      <c r="AK29" s="133"/>
      <c r="AL29" s="133"/>
      <c r="AM29" s="133"/>
      <c r="AN29" s="133"/>
    </row>
    <row r="30" spans="1:40" s="117" customFormat="1" ht="15" customHeight="1" x14ac:dyDescent="0.35">
      <c r="A30" s="116" t="s">
        <v>203</v>
      </c>
      <c r="B30" s="135">
        <f ca="1">INDIRECT("'("&amp;$A$4&amp;")'!h26")</f>
        <v>1</v>
      </c>
      <c r="C30" s="135">
        <f ca="1">INDIRECT("'("&amp;$A$4&amp;")'!i26")</f>
        <v>8</v>
      </c>
      <c r="D30" s="135">
        <f ca="1">INDIRECT("'("&amp;$A$4&amp;")'!j26")</f>
        <v>1</v>
      </c>
      <c r="E30" s="130">
        <f t="shared" ca="1" si="3"/>
        <v>10</v>
      </c>
      <c r="F30" s="135"/>
      <c r="G30" s="135">
        <f ca="1">INDIRECT("'("&amp;$A$4&amp;")'!k26")</f>
        <v>16</v>
      </c>
      <c r="H30" s="135">
        <f ca="1">INDIRECT("'("&amp;$A$4&amp;")'!l26")</f>
        <v>2</v>
      </c>
      <c r="I30" s="135">
        <f ca="1">INDIRECT("'("&amp;$A$4&amp;")'!m26")</f>
        <v>7</v>
      </c>
      <c r="J30" s="130">
        <f t="shared" ca="1" si="1"/>
        <v>25</v>
      </c>
      <c r="K30" s="135"/>
      <c r="L30" s="135">
        <f ca="1">INDIRECT("'("&amp;$A$4&amp;")'!n26")</f>
        <v>29</v>
      </c>
      <c r="M30" s="135">
        <f ca="1">INDIRECT("'("&amp;$A$4&amp;")'!o26")</f>
        <v>2</v>
      </c>
      <c r="N30" s="135">
        <f ca="1">INDIRECT("'("&amp;$A$4&amp;")'!p26")</f>
        <v>1</v>
      </c>
      <c r="O30" s="130">
        <f t="shared" ca="1" si="2"/>
        <v>32</v>
      </c>
      <c r="P30" s="116"/>
      <c r="R30" s="131"/>
      <c r="S30" s="131"/>
      <c r="U30" s="131"/>
      <c r="V30" s="131"/>
      <c r="X30" s="132"/>
      <c r="Y30" s="132"/>
      <c r="Z30" s="132"/>
      <c r="AA30" s="132"/>
      <c r="AB30" s="132"/>
      <c r="AD30" s="133"/>
      <c r="AE30" s="133"/>
      <c r="AF30" s="133"/>
      <c r="AG30" s="133"/>
      <c r="AH30" s="133"/>
      <c r="AI30" s="133"/>
      <c r="AJ30" s="133"/>
      <c r="AK30" s="133"/>
      <c r="AL30" s="133"/>
      <c r="AM30" s="133"/>
      <c r="AN30" s="133"/>
    </row>
    <row r="31" spans="1:40" s="117" customFormat="1" ht="15" customHeight="1" x14ac:dyDescent="0.35">
      <c r="A31" s="117" t="s">
        <v>45</v>
      </c>
      <c r="B31" s="135">
        <f ca="1">INDIRECT("'("&amp;$A$4&amp;")'!h27")</f>
        <v>8</v>
      </c>
      <c r="C31" s="135">
        <f ca="1">INDIRECT("'("&amp;$A$4&amp;")'!i27")</f>
        <v>34</v>
      </c>
      <c r="D31" s="135">
        <f ca="1">INDIRECT("'("&amp;$A$4&amp;")'!j27")</f>
        <v>15</v>
      </c>
      <c r="E31" s="130">
        <f t="shared" ca="1" si="3"/>
        <v>57</v>
      </c>
      <c r="F31" s="135"/>
      <c r="G31" s="135">
        <f ca="1">INDIRECT("'("&amp;$A$4&amp;")'!k27")</f>
        <v>75</v>
      </c>
      <c r="H31" s="135">
        <f ca="1">INDIRECT("'("&amp;$A$4&amp;")'!l27")</f>
        <v>3</v>
      </c>
      <c r="I31" s="135">
        <f ca="1">INDIRECT("'("&amp;$A$4&amp;")'!m27")</f>
        <v>44</v>
      </c>
      <c r="J31" s="130">
        <f t="shared" ca="1" si="1"/>
        <v>122</v>
      </c>
      <c r="K31" s="135"/>
      <c r="L31" s="135">
        <f ca="1">INDIRECT("'("&amp;$A$4&amp;")'!n27")</f>
        <v>263</v>
      </c>
      <c r="M31" s="135">
        <f ca="1">INDIRECT("'("&amp;$A$4&amp;")'!o27")</f>
        <v>13</v>
      </c>
      <c r="N31" s="135">
        <f ca="1">INDIRECT("'("&amp;$A$4&amp;")'!p27")</f>
        <v>11</v>
      </c>
      <c r="O31" s="130">
        <f t="shared" ca="1" si="2"/>
        <v>287</v>
      </c>
      <c r="P31" s="116"/>
      <c r="R31" s="131"/>
      <c r="S31" s="131"/>
      <c r="U31" s="131"/>
      <c r="V31" s="131"/>
      <c r="X31" s="132"/>
      <c r="Y31" s="132"/>
      <c r="Z31" s="132"/>
      <c r="AA31" s="132"/>
      <c r="AB31" s="132"/>
      <c r="AD31" s="133"/>
      <c r="AE31" s="133"/>
      <c r="AF31" s="133"/>
      <c r="AG31" s="133"/>
      <c r="AH31" s="133"/>
      <c r="AI31" s="133"/>
      <c r="AJ31" s="133"/>
      <c r="AK31" s="133"/>
      <c r="AL31" s="133"/>
      <c r="AM31" s="133"/>
      <c r="AN31" s="133"/>
    </row>
    <row r="32" spans="1:40" s="117" customFormat="1" ht="15" customHeight="1" x14ac:dyDescent="0.35">
      <c r="A32" s="117" t="s">
        <v>43</v>
      </c>
      <c r="B32" s="135">
        <f ca="1">INDIRECT("'("&amp;$A$4&amp;")'!h28")</f>
        <v>9</v>
      </c>
      <c r="C32" s="135">
        <f ca="1">INDIRECT("'("&amp;$A$4&amp;")'!i28")</f>
        <v>18</v>
      </c>
      <c r="D32" s="135">
        <f ca="1">INDIRECT("'("&amp;$A$4&amp;")'!j28")</f>
        <v>12</v>
      </c>
      <c r="E32" s="130">
        <f t="shared" ca="1" si="3"/>
        <v>39</v>
      </c>
      <c r="F32" s="135"/>
      <c r="G32" s="135">
        <f ca="1">INDIRECT("'("&amp;$A$4&amp;")'!k28")</f>
        <v>59</v>
      </c>
      <c r="H32" s="135">
        <f ca="1">INDIRECT("'("&amp;$A$4&amp;")'!l28")</f>
        <v>4</v>
      </c>
      <c r="I32" s="135">
        <f ca="1">INDIRECT("'("&amp;$A$4&amp;")'!m28")</f>
        <v>31</v>
      </c>
      <c r="J32" s="130">
        <f t="shared" ca="1" si="1"/>
        <v>94</v>
      </c>
      <c r="K32" s="135"/>
      <c r="L32" s="135">
        <f ca="1">INDIRECT("'("&amp;$A$4&amp;")'!n28")</f>
        <v>109</v>
      </c>
      <c r="M32" s="135">
        <f ca="1">INDIRECT("'("&amp;$A$4&amp;")'!o28")</f>
        <v>7</v>
      </c>
      <c r="N32" s="135">
        <f ca="1">INDIRECT("'("&amp;$A$4&amp;")'!p28")</f>
        <v>7</v>
      </c>
      <c r="O32" s="130">
        <f t="shared" ca="1" si="2"/>
        <v>123</v>
      </c>
      <c r="P32" s="116"/>
      <c r="R32" s="131"/>
      <c r="S32" s="131"/>
      <c r="U32" s="131"/>
      <c r="V32" s="131"/>
      <c r="X32" s="132"/>
      <c r="Y32" s="132"/>
      <c r="Z32" s="132"/>
      <c r="AA32" s="132"/>
      <c r="AB32" s="132"/>
      <c r="AD32" s="133"/>
      <c r="AE32" s="133"/>
      <c r="AF32" s="133"/>
      <c r="AG32" s="133"/>
      <c r="AH32" s="133"/>
      <c r="AI32" s="133"/>
      <c r="AJ32" s="133"/>
      <c r="AK32" s="133"/>
      <c r="AL32" s="133"/>
      <c r="AM32" s="133"/>
      <c r="AN32" s="133"/>
    </row>
    <row r="33" spans="1:40" s="117" customFormat="1" ht="15" customHeight="1" x14ac:dyDescent="0.35">
      <c r="A33" s="116" t="s">
        <v>41</v>
      </c>
      <c r="B33" s="135">
        <f ca="1">INDIRECT("'("&amp;$A$4&amp;")'!h29")</f>
        <v>7</v>
      </c>
      <c r="C33" s="135">
        <f ca="1">INDIRECT("'("&amp;$A$4&amp;")'!i29")</f>
        <v>6</v>
      </c>
      <c r="D33" s="135">
        <f ca="1">INDIRECT("'("&amp;$A$4&amp;")'!j29")</f>
        <v>7</v>
      </c>
      <c r="E33" s="130">
        <f t="shared" ca="1" si="3"/>
        <v>20</v>
      </c>
      <c r="F33" s="135"/>
      <c r="G33" s="135">
        <f ca="1">INDIRECT("'("&amp;$A$4&amp;")'!k29")</f>
        <v>32</v>
      </c>
      <c r="H33" s="135">
        <f ca="1">INDIRECT("'("&amp;$A$4&amp;")'!l29")</f>
        <v>2</v>
      </c>
      <c r="I33" s="135">
        <f ca="1">INDIRECT("'("&amp;$A$4&amp;")'!m29")</f>
        <v>28</v>
      </c>
      <c r="J33" s="130">
        <f t="shared" ca="1" si="1"/>
        <v>62</v>
      </c>
      <c r="K33" s="135"/>
      <c r="L33" s="135">
        <f ca="1">INDIRECT("'("&amp;$A$4&amp;")'!n29")</f>
        <v>102</v>
      </c>
      <c r="M33" s="135">
        <f ca="1">INDIRECT("'("&amp;$A$4&amp;")'!o29")</f>
        <v>3</v>
      </c>
      <c r="N33" s="135">
        <f ca="1">INDIRECT("'("&amp;$A$4&amp;")'!p29")</f>
        <v>5</v>
      </c>
      <c r="O33" s="130">
        <f t="shared" ca="1" si="2"/>
        <v>110</v>
      </c>
      <c r="P33" s="116"/>
      <c r="R33" s="131"/>
      <c r="S33" s="131"/>
      <c r="U33" s="131"/>
      <c r="V33" s="131"/>
      <c r="X33" s="132"/>
      <c r="Y33" s="132"/>
      <c r="Z33" s="132"/>
      <c r="AA33" s="132"/>
      <c r="AB33" s="132"/>
      <c r="AD33" s="133"/>
      <c r="AE33" s="133"/>
      <c r="AF33" s="133"/>
      <c r="AG33" s="133"/>
      <c r="AH33" s="133"/>
      <c r="AI33" s="133"/>
      <c r="AJ33" s="133"/>
      <c r="AK33" s="133"/>
      <c r="AL33" s="133"/>
      <c r="AM33" s="133"/>
      <c r="AN33" s="133"/>
    </row>
    <row r="34" spans="1:40" s="117" customFormat="1" ht="15" customHeight="1" x14ac:dyDescent="0.35">
      <c r="A34" s="117" t="s">
        <v>98</v>
      </c>
      <c r="B34" s="135">
        <f ca="1">INDIRECT("'("&amp;$A$4&amp;")'!h30")</f>
        <v>0</v>
      </c>
      <c r="C34" s="135">
        <f ca="1">INDIRECT("'("&amp;$A$4&amp;")'!i30")</f>
        <v>29</v>
      </c>
      <c r="D34" s="135">
        <f ca="1">INDIRECT("'("&amp;$A$4&amp;")'!j30")</f>
        <v>9</v>
      </c>
      <c r="E34" s="130">
        <f t="shared" ca="1" si="3"/>
        <v>38</v>
      </c>
      <c r="F34" s="135"/>
      <c r="G34" s="135">
        <f ca="1">INDIRECT("'("&amp;$A$4&amp;")'!k30")</f>
        <v>48</v>
      </c>
      <c r="H34" s="135">
        <f ca="1">INDIRECT("'("&amp;$A$4&amp;")'!l30")</f>
        <v>2</v>
      </c>
      <c r="I34" s="135">
        <f ca="1">INDIRECT("'("&amp;$A$4&amp;")'!m30")</f>
        <v>43</v>
      </c>
      <c r="J34" s="130">
        <f t="shared" ca="1" si="1"/>
        <v>93</v>
      </c>
      <c r="K34" s="135"/>
      <c r="L34" s="135">
        <f ca="1">INDIRECT("'("&amp;$A$4&amp;")'!n30")</f>
        <v>89</v>
      </c>
      <c r="M34" s="135">
        <f ca="1">INDIRECT("'("&amp;$A$4&amp;")'!o30")</f>
        <v>5</v>
      </c>
      <c r="N34" s="135">
        <f ca="1">INDIRECT("'("&amp;$A$4&amp;")'!p30")</f>
        <v>3</v>
      </c>
      <c r="O34" s="130">
        <f t="shared" ca="1" si="2"/>
        <v>97</v>
      </c>
      <c r="P34" s="116"/>
      <c r="R34" s="131"/>
      <c r="S34" s="131"/>
      <c r="U34" s="131"/>
      <c r="V34" s="131"/>
      <c r="X34" s="132"/>
      <c r="Y34" s="132"/>
      <c r="Z34" s="132"/>
      <c r="AA34" s="132"/>
      <c r="AB34" s="132"/>
      <c r="AD34" s="133"/>
      <c r="AE34" s="133"/>
      <c r="AF34" s="133"/>
      <c r="AG34" s="133"/>
      <c r="AH34" s="133"/>
      <c r="AI34" s="133"/>
      <c r="AJ34" s="133"/>
      <c r="AK34" s="133"/>
      <c r="AL34" s="133"/>
      <c r="AM34" s="133"/>
      <c r="AN34" s="133"/>
    </row>
    <row r="35" spans="1:40" s="117" customFormat="1" ht="15" customHeight="1" x14ac:dyDescent="0.35">
      <c r="A35" s="117" t="s">
        <v>96</v>
      </c>
      <c r="B35" s="135">
        <f ca="1">INDIRECT("'("&amp;$A$4&amp;")'!h31")</f>
        <v>3</v>
      </c>
      <c r="C35" s="135">
        <f ca="1">INDIRECT("'("&amp;$A$4&amp;")'!i31")</f>
        <v>33</v>
      </c>
      <c r="D35" s="135">
        <f ca="1">INDIRECT("'("&amp;$A$4&amp;")'!j31")</f>
        <v>6</v>
      </c>
      <c r="E35" s="130">
        <f t="shared" ca="1" si="3"/>
        <v>42</v>
      </c>
      <c r="F35" s="135"/>
      <c r="G35" s="135">
        <f ca="1">INDIRECT("'("&amp;$A$4&amp;")'!k31")</f>
        <v>53</v>
      </c>
      <c r="H35" s="135">
        <f ca="1">INDIRECT("'("&amp;$A$4&amp;")'!l31")</f>
        <v>4</v>
      </c>
      <c r="I35" s="135">
        <f ca="1">INDIRECT("'("&amp;$A$4&amp;")'!m31")</f>
        <v>22</v>
      </c>
      <c r="J35" s="130">
        <f t="shared" ca="1" si="1"/>
        <v>79</v>
      </c>
      <c r="K35" s="135"/>
      <c r="L35" s="135">
        <f ca="1">INDIRECT("'("&amp;$A$4&amp;")'!n31")</f>
        <v>98</v>
      </c>
      <c r="M35" s="135">
        <f ca="1">INDIRECT("'("&amp;$A$4&amp;")'!o31")</f>
        <v>4</v>
      </c>
      <c r="N35" s="135">
        <f ca="1">INDIRECT("'("&amp;$A$4&amp;")'!p31")</f>
        <v>6</v>
      </c>
      <c r="O35" s="130">
        <f t="shared" ca="1" si="2"/>
        <v>108</v>
      </c>
      <c r="P35" s="116"/>
      <c r="R35" s="131"/>
      <c r="S35" s="131"/>
      <c r="U35" s="131"/>
      <c r="V35" s="131"/>
      <c r="X35" s="132"/>
      <c r="Y35" s="132"/>
      <c r="Z35" s="132"/>
      <c r="AA35" s="132"/>
      <c r="AB35" s="132"/>
      <c r="AD35" s="133"/>
      <c r="AE35" s="133"/>
      <c r="AF35" s="133"/>
      <c r="AG35" s="133"/>
      <c r="AH35" s="133"/>
      <c r="AI35" s="133"/>
      <c r="AJ35" s="133"/>
      <c r="AK35" s="133"/>
      <c r="AL35" s="133"/>
      <c r="AM35" s="133"/>
      <c r="AN35" s="133"/>
    </row>
    <row r="36" spans="1:40" s="117" customFormat="1" ht="15" customHeight="1" x14ac:dyDescent="0.35">
      <c r="A36" s="117" t="s">
        <v>39</v>
      </c>
      <c r="B36" s="135">
        <f ca="1">INDIRECT("'("&amp;$A$4&amp;")'!h32")</f>
        <v>5</v>
      </c>
      <c r="C36" s="135">
        <f ca="1">INDIRECT("'("&amp;$A$4&amp;")'!i32")</f>
        <v>24</v>
      </c>
      <c r="D36" s="135">
        <f ca="1">INDIRECT("'("&amp;$A$4&amp;")'!j32")</f>
        <v>7</v>
      </c>
      <c r="E36" s="130">
        <f t="shared" ca="1" si="3"/>
        <v>36</v>
      </c>
      <c r="F36" s="135"/>
      <c r="G36" s="135">
        <f ca="1">INDIRECT("'("&amp;$A$4&amp;")'!k32")</f>
        <v>46</v>
      </c>
      <c r="H36" s="135">
        <f ca="1">INDIRECT("'("&amp;$A$4&amp;")'!l32")</f>
        <v>3</v>
      </c>
      <c r="I36" s="135">
        <f ca="1">INDIRECT("'("&amp;$A$4&amp;")'!m32")</f>
        <v>16</v>
      </c>
      <c r="J36" s="130">
        <f t="shared" ca="1" si="1"/>
        <v>65</v>
      </c>
      <c r="K36" s="135"/>
      <c r="L36" s="135">
        <f ca="1">INDIRECT("'("&amp;$A$4&amp;")'!n32")</f>
        <v>118</v>
      </c>
      <c r="M36" s="135">
        <f ca="1">INDIRECT("'("&amp;$A$4&amp;")'!o32")</f>
        <v>4</v>
      </c>
      <c r="N36" s="135">
        <f ca="1">INDIRECT("'("&amp;$A$4&amp;")'!p32")</f>
        <v>3</v>
      </c>
      <c r="O36" s="130">
        <f t="shared" ca="1" si="2"/>
        <v>125</v>
      </c>
      <c r="P36" s="116"/>
      <c r="R36" s="131"/>
      <c r="S36" s="131"/>
      <c r="U36" s="131"/>
      <c r="V36" s="131"/>
      <c r="X36" s="132"/>
      <c r="Y36" s="132"/>
      <c r="Z36" s="132"/>
      <c r="AA36" s="132"/>
      <c r="AB36" s="132"/>
      <c r="AD36" s="133"/>
      <c r="AE36" s="133"/>
      <c r="AF36" s="133"/>
      <c r="AG36" s="133"/>
      <c r="AH36" s="133"/>
      <c r="AI36" s="133"/>
      <c r="AJ36" s="133"/>
      <c r="AK36" s="133"/>
      <c r="AL36" s="133"/>
      <c r="AM36" s="133"/>
      <c r="AN36" s="133"/>
    </row>
    <row r="37" spans="1:40" s="117" customFormat="1" ht="15" customHeight="1" x14ac:dyDescent="0.35">
      <c r="A37" s="117" t="s">
        <v>94</v>
      </c>
      <c r="B37" s="135">
        <f ca="1">INDIRECT("'("&amp;$A$4&amp;")'!h33")</f>
        <v>3</v>
      </c>
      <c r="C37" s="135">
        <f ca="1">INDIRECT("'("&amp;$A$4&amp;")'!i33")</f>
        <v>14</v>
      </c>
      <c r="D37" s="135">
        <f ca="1">INDIRECT("'("&amp;$A$4&amp;")'!j33")</f>
        <v>5</v>
      </c>
      <c r="E37" s="130">
        <f t="shared" ca="1" si="3"/>
        <v>22</v>
      </c>
      <c r="F37" s="135"/>
      <c r="G37" s="135">
        <f ca="1">INDIRECT("'("&amp;$A$4&amp;")'!k33")</f>
        <v>26</v>
      </c>
      <c r="H37" s="135">
        <f ca="1">INDIRECT("'("&amp;$A$4&amp;")'!l33")</f>
        <v>2</v>
      </c>
      <c r="I37" s="135">
        <f ca="1">INDIRECT("'("&amp;$A$4&amp;")'!m33")</f>
        <v>34</v>
      </c>
      <c r="J37" s="130">
        <f t="shared" ca="1" si="1"/>
        <v>62</v>
      </c>
      <c r="K37" s="135"/>
      <c r="L37" s="135">
        <f ca="1">INDIRECT("'("&amp;$A$4&amp;")'!n33")</f>
        <v>86</v>
      </c>
      <c r="M37" s="135">
        <f ca="1">INDIRECT("'("&amp;$A$4&amp;")'!o33")</f>
        <v>4</v>
      </c>
      <c r="N37" s="135">
        <f ca="1">INDIRECT("'("&amp;$A$4&amp;")'!p33")</f>
        <v>3</v>
      </c>
      <c r="O37" s="130">
        <f t="shared" ca="1" si="2"/>
        <v>93</v>
      </c>
      <c r="P37" s="116"/>
      <c r="R37" s="131"/>
      <c r="S37" s="131"/>
      <c r="U37" s="131"/>
      <c r="V37" s="131"/>
      <c r="X37" s="132"/>
      <c r="Y37" s="132"/>
      <c r="Z37" s="132"/>
      <c r="AA37" s="132"/>
      <c r="AB37" s="132"/>
      <c r="AD37" s="133"/>
      <c r="AE37" s="133"/>
      <c r="AF37" s="133"/>
      <c r="AG37" s="133"/>
      <c r="AH37" s="133"/>
      <c r="AI37" s="133"/>
      <c r="AJ37" s="133"/>
      <c r="AK37" s="133"/>
      <c r="AL37" s="133"/>
      <c r="AM37" s="133"/>
      <c r="AN37" s="133"/>
    </row>
    <row r="38" spans="1:40" s="117" customFormat="1" ht="15" customHeight="1" x14ac:dyDescent="0.35">
      <c r="A38" s="117" t="s">
        <v>92</v>
      </c>
      <c r="B38" s="135">
        <f ca="1">INDIRECT("'("&amp;$A$4&amp;")'!h34")</f>
        <v>1</v>
      </c>
      <c r="C38" s="135">
        <f ca="1">INDIRECT("'("&amp;$A$4&amp;")'!i34")</f>
        <v>11</v>
      </c>
      <c r="D38" s="135">
        <f ca="1">INDIRECT("'("&amp;$A$4&amp;")'!j34")</f>
        <v>3</v>
      </c>
      <c r="E38" s="130">
        <f t="shared" ca="1" si="3"/>
        <v>15</v>
      </c>
      <c r="F38" s="135"/>
      <c r="G38" s="135">
        <f ca="1">INDIRECT("'("&amp;$A$4&amp;")'!k34")</f>
        <v>22</v>
      </c>
      <c r="H38" s="135">
        <f ca="1">INDIRECT("'("&amp;$A$4&amp;")'!l34")</f>
        <v>0</v>
      </c>
      <c r="I38" s="135">
        <f ca="1">INDIRECT("'("&amp;$A$4&amp;")'!m34")</f>
        <v>14</v>
      </c>
      <c r="J38" s="130">
        <f t="shared" ca="1" si="1"/>
        <v>36</v>
      </c>
      <c r="K38" s="135"/>
      <c r="L38" s="135">
        <f ca="1">INDIRECT("'("&amp;$A$4&amp;")'!n34")</f>
        <v>40</v>
      </c>
      <c r="M38" s="135">
        <f ca="1">INDIRECT("'("&amp;$A$4&amp;")'!o34")</f>
        <v>3</v>
      </c>
      <c r="N38" s="135">
        <f ca="1">INDIRECT("'("&amp;$A$4&amp;")'!p34")</f>
        <v>3</v>
      </c>
      <c r="O38" s="130">
        <f t="shared" ca="1" si="2"/>
        <v>46</v>
      </c>
      <c r="P38" s="116"/>
      <c r="R38" s="131"/>
      <c r="S38" s="131"/>
      <c r="U38" s="131"/>
      <c r="V38" s="131"/>
      <c r="X38" s="132"/>
      <c r="Y38" s="132"/>
      <c r="Z38" s="132"/>
      <c r="AA38" s="132"/>
      <c r="AB38" s="132"/>
      <c r="AD38" s="133"/>
      <c r="AE38" s="133"/>
      <c r="AF38" s="133"/>
      <c r="AG38" s="133"/>
      <c r="AH38" s="133"/>
      <c r="AI38" s="133"/>
      <c r="AJ38" s="133"/>
      <c r="AK38" s="133"/>
      <c r="AL38" s="133"/>
      <c r="AM38" s="133"/>
      <c r="AN38" s="133"/>
    </row>
    <row r="39" spans="1:40" s="117" customFormat="1" ht="15" customHeight="1" x14ac:dyDescent="0.35">
      <c r="A39" s="116" t="s">
        <v>37</v>
      </c>
      <c r="B39" s="135">
        <f ca="1">INDIRECT("'("&amp;$A$4&amp;")'!h35")</f>
        <v>8</v>
      </c>
      <c r="C39" s="135">
        <f ca="1">INDIRECT("'("&amp;$A$4&amp;")'!i35")</f>
        <v>12</v>
      </c>
      <c r="D39" s="135">
        <f ca="1">INDIRECT("'("&amp;$A$4&amp;")'!j35")</f>
        <v>4</v>
      </c>
      <c r="E39" s="130">
        <f t="shared" ca="1" si="3"/>
        <v>24</v>
      </c>
      <c r="F39" s="135"/>
      <c r="G39" s="135">
        <f ca="1">INDIRECT("'("&amp;$A$4&amp;")'!k35")</f>
        <v>30</v>
      </c>
      <c r="H39" s="135">
        <f ca="1">INDIRECT("'("&amp;$A$4&amp;")'!l35")</f>
        <v>2</v>
      </c>
      <c r="I39" s="135">
        <f ca="1">INDIRECT("'("&amp;$A$4&amp;")'!m35")</f>
        <v>10</v>
      </c>
      <c r="J39" s="130">
        <f t="shared" ca="1" si="1"/>
        <v>42</v>
      </c>
      <c r="K39" s="135"/>
      <c r="L39" s="135">
        <f ca="1">INDIRECT("'("&amp;$A$4&amp;")'!n35")</f>
        <v>90</v>
      </c>
      <c r="M39" s="135">
        <f ca="1">INDIRECT("'("&amp;$A$4&amp;")'!o35")</f>
        <v>6</v>
      </c>
      <c r="N39" s="135">
        <f ca="1">INDIRECT("'("&amp;$A$4&amp;")'!p35")</f>
        <v>3</v>
      </c>
      <c r="O39" s="130">
        <f t="shared" ca="1" si="2"/>
        <v>99</v>
      </c>
      <c r="P39" s="116"/>
      <c r="R39" s="131"/>
      <c r="S39" s="131"/>
      <c r="U39" s="131"/>
      <c r="V39" s="131"/>
      <c r="X39" s="132"/>
      <c r="Y39" s="132"/>
      <c r="Z39" s="132"/>
      <c r="AA39" s="132"/>
      <c r="AB39" s="132"/>
      <c r="AD39" s="133"/>
      <c r="AE39" s="133"/>
      <c r="AF39" s="133"/>
      <c r="AG39" s="133"/>
      <c r="AH39" s="133"/>
      <c r="AI39" s="133"/>
      <c r="AJ39" s="133"/>
      <c r="AK39" s="133"/>
      <c r="AL39" s="133"/>
      <c r="AM39" s="133"/>
      <c r="AN39" s="133"/>
    </row>
    <row r="40" spans="1:40" s="117" customFormat="1" ht="15" customHeight="1" x14ac:dyDescent="0.35">
      <c r="A40" s="116" t="s">
        <v>90</v>
      </c>
      <c r="B40" s="135">
        <f ca="1">INDIRECT("'("&amp;$A$4&amp;")'!h36")</f>
        <v>0</v>
      </c>
      <c r="C40" s="135">
        <f ca="1">INDIRECT("'("&amp;$A$4&amp;")'!i36")</f>
        <v>19</v>
      </c>
      <c r="D40" s="135">
        <f ca="1">INDIRECT("'("&amp;$A$4&amp;")'!j36")</f>
        <v>6</v>
      </c>
      <c r="E40" s="130">
        <f t="shared" ca="1" si="3"/>
        <v>25</v>
      </c>
      <c r="F40" s="135"/>
      <c r="G40" s="135">
        <f ca="1">INDIRECT("'("&amp;$A$4&amp;")'!k36")</f>
        <v>35</v>
      </c>
      <c r="H40" s="135">
        <f ca="1">INDIRECT("'("&amp;$A$4&amp;")'!l36")</f>
        <v>1</v>
      </c>
      <c r="I40" s="135">
        <f ca="1">INDIRECT("'("&amp;$A$4&amp;")'!m36")</f>
        <v>9</v>
      </c>
      <c r="J40" s="130">
        <f t="shared" ca="1" si="1"/>
        <v>45</v>
      </c>
      <c r="K40" s="135"/>
      <c r="L40" s="135">
        <f ca="1">INDIRECT("'("&amp;$A$4&amp;")'!n36")</f>
        <v>94</v>
      </c>
      <c r="M40" s="135">
        <f ca="1">INDIRECT("'("&amp;$A$4&amp;")'!o36")</f>
        <v>5</v>
      </c>
      <c r="N40" s="135">
        <f ca="1">INDIRECT("'("&amp;$A$4&amp;")'!p36")</f>
        <v>7</v>
      </c>
      <c r="O40" s="130">
        <f t="shared" ca="1" si="2"/>
        <v>106</v>
      </c>
      <c r="P40" s="116"/>
      <c r="R40" s="131"/>
      <c r="S40" s="131"/>
      <c r="U40" s="131"/>
      <c r="V40" s="131"/>
      <c r="X40" s="132"/>
      <c r="Y40" s="132"/>
      <c r="Z40" s="132"/>
      <c r="AA40" s="132"/>
      <c r="AB40" s="132"/>
      <c r="AD40" s="133"/>
      <c r="AE40" s="133"/>
      <c r="AF40" s="133"/>
      <c r="AG40" s="133"/>
      <c r="AH40" s="133"/>
      <c r="AI40" s="133"/>
      <c r="AJ40" s="133"/>
      <c r="AK40" s="133"/>
      <c r="AL40" s="133"/>
      <c r="AM40" s="133"/>
      <c r="AN40" s="133"/>
    </row>
    <row r="41" spans="1:40" s="117" customFormat="1" ht="15" customHeight="1" x14ac:dyDescent="0.35">
      <c r="A41" s="116" t="s">
        <v>35</v>
      </c>
      <c r="B41" s="135">
        <f ca="1">INDIRECT("'("&amp;$A$4&amp;")'!h37")</f>
        <v>1</v>
      </c>
      <c r="C41" s="135">
        <f ca="1">INDIRECT("'("&amp;$A$4&amp;")'!i37")</f>
        <v>20</v>
      </c>
      <c r="D41" s="135">
        <f ca="1">INDIRECT("'("&amp;$A$4&amp;")'!j37")</f>
        <v>2</v>
      </c>
      <c r="E41" s="130">
        <f t="shared" ca="1" si="3"/>
        <v>23</v>
      </c>
      <c r="F41" s="135"/>
      <c r="G41" s="135">
        <f ca="1">INDIRECT("'("&amp;$A$4&amp;")'!k37")</f>
        <v>28</v>
      </c>
      <c r="H41" s="135">
        <f ca="1">INDIRECT("'("&amp;$A$4&amp;")'!l37")</f>
        <v>2</v>
      </c>
      <c r="I41" s="135">
        <f ca="1">INDIRECT("'("&amp;$A$4&amp;")'!m37")</f>
        <v>21</v>
      </c>
      <c r="J41" s="130">
        <f t="shared" ca="1" si="1"/>
        <v>51</v>
      </c>
      <c r="K41" s="135"/>
      <c r="L41" s="135">
        <f ca="1">INDIRECT("'("&amp;$A$4&amp;")'!n37")</f>
        <v>43</v>
      </c>
      <c r="M41" s="135">
        <f ca="1">INDIRECT("'("&amp;$A$4&amp;")'!o37")</f>
        <v>5</v>
      </c>
      <c r="N41" s="135">
        <f ca="1">INDIRECT("'("&amp;$A$4&amp;")'!p37")</f>
        <v>2</v>
      </c>
      <c r="O41" s="130">
        <f t="shared" ca="1" si="2"/>
        <v>50</v>
      </c>
      <c r="P41" s="116"/>
      <c r="R41" s="131"/>
      <c r="S41" s="131"/>
      <c r="U41" s="131"/>
      <c r="V41" s="131"/>
      <c r="X41" s="132"/>
      <c r="Y41" s="132"/>
      <c r="Z41" s="132"/>
      <c r="AA41" s="132"/>
      <c r="AB41" s="132"/>
      <c r="AD41" s="133"/>
      <c r="AE41" s="133"/>
      <c r="AF41" s="133"/>
      <c r="AG41" s="133"/>
      <c r="AH41" s="133"/>
      <c r="AI41" s="133"/>
      <c r="AJ41" s="133"/>
      <c r="AK41" s="133"/>
      <c r="AL41" s="133"/>
      <c r="AM41" s="133"/>
      <c r="AN41" s="133"/>
    </row>
    <row r="42" spans="1:40" s="117" customFormat="1" ht="15" customHeight="1" x14ac:dyDescent="0.35">
      <c r="A42" s="116" t="s">
        <v>33</v>
      </c>
      <c r="B42" s="135">
        <f ca="1">INDIRECT("'("&amp;$A$4&amp;")'!h38")</f>
        <v>8</v>
      </c>
      <c r="C42" s="135">
        <f ca="1">INDIRECT("'("&amp;$A$4&amp;")'!i38")</f>
        <v>23</v>
      </c>
      <c r="D42" s="135">
        <f ca="1">INDIRECT("'("&amp;$A$4&amp;")'!j38")</f>
        <v>2</v>
      </c>
      <c r="E42" s="130">
        <f t="shared" ca="1" si="3"/>
        <v>33</v>
      </c>
      <c r="F42" s="135"/>
      <c r="G42" s="135">
        <f ca="1">INDIRECT("'("&amp;$A$4&amp;")'!k38")</f>
        <v>41</v>
      </c>
      <c r="H42" s="135">
        <f ca="1">INDIRECT("'("&amp;$A$4&amp;")'!l38")</f>
        <v>2</v>
      </c>
      <c r="I42" s="135">
        <f ca="1">INDIRECT("'("&amp;$A$4&amp;")'!m38")</f>
        <v>18</v>
      </c>
      <c r="J42" s="130">
        <f t="shared" ca="1" si="1"/>
        <v>61</v>
      </c>
      <c r="K42" s="135"/>
      <c r="L42" s="135">
        <f ca="1">INDIRECT("'("&amp;$A$4&amp;")'!n38")</f>
        <v>112</v>
      </c>
      <c r="M42" s="135">
        <f ca="1">INDIRECT("'("&amp;$A$4&amp;")'!o38")</f>
        <v>8</v>
      </c>
      <c r="N42" s="135">
        <f ca="1">INDIRECT("'("&amp;$A$4&amp;")'!p38")</f>
        <v>3</v>
      </c>
      <c r="O42" s="130">
        <f t="shared" ca="1" si="2"/>
        <v>123</v>
      </c>
      <c r="P42" s="116"/>
      <c r="R42" s="131"/>
      <c r="S42" s="131"/>
      <c r="U42" s="131"/>
      <c r="V42" s="131"/>
      <c r="X42" s="132"/>
      <c r="Y42" s="132"/>
      <c r="Z42" s="132"/>
      <c r="AA42" s="132"/>
      <c r="AB42" s="132"/>
      <c r="AD42" s="133"/>
      <c r="AE42" s="133"/>
      <c r="AF42" s="133"/>
      <c r="AG42" s="133"/>
      <c r="AH42" s="133"/>
      <c r="AI42" s="133"/>
      <c r="AJ42" s="133"/>
      <c r="AK42" s="133"/>
      <c r="AL42" s="133"/>
      <c r="AM42" s="133"/>
      <c r="AN42" s="133"/>
    </row>
    <row r="43" spans="1:40" s="117" customFormat="1" ht="15" customHeight="1" x14ac:dyDescent="0.35">
      <c r="A43" s="116" t="s">
        <v>88</v>
      </c>
      <c r="B43" s="135">
        <f ca="1">INDIRECT("'("&amp;$A$4&amp;")'!h39")</f>
        <v>0</v>
      </c>
      <c r="C43" s="135">
        <f ca="1">INDIRECT("'("&amp;$A$4&amp;")'!i39")</f>
        <v>29</v>
      </c>
      <c r="D43" s="135">
        <f ca="1">INDIRECT("'("&amp;$A$4&amp;")'!j39")</f>
        <v>6</v>
      </c>
      <c r="E43" s="130">
        <f t="shared" ca="1" si="3"/>
        <v>35</v>
      </c>
      <c r="F43" s="135"/>
      <c r="G43" s="135">
        <f ca="1">INDIRECT("'("&amp;$A$4&amp;")'!k39")</f>
        <v>43</v>
      </c>
      <c r="H43" s="135">
        <f ca="1">INDIRECT("'("&amp;$A$4&amp;")'!l39")</f>
        <v>2</v>
      </c>
      <c r="I43" s="135">
        <f ca="1">INDIRECT("'("&amp;$A$4&amp;")'!m39")</f>
        <v>16</v>
      </c>
      <c r="J43" s="130">
        <f t="shared" ca="1" si="1"/>
        <v>61</v>
      </c>
      <c r="K43" s="135"/>
      <c r="L43" s="135">
        <f ca="1">INDIRECT("'("&amp;$A$4&amp;")'!n39")</f>
        <v>82</v>
      </c>
      <c r="M43" s="135">
        <f ca="1">INDIRECT("'("&amp;$A$4&amp;")'!o39")</f>
        <v>4</v>
      </c>
      <c r="N43" s="135">
        <f ca="1">INDIRECT("'("&amp;$A$4&amp;")'!p39")</f>
        <v>3</v>
      </c>
      <c r="O43" s="130">
        <f t="shared" ca="1" si="2"/>
        <v>89</v>
      </c>
      <c r="P43" s="116"/>
      <c r="R43" s="131"/>
      <c r="S43" s="131"/>
      <c r="U43" s="131"/>
      <c r="V43" s="131"/>
      <c r="X43" s="132"/>
      <c r="Y43" s="132"/>
      <c r="Z43" s="132"/>
      <c r="AA43" s="132"/>
      <c r="AB43" s="132"/>
      <c r="AD43" s="133"/>
      <c r="AE43" s="133"/>
      <c r="AF43" s="133"/>
      <c r="AG43" s="133"/>
      <c r="AH43" s="133"/>
      <c r="AI43" s="133"/>
      <c r="AJ43" s="133"/>
      <c r="AK43" s="133"/>
      <c r="AL43" s="133"/>
      <c r="AM43" s="133"/>
      <c r="AN43" s="133"/>
    </row>
    <row r="44" spans="1:40" s="117" customFormat="1" ht="15" customHeight="1" x14ac:dyDescent="0.35">
      <c r="A44" s="116" t="s">
        <v>86</v>
      </c>
      <c r="B44" s="135">
        <f ca="1">INDIRECT("'("&amp;$A$4&amp;")'!h40")</f>
        <v>18</v>
      </c>
      <c r="C44" s="135">
        <f ca="1">INDIRECT("'("&amp;$A$4&amp;")'!i40")</f>
        <v>7</v>
      </c>
      <c r="D44" s="135">
        <f ca="1">INDIRECT("'("&amp;$A$4&amp;")'!j40")</f>
        <v>1</v>
      </c>
      <c r="E44" s="130">
        <f t="shared" ca="1" si="3"/>
        <v>26</v>
      </c>
      <c r="F44" s="135"/>
      <c r="G44" s="135">
        <f ca="1">INDIRECT("'("&amp;$A$4&amp;")'!k40")</f>
        <v>30</v>
      </c>
      <c r="H44" s="135">
        <f ca="1">INDIRECT("'("&amp;$A$4&amp;")'!l40")</f>
        <v>2</v>
      </c>
      <c r="I44" s="135">
        <f ca="1">INDIRECT("'("&amp;$A$4&amp;")'!m40")</f>
        <v>46</v>
      </c>
      <c r="J44" s="130">
        <f t="shared" ca="1" si="1"/>
        <v>78</v>
      </c>
      <c r="K44" s="135"/>
      <c r="L44" s="135">
        <f ca="1">INDIRECT("'("&amp;$A$4&amp;")'!n40")</f>
        <v>116</v>
      </c>
      <c r="M44" s="135">
        <f ca="1">INDIRECT("'("&amp;$A$4&amp;")'!o40")</f>
        <v>7</v>
      </c>
      <c r="N44" s="135">
        <f ca="1">INDIRECT("'("&amp;$A$4&amp;")'!p40")</f>
        <v>4</v>
      </c>
      <c r="O44" s="130">
        <f t="shared" ca="1" si="2"/>
        <v>127</v>
      </c>
      <c r="P44" s="116"/>
      <c r="R44" s="131"/>
      <c r="S44" s="131"/>
      <c r="U44" s="131"/>
      <c r="V44" s="131"/>
      <c r="X44" s="132"/>
      <c r="Y44" s="132"/>
      <c r="Z44" s="132"/>
      <c r="AA44" s="132"/>
      <c r="AB44" s="132"/>
      <c r="AD44" s="133"/>
      <c r="AE44" s="133"/>
      <c r="AF44" s="133"/>
      <c r="AG44" s="133"/>
      <c r="AH44" s="133"/>
      <c r="AI44" s="133"/>
      <c r="AJ44" s="133"/>
      <c r="AK44" s="133"/>
      <c r="AL44" s="133"/>
      <c r="AM44" s="133"/>
      <c r="AN44" s="133"/>
    </row>
    <row r="45" spans="1:40" s="117" customFormat="1" ht="15" customHeight="1" x14ac:dyDescent="0.35">
      <c r="A45" s="116" t="s">
        <v>84</v>
      </c>
      <c r="B45" s="135">
        <f ca="1">INDIRECT("'("&amp;$A$4&amp;")'!h41")</f>
        <v>5</v>
      </c>
      <c r="C45" s="135">
        <f ca="1">INDIRECT("'("&amp;$A$4&amp;")'!i41")</f>
        <v>9</v>
      </c>
      <c r="D45" s="135">
        <f ca="1">INDIRECT("'("&amp;$A$4&amp;")'!j41")</f>
        <v>3</v>
      </c>
      <c r="E45" s="130">
        <f t="shared" ca="1" si="3"/>
        <v>17</v>
      </c>
      <c r="F45" s="135"/>
      <c r="G45" s="135">
        <f ca="1">INDIRECT("'("&amp;$A$4&amp;")'!k41")</f>
        <v>23</v>
      </c>
      <c r="H45" s="135">
        <f ca="1">INDIRECT("'("&amp;$A$4&amp;")'!l41")</f>
        <v>2</v>
      </c>
      <c r="I45" s="135">
        <f ca="1">INDIRECT("'("&amp;$A$4&amp;")'!m41")</f>
        <v>13</v>
      </c>
      <c r="J45" s="130">
        <f t="shared" ca="1" si="1"/>
        <v>38</v>
      </c>
      <c r="K45" s="135"/>
      <c r="L45" s="135">
        <f ca="1">INDIRECT("'("&amp;$A$4&amp;")'!n41")</f>
        <v>72</v>
      </c>
      <c r="M45" s="135">
        <f ca="1">INDIRECT("'("&amp;$A$4&amp;")'!o41")</f>
        <v>3</v>
      </c>
      <c r="N45" s="135">
        <f ca="1">INDIRECT("'("&amp;$A$4&amp;")'!p41")</f>
        <v>3</v>
      </c>
      <c r="O45" s="130">
        <f t="shared" ca="1" si="2"/>
        <v>78</v>
      </c>
      <c r="P45" s="116"/>
      <c r="R45" s="131"/>
      <c r="S45" s="131"/>
      <c r="U45" s="131"/>
      <c r="V45" s="131"/>
      <c r="X45" s="132"/>
      <c r="Y45" s="132"/>
      <c r="Z45" s="132"/>
      <c r="AA45" s="132"/>
      <c r="AB45" s="132"/>
      <c r="AD45" s="133"/>
      <c r="AE45" s="133"/>
      <c r="AF45" s="133"/>
      <c r="AG45" s="133"/>
      <c r="AH45" s="133"/>
      <c r="AI45" s="133"/>
      <c r="AJ45" s="133"/>
      <c r="AK45" s="133"/>
      <c r="AL45" s="133"/>
      <c r="AM45" s="133"/>
      <c r="AN45" s="133"/>
    </row>
    <row r="46" spans="1:40" s="117" customFormat="1" ht="15" customHeight="1" x14ac:dyDescent="0.35">
      <c r="A46" s="116" t="s">
        <v>82</v>
      </c>
      <c r="B46" s="135">
        <f ca="1">INDIRECT("'("&amp;$A$4&amp;")'!h42")</f>
        <v>2</v>
      </c>
      <c r="C46" s="135">
        <f ca="1">INDIRECT("'("&amp;$A$4&amp;")'!i42")</f>
        <v>14</v>
      </c>
      <c r="D46" s="135">
        <f ca="1">INDIRECT("'("&amp;$A$4&amp;")'!j42")</f>
        <v>9</v>
      </c>
      <c r="E46" s="130">
        <f t="shared" ca="1" si="3"/>
        <v>25</v>
      </c>
      <c r="F46" s="135"/>
      <c r="G46" s="135">
        <f ca="1">INDIRECT("'("&amp;$A$4&amp;")'!k42")</f>
        <v>42</v>
      </c>
      <c r="H46" s="135">
        <f ca="1">INDIRECT("'("&amp;$A$4&amp;")'!l42")</f>
        <v>2</v>
      </c>
      <c r="I46" s="135">
        <f ca="1">INDIRECT("'("&amp;$A$4&amp;")'!m42")</f>
        <v>4</v>
      </c>
      <c r="J46" s="130">
        <f t="shared" ca="1" si="1"/>
        <v>48</v>
      </c>
      <c r="K46" s="135"/>
      <c r="L46" s="135">
        <f ca="1">INDIRECT("'("&amp;$A$4&amp;")'!n42")</f>
        <v>165</v>
      </c>
      <c r="M46" s="135">
        <f ca="1">INDIRECT("'("&amp;$A$4&amp;")'!o42")</f>
        <v>6</v>
      </c>
      <c r="N46" s="135">
        <f ca="1">INDIRECT("'("&amp;$A$4&amp;")'!p42")</f>
        <v>6</v>
      </c>
      <c r="O46" s="130">
        <f t="shared" ca="1" si="2"/>
        <v>177</v>
      </c>
      <c r="P46" s="116"/>
      <c r="R46" s="131"/>
      <c r="S46" s="131"/>
      <c r="U46" s="131"/>
      <c r="V46" s="131"/>
      <c r="X46" s="132"/>
      <c r="Y46" s="132"/>
      <c r="Z46" s="132"/>
      <c r="AA46" s="132"/>
      <c r="AB46" s="132"/>
      <c r="AD46" s="133"/>
      <c r="AE46" s="133"/>
      <c r="AF46" s="133"/>
      <c r="AG46" s="133"/>
      <c r="AH46" s="133"/>
      <c r="AI46" s="133"/>
      <c r="AJ46" s="133"/>
      <c r="AK46" s="133"/>
      <c r="AL46" s="133"/>
      <c r="AM46" s="133"/>
      <c r="AN46" s="133"/>
    </row>
    <row r="47" spans="1:40" s="117" customFormat="1" ht="15" customHeight="1" x14ac:dyDescent="0.35">
      <c r="A47" s="116" t="s">
        <v>79</v>
      </c>
      <c r="B47" s="135">
        <f ca="1">INDIRECT("'("&amp;$A$4&amp;")'!h43")</f>
        <v>0</v>
      </c>
      <c r="C47" s="135">
        <f ca="1">INDIRECT("'("&amp;$A$4&amp;")'!i43")</f>
        <v>5</v>
      </c>
      <c r="D47" s="135">
        <f ca="1">INDIRECT("'("&amp;$A$4&amp;")'!j43")</f>
        <v>0</v>
      </c>
      <c r="E47" s="130">
        <f t="shared" ref="E47" ca="1" si="4">SUM(B47:D47)</f>
        <v>5</v>
      </c>
      <c r="F47" s="135"/>
      <c r="G47" s="135">
        <f ca="1">INDIRECT("'("&amp;$A$4&amp;")'!k43")</f>
        <v>7</v>
      </c>
      <c r="H47" s="135">
        <f ca="1">INDIRECT("'("&amp;$A$4&amp;")'!l43")</f>
        <v>0</v>
      </c>
      <c r="I47" s="135">
        <f ca="1">INDIRECT("'("&amp;$A$4&amp;")'!m43")</f>
        <v>0</v>
      </c>
      <c r="J47" s="130">
        <f t="shared" ref="J47" ca="1" si="5">SUM(G47:I47)</f>
        <v>7</v>
      </c>
      <c r="K47" s="135"/>
      <c r="L47" s="135">
        <f ca="1">INDIRECT("'("&amp;$A$4&amp;")'!n43")</f>
        <v>3</v>
      </c>
      <c r="M47" s="135">
        <f ca="1">INDIRECT("'("&amp;$A$4&amp;")'!o43")</f>
        <v>1</v>
      </c>
      <c r="N47" s="135">
        <f ca="1">INDIRECT("'("&amp;$A$4&amp;")'!p43")</f>
        <v>0</v>
      </c>
      <c r="O47" s="130">
        <f t="shared" ref="O47" ca="1" si="6">SUM(L47:N47)</f>
        <v>4</v>
      </c>
      <c r="P47" s="116"/>
      <c r="R47" s="131"/>
      <c r="S47" s="131"/>
      <c r="U47" s="131"/>
      <c r="V47" s="131"/>
      <c r="X47" s="132"/>
      <c r="Y47" s="132"/>
      <c r="Z47" s="132"/>
      <c r="AA47" s="132"/>
      <c r="AB47" s="132"/>
      <c r="AD47" s="133"/>
      <c r="AE47" s="133"/>
      <c r="AF47" s="133"/>
      <c r="AG47" s="133"/>
      <c r="AH47" s="133"/>
      <c r="AI47" s="133"/>
      <c r="AJ47" s="133"/>
      <c r="AK47" s="133"/>
      <c r="AL47" s="133"/>
      <c r="AM47" s="133"/>
      <c r="AN47" s="133"/>
    </row>
    <row r="48" spans="1:40" s="261" customFormat="1" ht="15" customHeight="1" x14ac:dyDescent="0.35">
      <c r="A48" s="137" t="s">
        <v>204</v>
      </c>
      <c r="B48" s="130">
        <f ca="1">INDIRECT("'("&amp;$A$4&amp;")'!h44")</f>
        <v>239</v>
      </c>
      <c r="C48" s="130">
        <f ca="1">INDIRECT("'("&amp;$A$4&amp;")'!i44")</f>
        <v>15</v>
      </c>
      <c r="D48" s="130">
        <f ca="1">INDIRECT("'("&amp;$A$4&amp;")'!j44")</f>
        <v>27</v>
      </c>
      <c r="E48" s="130">
        <f t="shared" ca="1" si="3"/>
        <v>281</v>
      </c>
      <c r="F48" s="130"/>
      <c r="G48" s="130">
        <f ca="1">INDIRECT("'("&amp;$A$4&amp;")'!k44")</f>
        <v>360</v>
      </c>
      <c r="H48" s="130">
        <f ca="1">INDIRECT("'("&amp;$A$4&amp;")'!l44")</f>
        <v>35</v>
      </c>
      <c r="I48" s="130">
        <f ca="1">INDIRECT("'("&amp;$A$4&amp;")'!m44")</f>
        <v>310</v>
      </c>
      <c r="J48" s="130">
        <f t="shared" ca="1" si="1"/>
        <v>705</v>
      </c>
      <c r="K48" s="130"/>
      <c r="L48" s="130">
        <f ca="1">INDIRECT("'("&amp;$A$4&amp;")'!n44")</f>
        <v>921</v>
      </c>
      <c r="M48" s="130">
        <f ca="1">INDIRECT("'("&amp;$A$4&amp;")'!o44")</f>
        <v>107</v>
      </c>
      <c r="N48" s="130">
        <f ca="1">INDIRECT("'("&amp;$A$4&amp;")'!p44")</f>
        <v>79</v>
      </c>
      <c r="O48" s="130">
        <f t="shared" ca="1" si="2"/>
        <v>1107</v>
      </c>
      <c r="P48" s="137"/>
      <c r="R48" s="262"/>
      <c r="S48" s="262"/>
      <c r="U48" s="262"/>
      <c r="V48" s="262"/>
      <c r="X48" s="263"/>
      <c r="Y48" s="263"/>
      <c r="Z48" s="263"/>
      <c r="AA48" s="263"/>
      <c r="AB48" s="263"/>
      <c r="AD48" s="264"/>
      <c r="AE48" s="264"/>
      <c r="AF48" s="264"/>
      <c r="AG48" s="264"/>
      <c r="AH48" s="264"/>
      <c r="AI48" s="264"/>
      <c r="AJ48" s="264"/>
      <c r="AK48" s="264"/>
      <c r="AL48" s="264"/>
      <c r="AM48" s="264"/>
      <c r="AN48" s="264"/>
    </row>
    <row r="49" spans="1:40" s="117" customFormat="1" ht="15" customHeight="1" x14ac:dyDescent="0.35">
      <c r="A49" s="138" t="s">
        <v>28</v>
      </c>
      <c r="B49" s="130">
        <f ca="1">INDIRECT("'("&amp;$A$4&amp;")'!h45")</f>
        <v>35</v>
      </c>
      <c r="C49" s="130">
        <f ca="1">INDIRECT("'("&amp;$A$4&amp;")'!i45")</f>
        <v>0</v>
      </c>
      <c r="D49" s="130">
        <f ca="1">INDIRECT("'("&amp;$A$4&amp;")'!j45")</f>
        <v>6</v>
      </c>
      <c r="E49" s="130">
        <f t="shared" ca="1" si="3"/>
        <v>41</v>
      </c>
      <c r="F49" s="130"/>
      <c r="G49" s="130">
        <f ca="1">INDIRECT("'("&amp;$A$4&amp;")'!k45")</f>
        <v>54</v>
      </c>
      <c r="H49" s="130">
        <f ca="1">INDIRECT("'("&amp;$A$4&amp;")'!l45")</f>
        <v>6</v>
      </c>
      <c r="I49" s="130">
        <f ca="1">INDIRECT("'("&amp;$A$4&amp;")'!m45")</f>
        <v>18</v>
      </c>
      <c r="J49" s="130">
        <f t="shared" ca="1" si="1"/>
        <v>78</v>
      </c>
      <c r="K49" s="130"/>
      <c r="L49" s="130">
        <f ca="1">INDIRECT("'("&amp;$A$4&amp;")'!n45")</f>
        <v>129</v>
      </c>
      <c r="M49" s="130">
        <f ca="1">INDIRECT("'("&amp;$A$4&amp;")'!o45")</f>
        <v>12</v>
      </c>
      <c r="N49" s="130">
        <f ca="1">INDIRECT("'("&amp;$A$4&amp;")'!p45")</f>
        <v>2</v>
      </c>
      <c r="O49" s="130">
        <f t="shared" ca="1" si="2"/>
        <v>143</v>
      </c>
      <c r="P49" s="116"/>
      <c r="R49" s="131"/>
      <c r="S49" s="131"/>
      <c r="U49" s="131"/>
      <c r="V49" s="131"/>
      <c r="X49" s="132"/>
      <c r="Y49" s="132"/>
      <c r="Z49" s="132"/>
      <c r="AA49" s="132"/>
      <c r="AB49" s="132"/>
      <c r="AD49" s="133"/>
      <c r="AE49" s="133"/>
      <c r="AF49" s="133"/>
      <c r="AG49" s="133"/>
      <c r="AH49" s="133"/>
      <c r="AI49" s="133"/>
      <c r="AJ49" s="133"/>
      <c r="AK49" s="133"/>
      <c r="AL49" s="133"/>
      <c r="AM49" s="133"/>
      <c r="AN49" s="133"/>
    </row>
    <row r="50" spans="1:40" s="117" customFormat="1" ht="15" customHeight="1" x14ac:dyDescent="0.35">
      <c r="A50" s="138" t="s">
        <v>26</v>
      </c>
      <c r="B50" s="135">
        <f ca="1">INDIRECT("'("&amp;$A$4&amp;")'!h46")</f>
        <v>12</v>
      </c>
      <c r="C50" s="135">
        <f ca="1">INDIRECT("'("&amp;$A$4&amp;")'!i46")</f>
        <v>0</v>
      </c>
      <c r="D50" s="135">
        <f ca="1">INDIRECT("'("&amp;$A$4&amp;")'!j46")</f>
        <v>11</v>
      </c>
      <c r="E50" s="130">
        <f t="shared" ca="1" si="3"/>
        <v>23</v>
      </c>
      <c r="F50" s="135"/>
      <c r="G50" s="135">
        <f ca="1">INDIRECT("'("&amp;$A$4&amp;")'!k46")</f>
        <v>29</v>
      </c>
      <c r="H50" s="135">
        <f ca="1">INDIRECT("'("&amp;$A$4&amp;")'!l46")</f>
        <v>4</v>
      </c>
      <c r="I50" s="135">
        <f ca="1">INDIRECT("'("&amp;$A$4&amp;")'!m46")</f>
        <v>47</v>
      </c>
      <c r="J50" s="130">
        <f t="shared" ca="1" si="1"/>
        <v>80</v>
      </c>
      <c r="K50" s="135"/>
      <c r="L50" s="135">
        <f ca="1">INDIRECT("'("&amp;$A$4&amp;")'!n46")</f>
        <v>163</v>
      </c>
      <c r="M50" s="135">
        <f ca="1">INDIRECT("'("&amp;$A$4&amp;")'!o46")</f>
        <v>9</v>
      </c>
      <c r="N50" s="135">
        <f ca="1">INDIRECT("'("&amp;$A$4&amp;")'!p46")</f>
        <v>6</v>
      </c>
      <c r="O50" s="130">
        <f t="shared" ca="1" si="2"/>
        <v>178</v>
      </c>
      <c r="P50" s="116"/>
      <c r="R50" s="131"/>
      <c r="S50" s="131"/>
      <c r="U50" s="131"/>
      <c r="V50" s="131"/>
      <c r="X50" s="132"/>
      <c r="Y50" s="132"/>
      <c r="Z50" s="132"/>
      <c r="AA50" s="132"/>
      <c r="AB50" s="132"/>
      <c r="AD50" s="133"/>
      <c r="AE50" s="133"/>
      <c r="AF50" s="133"/>
      <c r="AG50" s="133"/>
      <c r="AH50" s="133"/>
      <c r="AI50" s="133"/>
      <c r="AJ50" s="133"/>
      <c r="AK50" s="133"/>
      <c r="AL50" s="133"/>
      <c r="AM50" s="133"/>
      <c r="AN50" s="133"/>
    </row>
    <row r="51" spans="1:40" s="117" customFormat="1" ht="15" customHeight="1" x14ac:dyDescent="0.35">
      <c r="A51" s="138" t="s">
        <v>24</v>
      </c>
      <c r="B51" s="135">
        <f ca="1">INDIRECT("'("&amp;$A$4&amp;")'!h47")</f>
        <v>14</v>
      </c>
      <c r="C51" s="135">
        <f ca="1">INDIRECT("'("&amp;$A$4&amp;")'!i47")</f>
        <v>4</v>
      </c>
      <c r="D51" s="135">
        <f ca="1">INDIRECT("'("&amp;$A$4&amp;")'!j47")</f>
        <v>3</v>
      </c>
      <c r="E51" s="130">
        <f t="shared" ca="1" si="3"/>
        <v>21</v>
      </c>
      <c r="F51" s="135"/>
      <c r="G51" s="135">
        <f ca="1">INDIRECT("'("&amp;$A$4&amp;")'!k47")</f>
        <v>27</v>
      </c>
      <c r="H51" s="135">
        <f ca="1">INDIRECT("'("&amp;$A$4&amp;")'!l47")</f>
        <v>2</v>
      </c>
      <c r="I51" s="135">
        <f ca="1">INDIRECT("'("&amp;$A$4&amp;")'!m47")</f>
        <v>13</v>
      </c>
      <c r="J51" s="130">
        <f t="shared" ca="1" si="1"/>
        <v>42</v>
      </c>
      <c r="K51" s="135"/>
      <c r="L51" s="135">
        <f ca="1">INDIRECT("'("&amp;$A$4&amp;")'!n47")</f>
        <v>140</v>
      </c>
      <c r="M51" s="135">
        <f ca="1">INDIRECT("'("&amp;$A$4&amp;")'!o47")</f>
        <v>4</v>
      </c>
      <c r="N51" s="135">
        <f ca="1">INDIRECT("'("&amp;$A$4&amp;")'!p47")</f>
        <v>3</v>
      </c>
      <c r="O51" s="130">
        <f t="shared" ca="1" si="2"/>
        <v>147</v>
      </c>
      <c r="P51" s="116"/>
      <c r="R51" s="131"/>
      <c r="S51" s="131"/>
      <c r="U51" s="131"/>
      <c r="V51" s="131"/>
      <c r="X51" s="132"/>
      <c r="Y51" s="132"/>
      <c r="Z51" s="132"/>
      <c r="AA51" s="132"/>
      <c r="AB51" s="132"/>
      <c r="AD51" s="133"/>
      <c r="AE51" s="133"/>
      <c r="AF51" s="133"/>
      <c r="AG51" s="133"/>
      <c r="AH51" s="133"/>
      <c r="AI51" s="133"/>
      <c r="AJ51" s="133"/>
      <c r="AK51" s="133"/>
      <c r="AL51" s="133"/>
      <c r="AM51" s="133"/>
      <c r="AN51" s="133"/>
    </row>
    <row r="52" spans="1:40" s="117" customFormat="1" ht="15" customHeight="1" x14ac:dyDescent="0.35">
      <c r="A52" s="138" t="s">
        <v>22</v>
      </c>
      <c r="B52" s="135">
        <f ca="1">INDIRECT("'("&amp;$A$4&amp;")'!h48")</f>
        <v>16</v>
      </c>
      <c r="C52" s="135">
        <f ca="1">INDIRECT("'("&amp;$A$4&amp;")'!i48")</f>
        <v>1</v>
      </c>
      <c r="D52" s="135">
        <f ca="1">INDIRECT("'("&amp;$A$4&amp;")'!j48")</f>
        <v>0</v>
      </c>
      <c r="E52" s="130">
        <f t="shared" ca="1" si="3"/>
        <v>17</v>
      </c>
      <c r="F52" s="135"/>
      <c r="G52" s="135">
        <f ca="1">INDIRECT("'("&amp;$A$4&amp;")'!k48")</f>
        <v>24</v>
      </c>
      <c r="H52" s="135">
        <f ca="1">INDIRECT("'("&amp;$A$4&amp;")'!l48")</f>
        <v>3</v>
      </c>
      <c r="I52" s="135">
        <f ca="1">INDIRECT("'("&amp;$A$4&amp;")'!m48")</f>
        <v>20</v>
      </c>
      <c r="J52" s="130">
        <f t="shared" ca="1" si="1"/>
        <v>47</v>
      </c>
      <c r="K52" s="135"/>
      <c r="L52" s="135">
        <f ca="1">INDIRECT("'("&amp;$A$4&amp;")'!n48")</f>
        <v>86</v>
      </c>
      <c r="M52" s="135">
        <f ca="1">INDIRECT("'("&amp;$A$4&amp;")'!o48")</f>
        <v>6</v>
      </c>
      <c r="N52" s="135">
        <f ca="1">INDIRECT("'("&amp;$A$4&amp;")'!p48")</f>
        <v>11</v>
      </c>
      <c r="O52" s="130">
        <f t="shared" ca="1" si="2"/>
        <v>103</v>
      </c>
      <c r="P52" s="116"/>
      <c r="R52" s="131"/>
      <c r="S52" s="131"/>
      <c r="U52" s="131"/>
      <c r="V52" s="131"/>
      <c r="X52" s="132"/>
      <c r="Y52" s="132"/>
      <c r="Z52" s="132"/>
      <c r="AA52" s="132"/>
      <c r="AB52" s="132"/>
      <c r="AD52" s="133"/>
      <c r="AE52" s="133"/>
      <c r="AF52" s="133"/>
      <c r="AG52" s="133"/>
      <c r="AH52" s="133"/>
      <c r="AI52" s="133"/>
      <c r="AJ52" s="133"/>
      <c r="AK52" s="133"/>
      <c r="AL52" s="133"/>
      <c r="AM52" s="133"/>
      <c r="AN52" s="133"/>
    </row>
    <row r="53" spans="1:40" s="117" customFormat="1" ht="15" customHeight="1" x14ac:dyDescent="0.35">
      <c r="A53" s="138" t="s">
        <v>20</v>
      </c>
      <c r="B53" s="135">
        <f ca="1">INDIRECT("'("&amp;$A$4&amp;")'!h49")</f>
        <v>38</v>
      </c>
      <c r="C53" s="135">
        <f ca="1">INDIRECT("'("&amp;$A$4&amp;")'!i49")</f>
        <v>0</v>
      </c>
      <c r="D53" s="135">
        <f ca="1">INDIRECT("'("&amp;$A$4&amp;")'!j49")</f>
        <v>0</v>
      </c>
      <c r="E53" s="130">
        <f t="shared" ca="1" si="3"/>
        <v>38</v>
      </c>
      <c r="F53" s="135"/>
      <c r="G53" s="135">
        <f ca="1">INDIRECT("'("&amp;$A$4&amp;")'!k49")</f>
        <v>41</v>
      </c>
      <c r="H53" s="135">
        <f ca="1">INDIRECT("'("&amp;$A$4&amp;")'!l49")</f>
        <v>4</v>
      </c>
      <c r="I53" s="135">
        <f ca="1">INDIRECT("'("&amp;$A$4&amp;")'!m49")</f>
        <v>34</v>
      </c>
      <c r="J53" s="130">
        <f t="shared" ca="1" si="1"/>
        <v>79</v>
      </c>
      <c r="K53" s="135"/>
      <c r="L53" s="135">
        <f ca="1">INDIRECT("'("&amp;$A$4&amp;")'!n49")</f>
        <v>106</v>
      </c>
      <c r="M53" s="135">
        <f ca="1">INDIRECT("'("&amp;$A$4&amp;")'!o49")</f>
        <v>14</v>
      </c>
      <c r="N53" s="135">
        <f ca="1">INDIRECT("'("&amp;$A$4&amp;")'!p49")</f>
        <v>10</v>
      </c>
      <c r="O53" s="130">
        <f t="shared" ca="1" si="2"/>
        <v>130</v>
      </c>
      <c r="P53" s="116"/>
      <c r="R53" s="131"/>
      <c r="S53" s="131"/>
      <c r="U53" s="131"/>
      <c r="V53" s="131"/>
      <c r="X53" s="132"/>
      <c r="Y53" s="132"/>
      <c r="Z53" s="132"/>
      <c r="AA53" s="132"/>
      <c r="AB53" s="132"/>
      <c r="AD53" s="133"/>
      <c r="AE53" s="133"/>
      <c r="AF53" s="133"/>
      <c r="AG53" s="133"/>
      <c r="AH53" s="133"/>
      <c r="AI53" s="133"/>
      <c r="AJ53" s="133"/>
      <c r="AK53" s="133"/>
      <c r="AL53" s="133"/>
      <c r="AM53" s="133"/>
      <c r="AN53" s="133"/>
    </row>
    <row r="54" spans="1:40" s="117" customFormat="1" ht="15" customHeight="1" x14ac:dyDescent="0.35">
      <c r="A54" s="138" t="s">
        <v>18</v>
      </c>
      <c r="B54" s="135">
        <f ca="1">INDIRECT("'("&amp;$A$4&amp;")'!h50")</f>
        <v>21</v>
      </c>
      <c r="C54" s="135">
        <f ca="1">INDIRECT("'("&amp;$A$4&amp;")'!i50")</f>
        <v>10</v>
      </c>
      <c r="D54" s="135">
        <f ca="1">INDIRECT("'("&amp;$A$4&amp;")'!j50")</f>
        <v>7</v>
      </c>
      <c r="E54" s="130">
        <f t="shared" ca="1" si="3"/>
        <v>38</v>
      </c>
      <c r="F54" s="135"/>
      <c r="G54" s="135">
        <f ca="1">INDIRECT("'("&amp;$A$4&amp;")'!k50")</f>
        <v>43</v>
      </c>
      <c r="H54" s="135">
        <f ca="1">INDIRECT("'("&amp;$A$4&amp;")'!l50")</f>
        <v>5</v>
      </c>
      <c r="I54" s="135">
        <f ca="1">INDIRECT("'("&amp;$A$4&amp;")'!m50")</f>
        <v>42</v>
      </c>
      <c r="J54" s="130">
        <f t="shared" ca="1" si="1"/>
        <v>90</v>
      </c>
      <c r="K54" s="135"/>
      <c r="L54" s="135">
        <f ca="1">INDIRECT("'("&amp;$A$4&amp;")'!n50")</f>
        <v>208</v>
      </c>
      <c r="M54" s="135">
        <f ca="1">INDIRECT("'("&amp;$A$4&amp;")'!o50")</f>
        <v>8</v>
      </c>
      <c r="N54" s="135">
        <f ca="1">INDIRECT("'("&amp;$A$4&amp;")'!p50")</f>
        <v>5</v>
      </c>
      <c r="O54" s="130">
        <f t="shared" ca="1" si="2"/>
        <v>221</v>
      </c>
      <c r="P54" s="116"/>
      <c r="R54" s="131"/>
      <c r="S54" s="131"/>
      <c r="T54" s="116"/>
      <c r="U54" s="131"/>
      <c r="V54" s="131"/>
      <c r="X54" s="132"/>
      <c r="Y54" s="132"/>
      <c r="Z54" s="132"/>
      <c r="AA54" s="132"/>
      <c r="AB54" s="132"/>
      <c r="AD54" s="133"/>
      <c r="AE54" s="133"/>
      <c r="AF54" s="133"/>
      <c r="AG54" s="133"/>
      <c r="AH54" s="133"/>
      <c r="AI54" s="133"/>
      <c r="AJ54" s="133"/>
      <c r="AK54" s="133"/>
      <c r="AL54" s="133"/>
      <c r="AM54" s="133"/>
      <c r="AN54" s="133"/>
    </row>
    <row r="55" spans="1:40" s="117" customFormat="1" ht="15" customHeight="1" thickBot="1" x14ac:dyDescent="0.4">
      <c r="A55" s="139" t="s">
        <v>190</v>
      </c>
      <c r="B55" s="135">
        <f ca="1">INDIRECT("'("&amp;$A$4&amp;")'!h51")</f>
        <v>103</v>
      </c>
      <c r="C55" s="135">
        <f ca="1">INDIRECT("'("&amp;$A$4&amp;")'!i51")</f>
        <v>0</v>
      </c>
      <c r="D55" s="135">
        <f ca="1">INDIRECT("'("&amp;$A$4&amp;")'!j51")</f>
        <v>0</v>
      </c>
      <c r="E55" s="130">
        <f t="shared" ca="1" si="3"/>
        <v>103</v>
      </c>
      <c r="F55" s="135"/>
      <c r="G55" s="135">
        <f ca="1">INDIRECT("'("&amp;$A$4&amp;")'!k51")</f>
        <v>142</v>
      </c>
      <c r="H55" s="135">
        <f ca="1">INDIRECT("'("&amp;$A$4&amp;")'!l51")</f>
        <v>11</v>
      </c>
      <c r="I55" s="135">
        <f ca="1">INDIRECT("'("&amp;$A$4&amp;")'!m51")</f>
        <v>136</v>
      </c>
      <c r="J55" s="130">
        <f t="shared" ca="1" si="1"/>
        <v>289</v>
      </c>
      <c r="K55" s="135"/>
      <c r="L55" s="135">
        <f ca="1">INDIRECT("'("&amp;$A$4&amp;")'!n51")</f>
        <v>89</v>
      </c>
      <c r="M55" s="135">
        <f ca="1">INDIRECT("'("&amp;$A$4&amp;")'!o51")</f>
        <v>54</v>
      </c>
      <c r="N55" s="135">
        <f ca="1">INDIRECT("'("&amp;$A$4&amp;")'!p51")</f>
        <v>42</v>
      </c>
      <c r="O55" s="130">
        <f t="shared" ca="1" si="2"/>
        <v>185</v>
      </c>
      <c r="P55" s="116"/>
      <c r="R55" s="131"/>
      <c r="S55" s="131"/>
      <c r="T55" s="116"/>
      <c r="U55" s="131"/>
      <c r="V55" s="131"/>
      <c r="X55" s="132"/>
      <c r="Y55" s="132"/>
      <c r="Z55" s="132"/>
      <c r="AA55" s="132"/>
      <c r="AB55" s="132"/>
      <c r="AD55" s="133"/>
      <c r="AE55" s="133"/>
      <c r="AF55" s="133"/>
      <c r="AG55" s="133"/>
      <c r="AH55" s="133"/>
      <c r="AI55" s="133"/>
      <c r="AJ55" s="133"/>
      <c r="AK55" s="133"/>
      <c r="AL55" s="133"/>
      <c r="AM55" s="133"/>
      <c r="AN55" s="133"/>
    </row>
    <row r="56" spans="1:40" ht="15" thickBot="1" x14ac:dyDescent="0.4">
      <c r="B56" s="135"/>
      <c r="C56" s="135"/>
      <c r="D56" s="135"/>
      <c r="E56" s="130"/>
      <c r="F56" s="140"/>
      <c r="G56" s="135"/>
      <c r="H56" s="135"/>
      <c r="I56" s="135"/>
      <c r="J56" s="130"/>
      <c r="K56" s="140"/>
      <c r="L56" s="135"/>
      <c r="M56" s="135"/>
      <c r="N56" s="135"/>
      <c r="O56" s="130"/>
      <c r="R56" s="131"/>
      <c r="S56" s="131"/>
      <c r="U56" s="131"/>
      <c r="V56" s="131"/>
      <c r="W56" s="131"/>
      <c r="X56" s="131"/>
      <c r="Y56" s="131"/>
      <c r="Z56" s="131"/>
      <c r="AA56" s="131"/>
      <c r="AB56" s="131"/>
    </row>
    <row r="57" spans="1:40" s="117" customFormat="1" ht="15" customHeight="1" x14ac:dyDescent="0.35">
      <c r="A57" s="206"/>
      <c r="B57" s="116"/>
      <c r="C57" s="116"/>
      <c r="D57" s="116"/>
      <c r="E57" s="116"/>
      <c r="F57" s="116"/>
      <c r="G57" s="116"/>
      <c r="H57" s="116"/>
      <c r="I57" s="116"/>
      <c r="J57" s="116"/>
      <c r="K57" s="116"/>
      <c r="L57" s="116"/>
      <c r="M57" s="116"/>
      <c r="N57" s="116"/>
      <c r="O57" s="116"/>
      <c r="P57" s="116"/>
      <c r="Q57" s="116"/>
      <c r="R57" s="131"/>
      <c r="S57" s="131"/>
      <c r="T57" s="116"/>
      <c r="U57" s="131"/>
      <c r="V57" s="131"/>
      <c r="W57" s="131"/>
      <c r="X57" s="131"/>
      <c r="Y57" s="131"/>
      <c r="Z57" s="131"/>
      <c r="AA57" s="131"/>
      <c r="AB57" s="131"/>
    </row>
    <row r="58" spans="1:40" s="117" customFormat="1" ht="15" customHeight="1" x14ac:dyDescent="0.35">
      <c r="A58" s="141"/>
      <c r="B58" s="206"/>
      <c r="C58" s="206"/>
      <c r="D58" s="206"/>
      <c r="E58" s="206"/>
      <c r="F58" s="206"/>
      <c r="G58" s="206"/>
      <c r="H58" s="206"/>
      <c r="I58" s="206"/>
      <c r="J58" s="206"/>
      <c r="K58" s="206"/>
      <c r="L58" s="206"/>
      <c r="M58" s="206"/>
      <c r="N58" s="206"/>
      <c r="O58" s="206"/>
      <c r="P58" s="116"/>
      <c r="Q58" s="116"/>
      <c r="R58" s="131"/>
      <c r="S58" s="131"/>
      <c r="T58" s="116"/>
      <c r="U58" s="131"/>
      <c r="V58" s="131"/>
      <c r="W58" s="131"/>
      <c r="X58" s="131"/>
      <c r="Y58" s="131"/>
      <c r="Z58" s="131"/>
      <c r="AA58" s="131"/>
      <c r="AB58" s="131"/>
    </row>
    <row r="59" spans="1:40" s="117" customFormat="1" ht="15" customHeight="1" x14ac:dyDescent="0.35">
      <c r="A59" s="116"/>
      <c r="B59" s="141"/>
      <c r="C59" s="141"/>
      <c r="D59" s="141"/>
      <c r="E59" s="141"/>
      <c r="F59" s="141"/>
      <c r="G59" s="141"/>
      <c r="H59" s="141"/>
      <c r="I59" s="141"/>
      <c r="J59" s="141"/>
      <c r="K59" s="141"/>
      <c r="L59" s="141"/>
      <c r="M59" s="141"/>
      <c r="N59" s="141"/>
      <c r="O59" s="141"/>
      <c r="T59" s="116"/>
    </row>
    <row r="60" spans="1:40" s="117" customFormat="1" ht="15" customHeight="1" x14ac:dyDescent="0.35">
      <c r="A60" s="142"/>
      <c r="B60" s="114"/>
      <c r="C60" s="114"/>
      <c r="D60" s="114"/>
      <c r="E60" s="114"/>
      <c r="F60" s="114"/>
      <c r="G60" s="114"/>
      <c r="H60" s="114"/>
      <c r="I60" s="114"/>
      <c r="J60" s="114"/>
      <c r="K60" s="114"/>
      <c r="L60" s="114"/>
      <c r="M60" s="114"/>
      <c r="N60" s="114"/>
      <c r="O60" s="114"/>
      <c r="T60" s="116"/>
    </row>
    <row r="61" spans="1:40" s="117" customFormat="1" ht="15" customHeight="1" x14ac:dyDescent="0.35">
      <c r="A61" s="142"/>
      <c r="B61" s="114"/>
      <c r="C61" s="114"/>
      <c r="D61" s="114"/>
      <c r="E61" s="114"/>
      <c r="F61" s="114"/>
      <c r="G61" s="114"/>
      <c r="H61" s="114"/>
      <c r="I61" s="114"/>
      <c r="J61" s="114"/>
      <c r="K61" s="114"/>
      <c r="L61" s="114"/>
      <c r="M61" s="114"/>
      <c r="N61" s="114"/>
      <c r="O61" s="114"/>
      <c r="T61" s="116"/>
    </row>
    <row r="62" spans="1:40" s="117" customFormat="1" x14ac:dyDescent="0.35">
      <c r="A62" s="206"/>
      <c r="B62" s="114"/>
      <c r="C62" s="114"/>
      <c r="D62" s="114"/>
      <c r="E62" s="114"/>
      <c r="F62" s="114"/>
      <c r="G62" s="114"/>
      <c r="H62" s="114"/>
      <c r="I62" s="114"/>
      <c r="J62" s="114"/>
      <c r="K62" s="114"/>
      <c r="L62" s="114"/>
      <c r="M62" s="114"/>
      <c r="N62" s="114"/>
      <c r="O62" s="114"/>
      <c r="T62" s="116"/>
    </row>
    <row r="63" spans="1:40" x14ac:dyDescent="0.35">
      <c r="B63" s="206"/>
      <c r="C63" s="206"/>
      <c r="D63" s="206"/>
      <c r="E63" s="206"/>
      <c r="F63" s="206"/>
      <c r="G63" s="206"/>
      <c r="H63" s="206"/>
      <c r="I63" s="206"/>
      <c r="J63" s="206"/>
      <c r="K63" s="206"/>
      <c r="L63" s="206"/>
      <c r="M63" s="206"/>
      <c r="N63" s="206"/>
      <c r="O63" s="206"/>
    </row>
    <row r="64" spans="1:40" s="117" customFormat="1" x14ac:dyDescent="0.35">
      <c r="A64" s="116"/>
      <c r="B64" s="116"/>
      <c r="C64" s="116"/>
      <c r="D64" s="116"/>
      <c r="E64" s="116"/>
      <c r="F64" s="116"/>
      <c r="G64" s="116"/>
      <c r="H64" s="116"/>
      <c r="I64" s="116"/>
      <c r="J64" s="116"/>
      <c r="K64" s="116"/>
      <c r="L64" s="116"/>
      <c r="M64" s="116"/>
      <c r="N64" s="116"/>
      <c r="O64" s="116"/>
      <c r="T64" s="116"/>
    </row>
    <row r="65" spans="1:20" s="117" customFormat="1" x14ac:dyDescent="0.35">
      <c r="A65" s="142"/>
      <c r="B65" s="116"/>
      <c r="C65" s="116"/>
      <c r="D65" s="116"/>
      <c r="E65" s="116"/>
      <c r="F65" s="116"/>
      <c r="G65" s="116"/>
      <c r="H65" s="116"/>
      <c r="I65" s="116"/>
      <c r="J65" s="116"/>
      <c r="K65" s="116"/>
      <c r="L65" s="116"/>
      <c r="M65" s="116"/>
      <c r="N65" s="116"/>
      <c r="O65" s="116"/>
      <c r="T65" s="116"/>
    </row>
    <row r="72" spans="1:20" x14ac:dyDescent="0.35">
      <c r="R72" s="116" t="s">
        <v>208</v>
      </c>
      <c r="S72" s="117"/>
    </row>
    <row r="73" spans="1:20" x14ac:dyDescent="0.35">
      <c r="R73" s="116" t="s">
        <v>209</v>
      </c>
    </row>
    <row r="74" spans="1:20" x14ac:dyDescent="0.35">
      <c r="R74" s="116" t="s">
        <v>210</v>
      </c>
    </row>
    <row r="75" spans="1:20" x14ac:dyDescent="0.35">
      <c r="R75" s="116" t="s">
        <v>211</v>
      </c>
    </row>
    <row r="76" spans="1:20" x14ac:dyDescent="0.35">
      <c r="R76" s="116" t="s">
        <v>212</v>
      </c>
    </row>
    <row r="77" spans="1:20" x14ac:dyDescent="0.35">
      <c r="R77" s="116" t="s">
        <v>200</v>
      </c>
    </row>
  </sheetData>
  <mergeCells count="6">
    <mergeCell ref="A1:O1"/>
    <mergeCell ref="A4:H4"/>
    <mergeCell ref="B5:J5"/>
    <mergeCell ref="B6:E6"/>
    <mergeCell ref="G6:J6"/>
    <mergeCell ref="L6:O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85"/>
  <sheetViews>
    <sheetView tabSelected="1" zoomScaleNormal="100" workbookViewId="0">
      <pane ySplit="8" topLeftCell="A9" activePane="bottomLeft" state="frozen"/>
      <selection pane="bottomLeft" sqref="A1:O1"/>
    </sheetView>
  </sheetViews>
  <sheetFormatPr defaultColWidth="9.1796875" defaultRowHeight="14.5" x14ac:dyDescent="0.35"/>
  <cols>
    <col min="1" max="1" width="41" style="116" customWidth="1"/>
    <col min="2" max="2" width="12.81640625" style="116" customWidth="1"/>
    <col min="3" max="5" width="10.7265625" style="116" customWidth="1"/>
    <col min="6" max="6" width="3.7265625" style="116" customWidth="1"/>
    <col min="7" max="7" width="11.7265625" style="116" customWidth="1"/>
    <col min="8" max="8" width="13.81640625" style="116" customWidth="1"/>
    <col min="9" max="9" width="13.453125" style="116" customWidth="1"/>
    <col min="10" max="10" width="11.7265625" style="116" customWidth="1"/>
    <col min="11" max="11" width="3.7265625" style="116" customWidth="1"/>
    <col min="12" max="15" width="10.7265625" style="116" customWidth="1"/>
    <col min="16" max="17" width="9.1796875" style="116" customWidth="1"/>
    <col min="18" max="18" width="9.1796875" style="116" hidden="1" customWidth="1"/>
    <col min="19" max="19" width="9.1796875" style="116" customWidth="1"/>
    <col min="20" max="20" width="10" style="116" bestFit="1" customWidth="1"/>
    <col min="21" max="21" width="11.81640625" style="116" customWidth="1"/>
    <col min="22" max="26" width="9.1796875" style="116"/>
    <col min="27" max="27" width="11" style="116" customWidth="1"/>
    <col min="28" max="16384" width="9.1796875" style="116"/>
  </cols>
  <sheetData>
    <row r="1" spans="1:40" s="115" customFormat="1" ht="20.25" customHeight="1" x14ac:dyDescent="0.5">
      <c r="A1" s="394" t="s">
        <v>213</v>
      </c>
      <c r="B1" s="394"/>
      <c r="C1" s="394"/>
      <c r="D1" s="394"/>
      <c r="E1" s="394"/>
      <c r="F1" s="394"/>
      <c r="G1" s="394"/>
      <c r="H1" s="394"/>
      <c r="I1" s="394"/>
      <c r="J1" s="394"/>
      <c r="K1" s="394"/>
      <c r="L1" s="394"/>
      <c r="M1" s="394"/>
      <c r="N1" s="394"/>
      <c r="O1" s="394"/>
      <c r="P1" s="113"/>
      <c r="Q1" s="113"/>
      <c r="R1" s="114"/>
      <c r="S1" s="114"/>
    </row>
    <row r="2" spans="1:40" s="117" customFormat="1" ht="15" customHeight="1" x14ac:dyDescent="0.35">
      <c r="A2" s="116"/>
      <c r="B2" s="116"/>
      <c r="C2" s="116"/>
      <c r="D2" s="116"/>
      <c r="E2" s="116"/>
      <c r="F2" s="116"/>
      <c r="G2" s="116"/>
      <c r="H2" s="116"/>
      <c r="I2" s="116"/>
      <c r="J2" s="116"/>
      <c r="K2" s="116"/>
      <c r="L2" s="116"/>
      <c r="M2" s="116"/>
      <c r="N2" s="116"/>
      <c r="O2" s="116"/>
      <c r="P2" s="116"/>
      <c r="Q2" s="116"/>
      <c r="R2" s="116"/>
      <c r="S2" s="116"/>
    </row>
    <row r="3" spans="1:40" s="117" customFormat="1" ht="15" customHeight="1" x14ac:dyDescent="0.35">
      <c r="A3" s="118" t="s">
        <v>199</v>
      </c>
      <c r="B3" s="119"/>
      <c r="C3" s="119"/>
      <c r="D3" s="119"/>
      <c r="E3" s="119"/>
      <c r="F3" s="119"/>
      <c r="G3" s="119"/>
      <c r="H3" s="119"/>
      <c r="I3" s="119"/>
      <c r="J3" s="119"/>
      <c r="K3" s="119"/>
      <c r="L3" s="119"/>
      <c r="M3" s="119"/>
      <c r="N3" s="119"/>
      <c r="O3" s="119"/>
      <c r="P3" s="116"/>
      <c r="Q3" s="116"/>
      <c r="R3" s="116"/>
      <c r="S3" s="116"/>
    </row>
    <row r="4" spans="1:40" s="117" customFormat="1" ht="15" customHeight="1" x14ac:dyDescent="0.35">
      <c r="A4" s="395">
        <v>2019</v>
      </c>
      <c r="B4" s="395"/>
      <c r="C4" s="395"/>
      <c r="D4" s="395"/>
      <c r="E4" s="395"/>
      <c r="F4" s="395"/>
      <c r="G4" s="395"/>
      <c r="H4" s="395"/>
      <c r="I4" s="119"/>
      <c r="J4" s="119"/>
      <c r="K4" s="119"/>
      <c r="L4" s="119"/>
      <c r="M4" s="119"/>
      <c r="N4" s="119"/>
      <c r="O4" s="119"/>
      <c r="P4" s="116"/>
      <c r="Q4" s="116"/>
      <c r="R4" s="116"/>
      <c r="S4" s="116"/>
      <c r="T4" s="116"/>
    </row>
    <row r="5" spans="1:40" s="117" customFormat="1" ht="15" thickBot="1" x14ac:dyDescent="0.4">
      <c r="A5" s="116"/>
      <c r="B5" s="396"/>
      <c r="C5" s="396"/>
      <c r="D5" s="396"/>
      <c r="E5" s="396"/>
      <c r="F5" s="396"/>
      <c r="G5" s="397"/>
      <c r="H5" s="397"/>
      <c r="I5" s="397"/>
      <c r="J5" s="397"/>
      <c r="K5" s="120"/>
      <c r="L5" s="120"/>
      <c r="M5" s="120"/>
      <c r="N5" s="120"/>
      <c r="O5" s="120"/>
      <c r="P5" s="116"/>
      <c r="Q5" s="116"/>
      <c r="R5" s="121"/>
      <c r="S5" s="121"/>
      <c r="U5" s="121"/>
      <c r="V5" s="121"/>
      <c r="X5" s="121"/>
      <c r="Y5" s="121"/>
      <c r="Z5" s="121"/>
      <c r="AA5" s="121"/>
      <c r="AB5" s="121"/>
      <c r="AE5" s="122"/>
    </row>
    <row r="6" spans="1:40" s="115" customFormat="1" ht="25" customHeight="1" thickBot="1" x14ac:dyDescent="0.4">
      <c r="A6" s="114"/>
      <c r="B6" s="401" t="s">
        <v>214</v>
      </c>
      <c r="C6" s="401"/>
      <c r="D6" s="401"/>
      <c r="E6" s="401"/>
      <c r="F6" s="373"/>
      <c r="G6" s="402" t="s">
        <v>217</v>
      </c>
      <c r="H6" s="402"/>
      <c r="I6" s="402"/>
      <c r="J6" s="402"/>
      <c r="K6" s="374"/>
      <c r="L6" s="402" t="s">
        <v>169</v>
      </c>
      <c r="M6" s="402"/>
      <c r="N6" s="402"/>
      <c r="O6" s="402"/>
      <c r="P6" s="114"/>
      <c r="Q6" s="114"/>
      <c r="R6" s="124"/>
      <c r="S6" s="124"/>
      <c r="U6" s="124"/>
      <c r="V6" s="124"/>
      <c r="X6" s="124"/>
      <c r="Y6" s="124"/>
      <c r="Z6" s="124"/>
      <c r="AA6" s="124"/>
      <c r="AB6" s="124"/>
    </row>
    <row r="7" spans="1:40" s="128" customFormat="1" ht="60" customHeight="1" thickBot="1" x14ac:dyDescent="0.4">
      <c r="A7" s="125" t="s">
        <v>201</v>
      </c>
      <c r="B7" s="126" t="s">
        <v>170</v>
      </c>
      <c r="C7" s="126" t="s">
        <v>215</v>
      </c>
      <c r="D7" s="126" t="s">
        <v>222</v>
      </c>
      <c r="E7" s="143" t="s">
        <v>774</v>
      </c>
      <c r="F7" s="127"/>
      <c r="G7" s="126" t="s">
        <v>175</v>
      </c>
      <c r="H7" s="126" t="s">
        <v>176</v>
      </c>
      <c r="I7" s="126" t="s">
        <v>772</v>
      </c>
      <c r="J7" s="143" t="s">
        <v>216</v>
      </c>
      <c r="K7" s="127"/>
      <c r="L7" s="126" t="s">
        <v>773</v>
      </c>
      <c r="M7" s="126" t="s">
        <v>179</v>
      </c>
      <c r="N7" s="126" t="s">
        <v>180</v>
      </c>
      <c r="O7" s="143" t="s">
        <v>216</v>
      </c>
      <c r="T7" s="116"/>
    </row>
    <row r="8" spans="1:40" s="117" customFormat="1" ht="15" customHeight="1" x14ac:dyDescent="0.35">
      <c r="A8" s="129" t="s">
        <v>181</v>
      </c>
      <c r="B8" s="130">
        <f ca="1">ROUND(FIRE1403_raw!B8,0)</f>
        <v>425</v>
      </c>
      <c r="C8" s="130">
        <f ca="1">ROUND(FIRE1403_raw!C8,0)</f>
        <v>734</v>
      </c>
      <c r="D8" s="130">
        <f ca="1">IF(FIRE1403_raw!D8="..","..",ROUND(FIRE1403_raw!D8,0))</f>
        <v>236</v>
      </c>
      <c r="E8" s="130">
        <f ca="1">ROUND(FIRE1403_raw!E8,0)</f>
        <v>1395</v>
      </c>
      <c r="F8" s="130"/>
      <c r="G8" s="130">
        <f ca="1">ROUND(FIRE1403_raw!G8,0)</f>
        <v>1905</v>
      </c>
      <c r="H8" s="130">
        <f ca="1">ROUND(FIRE1403_raw!H8,0)</f>
        <v>128</v>
      </c>
      <c r="I8" s="130">
        <f ca="1">ROUND(FIRE1403_raw!I8,0)</f>
        <v>1402</v>
      </c>
      <c r="J8" s="130">
        <f ca="1">ROUND(FIRE1403_raw!J8,0)</f>
        <v>3435</v>
      </c>
      <c r="K8" s="130"/>
      <c r="L8" s="130">
        <f ca="1">ROUND(FIRE1403_raw!L8,0)</f>
        <v>5152</v>
      </c>
      <c r="M8" s="130">
        <f ca="1">ROUND(FIRE1403_raw!M8,0)</f>
        <v>337</v>
      </c>
      <c r="N8" s="130">
        <f ca="1">ROUND(FIRE1403_raw!N8,0)</f>
        <v>251</v>
      </c>
      <c r="O8" s="130">
        <f ca="1">ROUND(FIRE1403_raw!O8,0)</f>
        <v>5740</v>
      </c>
      <c r="P8" s="136"/>
      <c r="R8" s="131"/>
      <c r="S8" s="131"/>
      <c r="U8" s="131"/>
      <c r="V8" s="131"/>
      <c r="X8" s="132"/>
      <c r="Y8" s="132"/>
      <c r="Z8" s="132"/>
      <c r="AA8" s="132"/>
      <c r="AB8" s="132"/>
      <c r="AD8" s="133"/>
      <c r="AE8" s="133"/>
      <c r="AF8" s="133"/>
      <c r="AG8" s="133"/>
      <c r="AH8" s="133"/>
      <c r="AI8" s="133"/>
      <c r="AJ8" s="133"/>
      <c r="AK8" s="133"/>
      <c r="AL8" s="133"/>
      <c r="AM8" s="133"/>
      <c r="AN8" s="133"/>
    </row>
    <row r="9" spans="1:40" s="117" customFormat="1" ht="15" customHeight="1" x14ac:dyDescent="0.35">
      <c r="A9" s="134" t="s">
        <v>202</v>
      </c>
      <c r="B9" s="130">
        <f ca="1">ROUND(FIRE1403_raw!B9,0)</f>
        <v>186</v>
      </c>
      <c r="C9" s="130">
        <f ca="1">ROUND(FIRE1403_raw!C9,0)</f>
        <v>719</v>
      </c>
      <c r="D9" s="130">
        <f ca="1">IF(FIRE1403_raw!D9="..","..",ROUND(FIRE1403_raw!D9,0))</f>
        <v>209</v>
      </c>
      <c r="E9" s="130">
        <f ca="1">ROUND(FIRE1403_raw!E9,0)</f>
        <v>1114</v>
      </c>
      <c r="F9" s="130"/>
      <c r="G9" s="130">
        <f ca="1">ROUND(FIRE1403_raw!G9,0)</f>
        <v>1545</v>
      </c>
      <c r="H9" s="130">
        <f ca="1">ROUND(FIRE1403_raw!H9,0)</f>
        <v>93</v>
      </c>
      <c r="I9" s="130">
        <f ca="1">ROUND(FIRE1403_raw!I9,0)</f>
        <v>1092</v>
      </c>
      <c r="J9" s="130">
        <f ca="1">ROUND(FIRE1403_raw!J9,0)</f>
        <v>2730</v>
      </c>
      <c r="K9" s="130"/>
      <c r="L9" s="130">
        <f ca="1">ROUND(FIRE1403_raw!L9,0)</f>
        <v>4231</v>
      </c>
      <c r="M9" s="130">
        <f ca="1">ROUND(FIRE1403_raw!M9,0)</f>
        <v>230</v>
      </c>
      <c r="N9" s="130">
        <f ca="1">ROUND(FIRE1403_raw!N9,0)</f>
        <v>172</v>
      </c>
      <c r="O9" s="130">
        <f ca="1">ROUND(FIRE1403_raw!O9,0)</f>
        <v>4633</v>
      </c>
      <c r="P9" s="136"/>
      <c r="R9" s="131"/>
      <c r="S9" s="131"/>
      <c r="U9" s="131"/>
      <c r="V9" s="131"/>
      <c r="X9" s="132"/>
      <c r="Y9" s="132"/>
      <c r="Z9" s="132"/>
      <c r="AA9" s="132"/>
      <c r="AB9" s="132"/>
      <c r="AD9" s="133"/>
      <c r="AE9" s="133"/>
      <c r="AF9" s="133"/>
      <c r="AG9" s="133"/>
      <c r="AH9" s="133"/>
      <c r="AI9" s="133"/>
      <c r="AJ9" s="133"/>
      <c r="AK9" s="133"/>
      <c r="AL9" s="133"/>
      <c r="AM9" s="133"/>
      <c r="AN9" s="133"/>
    </row>
    <row r="10" spans="1:40" s="117" customFormat="1" ht="15" customHeight="1" x14ac:dyDescent="0.35">
      <c r="A10" s="116" t="s">
        <v>77</v>
      </c>
      <c r="B10" s="135">
        <f ca="1">ROUND(FIRE1403_raw!B10,0)</f>
        <v>7</v>
      </c>
      <c r="C10" s="135">
        <f ca="1">ROUND(FIRE1403_raw!C10,0)</f>
        <v>11</v>
      </c>
      <c r="D10" s="135">
        <f ca="1">IF(FIRE1403_raw!D10="..","..",ROUND(FIRE1403_raw!D10,0))</f>
        <v>3</v>
      </c>
      <c r="E10" s="130">
        <f ca="1">ROUND(FIRE1403_raw!E10,0)</f>
        <v>21</v>
      </c>
      <c r="F10" s="130"/>
      <c r="G10" s="135">
        <f ca="1">ROUND(FIRE1403_raw!G10,0)</f>
        <v>33</v>
      </c>
      <c r="H10" s="135">
        <f ca="1">ROUND(FIRE1403_raw!H10,0)</f>
        <v>4</v>
      </c>
      <c r="I10" s="135">
        <f ca="1">ROUND(FIRE1403_raw!I10,0)</f>
        <v>31</v>
      </c>
      <c r="J10" s="130">
        <f ca="1">ROUND(FIRE1403_raw!J10,0)</f>
        <v>68</v>
      </c>
      <c r="K10" s="130"/>
      <c r="L10" s="135">
        <f ca="1">IF(FIRE1403_raw!L10="..","..",ROUND(FIRE1403_raw!L10,0))</f>
        <v>101</v>
      </c>
      <c r="M10" s="135">
        <f ca="1">IF(FIRE1403_raw!M10="..","..",ROUND(FIRE1403_raw!M10,0))</f>
        <v>8</v>
      </c>
      <c r="N10" s="135">
        <f ca="1">IF(FIRE1403_raw!N10="..","..",ROUND(FIRE1403_raw!N10,0))</f>
        <v>3</v>
      </c>
      <c r="O10" s="130">
        <f ca="1">ROUND(FIRE1403_raw!O10,0)</f>
        <v>112</v>
      </c>
      <c r="P10" s="136"/>
      <c r="R10" s="131"/>
      <c r="S10" s="131"/>
      <c r="U10" s="131"/>
      <c r="V10" s="131"/>
      <c r="X10" s="132"/>
      <c r="Y10" s="132"/>
      <c r="Z10" s="132"/>
      <c r="AA10" s="132"/>
      <c r="AB10" s="132"/>
      <c r="AD10" s="133"/>
      <c r="AE10" s="133"/>
      <c r="AF10" s="133"/>
      <c r="AG10" s="133"/>
      <c r="AH10" s="133"/>
      <c r="AI10" s="133"/>
      <c r="AJ10" s="133"/>
      <c r="AK10" s="133"/>
      <c r="AL10" s="133"/>
      <c r="AM10" s="133"/>
      <c r="AN10" s="133"/>
    </row>
    <row r="11" spans="1:40" s="117" customFormat="1" ht="15" customHeight="1" x14ac:dyDescent="0.35">
      <c r="A11" s="116" t="s">
        <v>75</v>
      </c>
      <c r="B11" s="135">
        <f ca="1">ROUND(FIRE1403_raw!B11,0)</f>
        <v>3</v>
      </c>
      <c r="C11" s="135">
        <f ca="1">ROUND(FIRE1403_raw!C11,0)</f>
        <v>8</v>
      </c>
      <c r="D11" s="135">
        <f ca="1">IF(FIRE1403_raw!D11="..","..",ROUND(FIRE1403_raw!D11,0))</f>
        <v>3</v>
      </c>
      <c r="E11" s="130">
        <f ca="1">ROUND(FIRE1403_raw!E11,0)</f>
        <v>14</v>
      </c>
      <c r="F11" s="130"/>
      <c r="G11" s="135">
        <f ca="1">ROUND(FIRE1403_raw!G11,0)</f>
        <v>22</v>
      </c>
      <c r="H11" s="135">
        <f ca="1">ROUND(FIRE1403_raw!H11,0)</f>
        <v>2</v>
      </c>
      <c r="I11" s="135">
        <f ca="1">ROUND(FIRE1403_raw!I11,0)</f>
        <v>22</v>
      </c>
      <c r="J11" s="130">
        <f ca="1">ROUND(FIRE1403_raw!J11,0)</f>
        <v>46</v>
      </c>
      <c r="K11" s="130"/>
      <c r="L11" s="135">
        <f ca="1">IF(FIRE1403_raw!L11="..","..",ROUND(FIRE1403_raw!L11,0))</f>
        <v>67</v>
      </c>
      <c r="M11" s="135">
        <f ca="1">IF(FIRE1403_raw!M11="..","..",ROUND(FIRE1403_raw!M11,0))</f>
        <v>4</v>
      </c>
      <c r="N11" s="135">
        <f ca="1">IF(FIRE1403_raw!N11="..","..",ROUND(FIRE1403_raw!N11,0))</f>
        <v>2</v>
      </c>
      <c r="O11" s="130">
        <f ca="1">ROUND(FIRE1403_raw!O11,0)</f>
        <v>73</v>
      </c>
      <c r="P11" s="136"/>
      <c r="R11" s="131"/>
      <c r="S11" s="131"/>
      <c r="U11" s="131"/>
      <c r="V11" s="131"/>
      <c r="X11" s="132"/>
      <c r="Y11" s="132"/>
      <c r="Z11" s="132"/>
      <c r="AA11" s="132"/>
      <c r="AB11" s="132"/>
      <c r="AD11" s="133"/>
      <c r="AE11" s="133"/>
      <c r="AF11" s="133"/>
      <c r="AG11" s="133"/>
      <c r="AH11" s="133"/>
      <c r="AI11" s="133"/>
      <c r="AJ11" s="133"/>
      <c r="AK11" s="133"/>
      <c r="AL11" s="133"/>
      <c r="AM11" s="133"/>
      <c r="AN11" s="133"/>
    </row>
    <row r="12" spans="1:40" s="117" customFormat="1" ht="15" customHeight="1" x14ac:dyDescent="0.35">
      <c r="A12" s="116" t="s">
        <v>73</v>
      </c>
      <c r="B12" s="135">
        <f ca="1">ROUND(FIRE1403_raw!B12,0)</f>
        <v>11</v>
      </c>
      <c r="C12" s="135">
        <f ca="1">ROUND(FIRE1403_raw!C12,0)</f>
        <v>6</v>
      </c>
      <c r="D12" s="135">
        <f ca="1">IF(FIRE1403_raw!D12="..","..",ROUND(FIRE1403_raw!D12,0))</f>
        <v>1</v>
      </c>
      <c r="E12" s="130">
        <f ca="1">ROUND(FIRE1403_raw!E12,0)</f>
        <v>18</v>
      </c>
      <c r="F12" s="130"/>
      <c r="G12" s="135">
        <f ca="1">ROUND(FIRE1403_raw!G12,0)</f>
        <v>21</v>
      </c>
      <c r="H12" s="135">
        <f ca="1">ROUND(FIRE1403_raw!H12,0)</f>
        <v>1</v>
      </c>
      <c r="I12" s="135">
        <f ca="1">ROUND(FIRE1403_raw!I12,0)</f>
        <v>26</v>
      </c>
      <c r="J12" s="130">
        <f ca="1">ROUND(FIRE1403_raw!J12,0)</f>
        <v>48</v>
      </c>
      <c r="K12" s="130"/>
      <c r="L12" s="135">
        <f ca="1">IF(FIRE1403_raw!L12="..","..",ROUND(FIRE1403_raw!L12,0))</f>
        <v>61</v>
      </c>
      <c r="M12" s="135">
        <f ca="1">IF(FIRE1403_raw!M12="..","..",ROUND(FIRE1403_raw!M12,0))</f>
        <v>9</v>
      </c>
      <c r="N12" s="135">
        <f ca="1">IF(FIRE1403_raw!N12="..","..",ROUND(FIRE1403_raw!N12,0))</f>
        <v>4</v>
      </c>
      <c r="O12" s="130">
        <f ca="1">ROUND(FIRE1403_raw!O12,0)</f>
        <v>74</v>
      </c>
      <c r="P12" s="136"/>
      <c r="R12" s="131"/>
      <c r="S12" s="131"/>
      <c r="U12" s="131"/>
      <c r="V12" s="131"/>
      <c r="X12" s="132"/>
      <c r="Y12" s="132"/>
      <c r="Z12" s="132"/>
      <c r="AA12" s="132"/>
      <c r="AB12" s="132"/>
      <c r="AD12" s="133"/>
      <c r="AE12" s="133"/>
      <c r="AF12" s="133"/>
      <c r="AG12" s="133"/>
      <c r="AH12" s="133"/>
      <c r="AI12" s="133"/>
      <c r="AJ12" s="133"/>
      <c r="AK12" s="133"/>
      <c r="AL12" s="133"/>
      <c r="AM12" s="133"/>
      <c r="AN12" s="133"/>
    </row>
    <row r="13" spans="1:40" s="117" customFormat="1" ht="15" customHeight="1" x14ac:dyDescent="0.35">
      <c r="A13" s="116" t="s">
        <v>71</v>
      </c>
      <c r="B13" s="135">
        <f ca="1">ROUND(FIRE1403_raw!B13,0)</f>
        <v>6</v>
      </c>
      <c r="C13" s="135">
        <f ca="1">ROUND(FIRE1403_raw!C13,0)</f>
        <v>10</v>
      </c>
      <c r="D13" s="135">
        <f ca="1">IF(FIRE1403_raw!D13="..","..",ROUND(FIRE1403_raw!D13,0))</f>
        <v>4</v>
      </c>
      <c r="E13" s="130">
        <f ca="1">ROUND(FIRE1403_raw!E13,0)</f>
        <v>20</v>
      </c>
      <c r="F13" s="130"/>
      <c r="G13" s="135">
        <f ca="1">ROUND(FIRE1403_raw!G13,0)</f>
        <v>30</v>
      </c>
      <c r="H13" s="135">
        <f ca="1">ROUND(FIRE1403_raw!H13,0)</f>
        <v>2</v>
      </c>
      <c r="I13" s="135">
        <f ca="1">ROUND(FIRE1403_raw!I13,0)</f>
        <v>13</v>
      </c>
      <c r="J13" s="130">
        <f ca="1">ROUND(FIRE1403_raw!J13,0)</f>
        <v>45</v>
      </c>
      <c r="K13" s="130"/>
      <c r="L13" s="135">
        <f ca="1">IF(FIRE1403_raw!L13="..","..",ROUND(FIRE1403_raw!L13,0))</f>
        <v>79</v>
      </c>
      <c r="M13" s="135">
        <f ca="1">IF(FIRE1403_raw!M13="..","..",ROUND(FIRE1403_raw!M13,0))</f>
        <v>2</v>
      </c>
      <c r="N13" s="135">
        <f ca="1">IF(FIRE1403_raw!N13="..","..",ROUND(FIRE1403_raw!N13,0))</f>
        <v>3</v>
      </c>
      <c r="O13" s="130">
        <f ca="1">ROUND(FIRE1403_raw!O13,0)</f>
        <v>84</v>
      </c>
      <c r="P13" s="136"/>
      <c r="R13" s="131"/>
      <c r="S13" s="131"/>
      <c r="U13" s="131"/>
      <c r="V13" s="131"/>
      <c r="X13" s="132"/>
      <c r="Y13" s="132"/>
      <c r="Z13" s="132"/>
      <c r="AA13" s="132"/>
      <c r="AB13" s="132"/>
      <c r="AD13" s="133"/>
      <c r="AE13" s="133"/>
      <c r="AF13" s="133"/>
      <c r="AG13" s="133"/>
      <c r="AH13" s="133"/>
      <c r="AI13" s="133"/>
      <c r="AJ13" s="133"/>
      <c r="AK13" s="133"/>
      <c r="AL13" s="133"/>
      <c r="AM13" s="133"/>
      <c r="AN13" s="133"/>
    </row>
    <row r="14" spans="1:40" s="117" customFormat="1" ht="15" customHeight="1" x14ac:dyDescent="0.35">
      <c r="A14" s="116" t="s">
        <v>69</v>
      </c>
      <c r="B14" s="135">
        <f ca="1">ROUND(FIRE1403_raw!B14,0)</f>
        <v>3</v>
      </c>
      <c r="C14" s="135">
        <f ca="1">ROUND(FIRE1403_raw!C14,0)</f>
        <v>19</v>
      </c>
      <c r="D14" s="135">
        <f ca="1">IF(FIRE1403_raw!D14="..","..",ROUND(FIRE1403_raw!D14,0))</f>
        <v>4</v>
      </c>
      <c r="E14" s="130">
        <f ca="1">ROUND(FIRE1403_raw!E14,0)</f>
        <v>26</v>
      </c>
      <c r="F14" s="130"/>
      <c r="G14" s="135">
        <f ca="1">ROUND(FIRE1403_raw!G14,0)</f>
        <v>36</v>
      </c>
      <c r="H14" s="135">
        <f ca="1">ROUND(FIRE1403_raw!H14,0)</f>
        <v>2</v>
      </c>
      <c r="I14" s="135">
        <f ca="1">ROUND(FIRE1403_raw!I14,0)</f>
        <v>93</v>
      </c>
      <c r="J14" s="130">
        <f ca="1">ROUND(FIRE1403_raw!J14,0)</f>
        <v>131</v>
      </c>
      <c r="K14" s="130"/>
      <c r="L14" s="135">
        <f ca="1">IF(FIRE1403_raw!L14="..","..",ROUND(FIRE1403_raw!L14,0))</f>
        <v>116</v>
      </c>
      <c r="M14" s="135">
        <f ca="1">IF(FIRE1403_raw!M14="..","..",ROUND(FIRE1403_raw!M14,0))</f>
        <v>4</v>
      </c>
      <c r="N14" s="135">
        <f ca="1">IF(FIRE1403_raw!N14="..","..",ROUND(FIRE1403_raw!N14,0))</f>
        <v>3</v>
      </c>
      <c r="O14" s="130">
        <f ca="1">ROUND(FIRE1403_raw!O14,0)</f>
        <v>123</v>
      </c>
      <c r="P14" s="136"/>
      <c r="R14" s="131"/>
      <c r="S14" s="131"/>
      <c r="U14" s="131"/>
      <c r="V14" s="131"/>
      <c r="X14" s="132"/>
      <c r="Y14" s="132"/>
      <c r="Z14" s="132"/>
      <c r="AA14" s="132"/>
      <c r="AB14" s="132"/>
      <c r="AD14" s="133"/>
      <c r="AE14" s="133"/>
      <c r="AF14" s="133"/>
      <c r="AG14" s="133"/>
      <c r="AH14" s="133"/>
      <c r="AI14" s="133"/>
      <c r="AJ14" s="133"/>
      <c r="AK14" s="133"/>
      <c r="AL14" s="133"/>
      <c r="AM14" s="133"/>
      <c r="AN14" s="133"/>
    </row>
    <row r="15" spans="1:40" s="117" customFormat="1" ht="15" customHeight="1" x14ac:dyDescent="0.35">
      <c r="A15" s="116" t="s">
        <v>67</v>
      </c>
      <c r="B15" s="135">
        <f ca="1">ROUND(FIRE1403_raw!B15,0)</f>
        <v>7</v>
      </c>
      <c r="C15" s="135">
        <f ca="1">ROUND(FIRE1403_raw!C15,0)</f>
        <v>11</v>
      </c>
      <c r="D15" s="135">
        <f ca="1">IF(FIRE1403_raw!D15="..","..",ROUND(FIRE1403_raw!D15,0))</f>
        <v>10</v>
      </c>
      <c r="E15" s="130">
        <f ca="1">ROUND(FIRE1403_raw!E15,0)</f>
        <v>28</v>
      </c>
      <c r="F15" s="130"/>
      <c r="G15" s="135">
        <f ca="1">ROUND(FIRE1403_raw!G15,0)</f>
        <v>36</v>
      </c>
      <c r="H15" s="135">
        <f ca="1">ROUND(FIRE1403_raw!H15,0)</f>
        <v>3</v>
      </c>
      <c r="I15" s="135">
        <f ca="1">ROUND(FIRE1403_raw!I15,0)</f>
        <v>19</v>
      </c>
      <c r="J15" s="130">
        <f ca="1">ROUND(FIRE1403_raw!J15,0)</f>
        <v>58</v>
      </c>
      <c r="K15" s="130"/>
      <c r="L15" s="135">
        <f ca="1">IF(FIRE1403_raw!L15="..","..",ROUND(FIRE1403_raw!L15,0))</f>
        <v>151</v>
      </c>
      <c r="M15" s="135">
        <f ca="1">IF(FIRE1403_raw!M15="..","..",ROUND(FIRE1403_raw!M15,0))</f>
        <v>8</v>
      </c>
      <c r="N15" s="135">
        <f ca="1">IF(FIRE1403_raw!N15="..","..",ROUND(FIRE1403_raw!N15,0))</f>
        <v>4</v>
      </c>
      <c r="O15" s="130">
        <f ca="1">ROUND(FIRE1403_raw!O15,0)</f>
        <v>163</v>
      </c>
      <c r="P15" s="136"/>
      <c r="R15" s="131"/>
      <c r="S15" s="131"/>
      <c r="U15" s="131"/>
      <c r="V15" s="131"/>
      <c r="X15" s="132"/>
      <c r="Y15" s="132"/>
      <c r="Z15" s="132"/>
      <c r="AA15" s="132"/>
      <c r="AB15" s="132"/>
      <c r="AD15" s="133"/>
      <c r="AE15" s="133"/>
      <c r="AF15" s="133"/>
      <c r="AG15" s="133"/>
      <c r="AH15" s="133"/>
      <c r="AI15" s="133"/>
      <c r="AJ15" s="133"/>
      <c r="AK15" s="133"/>
      <c r="AL15" s="133"/>
      <c r="AM15" s="133"/>
      <c r="AN15" s="133"/>
    </row>
    <row r="16" spans="1:40" s="117" customFormat="1" ht="15" customHeight="1" x14ac:dyDescent="0.35">
      <c r="A16" s="116" t="s">
        <v>65</v>
      </c>
      <c r="B16" s="135">
        <f ca="1">ROUND(FIRE1403_raw!B16,0)</f>
        <v>6</v>
      </c>
      <c r="C16" s="135">
        <f ca="1">ROUND(FIRE1403_raw!C16,0)</f>
        <v>6</v>
      </c>
      <c r="D16" s="135">
        <f ca="1">IF(FIRE1403_raw!D16="..","..",ROUND(FIRE1403_raw!D16,0))</f>
        <v>2</v>
      </c>
      <c r="E16" s="130">
        <f ca="1">ROUND(FIRE1403_raw!E16,0)</f>
        <v>14</v>
      </c>
      <c r="F16" s="130"/>
      <c r="G16" s="135">
        <f ca="1">ROUND(FIRE1403_raw!G16,0)</f>
        <v>21</v>
      </c>
      <c r="H16" s="135">
        <f ca="1">ROUND(FIRE1403_raw!H16,0)</f>
        <v>3</v>
      </c>
      <c r="I16" s="135">
        <f ca="1">ROUND(FIRE1403_raw!I16,0)</f>
        <v>10</v>
      </c>
      <c r="J16" s="130">
        <f ca="1">ROUND(FIRE1403_raw!J16,0)</f>
        <v>34</v>
      </c>
      <c r="K16" s="130"/>
      <c r="L16" s="135">
        <f ca="1">IF(FIRE1403_raw!L16="..","..",ROUND(FIRE1403_raw!L16,0))</f>
        <v>62</v>
      </c>
      <c r="M16" s="135">
        <f ca="1">IF(FIRE1403_raw!M16="..","..",ROUND(FIRE1403_raw!M16,0))</f>
        <v>4</v>
      </c>
      <c r="N16" s="135">
        <f ca="1">IF(FIRE1403_raw!N16="..","..",ROUND(FIRE1403_raw!N16,0))</f>
        <v>2</v>
      </c>
      <c r="O16" s="130">
        <f ca="1">ROUND(FIRE1403_raw!O16,0)</f>
        <v>68</v>
      </c>
      <c r="P16" s="136"/>
      <c r="R16" s="131"/>
      <c r="S16" s="131"/>
      <c r="U16" s="131"/>
      <c r="V16" s="131"/>
      <c r="X16" s="132"/>
      <c r="Y16" s="132"/>
      <c r="Z16" s="132"/>
      <c r="AA16" s="132"/>
      <c r="AB16" s="132"/>
      <c r="AD16" s="133"/>
      <c r="AE16" s="133"/>
      <c r="AF16" s="133"/>
      <c r="AG16" s="133"/>
      <c r="AH16" s="133"/>
      <c r="AI16" s="133"/>
      <c r="AJ16" s="133"/>
      <c r="AK16" s="133"/>
      <c r="AL16" s="133"/>
      <c r="AM16" s="133"/>
      <c r="AN16" s="133"/>
    </row>
    <row r="17" spans="1:40" s="117" customFormat="1" ht="15" customHeight="1" x14ac:dyDescent="0.35">
      <c r="A17" s="116" t="s">
        <v>108</v>
      </c>
      <c r="B17" s="135">
        <f ca="1">ROUND(FIRE1403_raw!B17,0)</f>
        <v>2</v>
      </c>
      <c r="C17" s="135">
        <f ca="1">ROUND(FIRE1403_raw!C17,0)</f>
        <v>23</v>
      </c>
      <c r="D17" s="135">
        <f ca="1">IF(FIRE1403_raw!D17="..","..",ROUND(FIRE1403_raw!D17,0))</f>
        <v>6</v>
      </c>
      <c r="E17" s="130">
        <f ca="1">ROUND(FIRE1403_raw!E17,0)</f>
        <v>31</v>
      </c>
      <c r="F17" s="130"/>
      <c r="G17" s="135">
        <f ca="1">ROUND(FIRE1403_raw!G17,0)</f>
        <v>43</v>
      </c>
      <c r="H17" s="135">
        <f ca="1">ROUND(FIRE1403_raw!H17,0)</f>
        <v>2</v>
      </c>
      <c r="I17" s="135">
        <f ca="1">ROUND(FIRE1403_raw!I17,0)</f>
        <v>51</v>
      </c>
      <c r="J17" s="130">
        <f ca="1">ROUND(FIRE1403_raw!J17,0)</f>
        <v>96</v>
      </c>
      <c r="K17" s="130"/>
      <c r="L17" s="135">
        <f ca="1">IF(FIRE1403_raw!L17="..","..",ROUND(FIRE1403_raw!L17,0))</f>
        <v>98</v>
      </c>
      <c r="M17" s="135">
        <f ca="1">IF(FIRE1403_raw!M17="..","..",ROUND(FIRE1403_raw!M17,0))</f>
        <v>8</v>
      </c>
      <c r="N17" s="135">
        <f ca="1">IF(FIRE1403_raw!N17="..","..",ROUND(FIRE1403_raw!N17,0))</f>
        <v>4</v>
      </c>
      <c r="O17" s="130">
        <f ca="1">ROUND(FIRE1403_raw!O17,0)</f>
        <v>110</v>
      </c>
      <c r="P17" s="136"/>
      <c r="R17" s="131"/>
      <c r="S17" s="131"/>
      <c r="U17" s="131"/>
      <c r="V17" s="131"/>
      <c r="X17" s="132"/>
      <c r="Y17" s="132"/>
      <c r="Z17" s="132"/>
      <c r="AA17" s="132"/>
      <c r="AB17" s="132"/>
      <c r="AD17" s="133"/>
      <c r="AE17" s="133"/>
      <c r="AF17" s="133"/>
      <c r="AG17" s="133"/>
      <c r="AH17" s="133"/>
      <c r="AI17" s="133"/>
      <c r="AJ17" s="133"/>
      <c r="AK17" s="133"/>
      <c r="AL17" s="133"/>
      <c r="AM17" s="133"/>
      <c r="AN17" s="133"/>
    </row>
    <row r="18" spans="1:40" s="117" customFormat="1" ht="15" customHeight="1" x14ac:dyDescent="0.35">
      <c r="A18" s="116" t="s">
        <v>106</v>
      </c>
      <c r="B18" s="135">
        <f ca="1">ROUND(FIRE1403_raw!B18,0)</f>
        <v>2</v>
      </c>
      <c r="C18" s="135">
        <f ca="1">ROUND(FIRE1403_raw!C18,0)</f>
        <v>30</v>
      </c>
      <c r="D18" s="135">
        <f ca="1">IF(FIRE1403_raw!D18="..","..",ROUND(FIRE1403_raw!D18,0))</f>
        <v>6</v>
      </c>
      <c r="E18" s="130">
        <f ca="1">ROUND(FIRE1403_raw!E18,0)</f>
        <v>38</v>
      </c>
      <c r="F18" s="130"/>
      <c r="G18" s="135">
        <f ca="1">ROUND(FIRE1403_raw!G18,0)</f>
        <v>45</v>
      </c>
      <c r="H18" s="135">
        <f ca="1">ROUND(FIRE1403_raw!H18,0)</f>
        <v>2</v>
      </c>
      <c r="I18" s="135">
        <f ca="1">ROUND(FIRE1403_raw!I18,0)</f>
        <v>24</v>
      </c>
      <c r="J18" s="130">
        <f ca="1">ROUND(FIRE1403_raw!J18,0)</f>
        <v>71</v>
      </c>
      <c r="K18" s="130"/>
      <c r="L18" s="135">
        <f ca="1">IF(FIRE1403_raw!L18="..","..",ROUND(FIRE1403_raw!L18,0))</f>
        <v>81</v>
      </c>
      <c r="M18" s="135">
        <f ca="1">IF(FIRE1403_raw!M18="..","..",ROUND(FIRE1403_raw!M18,0))</f>
        <v>5</v>
      </c>
      <c r="N18" s="135">
        <f ca="1">IF(FIRE1403_raw!N18="..","..",ROUND(FIRE1403_raw!N18,0))</f>
        <v>4</v>
      </c>
      <c r="O18" s="130">
        <f ca="1">ROUND(FIRE1403_raw!O18,0)</f>
        <v>90</v>
      </c>
      <c r="P18" s="136"/>
      <c r="R18" s="131"/>
      <c r="S18" s="131"/>
      <c r="U18" s="131"/>
      <c r="V18" s="131"/>
      <c r="X18" s="132"/>
      <c r="Y18" s="132"/>
      <c r="Z18" s="132"/>
      <c r="AA18" s="132"/>
      <c r="AB18" s="132"/>
      <c r="AD18" s="133"/>
      <c r="AE18" s="133"/>
      <c r="AF18" s="133"/>
      <c r="AG18" s="133"/>
      <c r="AH18" s="133"/>
      <c r="AI18" s="133"/>
      <c r="AJ18" s="133"/>
      <c r="AK18" s="133"/>
      <c r="AL18" s="133"/>
      <c r="AM18" s="133"/>
      <c r="AN18" s="133"/>
    </row>
    <row r="19" spans="1:40" s="117" customFormat="1" ht="15" customHeight="1" x14ac:dyDescent="0.35">
      <c r="A19" s="136" t="s">
        <v>63</v>
      </c>
      <c r="B19" s="135">
        <f ca="1">ROUND(FIRE1403_raw!B19,0)</f>
        <v>4</v>
      </c>
      <c r="C19" s="135">
        <f ca="1">ROUND(FIRE1403_raw!C19,0)</f>
        <v>19</v>
      </c>
      <c r="D19" s="135">
        <f ca="1">IF(FIRE1403_raw!D19="..","..",ROUND(FIRE1403_raw!D19,0))</f>
        <v>8</v>
      </c>
      <c r="E19" s="130">
        <f ca="1">ROUND(FIRE1403_raw!E19,0)</f>
        <v>31</v>
      </c>
      <c r="F19" s="130"/>
      <c r="G19" s="135">
        <f ca="1">ROUND(FIRE1403_raw!G19,0)</f>
        <v>41</v>
      </c>
      <c r="H19" s="135">
        <f ca="1">ROUND(FIRE1403_raw!H19,0)</f>
        <v>2</v>
      </c>
      <c r="I19" s="135">
        <f ca="1">ROUND(FIRE1403_raw!I19,0)</f>
        <v>14</v>
      </c>
      <c r="J19" s="130">
        <f ca="1">ROUND(FIRE1403_raw!J19,0)</f>
        <v>57</v>
      </c>
      <c r="K19" s="130"/>
      <c r="L19" s="135">
        <f ca="1">IF(FIRE1403_raw!L19="..","..",ROUND(FIRE1403_raw!L19,0))</f>
        <v>179</v>
      </c>
      <c r="M19" s="135">
        <f ca="1">IF(FIRE1403_raw!M19="..","..",ROUND(FIRE1403_raw!M19,0))</f>
        <v>4</v>
      </c>
      <c r="N19" s="135">
        <f ca="1">IF(FIRE1403_raw!N19="..","..",ROUND(FIRE1403_raw!N19,0))</f>
        <v>6</v>
      </c>
      <c r="O19" s="130">
        <f ca="1">ROUND(FIRE1403_raw!O19,0)</f>
        <v>189</v>
      </c>
      <c r="P19" s="136"/>
      <c r="R19" s="131"/>
      <c r="S19" s="131"/>
      <c r="U19" s="131"/>
      <c r="V19" s="131"/>
      <c r="X19" s="132"/>
      <c r="Y19" s="132"/>
      <c r="Z19" s="132"/>
      <c r="AA19" s="132"/>
      <c r="AB19" s="132"/>
      <c r="AD19" s="133"/>
      <c r="AE19" s="133"/>
      <c r="AF19" s="133"/>
      <c r="AG19" s="133"/>
      <c r="AH19" s="133"/>
      <c r="AI19" s="133"/>
      <c r="AJ19" s="133"/>
      <c r="AK19" s="133"/>
      <c r="AL19" s="133"/>
      <c r="AM19" s="133"/>
      <c r="AN19" s="133"/>
    </row>
    <row r="20" spans="1:40" s="117" customFormat="1" ht="15" customHeight="1" x14ac:dyDescent="0.35">
      <c r="A20" s="136" t="s">
        <v>61</v>
      </c>
      <c r="B20" s="135">
        <f ca="1">ROUND(FIRE1403_raw!B20,0)</f>
        <v>3</v>
      </c>
      <c r="C20" s="135">
        <f ca="1">ROUND(FIRE1403_raw!C20,0)</f>
        <v>71</v>
      </c>
      <c r="D20" s="135">
        <f ca="1">IF(FIRE1403_raw!D20="..","..",ROUND(FIRE1403_raw!D20,0))</f>
        <v>9</v>
      </c>
      <c r="E20" s="130">
        <f ca="1">ROUND(FIRE1403_raw!E20,0)</f>
        <v>83</v>
      </c>
      <c r="F20" s="130"/>
      <c r="G20" s="135">
        <f ca="1">ROUND(FIRE1403_raw!G20,0)</f>
        <v>121</v>
      </c>
      <c r="H20" s="135">
        <f ca="1">ROUND(FIRE1403_raw!H20,0)</f>
        <v>7</v>
      </c>
      <c r="I20" s="135">
        <f ca="1">ROUND(FIRE1403_raw!I20,0)</f>
        <v>175</v>
      </c>
      <c r="J20" s="130">
        <f ca="1">ROUND(FIRE1403_raw!J20,0)</f>
        <v>303</v>
      </c>
      <c r="K20" s="130"/>
      <c r="L20" s="135">
        <f ca="1">IF(FIRE1403_raw!L20="..","..",ROUND(FIRE1403_raw!L20,0))</f>
        <v>259</v>
      </c>
      <c r="M20" s="135">
        <f ca="1">IF(FIRE1403_raw!M20="..","..",ROUND(FIRE1403_raw!M20,0))</f>
        <v>21</v>
      </c>
      <c r="N20" s="135">
        <f ca="1">IF(FIRE1403_raw!N20="..","..",ROUND(FIRE1403_raw!N20,0))</f>
        <v>17</v>
      </c>
      <c r="O20" s="130">
        <f ca="1">ROUND(FIRE1403_raw!O20,0)</f>
        <v>297</v>
      </c>
      <c r="P20" s="136"/>
      <c r="R20" s="131"/>
      <c r="S20" s="131"/>
      <c r="U20" s="131"/>
      <c r="V20" s="131"/>
      <c r="X20" s="132"/>
      <c r="Y20" s="132"/>
      <c r="Z20" s="132"/>
      <c r="AA20" s="132"/>
      <c r="AB20" s="132"/>
      <c r="AD20" s="133"/>
      <c r="AE20" s="133"/>
      <c r="AF20" s="133"/>
      <c r="AG20" s="133"/>
      <c r="AH20" s="133"/>
      <c r="AI20" s="133"/>
      <c r="AJ20" s="133"/>
      <c r="AK20" s="133"/>
      <c r="AL20" s="133"/>
      <c r="AM20" s="133"/>
      <c r="AN20" s="133"/>
    </row>
    <row r="21" spans="1:40" s="117" customFormat="1" ht="15" customHeight="1" x14ac:dyDescent="0.35">
      <c r="A21" s="116" t="s">
        <v>358</v>
      </c>
      <c r="B21" s="135">
        <f ca="1">ROUND(FIRE1403_raw!B21,0)</f>
        <v>3</v>
      </c>
      <c r="C21" s="135">
        <f ca="1">ROUND(FIRE1403_raw!C21,0)</f>
        <v>37</v>
      </c>
      <c r="D21" s="135">
        <f ca="1">IF(FIRE1403_raw!D21="..","..",ROUND(FIRE1403_raw!D21,0))</f>
        <v>10</v>
      </c>
      <c r="E21" s="130">
        <f ca="1">ROUND(FIRE1403_raw!E21,0)</f>
        <v>50</v>
      </c>
      <c r="F21" s="130"/>
      <c r="G21" s="135">
        <f ca="1">ROUND(FIRE1403_raw!G21,0)</f>
        <v>74</v>
      </c>
      <c r="H21" s="135">
        <f ca="1">ROUND(FIRE1403_raw!H21,0)</f>
        <v>4</v>
      </c>
      <c r="I21" s="135">
        <f ca="1">ROUND(FIRE1403_raw!I21,0)</f>
        <v>61</v>
      </c>
      <c r="J21" s="130">
        <f ca="1">ROUND(FIRE1403_raw!J21,0)</f>
        <v>139</v>
      </c>
      <c r="K21" s="130"/>
      <c r="L21" s="135">
        <f ca="1">IF(FIRE1403_raw!L21="..","..",ROUND(FIRE1403_raw!L21,0))</f>
        <v>245</v>
      </c>
      <c r="M21" s="135">
        <f ca="1">IF(FIRE1403_raw!M21="..","..",ROUND(FIRE1403_raw!M21,0))</f>
        <v>8</v>
      </c>
      <c r="N21" s="135">
        <f ca="1">IF(FIRE1403_raw!N21="..","..",ROUND(FIRE1403_raw!N21,0))</f>
        <v>7</v>
      </c>
      <c r="O21" s="130">
        <f ca="1">ROUND(FIRE1403_raw!O21,0)</f>
        <v>260</v>
      </c>
      <c r="P21" s="136"/>
      <c r="R21" s="131"/>
      <c r="S21" s="131"/>
      <c r="U21" s="131"/>
      <c r="V21" s="131"/>
      <c r="X21" s="132"/>
      <c r="Y21" s="132"/>
      <c r="Z21" s="132"/>
      <c r="AA21" s="132"/>
      <c r="AB21" s="132"/>
      <c r="AD21" s="133"/>
      <c r="AE21" s="133"/>
      <c r="AF21" s="133"/>
      <c r="AG21" s="133"/>
      <c r="AH21" s="133"/>
      <c r="AI21" s="133"/>
      <c r="AJ21" s="133"/>
      <c r="AK21" s="133"/>
      <c r="AL21" s="133"/>
      <c r="AM21" s="133"/>
      <c r="AN21" s="133"/>
    </row>
    <row r="22" spans="1:40" s="117" customFormat="1" ht="15" customHeight="1" x14ac:dyDescent="0.35">
      <c r="A22" s="116" t="s">
        <v>57</v>
      </c>
      <c r="B22" s="135">
        <f ca="1">ROUND(FIRE1403_raw!B22,0)</f>
        <v>2</v>
      </c>
      <c r="C22" s="135">
        <f ca="1">ROUND(FIRE1403_raw!C22,0)</f>
        <v>6</v>
      </c>
      <c r="D22" s="135">
        <f ca="1">IF(FIRE1403_raw!D22="..","..",ROUND(FIRE1403_raw!D22,0))</f>
        <v>7</v>
      </c>
      <c r="E22" s="130">
        <f ca="1">ROUND(FIRE1403_raw!E22,0)</f>
        <v>15</v>
      </c>
      <c r="F22" s="130"/>
      <c r="G22" s="135">
        <f ca="1">ROUND(FIRE1403_raw!G22,0)</f>
        <v>26</v>
      </c>
      <c r="H22" s="135">
        <f ca="1">ROUND(FIRE1403_raw!H22,0)</f>
        <v>2</v>
      </c>
      <c r="I22" s="135">
        <f ca="1">ROUND(FIRE1403_raw!I22,0)</f>
        <v>18</v>
      </c>
      <c r="J22" s="130">
        <f ca="1">ROUND(FIRE1403_raw!J22,0)</f>
        <v>46</v>
      </c>
      <c r="K22" s="130"/>
      <c r="L22" s="135">
        <f ca="1">IF(FIRE1403_raw!L22="..","..",ROUND(FIRE1403_raw!L22,0))</f>
        <v>72</v>
      </c>
      <c r="M22" s="135">
        <f ca="1">IF(FIRE1403_raw!M22="..","..",ROUND(FIRE1403_raw!M22,0))</f>
        <v>6</v>
      </c>
      <c r="N22" s="135">
        <f ca="1">IF(FIRE1403_raw!N22="..","..",ROUND(FIRE1403_raw!N22,0))</f>
        <v>4</v>
      </c>
      <c r="O22" s="130">
        <f ca="1">ROUND(FIRE1403_raw!O22,0)</f>
        <v>82</v>
      </c>
      <c r="P22" s="136"/>
      <c r="R22" s="131"/>
      <c r="S22" s="131"/>
      <c r="U22" s="131"/>
      <c r="V22" s="131"/>
      <c r="X22" s="132"/>
      <c r="Y22" s="132"/>
      <c r="Z22" s="132"/>
      <c r="AA22" s="132"/>
      <c r="AB22" s="132"/>
      <c r="AD22" s="133"/>
      <c r="AE22" s="133"/>
      <c r="AF22" s="133"/>
      <c r="AG22" s="133"/>
      <c r="AH22" s="133"/>
      <c r="AI22" s="133"/>
      <c r="AJ22" s="133"/>
      <c r="AK22" s="133"/>
      <c r="AL22" s="133"/>
      <c r="AM22" s="133"/>
      <c r="AN22" s="133"/>
    </row>
    <row r="23" spans="1:40" s="117" customFormat="1" ht="15" customHeight="1" x14ac:dyDescent="0.35">
      <c r="A23" s="116" t="s">
        <v>55</v>
      </c>
      <c r="B23" s="135">
        <f ca="1">ROUND(FIRE1403_raw!B23,0)</f>
        <v>6</v>
      </c>
      <c r="C23" s="135">
        <f ca="1">ROUND(FIRE1403_raw!C23,0)</f>
        <v>12</v>
      </c>
      <c r="D23" s="135">
        <f ca="1">IF(FIRE1403_raw!D23="..","..",ROUND(FIRE1403_raw!D23,0))</f>
        <v>6</v>
      </c>
      <c r="E23" s="130">
        <f ca="1">ROUND(FIRE1403_raw!E23,0)</f>
        <v>24</v>
      </c>
      <c r="F23" s="130"/>
      <c r="G23" s="135">
        <f ca="1">ROUND(FIRE1403_raw!G23,0)</f>
        <v>41</v>
      </c>
      <c r="H23" s="135">
        <f ca="1">ROUND(FIRE1403_raw!H23,0)</f>
        <v>3</v>
      </c>
      <c r="I23" s="135">
        <f ca="1">ROUND(FIRE1403_raw!I23,0)</f>
        <v>11</v>
      </c>
      <c r="J23" s="130">
        <f ca="1">ROUND(FIRE1403_raw!J23,0)</f>
        <v>55</v>
      </c>
      <c r="K23" s="130"/>
      <c r="L23" s="135">
        <f ca="1">IF(FIRE1403_raw!L23="..","..",ROUND(FIRE1403_raw!L23,0))</f>
        <v>131</v>
      </c>
      <c r="M23" s="135">
        <f ca="1">IF(FIRE1403_raw!M23="..","..",ROUND(FIRE1403_raw!M23,0))</f>
        <v>2</v>
      </c>
      <c r="N23" s="135">
        <f ca="1">IF(FIRE1403_raw!N23="..","..",ROUND(FIRE1403_raw!N23,0))</f>
        <v>3</v>
      </c>
      <c r="O23" s="130">
        <f ca="1">ROUND(FIRE1403_raw!O23,0)</f>
        <v>136</v>
      </c>
      <c r="P23" s="136"/>
      <c r="R23" s="131"/>
      <c r="S23" s="131"/>
      <c r="U23" s="131"/>
      <c r="V23" s="131"/>
      <c r="X23" s="132"/>
      <c r="Y23" s="132"/>
      <c r="Z23" s="132"/>
      <c r="AA23" s="132"/>
      <c r="AB23" s="132"/>
      <c r="AD23" s="133"/>
      <c r="AE23" s="133"/>
      <c r="AF23" s="133"/>
      <c r="AG23" s="133"/>
      <c r="AH23" s="133"/>
      <c r="AI23" s="133"/>
      <c r="AJ23" s="133"/>
      <c r="AK23" s="133"/>
      <c r="AL23" s="133"/>
      <c r="AM23" s="133"/>
      <c r="AN23" s="133"/>
    </row>
    <row r="24" spans="1:40" s="117" customFormat="1" ht="15" customHeight="1" x14ac:dyDescent="0.35">
      <c r="A24" s="116" t="s">
        <v>53</v>
      </c>
      <c r="B24" s="135">
        <f ca="1">ROUND(FIRE1403_raw!B24,0)</f>
        <v>13</v>
      </c>
      <c r="C24" s="135">
        <f ca="1">ROUND(FIRE1403_raw!C24,0)</f>
        <v>34</v>
      </c>
      <c r="D24" s="135">
        <f ca="1">IF(FIRE1403_raw!D24="..","..",ROUND(FIRE1403_raw!D24,0))</f>
        <v>3</v>
      </c>
      <c r="E24" s="130">
        <f ca="1">ROUND(FIRE1403_raw!E24,0)</f>
        <v>50</v>
      </c>
      <c r="F24" s="130"/>
      <c r="G24" s="135">
        <f ca="1">ROUND(FIRE1403_raw!G24,0)</f>
        <v>69</v>
      </c>
      <c r="H24" s="135">
        <f ca="1">ROUND(FIRE1403_raw!H24,0)</f>
        <v>4</v>
      </c>
      <c r="I24" s="135">
        <f ca="1">ROUND(FIRE1403_raw!I24,0)</f>
        <v>39</v>
      </c>
      <c r="J24" s="130">
        <f ca="1">ROUND(FIRE1403_raw!J24,0)</f>
        <v>112</v>
      </c>
      <c r="K24" s="130"/>
      <c r="L24" s="135">
        <f ca="1">IF(FIRE1403_raw!L24="..","..",ROUND(FIRE1403_raw!L24,0))</f>
        <v>178</v>
      </c>
      <c r="M24" s="135">
        <f ca="1">IF(FIRE1403_raw!M24="..","..",ROUND(FIRE1403_raw!M24,0))</f>
        <v>14</v>
      </c>
      <c r="N24" s="135">
        <f ca="1">IF(FIRE1403_raw!N24="..","..",ROUND(FIRE1403_raw!N24,0))</f>
        <v>6</v>
      </c>
      <c r="O24" s="130">
        <f ca="1">ROUND(FIRE1403_raw!O24,0)</f>
        <v>198</v>
      </c>
      <c r="P24" s="136"/>
      <c r="R24" s="131"/>
      <c r="S24" s="131"/>
      <c r="U24" s="131"/>
      <c r="V24" s="131"/>
      <c r="X24" s="132"/>
      <c r="Y24" s="132"/>
      <c r="Z24" s="132"/>
      <c r="AA24" s="132"/>
      <c r="AB24" s="132"/>
      <c r="AD24" s="133"/>
      <c r="AE24" s="133"/>
      <c r="AF24" s="133"/>
      <c r="AG24" s="133"/>
      <c r="AH24" s="133"/>
      <c r="AI24" s="133"/>
      <c r="AJ24" s="133"/>
      <c r="AK24" s="133"/>
      <c r="AL24" s="133"/>
      <c r="AM24" s="133"/>
      <c r="AN24" s="133"/>
    </row>
    <row r="25" spans="1:40" s="117" customFormat="1" ht="15" customHeight="1" x14ac:dyDescent="0.35">
      <c r="A25" s="116" t="s">
        <v>104</v>
      </c>
      <c r="B25" s="135">
        <f ca="1">ROUND(FIRE1403_raw!B25,0)</f>
        <v>2</v>
      </c>
      <c r="C25" s="135">
        <f ca="1">ROUND(FIRE1403_raw!C25,0)</f>
        <v>16</v>
      </c>
      <c r="D25" s="135">
        <f ca="1">IF(FIRE1403_raw!D25="..","..",ROUND(FIRE1403_raw!D25,0))</f>
        <v>3</v>
      </c>
      <c r="E25" s="130">
        <f ca="1">ROUND(FIRE1403_raw!E25,0)</f>
        <v>21</v>
      </c>
      <c r="F25" s="130"/>
      <c r="G25" s="135">
        <f ca="1">ROUND(FIRE1403_raw!G25,0)</f>
        <v>31</v>
      </c>
      <c r="H25" s="135">
        <f ca="1">ROUND(FIRE1403_raw!H25,0)</f>
        <v>2</v>
      </c>
      <c r="I25" s="135">
        <f ca="1">ROUND(FIRE1403_raw!I25,0)</f>
        <v>16</v>
      </c>
      <c r="J25" s="130">
        <f ca="1">ROUND(FIRE1403_raw!J25,0)</f>
        <v>49</v>
      </c>
      <c r="K25" s="130"/>
      <c r="L25" s="135">
        <f ca="1">IF(FIRE1403_raw!L25="..","..",ROUND(FIRE1403_raw!L25,0))</f>
        <v>79</v>
      </c>
      <c r="M25" s="135">
        <f ca="1">IF(FIRE1403_raw!M25="..","..",ROUND(FIRE1403_raw!M25,0))</f>
        <v>4</v>
      </c>
      <c r="N25" s="135">
        <f ca="1">IF(FIRE1403_raw!N25="..","..",ROUND(FIRE1403_raw!N25,0))</f>
        <v>2</v>
      </c>
      <c r="O25" s="130">
        <f ca="1">ROUND(FIRE1403_raw!O25,0)</f>
        <v>85</v>
      </c>
      <c r="P25" s="136"/>
      <c r="R25" s="131"/>
      <c r="S25" s="131"/>
      <c r="U25" s="131"/>
      <c r="V25" s="131"/>
      <c r="X25" s="132"/>
      <c r="Y25" s="132"/>
      <c r="Z25" s="132"/>
      <c r="AA25" s="132"/>
      <c r="AB25" s="132"/>
      <c r="AD25" s="133"/>
      <c r="AE25" s="133"/>
      <c r="AF25" s="133"/>
      <c r="AG25" s="133"/>
      <c r="AH25" s="133"/>
      <c r="AI25" s="133"/>
      <c r="AJ25" s="133"/>
      <c r="AK25" s="133"/>
      <c r="AL25" s="133"/>
      <c r="AM25" s="133"/>
      <c r="AN25" s="133"/>
    </row>
    <row r="26" spans="1:40" s="117" customFormat="1" ht="15" customHeight="1" x14ac:dyDescent="0.35">
      <c r="A26" s="116" t="s">
        <v>51</v>
      </c>
      <c r="B26" s="135">
        <f ca="1">ROUND(FIRE1403_raw!B26,0)</f>
        <v>5</v>
      </c>
      <c r="C26" s="135">
        <f ca="1">ROUND(FIRE1403_raw!C26,0)</f>
        <v>38</v>
      </c>
      <c r="D26" s="135">
        <f ca="1">IF(FIRE1403_raw!D26="..","..",ROUND(FIRE1403_raw!D26,0))</f>
        <v>8</v>
      </c>
      <c r="E26" s="130">
        <f ca="1">ROUND(FIRE1403_raw!E26,0)</f>
        <v>51</v>
      </c>
      <c r="F26" s="130"/>
      <c r="G26" s="135">
        <f ca="1">ROUND(FIRE1403_raw!G26,0)</f>
        <v>74</v>
      </c>
      <c r="H26" s="135">
        <f ca="1">ROUND(FIRE1403_raw!H26,0)</f>
        <v>3</v>
      </c>
      <c r="I26" s="135">
        <f ca="1">ROUND(FIRE1403_raw!I26,0)</f>
        <v>49</v>
      </c>
      <c r="J26" s="130">
        <f ca="1">ROUND(FIRE1403_raw!J26,0)</f>
        <v>126</v>
      </c>
      <c r="K26" s="130"/>
      <c r="L26" s="135">
        <f ca="1">IF(FIRE1403_raw!L26="..","..",ROUND(FIRE1403_raw!L26,0))</f>
        <v>226</v>
      </c>
      <c r="M26" s="135">
        <f ca="1">IF(FIRE1403_raw!M26="..","..",ROUND(FIRE1403_raw!M26,0))</f>
        <v>11</v>
      </c>
      <c r="N26" s="135">
        <f ca="1">IF(FIRE1403_raw!N26="..","..",ROUND(FIRE1403_raw!N26,0))</f>
        <v>12</v>
      </c>
      <c r="O26" s="130">
        <f ca="1">ROUND(FIRE1403_raw!O26,0)</f>
        <v>249</v>
      </c>
      <c r="P26" s="136"/>
      <c r="R26" s="131"/>
      <c r="S26" s="131"/>
      <c r="U26" s="131"/>
      <c r="V26" s="131"/>
      <c r="X26" s="132"/>
      <c r="Y26" s="132"/>
      <c r="Z26" s="132"/>
      <c r="AA26" s="132"/>
      <c r="AB26" s="132"/>
      <c r="AD26" s="133"/>
      <c r="AE26" s="133"/>
      <c r="AF26" s="133"/>
      <c r="AG26" s="133"/>
      <c r="AH26" s="133"/>
      <c r="AI26" s="133"/>
      <c r="AJ26" s="133"/>
      <c r="AK26" s="133"/>
      <c r="AL26" s="133"/>
      <c r="AM26" s="133"/>
      <c r="AN26" s="133"/>
    </row>
    <row r="27" spans="1:40" s="117" customFormat="1" ht="15" customHeight="1" x14ac:dyDescent="0.35">
      <c r="A27" s="116" t="s">
        <v>49</v>
      </c>
      <c r="B27" s="135">
        <f ca="1">ROUND(FIRE1403_raw!B27,0)</f>
        <v>0</v>
      </c>
      <c r="C27" s="135">
        <f ca="1">ROUND(FIRE1403_raw!C27,0)</f>
        <v>19</v>
      </c>
      <c r="D27" s="135">
        <f ca="1">IF(FIRE1403_raw!D27="..","..",ROUND(FIRE1403_raw!D27,0))</f>
        <v>8</v>
      </c>
      <c r="E27" s="130">
        <f ca="1">ROUND(FIRE1403_raw!E27,0)</f>
        <v>27</v>
      </c>
      <c r="F27" s="130"/>
      <c r="G27" s="135">
        <f ca="1">ROUND(FIRE1403_raw!G27,0)</f>
        <v>41</v>
      </c>
      <c r="H27" s="135">
        <f ca="1">ROUND(FIRE1403_raw!H27,0)</f>
        <v>2</v>
      </c>
      <c r="I27" s="135">
        <f ca="1">ROUND(FIRE1403_raw!I27,0)</f>
        <v>26</v>
      </c>
      <c r="J27" s="130">
        <f ca="1">ROUND(FIRE1403_raw!J27,0)</f>
        <v>69</v>
      </c>
      <c r="K27" s="130"/>
      <c r="L27" s="135">
        <f ca="1">IF(FIRE1403_raw!L27="..","..",ROUND(FIRE1403_raw!L27,0))</f>
        <v>92</v>
      </c>
      <c r="M27" s="135">
        <f ca="1">IF(FIRE1403_raw!M27="..","..",ROUND(FIRE1403_raw!M27,0))</f>
        <v>5</v>
      </c>
      <c r="N27" s="135">
        <f ca="1">IF(FIRE1403_raw!N27="..","..",ROUND(FIRE1403_raw!N27,0))</f>
        <v>3</v>
      </c>
      <c r="O27" s="130">
        <f ca="1">ROUND(FIRE1403_raw!O27,0)</f>
        <v>100</v>
      </c>
      <c r="P27" s="136"/>
      <c r="R27" s="131"/>
      <c r="S27" s="131"/>
      <c r="U27" s="131"/>
      <c r="V27" s="131"/>
      <c r="X27" s="132"/>
      <c r="Y27" s="132"/>
      <c r="Z27" s="132"/>
      <c r="AA27" s="132"/>
      <c r="AB27" s="132"/>
      <c r="AD27" s="133"/>
      <c r="AE27" s="133"/>
      <c r="AF27" s="133"/>
      <c r="AG27" s="133"/>
      <c r="AH27" s="133"/>
      <c r="AI27" s="133"/>
      <c r="AJ27" s="133"/>
      <c r="AK27" s="133"/>
      <c r="AL27" s="133"/>
      <c r="AM27" s="133"/>
      <c r="AN27" s="133"/>
    </row>
    <row r="28" spans="1:40" s="117" customFormat="1" ht="15" customHeight="1" x14ac:dyDescent="0.35">
      <c r="A28" s="116" t="s">
        <v>102</v>
      </c>
      <c r="B28" s="135">
        <f ca="1">ROUND(FIRE1403_raw!B28,0)</f>
        <v>13</v>
      </c>
      <c r="C28" s="135">
        <f ca="1">ROUND(FIRE1403_raw!C28,0)</f>
        <v>9</v>
      </c>
      <c r="D28" s="135">
        <f ca="1">IF(FIRE1403_raw!D28="..","..",ROUND(FIRE1403_raw!D28,0))</f>
        <v>7</v>
      </c>
      <c r="E28" s="130">
        <f ca="1">ROUND(FIRE1403_raw!E28,0)</f>
        <v>29</v>
      </c>
      <c r="F28" s="130"/>
      <c r="G28" s="135">
        <f ca="1">ROUND(FIRE1403_raw!G28,0)</f>
        <v>40</v>
      </c>
      <c r="H28" s="135">
        <f ca="1">ROUND(FIRE1403_raw!H28,0)</f>
        <v>2</v>
      </c>
      <c r="I28" s="135">
        <f ca="1">ROUND(FIRE1403_raw!I28,0)</f>
        <v>8</v>
      </c>
      <c r="J28" s="130">
        <f ca="1">ROUND(FIRE1403_raw!J28,0)</f>
        <v>50</v>
      </c>
      <c r="K28" s="130"/>
      <c r="L28" s="135">
        <f ca="1">IF(FIRE1403_raw!L28="..","..",ROUND(FIRE1403_raw!L28,0))</f>
        <v>98</v>
      </c>
      <c r="M28" s="135">
        <f ca="1">IF(FIRE1403_raw!M28="..","..",ROUND(FIRE1403_raw!M28,0))</f>
        <v>7</v>
      </c>
      <c r="N28" s="135">
        <f ca="1">IF(FIRE1403_raw!N28="..","..",ROUND(FIRE1403_raw!N28,0))</f>
        <v>6</v>
      </c>
      <c r="O28" s="130">
        <f ca="1">ROUND(FIRE1403_raw!O28,0)</f>
        <v>111</v>
      </c>
      <c r="P28" s="136"/>
      <c r="R28" s="131"/>
      <c r="S28" s="131"/>
      <c r="U28" s="131"/>
      <c r="V28" s="131"/>
      <c r="X28" s="132"/>
      <c r="Y28" s="132"/>
      <c r="Z28" s="132"/>
      <c r="AA28" s="132"/>
      <c r="AB28" s="132"/>
      <c r="AD28" s="133"/>
      <c r="AE28" s="133"/>
      <c r="AF28" s="133"/>
      <c r="AG28" s="133"/>
      <c r="AH28" s="133"/>
      <c r="AI28" s="133"/>
      <c r="AJ28" s="133"/>
      <c r="AK28" s="133"/>
      <c r="AL28" s="133"/>
      <c r="AM28" s="133"/>
      <c r="AN28" s="133"/>
    </row>
    <row r="29" spans="1:40" s="117" customFormat="1" ht="15" customHeight="1" x14ac:dyDescent="0.35">
      <c r="A29" s="116" t="s">
        <v>47</v>
      </c>
      <c r="B29" s="135">
        <f ca="1">ROUND(FIRE1403_raw!B29,0)</f>
        <v>9</v>
      </c>
      <c r="C29" s="135">
        <f ca="1">ROUND(FIRE1403_raw!C29,0)</f>
        <v>19</v>
      </c>
      <c r="D29" s="135">
        <f ca="1">IF(FIRE1403_raw!D29="..","..",ROUND(FIRE1403_raw!D29,0))</f>
        <v>3</v>
      </c>
      <c r="E29" s="130">
        <f ca="1">ROUND(FIRE1403_raw!E29,0)</f>
        <v>31</v>
      </c>
      <c r="F29" s="130"/>
      <c r="G29" s="135">
        <f ca="1">ROUND(FIRE1403_raw!G29,0)</f>
        <v>44</v>
      </c>
      <c r="H29" s="135">
        <f ca="1">ROUND(FIRE1403_raw!H29,0)</f>
        <v>4</v>
      </c>
      <c r="I29" s="135">
        <f ca="1">ROUND(FIRE1403_raw!I29,0)</f>
        <v>10</v>
      </c>
      <c r="J29" s="130">
        <f ca="1">ROUND(FIRE1403_raw!J29,0)</f>
        <v>58</v>
      </c>
      <c r="K29" s="130"/>
      <c r="L29" s="135">
        <f ca="1">IF(FIRE1403_raw!L29="..","..",ROUND(FIRE1403_raw!L29,0))</f>
        <v>145</v>
      </c>
      <c r="M29" s="135">
        <f ca="1">IF(FIRE1403_raw!M29="..","..",ROUND(FIRE1403_raw!M29,0))</f>
        <v>6</v>
      </c>
      <c r="N29" s="135">
        <f ca="1">IF(FIRE1403_raw!N29="..","..",ROUND(FIRE1403_raw!N29,0))</f>
        <v>4</v>
      </c>
      <c r="O29" s="130">
        <f ca="1">ROUND(FIRE1403_raw!O29,0)</f>
        <v>155</v>
      </c>
      <c r="P29" s="136"/>
      <c r="R29" s="131"/>
      <c r="S29" s="131"/>
      <c r="U29" s="131"/>
      <c r="V29" s="131"/>
      <c r="X29" s="132"/>
      <c r="Y29" s="132"/>
      <c r="Z29" s="132"/>
      <c r="AA29" s="132"/>
      <c r="AB29" s="132"/>
      <c r="AD29" s="133"/>
      <c r="AE29" s="133"/>
      <c r="AF29" s="133"/>
      <c r="AG29" s="133"/>
      <c r="AH29" s="133"/>
      <c r="AI29" s="133"/>
      <c r="AJ29" s="133"/>
      <c r="AK29" s="133"/>
      <c r="AL29" s="133"/>
      <c r="AM29" s="133"/>
      <c r="AN29" s="133"/>
    </row>
    <row r="30" spans="1:40" s="117" customFormat="1" ht="15" customHeight="1" x14ac:dyDescent="0.35">
      <c r="A30" s="116" t="s">
        <v>203</v>
      </c>
      <c r="B30" s="135">
        <f ca="1">ROUND(FIRE1403_raw!B30,0)</f>
        <v>1</v>
      </c>
      <c r="C30" s="135">
        <f ca="1">ROUND(FIRE1403_raw!C30,0)</f>
        <v>8</v>
      </c>
      <c r="D30" s="135">
        <f ca="1">IF(FIRE1403_raw!D30="..","..",ROUND(FIRE1403_raw!D30,0))</f>
        <v>1</v>
      </c>
      <c r="E30" s="130">
        <f ca="1">ROUND(FIRE1403_raw!E30,0)</f>
        <v>10</v>
      </c>
      <c r="F30" s="130"/>
      <c r="G30" s="135">
        <f ca="1">ROUND(FIRE1403_raw!G30,0)</f>
        <v>16</v>
      </c>
      <c r="H30" s="135">
        <f ca="1">ROUND(FIRE1403_raw!H30,0)</f>
        <v>2</v>
      </c>
      <c r="I30" s="135">
        <f ca="1">ROUND(FIRE1403_raw!I30,0)</f>
        <v>7</v>
      </c>
      <c r="J30" s="130">
        <f ca="1">ROUND(FIRE1403_raw!J30,0)</f>
        <v>25</v>
      </c>
      <c r="K30" s="130"/>
      <c r="L30" s="135">
        <f ca="1">IF(FIRE1403_raw!L30="..","..",ROUND(FIRE1403_raw!L30,0))</f>
        <v>29</v>
      </c>
      <c r="M30" s="135">
        <f ca="1">IF(FIRE1403_raw!M30="..","..",ROUND(FIRE1403_raw!M30,0))</f>
        <v>2</v>
      </c>
      <c r="N30" s="135">
        <f ca="1">IF(FIRE1403_raw!N30="..","..",ROUND(FIRE1403_raw!N30,0))</f>
        <v>1</v>
      </c>
      <c r="O30" s="130">
        <f ca="1">ROUND(FIRE1403_raw!O30,0)</f>
        <v>32</v>
      </c>
      <c r="P30" s="136"/>
      <c r="R30" s="131"/>
      <c r="S30" s="131"/>
      <c r="U30" s="131"/>
      <c r="V30" s="131"/>
      <c r="X30" s="132"/>
      <c r="Y30" s="132"/>
      <c r="Z30" s="132"/>
      <c r="AA30" s="132"/>
      <c r="AB30" s="132"/>
      <c r="AD30" s="133"/>
      <c r="AE30" s="133"/>
      <c r="AF30" s="133"/>
      <c r="AG30" s="133"/>
      <c r="AH30" s="133"/>
      <c r="AI30" s="133"/>
      <c r="AJ30" s="133"/>
      <c r="AK30" s="133"/>
      <c r="AL30" s="133"/>
      <c r="AM30" s="133"/>
      <c r="AN30" s="133"/>
    </row>
    <row r="31" spans="1:40" s="117" customFormat="1" ht="15" customHeight="1" x14ac:dyDescent="0.35">
      <c r="A31" s="117" t="s">
        <v>45</v>
      </c>
      <c r="B31" s="135">
        <f ca="1">ROUND(FIRE1403_raw!B31,0)</f>
        <v>8</v>
      </c>
      <c r="C31" s="135">
        <f ca="1">ROUND(FIRE1403_raw!C31,0)</f>
        <v>34</v>
      </c>
      <c r="D31" s="135">
        <f ca="1">IF(FIRE1403_raw!D31="..","..",ROUND(FIRE1403_raw!D31,0))</f>
        <v>15</v>
      </c>
      <c r="E31" s="130">
        <f ca="1">ROUND(FIRE1403_raw!E31,0)</f>
        <v>57</v>
      </c>
      <c r="F31" s="130"/>
      <c r="G31" s="135">
        <f ca="1">ROUND(FIRE1403_raw!G31,0)</f>
        <v>75</v>
      </c>
      <c r="H31" s="135">
        <f ca="1">ROUND(FIRE1403_raw!H31,0)</f>
        <v>3</v>
      </c>
      <c r="I31" s="135">
        <f ca="1">ROUND(FIRE1403_raw!I31,0)</f>
        <v>44</v>
      </c>
      <c r="J31" s="130">
        <f ca="1">ROUND(FIRE1403_raw!J31,0)</f>
        <v>122</v>
      </c>
      <c r="K31" s="130"/>
      <c r="L31" s="135">
        <f ca="1">IF(FIRE1403_raw!L31="..","..",ROUND(FIRE1403_raw!L31,0))</f>
        <v>263</v>
      </c>
      <c r="M31" s="135">
        <f ca="1">IF(FIRE1403_raw!M31="..","..",ROUND(FIRE1403_raw!M31,0))</f>
        <v>13</v>
      </c>
      <c r="N31" s="135">
        <f ca="1">IF(FIRE1403_raw!N31="..","..",ROUND(FIRE1403_raw!N31,0))</f>
        <v>11</v>
      </c>
      <c r="O31" s="130">
        <f ca="1">ROUND(FIRE1403_raw!O31,0)</f>
        <v>287</v>
      </c>
      <c r="P31" s="136"/>
      <c r="R31" s="131"/>
      <c r="S31" s="131"/>
      <c r="U31" s="131"/>
      <c r="V31" s="131"/>
      <c r="X31" s="132"/>
      <c r="Y31" s="132"/>
      <c r="Z31" s="132"/>
      <c r="AA31" s="132"/>
      <c r="AB31" s="132"/>
      <c r="AD31" s="133"/>
      <c r="AE31" s="133"/>
      <c r="AF31" s="133"/>
      <c r="AG31" s="133"/>
      <c r="AH31" s="133"/>
      <c r="AI31" s="133"/>
      <c r="AJ31" s="133"/>
      <c r="AK31" s="133"/>
      <c r="AL31" s="133"/>
      <c r="AM31" s="133"/>
      <c r="AN31" s="133"/>
    </row>
    <row r="32" spans="1:40" s="117" customFormat="1" ht="15" customHeight="1" x14ac:dyDescent="0.35">
      <c r="A32" s="117" t="s">
        <v>43</v>
      </c>
      <c r="B32" s="135">
        <f ca="1">ROUND(FIRE1403_raw!B32,0)</f>
        <v>9</v>
      </c>
      <c r="C32" s="135">
        <f ca="1">ROUND(FIRE1403_raw!C32,0)</f>
        <v>18</v>
      </c>
      <c r="D32" s="135">
        <f ca="1">IF(FIRE1403_raw!D32="..","..",ROUND(FIRE1403_raw!D32,0))</f>
        <v>12</v>
      </c>
      <c r="E32" s="130">
        <f ca="1">ROUND(FIRE1403_raw!E32,0)</f>
        <v>39</v>
      </c>
      <c r="F32" s="130"/>
      <c r="G32" s="135">
        <f ca="1">ROUND(FIRE1403_raw!G32,0)</f>
        <v>59</v>
      </c>
      <c r="H32" s="135">
        <f ca="1">ROUND(FIRE1403_raw!H32,0)</f>
        <v>4</v>
      </c>
      <c r="I32" s="135">
        <f ca="1">ROUND(FIRE1403_raw!I32,0)</f>
        <v>31</v>
      </c>
      <c r="J32" s="130">
        <f ca="1">ROUND(FIRE1403_raw!J32,0)</f>
        <v>94</v>
      </c>
      <c r="K32" s="130"/>
      <c r="L32" s="135">
        <f ca="1">IF(FIRE1403_raw!L32="..","..",ROUND(FIRE1403_raw!L32,0))</f>
        <v>109</v>
      </c>
      <c r="M32" s="135">
        <f ca="1">IF(FIRE1403_raw!M32="..","..",ROUND(FIRE1403_raw!M32,0))</f>
        <v>7</v>
      </c>
      <c r="N32" s="135">
        <f ca="1">IF(FIRE1403_raw!N32="..","..",ROUND(FIRE1403_raw!N32,0))</f>
        <v>7</v>
      </c>
      <c r="O32" s="130">
        <f ca="1">ROUND(FIRE1403_raw!O32,0)</f>
        <v>123</v>
      </c>
      <c r="P32" s="136"/>
      <c r="R32" s="131"/>
      <c r="S32" s="131"/>
      <c r="U32" s="131"/>
      <c r="V32" s="131"/>
      <c r="X32" s="132"/>
      <c r="Y32" s="132"/>
      <c r="Z32" s="132"/>
      <c r="AA32" s="132"/>
      <c r="AB32" s="132"/>
      <c r="AD32" s="133"/>
      <c r="AE32" s="133"/>
      <c r="AF32" s="133"/>
      <c r="AG32" s="133"/>
      <c r="AH32" s="133"/>
      <c r="AI32" s="133"/>
      <c r="AJ32" s="133"/>
      <c r="AK32" s="133"/>
      <c r="AL32" s="133"/>
      <c r="AM32" s="133"/>
      <c r="AN32" s="133"/>
    </row>
    <row r="33" spans="1:40" s="117" customFormat="1" ht="15" customHeight="1" x14ac:dyDescent="0.35">
      <c r="A33" s="116" t="s">
        <v>41</v>
      </c>
      <c r="B33" s="135">
        <f ca="1">ROUND(FIRE1403_raw!B33,0)</f>
        <v>7</v>
      </c>
      <c r="C33" s="135">
        <f ca="1">ROUND(FIRE1403_raw!C33,0)</f>
        <v>6</v>
      </c>
      <c r="D33" s="135">
        <f ca="1">IF(FIRE1403_raw!D33="..","..",ROUND(FIRE1403_raw!D33,0))</f>
        <v>7</v>
      </c>
      <c r="E33" s="130">
        <f ca="1">ROUND(FIRE1403_raw!E33,0)</f>
        <v>20</v>
      </c>
      <c r="F33" s="130"/>
      <c r="G33" s="135">
        <f ca="1">ROUND(FIRE1403_raw!G33,0)</f>
        <v>32</v>
      </c>
      <c r="H33" s="135">
        <f ca="1">ROUND(FIRE1403_raw!H33,0)</f>
        <v>2</v>
      </c>
      <c r="I33" s="135">
        <f ca="1">ROUND(FIRE1403_raw!I33,0)</f>
        <v>28</v>
      </c>
      <c r="J33" s="130">
        <f ca="1">ROUND(FIRE1403_raw!J33,0)</f>
        <v>62</v>
      </c>
      <c r="K33" s="130"/>
      <c r="L33" s="135">
        <f ca="1">IF(FIRE1403_raw!L33="..","..",ROUND(FIRE1403_raw!L33,0))</f>
        <v>102</v>
      </c>
      <c r="M33" s="135">
        <f ca="1">IF(FIRE1403_raw!M33="..","..",ROUND(FIRE1403_raw!M33,0))</f>
        <v>3</v>
      </c>
      <c r="N33" s="135">
        <f ca="1">IF(FIRE1403_raw!N33="..","..",ROUND(FIRE1403_raw!N33,0))</f>
        <v>5</v>
      </c>
      <c r="O33" s="130">
        <f ca="1">ROUND(FIRE1403_raw!O33,0)</f>
        <v>110</v>
      </c>
      <c r="P33" s="136"/>
      <c r="R33" s="131"/>
      <c r="S33" s="131"/>
      <c r="U33" s="131"/>
      <c r="V33" s="131"/>
      <c r="X33" s="132"/>
      <c r="Y33" s="132"/>
      <c r="Z33" s="132"/>
      <c r="AA33" s="132"/>
      <c r="AB33" s="132"/>
      <c r="AD33" s="133"/>
      <c r="AE33" s="133"/>
      <c r="AF33" s="133"/>
      <c r="AG33" s="133"/>
      <c r="AH33" s="133"/>
      <c r="AI33" s="133"/>
      <c r="AJ33" s="133"/>
      <c r="AK33" s="133"/>
      <c r="AL33" s="133"/>
      <c r="AM33" s="133"/>
      <c r="AN33" s="133"/>
    </row>
    <row r="34" spans="1:40" s="117" customFormat="1" ht="15" customHeight="1" x14ac:dyDescent="0.35">
      <c r="A34" s="117" t="s">
        <v>98</v>
      </c>
      <c r="B34" s="135">
        <f ca="1">ROUND(FIRE1403_raw!B34,0)</f>
        <v>0</v>
      </c>
      <c r="C34" s="135">
        <f ca="1">ROUND(FIRE1403_raw!C34,0)</f>
        <v>29</v>
      </c>
      <c r="D34" s="135">
        <f ca="1">IF(FIRE1403_raw!D34="..","..",ROUND(FIRE1403_raw!D34,0))</f>
        <v>9</v>
      </c>
      <c r="E34" s="130">
        <f ca="1">ROUND(FIRE1403_raw!E34,0)</f>
        <v>38</v>
      </c>
      <c r="F34" s="130"/>
      <c r="G34" s="135">
        <f ca="1">ROUND(FIRE1403_raw!G34,0)</f>
        <v>48</v>
      </c>
      <c r="H34" s="135">
        <f ca="1">ROUND(FIRE1403_raw!H34,0)</f>
        <v>2</v>
      </c>
      <c r="I34" s="135">
        <f ca="1">ROUND(FIRE1403_raw!I34,0)</f>
        <v>43</v>
      </c>
      <c r="J34" s="130">
        <f ca="1">ROUND(FIRE1403_raw!J34,0)</f>
        <v>93</v>
      </c>
      <c r="K34" s="130"/>
      <c r="L34" s="135">
        <f ca="1">IF(FIRE1403_raw!L34="..","..",ROUND(FIRE1403_raw!L34,0))</f>
        <v>89</v>
      </c>
      <c r="M34" s="135">
        <f ca="1">IF(FIRE1403_raw!M34="..","..",ROUND(FIRE1403_raw!M34,0))</f>
        <v>5</v>
      </c>
      <c r="N34" s="135">
        <f ca="1">IF(FIRE1403_raw!N34="..","..",ROUND(FIRE1403_raw!N34,0))</f>
        <v>3</v>
      </c>
      <c r="O34" s="130">
        <f ca="1">ROUND(FIRE1403_raw!O34,0)</f>
        <v>97</v>
      </c>
      <c r="P34" s="136"/>
      <c r="R34" s="131"/>
      <c r="S34" s="131"/>
      <c r="U34" s="131"/>
      <c r="V34" s="131"/>
      <c r="X34" s="132"/>
      <c r="Y34" s="132"/>
      <c r="Z34" s="132"/>
      <c r="AA34" s="132"/>
      <c r="AB34" s="132"/>
      <c r="AD34" s="133"/>
      <c r="AE34" s="133"/>
      <c r="AF34" s="133"/>
      <c r="AG34" s="133"/>
      <c r="AH34" s="133"/>
      <c r="AI34" s="133"/>
      <c r="AJ34" s="133"/>
      <c r="AK34" s="133"/>
      <c r="AL34" s="133"/>
      <c r="AM34" s="133"/>
      <c r="AN34" s="133"/>
    </row>
    <row r="35" spans="1:40" s="117" customFormat="1" ht="15" customHeight="1" x14ac:dyDescent="0.35">
      <c r="A35" s="117" t="s">
        <v>96</v>
      </c>
      <c r="B35" s="135">
        <f ca="1">ROUND(FIRE1403_raw!B35,0)</f>
        <v>3</v>
      </c>
      <c r="C35" s="135">
        <f ca="1">ROUND(FIRE1403_raw!C35,0)</f>
        <v>33</v>
      </c>
      <c r="D35" s="135">
        <f ca="1">IF(FIRE1403_raw!D35="..","..",ROUND(FIRE1403_raw!D35,0))</f>
        <v>6</v>
      </c>
      <c r="E35" s="130">
        <f ca="1">ROUND(FIRE1403_raw!E35,0)</f>
        <v>42</v>
      </c>
      <c r="F35" s="130"/>
      <c r="G35" s="135">
        <f ca="1">ROUND(FIRE1403_raw!G35,0)</f>
        <v>53</v>
      </c>
      <c r="H35" s="135">
        <f ca="1">ROUND(FIRE1403_raw!H35,0)</f>
        <v>4</v>
      </c>
      <c r="I35" s="135">
        <f ca="1">ROUND(FIRE1403_raw!I35,0)</f>
        <v>22</v>
      </c>
      <c r="J35" s="130">
        <f ca="1">ROUND(FIRE1403_raw!J35,0)</f>
        <v>79</v>
      </c>
      <c r="K35" s="130"/>
      <c r="L35" s="135">
        <f ca="1">IF(FIRE1403_raw!L35="..","..",ROUND(FIRE1403_raw!L35,0))</f>
        <v>98</v>
      </c>
      <c r="M35" s="135">
        <f ca="1">IF(FIRE1403_raw!M35="..","..",ROUND(FIRE1403_raw!M35,0))</f>
        <v>4</v>
      </c>
      <c r="N35" s="135">
        <f ca="1">IF(FIRE1403_raw!N35="..","..",ROUND(FIRE1403_raw!N35,0))</f>
        <v>6</v>
      </c>
      <c r="O35" s="130">
        <f ca="1">ROUND(FIRE1403_raw!O35,0)</f>
        <v>108</v>
      </c>
      <c r="P35" s="136"/>
      <c r="R35" s="131"/>
      <c r="S35" s="131"/>
      <c r="U35" s="131"/>
      <c r="V35" s="131"/>
      <c r="X35" s="132"/>
      <c r="Y35" s="132"/>
      <c r="Z35" s="132"/>
      <c r="AA35" s="132"/>
      <c r="AB35" s="132"/>
      <c r="AD35" s="133"/>
      <c r="AE35" s="133"/>
      <c r="AF35" s="133"/>
      <c r="AG35" s="133"/>
      <c r="AH35" s="133"/>
      <c r="AI35" s="133"/>
      <c r="AJ35" s="133"/>
      <c r="AK35" s="133"/>
      <c r="AL35" s="133"/>
      <c r="AM35" s="133"/>
      <c r="AN35" s="133"/>
    </row>
    <row r="36" spans="1:40" s="117" customFormat="1" ht="15" customHeight="1" x14ac:dyDescent="0.35">
      <c r="A36" s="117" t="s">
        <v>39</v>
      </c>
      <c r="B36" s="135">
        <f ca="1">ROUND(FIRE1403_raw!B36,0)</f>
        <v>5</v>
      </c>
      <c r="C36" s="135">
        <f ca="1">ROUND(FIRE1403_raw!C36,0)</f>
        <v>24</v>
      </c>
      <c r="D36" s="135">
        <f ca="1">IF(FIRE1403_raw!D36="..","..",ROUND(FIRE1403_raw!D36,0))</f>
        <v>7</v>
      </c>
      <c r="E36" s="130">
        <f ca="1">ROUND(FIRE1403_raw!E36,0)</f>
        <v>36</v>
      </c>
      <c r="F36" s="130"/>
      <c r="G36" s="135">
        <f ca="1">ROUND(FIRE1403_raw!G36,0)</f>
        <v>46</v>
      </c>
      <c r="H36" s="135">
        <f ca="1">ROUND(FIRE1403_raw!H36,0)</f>
        <v>3</v>
      </c>
      <c r="I36" s="135">
        <f ca="1">ROUND(FIRE1403_raw!I36,0)</f>
        <v>16</v>
      </c>
      <c r="J36" s="130">
        <f ca="1">ROUND(FIRE1403_raw!J36,0)</f>
        <v>65</v>
      </c>
      <c r="K36" s="130"/>
      <c r="L36" s="135">
        <f ca="1">IF(FIRE1403_raw!L36="..","..",ROUND(FIRE1403_raw!L36,0))</f>
        <v>118</v>
      </c>
      <c r="M36" s="135">
        <f ca="1">IF(FIRE1403_raw!M36="..","..",ROUND(FIRE1403_raw!M36,0))</f>
        <v>4</v>
      </c>
      <c r="N36" s="135">
        <f ca="1">IF(FIRE1403_raw!N36="..","..",ROUND(FIRE1403_raw!N36,0))</f>
        <v>3</v>
      </c>
      <c r="O36" s="130">
        <f ca="1">ROUND(FIRE1403_raw!O36,0)</f>
        <v>125</v>
      </c>
      <c r="P36" s="136"/>
      <c r="R36" s="131"/>
      <c r="S36" s="131"/>
      <c r="U36" s="131"/>
      <c r="V36" s="131"/>
      <c r="X36" s="132"/>
      <c r="Y36" s="132"/>
      <c r="Z36" s="132"/>
      <c r="AA36" s="132"/>
      <c r="AB36" s="132"/>
      <c r="AD36" s="133"/>
      <c r="AE36" s="133"/>
      <c r="AF36" s="133"/>
      <c r="AG36" s="133"/>
      <c r="AH36" s="133"/>
      <c r="AI36" s="133"/>
      <c r="AJ36" s="133"/>
      <c r="AK36" s="133"/>
      <c r="AL36" s="133"/>
      <c r="AM36" s="133"/>
      <c r="AN36" s="133"/>
    </row>
    <row r="37" spans="1:40" s="117" customFormat="1" ht="15" customHeight="1" x14ac:dyDescent="0.35">
      <c r="A37" s="117" t="s">
        <v>94</v>
      </c>
      <c r="B37" s="135">
        <f ca="1">ROUND(FIRE1403_raw!B37,0)</f>
        <v>3</v>
      </c>
      <c r="C37" s="135">
        <f ca="1">ROUND(FIRE1403_raw!C37,0)</f>
        <v>14</v>
      </c>
      <c r="D37" s="135">
        <f ca="1">IF(FIRE1403_raw!D37="..","..",ROUND(FIRE1403_raw!D37,0))</f>
        <v>5</v>
      </c>
      <c r="E37" s="130">
        <f ca="1">ROUND(FIRE1403_raw!E37,0)</f>
        <v>22</v>
      </c>
      <c r="F37" s="130"/>
      <c r="G37" s="135">
        <f ca="1">ROUND(FIRE1403_raw!G37,0)</f>
        <v>26</v>
      </c>
      <c r="H37" s="135">
        <f ca="1">ROUND(FIRE1403_raw!H37,0)</f>
        <v>2</v>
      </c>
      <c r="I37" s="135">
        <f ca="1">ROUND(FIRE1403_raw!I37,0)</f>
        <v>34</v>
      </c>
      <c r="J37" s="130">
        <f ca="1">ROUND(FIRE1403_raw!J37,0)</f>
        <v>62</v>
      </c>
      <c r="K37" s="130"/>
      <c r="L37" s="135">
        <f ca="1">IF(FIRE1403_raw!L37="..","..",ROUND(FIRE1403_raw!L37,0))</f>
        <v>86</v>
      </c>
      <c r="M37" s="135">
        <f ca="1">IF(FIRE1403_raw!M37="..","..",ROUND(FIRE1403_raw!M37,0))</f>
        <v>4</v>
      </c>
      <c r="N37" s="135">
        <f ca="1">IF(FIRE1403_raw!N37="..","..",ROUND(FIRE1403_raw!N37,0))</f>
        <v>3</v>
      </c>
      <c r="O37" s="130">
        <f ca="1">ROUND(FIRE1403_raw!O37,0)</f>
        <v>93</v>
      </c>
      <c r="P37" s="136"/>
      <c r="R37" s="131"/>
      <c r="S37" s="131"/>
      <c r="U37" s="131"/>
      <c r="V37" s="131"/>
      <c r="X37" s="132"/>
      <c r="Y37" s="132"/>
      <c r="Z37" s="132"/>
      <c r="AA37" s="132"/>
      <c r="AB37" s="132"/>
      <c r="AD37" s="133"/>
      <c r="AE37" s="133"/>
      <c r="AF37" s="133"/>
      <c r="AG37" s="133"/>
      <c r="AH37" s="133"/>
      <c r="AI37" s="133"/>
      <c r="AJ37" s="133"/>
      <c r="AK37" s="133"/>
      <c r="AL37" s="133"/>
      <c r="AM37" s="133"/>
      <c r="AN37" s="133"/>
    </row>
    <row r="38" spans="1:40" s="117" customFormat="1" ht="15" customHeight="1" x14ac:dyDescent="0.35">
      <c r="A38" s="117" t="s">
        <v>92</v>
      </c>
      <c r="B38" s="135">
        <f ca="1">ROUND(FIRE1403_raw!B38,0)</f>
        <v>1</v>
      </c>
      <c r="C38" s="135">
        <f ca="1">ROUND(FIRE1403_raw!C38,0)</f>
        <v>11</v>
      </c>
      <c r="D38" s="135">
        <f ca="1">IF(FIRE1403_raw!D38="..","..",ROUND(FIRE1403_raw!D38,0))</f>
        <v>3</v>
      </c>
      <c r="E38" s="130">
        <f ca="1">ROUND(FIRE1403_raw!E38,0)</f>
        <v>15</v>
      </c>
      <c r="F38" s="130"/>
      <c r="G38" s="135">
        <f ca="1">ROUND(FIRE1403_raw!G38,0)</f>
        <v>22</v>
      </c>
      <c r="H38" s="135">
        <f ca="1">ROUND(FIRE1403_raw!H38,0)</f>
        <v>0</v>
      </c>
      <c r="I38" s="135">
        <f ca="1">ROUND(FIRE1403_raw!I38,0)</f>
        <v>14</v>
      </c>
      <c r="J38" s="130">
        <f ca="1">ROUND(FIRE1403_raw!J38,0)</f>
        <v>36</v>
      </c>
      <c r="K38" s="130"/>
      <c r="L38" s="135">
        <f ca="1">IF(FIRE1403_raw!L38="..","..",ROUND(FIRE1403_raw!L38,0))</f>
        <v>40</v>
      </c>
      <c r="M38" s="135">
        <f ca="1">IF(FIRE1403_raw!M38="..","..",ROUND(FIRE1403_raw!M38,0))</f>
        <v>3</v>
      </c>
      <c r="N38" s="135">
        <f ca="1">IF(FIRE1403_raw!N38="..","..",ROUND(FIRE1403_raw!N38,0))</f>
        <v>3</v>
      </c>
      <c r="O38" s="130">
        <f ca="1">ROUND(FIRE1403_raw!O38,0)</f>
        <v>46</v>
      </c>
      <c r="P38" s="136"/>
      <c r="R38" s="131"/>
      <c r="S38" s="131"/>
      <c r="U38" s="131"/>
      <c r="V38" s="131"/>
      <c r="X38" s="132"/>
      <c r="Y38" s="132"/>
      <c r="Z38" s="132"/>
      <c r="AA38" s="132"/>
      <c r="AB38" s="132"/>
      <c r="AD38" s="133"/>
      <c r="AE38" s="133"/>
      <c r="AF38" s="133"/>
      <c r="AG38" s="133"/>
      <c r="AH38" s="133"/>
      <c r="AI38" s="133"/>
      <c r="AJ38" s="133"/>
      <c r="AK38" s="133"/>
      <c r="AL38" s="133"/>
      <c r="AM38" s="133"/>
      <c r="AN38" s="133"/>
    </row>
    <row r="39" spans="1:40" s="117" customFormat="1" ht="15" customHeight="1" x14ac:dyDescent="0.35">
      <c r="A39" s="116" t="s">
        <v>37</v>
      </c>
      <c r="B39" s="135">
        <f ca="1">ROUND(FIRE1403_raw!B39,0)</f>
        <v>8</v>
      </c>
      <c r="C39" s="135">
        <f ca="1">ROUND(FIRE1403_raw!C39,0)</f>
        <v>12</v>
      </c>
      <c r="D39" s="135">
        <f ca="1">IF(FIRE1403_raw!D39="..","..",ROUND(FIRE1403_raw!D39,0))</f>
        <v>4</v>
      </c>
      <c r="E39" s="130">
        <f ca="1">ROUND(FIRE1403_raw!E39,0)</f>
        <v>24</v>
      </c>
      <c r="F39" s="130"/>
      <c r="G39" s="135">
        <f ca="1">ROUND(FIRE1403_raw!G39,0)</f>
        <v>30</v>
      </c>
      <c r="H39" s="135">
        <f ca="1">ROUND(FIRE1403_raw!H39,0)</f>
        <v>2</v>
      </c>
      <c r="I39" s="135">
        <f ca="1">ROUND(FIRE1403_raw!I39,0)</f>
        <v>10</v>
      </c>
      <c r="J39" s="130">
        <f ca="1">ROUND(FIRE1403_raw!J39,0)</f>
        <v>42</v>
      </c>
      <c r="K39" s="130"/>
      <c r="L39" s="135">
        <f ca="1">IF(FIRE1403_raw!L39="..","..",ROUND(FIRE1403_raw!L39,0))</f>
        <v>90</v>
      </c>
      <c r="M39" s="135">
        <f ca="1">IF(FIRE1403_raw!M39="..","..",ROUND(FIRE1403_raw!M39,0))</f>
        <v>6</v>
      </c>
      <c r="N39" s="135">
        <f ca="1">IF(FIRE1403_raw!N39="..","..",ROUND(FIRE1403_raw!N39,0))</f>
        <v>3</v>
      </c>
      <c r="O39" s="130">
        <f ca="1">ROUND(FIRE1403_raw!O39,0)</f>
        <v>99</v>
      </c>
      <c r="P39" s="136"/>
      <c r="R39" s="131"/>
      <c r="S39" s="131"/>
      <c r="U39" s="131"/>
      <c r="V39" s="131"/>
      <c r="X39" s="132"/>
      <c r="Y39" s="132"/>
      <c r="Z39" s="132"/>
      <c r="AA39" s="132"/>
      <c r="AB39" s="132"/>
      <c r="AD39" s="133"/>
      <c r="AE39" s="133"/>
      <c r="AF39" s="133"/>
      <c r="AG39" s="133"/>
      <c r="AH39" s="133"/>
      <c r="AI39" s="133"/>
      <c r="AJ39" s="133"/>
      <c r="AK39" s="133"/>
      <c r="AL39" s="133"/>
      <c r="AM39" s="133"/>
      <c r="AN39" s="133"/>
    </row>
    <row r="40" spans="1:40" s="117" customFormat="1" ht="15" customHeight="1" x14ac:dyDescent="0.35">
      <c r="A40" s="116" t="s">
        <v>90</v>
      </c>
      <c r="B40" s="135">
        <f ca="1">ROUND(FIRE1403_raw!B40,0)</f>
        <v>0</v>
      </c>
      <c r="C40" s="135">
        <f ca="1">ROUND(FIRE1403_raw!C40,0)</f>
        <v>19</v>
      </c>
      <c r="D40" s="135">
        <f ca="1">IF(FIRE1403_raw!D40="..","..",ROUND(FIRE1403_raw!D40,0))</f>
        <v>6</v>
      </c>
      <c r="E40" s="130">
        <f ca="1">ROUND(FIRE1403_raw!E40,0)</f>
        <v>25</v>
      </c>
      <c r="F40" s="130"/>
      <c r="G40" s="135">
        <f ca="1">ROUND(FIRE1403_raw!G40,0)</f>
        <v>35</v>
      </c>
      <c r="H40" s="135">
        <f ca="1">ROUND(FIRE1403_raw!H40,0)</f>
        <v>1</v>
      </c>
      <c r="I40" s="135">
        <f ca="1">ROUND(FIRE1403_raw!I40,0)</f>
        <v>9</v>
      </c>
      <c r="J40" s="130">
        <f ca="1">ROUND(FIRE1403_raw!J40,0)</f>
        <v>45</v>
      </c>
      <c r="K40" s="130"/>
      <c r="L40" s="135">
        <f ca="1">IF(FIRE1403_raw!L40="..","..",ROUND(FIRE1403_raw!L40,0))</f>
        <v>94</v>
      </c>
      <c r="M40" s="135">
        <f ca="1">IF(FIRE1403_raw!M40="..","..",ROUND(FIRE1403_raw!M40,0))</f>
        <v>5</v>
      </c>
      <c r="N40" s="135">
        <f ca="1">IF(FIRE1403_raw!N40="..","..",ROUND(FIRE1403_raw!N40,0))</f>
        <v>7</v>
      </c>
      <c r="O40" s="130">
        <f ca="1">ROUND(FIRE1403_raw!O40,0)</f>
        <v>106</v>
      </c>
      <c r="P40" s="136"/>
      <c r="R40" s="131"/>
      <c r="S40" s="131"/>
      <c r="U40" s="131"/>
      <c r="V40" s="131"/>
      <c r="X40" s="132"/>
      <c r="Y40" s="132"/>
      <c r="Z40" s="132"/>
      <c r="AA40" s="132"/>
      <c r="AB40" s="132"/>
      <c r="AD40" s="133"/>
      <c r="AE40" s="133"/>
      <c r="AF40" s="133"/>
      <c r="AG40" s="133"/>
      <c r="AH40" s="133"/>
      <c r="AI40" s="133"/>
      <c r="AJ40" s="133"/>
      <c r="AK40" s="133"/>
      <c r="AL40" s="133"/>
      <c r="AM40" s="133"/>
      <c r="AN40" s="133"/>
    </row>
    <row r="41" spans="1:40" s="117" customFormat="1" ht="15" customHeight="1" x14ac:dyDescent="0.35">
      <c r="A41" s="116" t="s">
        <v>35</v>
      </c>
      <c r="B41" s="135">
        <f ca="1">ROUND(FIRE1403_raw!B41,0)</f>
        <v>1</v>
      </c>
      <c r="C41" s="135">
        <f ca="1">ROUND(FIRE1403_raw!C41,0)</f>
        <v>20</v>
      </c>
      <c r="D41" s="135">
        <f ca="1">IF(FIRE1403_raw!D41="..","..",ROUND(FIRE1403_raw!D41,0))</f>
        <v>2</v>
      </c>
      <c r="E41" s="130">
        <f ca="1">ROUND(FIRE1403_raw!E41,0)</f>
        <v>23</v>
      </c>
      <c r="F41" s="130"/>
      <c r="G41" s="135">
        <f ca="1">ROUND(FIRE1403_raw!G41,0)</f>
        <v>28</v>
      </c>
      <c r="H41" s="135">
        <f ca="1">ROUND(FIRE1403_raw!H41,0)</f>
        <v>2</v>
      </c>
      <c r="I41" s="135">
        <f ca="1">ROUND(FIRE1403_raw!I41,0)</f>
        <v>21</v>
      </c>
      <c r="J41" s="130">
        <f ca="1">ROUND(FIRE1403_raw!J41,0)</f>
        <v>51</v>
      </c>
      <c r="K41" s="130"/>
      <c r="L41" s="135">
        <f ca="1">IF(FIRE1403_raw!L41="..","..",ROUND(FIRE1403_raw!L41,0))</f>
        <v>43</v>
      </c>
      <c r="M41" s="135">
        <f ca="1">IF(FIRE1403_raw!M41="..","..",ROUND(FIRE1403_raw!M41,0))</f>
        <v>5</v>
      </c>
      <c r="N41" s="135">
        <f ca="1">IF(FIRE1403_raw!N41="..","..",ROUND(FIRE1403_raw!N41,0))</f>
        <v>2</v>
      </c>
      <c r="O41" s="130">
        <f ca="1">ROUND(FIRE1403_raw!O41,0)</f>
        <v>50</v>
      </c>
      <c r="P41" s="136"/>
      <c r="R41" s="131"/>
      <c r="S41" s="131"/>
      <c r="U41" s="131"/>
      <c r="V41" s="131"/>
      <c r="X41" s="132"/>
      <c r="Y41" s="132"/>
      <c r="Z41" s="132"/>
      <c r="AA41" s="132"/>
      <c r="AB41" s="132"/>
      <c r="AD41" s="133"/>
      <c r="AE41" s="133"/>
      <c r="AF41" s="133"/>
      <c r="AG41" s="133"/>
      <c r="AH41" s="133"/>
      <c r="AI41" s="133"/>
      <c r="AJ41" s="133"/>
      <c r="AK41" s="133"/>
      <c r="AL41" s="133"/>
      <c r="AM41" s="133"/>
      <c r="AN41" s="133"/>
    </row>
    <row r="42" spans="1:40" s="117" customFormat="1" ht="15" customHeight="1" x14ac:dyDescent="0.35">
      <c r="A42" s="116" t="s">
        <v>33</v>
      </c>
      <c r="B42" s="135">
        <f ca="1">ROUND(FIRE1403_raw!B42,0)</f>
        <v>8</v>
      </c>
      <c r="C42" s="135">
        <f ca="1">ROUND(FIRE1403_raw!C42,0)</f>
        <v>23</v>
      </c>
      <c r="D42" s="135">
        <f ca="1">IF(FIRE1403_raw!D42="..","..",ROUND(FIRE1403_raw!D42,0))</f>
        <v>2</v>
      </c>
      <c r="E42" s="130">
        <f ca="1">ROUND(FIRE1403_raw!E42,0)</f>
        <v>33</v>
      </c>
      <c r="F42" s="130"/>
      <c r="G42" s="135">
        <f ca="1">ROUND(FIRE1403_raw!G42,0)</f>
        <v>41</v>
      </c>
      <c r="H42" s="135">
        <f ca="1">ROUND(FIRE1403_raw!H42,0)</f>
        <v>2</v>
      </c>
      <c r="I42" s="135">
        <f ca="1">ROUND(FIRE1403_raw!I42,0)</f>
        <v>18</v>
      </c>
      <c r="J42" s="130">
        <f ca="1">ROUND(FIRE1403_raw!J42,0)</f>
        <v>61</v>
      </c>
      <c r="K42" s="130"/>
      <c r="L42" s="135">
        <f ca="1">IF(FIRE1403_raw!L42="..","..",ROUND(FIRE1403_raw!L42,0))</f>
        <v>112</v>
      </c>
      <c r="M42" s="135">
        <f ca="1">IF(FIRE1403_raw!M42="..","..",ROUND(FIRE1403_raw!M42,0))</f>
        <v>8</v>
      </c>
      <c r="N42" s="135">
        <f ca="1">IF(FIRE1403_raw!N42="..","..",ROUND(FIRE1403_raw!N42,0))</f>
        <v>3</v>
      </c>
      <c r="O42" s="130">
        <f ca="1">ROUND(FIRE1403_raw!O42,0)</f>
        <v>123</v>
      </c>
      <c r="P42" s="136"/>
      <c r="R42" s="131"/>
      <c r="S42" s="131"/>
      <c r="U42" s="131"/>
      <c r="V42" s="131"/>
      <c r="X42" s="132"/>
      <c r="Y42" s="132"/>
      <c r="Z42" s="132"/>
      <c r="AA42" s="132"/>
      <c r="AB42" s="132"/>
      <c r="AD42" s="133"/>
      <c r="AE42" s="133"/>
      <c r="AF42" s="133"/>
      <c r="AG42" s="133"/>
      <c r="AH42" s="133"/>
      <c r="AI42" s="133"/>
      <c r="AJ42" s="133"/>
      <c r="AK42" s="133"/>
      <c r="AL42" s="133"/>
      <c r="AM42" s="133"/>
      <c r="AN42" s="133"/>
    </row>
    <row r="43" spans="1:40" s="117" customFormat="1" ht="15" customHeight="1" x14ac:dyDescent="0.35">
      <c r="A43" s="116" t="s">
        <v>88</v>
      </c>
      <c r="B43" s="135">
        <f ca="1">ROUND(FIRE1403_raw!B43,0)</f>
        <v>0</v>
      </c>
      <c r="C43" s="135">
        <f ca="1">ROUND(FIRE1403_raw!C43,0)</f>
        <v>29</v>
      </c>
      <c r="D43" s="135">
        <f ca="1">IF(FIRE1403_raw!D43="..","..",ROUND(FIRE1403_raw!D43,0))</f>
        <v>6</v>
      </c>
      <c r="E43" s="130">
        <f ca="1">ROUND(FIRE1403_raw!E43,0)</f>
        <v>35</v>
      </c>
      <c r="F43" s="130"/>
      <c r="G43" s="135">
        <f ca="1">ROUND(FIRE1403_raw!G43,0)</f>
        <v>43</v>
      </c>
      <c r="H43" s="135">
        <f ca="1">ROUND(FIRE1403_raw!H43,0)</f>
        <v>2</v>
      </c>
      <c r="I43" s="135">
        <f ca="1">ROUND(FIRE1403_raw!I43,0)</f>
        <v>16</v>
      </c>
      <c r="J43" s="130">
        <f ca="1">ROUND(FIRE1403_raw!J43,0)</f>
        <v>61</v>
      </c>
      <c r="K43" s="130"/>
      <c r="L43" s="135">
        <f ca="1">IF(FIRE1403_raw!L43="..","..",ROUND(FIRE1403_raw!L43,0))</f>
        <v>82</v>
      </c>
      <c r="M43" s="135">
        <f ca="1">IF(FIRE1403_raw!M43="..","..",ROUND(FIRE1403_raw!M43,0))</f>
        <v>4</v>
      </c>
      <c r="N43" s="135">
        <f ca="1">IF(FIRE1403_raw!N43="..","..",ROUND(FIRE1403_raw!N43,0))</f>
        <v>3</v>
      </c>
      <c r="O43" s="130">
        <f ca="1">ROUND(FIRE1403_raw!O43,0)</f>
        <v>89</v>
      </c>
      <c r="P43" s="136"/>
      <c r="R43" s="131"/>
      <c r="S43" s="131"/>
      <c r="U43" s="131"/>
      <c r="V43" s="131"/>
      <c r="X43" s="132"/>
      <c r="Y43" s="132"/>
      <c r="Z43" s="132"/>
      <c r="AA43" s="132"/>
      <c r="AB43" s="132"/>
      <c r="AD43" s="133"/>
      <c r="AE43" s="133"/>
      <c r="AF43" s="133"/>
      <c r="AG43" s="133"/>
      <c r="AH43" s="133"/>
      <c r="AI43" s="133"/>
      <c r="AJ43" s="133"/>
      <c r="AK43" s="133"/>
      <c r="AL43" s="133"/>
      <c r="AM43" s="133"/>
      <c r="AN43" s="133"/>
    </row>
    <row r="44" spans="1:40" s="117" customFormat="1" ht="15" customHeight="1" x14ac:dyDescent="0.35">
      <c r="A44" s="116" t="s">
        <v>86</v>
      </c>
      <c r="B44" s="135">
        <f ca="1">ROUND(FIRE1403_raw!B44,0)</f>
        <v>18</v>
      </c>
      <c r="C44" s="135">
        <f ca="1">ROUND(FIRE1403_raw!C44,0)</f>
        <v>7</v>
      </c>
      <c r="D44" s="135">
        <f ca="1">IF(FIRE1403_raw!D44="..","..",ROUND(FIRE1403_raw!D44,0))</f>
        <v>1</v>
      </c>
      <c r="E44" s="130">
        <f ca="1">ROUND(FIRE1403_raw!E44,0)</f>
        <v>26</v>
      </c>
      <c r="F44" s="130"/>
      <c r="G44" s="135">
        <f ca="1">ROUND(FIRE1403_raw!G44,0)</f>
        <v>30</v>
      </c>
      <c r="H44" s="135">
        <f ca="1">ROUND(FIRE1403_raw!H44,0)</f>
        <v>2</v>
      </c>
      <c r="I44" s="135">
        <f ca="1">ROUND(FIRE1403_raw!I44,0)</f>
        <v>46</v>
      </c>
      <c r="J44" s="130">
        <f ca="1">ROUND(FIRE1403_raw!J44,0)</f>
        <v>78</v>
      </c>
      <c r="K44" s="130"/>
      <c r="L44" s="135">
        <f ca="1">IF(FIRE1403_raw!L44="..","..",ROUND(FIRE1403_raw!L44,0))</f>
        <v>116</v>
      </c>
      <c r="M44" s="135">
        <f ca="1">IF(FIRE1403_raw!M44="..","..",ROUND(FIRE1403_raw!M44,0))</f>
        <v>7</v>
      </c>
      <c r="N44" s="135">
        <f ca="1">IF(FIRE1403_raw!N44="..","..",ROUND(FIRE1403_raw!N44,0))</f>
        <v>4</v>
      </c>
      <c r="O44" s="130">
        <f ca="1">ROUND(FIRE1403_raw!O44,0)</f>
        <v>127</v>
      </c>
      <c r="P44" s="136"/>
      <c r="R44" s="131"/>
      <c r="S44" s="131"/>
      <c r="U44" s="131"/>
      <c r="V44" s="131"/>
      <c r="X44" s="132"/>
      <c r="Y44" s="132"/>
      <c r="Z44" s="132"/>
      <c r="AA44" s="132"/>
      <c r="AB44" s="132"/>
      <c r="AD44" s="133"/>
      <c r="AE44" s="133"/>
      <c r="AF44" s="133"/>
      <c r="AG44" s="133"/>
      <c r="AH44" s="133"/>
      <c r="AI44" s="133"/>
      <c r="AJ44" s="133"/>
      <c r="AK44" s="133"/>
      <c r="AL44" s="133"/>
      <c r="AM44" s="133"/>
      <c r="AN44" s="133"/>
    </row>
    <row r="45" spans="1:40" s="117" customFormat="1" ht="15" customHeight="1" x14ac:dyDescent="0.35">
      <c r="A45" s="116" t="s">
        <v>84</v>
      </c>
      <c r="B45" s="135">
        <f ca="1">ROUND(FIRE1403_raw!B45,0)</f>
        <v>5</v>
      </c>
      <c r="C45" s="135">
        <f ca="1">ROUND(FIRE1403_raw!C45,0)</f>
        <v>9</v>
      </c>
      <c r="D45" s="135">
        <f ca="1">IF(FIRE1403_raw!D45="..","..",ROUND(FIRE1403_raw!D45,0))</f>
        <v>3</v>
      </c>
      <c r="E45" s="130">
        <f ca="1">ROUND(FIRE1403_raw!E45,0)</f>
        <v>17</v>
      </c>
      <c r="F45" s="130"/>
      <c r="G45" s="135">
        <f ca="1">ROUND(FIRE1403_raw!G45,0)</f>
        <v>23</v>
      </c>
      <c r="H45" s="135">
        <f ca="1">ROUND(FIRE1403_raw!H45,0)</f>
        <v>2</v>
      </c>
      <c r="I45" s="135">
        <f ca="1">ROUND(FIRE1403_raw!I45,0)</f>
        <v>13</v>
      </c>
      <c r="J45" s="130">
        <f ca="1">ROUND(FIRE1403_raw!J45,0)</f>
        <v>38</v>
      </c>
      <c r="K45" s="130"/>
      <c r="L45" s="135">
        <f ca="1">IF(FIRE1403_raw!L45="..","..",ROUND(FIRE1403_raw!L45,0))</f>
        <v>72</v>
      </c>
      <c r="M45" s="135">
        <f ca="1">IF(FIRE1403_raw!M45="..","..",ROUND(FIRE1403_raw!M45,0))</f>
        <v>3</v>
      </c>
      <c r="N45" s="135">
        <f ca="1">IF(FIRE1403_raw!N45="..","..",ROUND(FIRE1403_raw!N45,0))</f>
        <v>3</v>
      </c>
      <c r="O45" s="130">
        <f ca="1">ROUND(FIRE1403_raw!O45,0)</f>
        <v>78</v>
      </c>
      <c r="P45" s="136"/>
      <c r="R45" s="131"/>
      <c r="S45" s="131"/>
      <c r="U45" s="131"/>
      <c r="V45" s="131"/>
      <c r="X45" s="132"/>
      <c r="Y45" s="132"/>
      <c r="Z45" s="132"/>
      <c r="AA45" s="132"/>
      <c r="AB45" s="132"/>
      <c r="AD45" s="133"/>
      <c r="AE45" s="133"/>
      <c r="AF45" s="133"/>
      <c r="AG45" s="133"/>
      <c r="AH45" s="133"/>
      <c r="AI45" s="133"/>
      <c r="AJ45" s="133"/>
      <c r="AK45" s="133"/>
      <c r="AL45" s="133"/>
      <c r="AM45" s="133"/>
      <c r="AN45" s="133"/>
    </row>
    <row r="46" spans="1:40" s="117" customFormat="1" ht="15" customHeight="1" x14ac:dyDescent="0.35">
      <c r="A46" s="116" t="s">
        <v>82</v>
      </c>
      <c r="B46" s="135">
        <f ca="1">ROUND(FIRE1403_raw!B46,0)</f>
        <v>2</v>
      </c>
      <c r="C46" s="135">
        <f ca="1">ROUND(FIRE1403_raw!C46,0)</f>
        <v>14</v>
      </c>
      <c r="D46" s="135">
        <f ca="1">IF(FIRE1403_raw!D46="..","..",ROUND(FIRE1403_raw!D46,0))</f>
        <v>9</v>
      </c>
      <c r="E46" s="130">
        <f ca="1">ROUND(FIRE1403_raw!E46,0)</f>
        <v>25</v>
      </c>
      <c r="F46" s="130"/>
      <c r="G46" s="135">
        <f ca="1">ROUND(FIRE1403_raw!G46,0)</f>
        <v>42</v>
      </c>
      <c r="H46" s="135">
        <f ca="1">ROUND(FIRE1403_raw!H46,0)</f>
        <v>2</v>
      </c>
      <c r="I46" s="135">
        <f ca="1">ROUND(FIRE1403_raw!I46,0)</f>
        <v>4</v>
      </c>
      <c r="J46" s="130">
        <f ca="1">ROUND(FIRE1403_raw!J46,0)</f>
        <v>48</v>
      </c>
      <c r="K46" s="130"/>
      <c r="L46" s="135">
        <f ca="1">IF(FIRE1403_raw!L46="..","..",ROUND(FIRE1403_raw!L46,0))</f>
        <v>165</v>
      </c>
      <c r="M46" s="135">
        <f ca="1">IF(FIRE1403_raw!M46="..","..",ROUND(FIRE1403_raw!M46,0))</f>
        <v>6</v>
      </c>
      <c r="N46" s="135">
        <f ca="1">IF(FIRE1403_raw!N46="..","..",ROUND(FIRE1403_raw!N46,0))</f>
        <v>6</v>
      </c>
      <c r="O46" s="130">
        <f ca="1">ROUND(FIRE1403_raw!O46,0)</f>
        <v>177</v>
      </c>
      <c r="P46" s="136"/>
      <c r="R46" s="131"/>
      <c r="S46" s="131"/>
      <c r="U46" s="131"/>
      <c r="V46" s="131"/>
      <c r="X46" s="132"/>
      <c r="Y46" s="132"/>
      <c r="Z46" s="132"/>
      <c r="AA46" s="132"/>
      <c r="AB46" s="132"/>
      <c r="AD46" s="133"/>
      <c r="AE46" s="133"/>
      <c r="AF46" s="133"/>
      <c r="AG46" s="133"/>
      <c r="AH46" s="133"/>
      <c r="AI46" s="133"/>
      <c r="AJ46" s="133"/>
      <c r="AK46" s="133"/>
      <c r="AL46" s="133"/>
      <c r="AM46" s="133"/>
      <c r="AN46" s="133"/>
    </row>
    <row r="47" spans="1:40" s="117" customFormat="1" ht="15" customHeight="1" x14ac:dyDescent="0.35">
      <c r="A47" s="116" t="s">
        <v>79</v>
      </c>
      <c r="B47" s="135">
        <f ca="1">ROUND(FIRE1403_raw!B47,0)</f>
        <v>0</v>
      </c>
      <c r="C47" s="135">
        <f ca="1">ROUND(FIRE1403_raw!C47,0)</f>
        <v>5</v>
      </c>
      <c r="D47" s="135">
        <f ca="1">IF(FIRE1403_raw!D47="..","..",ROUND(FIRE1403_raw!D47,0))</f>
        <v>0</v>
      </c>
      <c r="E47" s="130">
        <f ca="1">ROUND(FIRE1403_raw!E47,0)</f>
        <v>5</v>
      </c>
      <c r="F47" s="130"/>
      <c r="G47" s="135">
        <f ca="1">ROUND(FIRE1403_raw!G47,0)</f>
        <v>7</v>
      </c>
      <c r="H47" s="135">
        <f ca="1">ROUND(FIRE1403_raw!H47,0)</f>
        <v>0</v>
      </c>
      <c r="I47" s="135">
        <f ca="1">ROUND(FIRE1403_raw!I47,0)</f>
        <v>0</v>
      </c>
      <c r="J47" s="130">
        <f ca="1">ROUND(FIRE1403_raw!J47,0)</f>
        <v>7</v>
      </c>
      <c r="K47" s="130"/>
      <c r="L47" s="135">
        <f ca="1">IF(FIRE1403_raw!L47="..","..",ROUND(FIRE1403_raw!L47,0))</f>
        <v>3</v>
      </c>
      <c r="M47" s="135">
        <f ca="1">IF(FIRE1403_raw!M47="..","..",ROUND(FIRE1403_raw!M47,0))</f>
        <v>1</v>
      </c>
      <c r="N47" s="135">
        <f ca="1">IF(FIRE1403_raw!N47="..","..",ROUND(FIRE1403_raw!N47,0))</f>
        <v>0</v>
      </c>
      <c r="O47" s="130">
        <f ca="1">ROUND(FIRE1403_raw!O47,0)</f>
        <v>4</v>
      </c>
      <c r="P47" s="136"/>
      <c r="R47" s="131"/>
      <c r="S47" s="131"/>
      <c r="U47" s="131"/>
      <c r="V47" s="131"/>
      <c r="X47" s="132"/>
      <c r="Y47" s="132"/>
      <c r="Z47" s="132"/>
      <c r="AA47" s="132"/>
      <c r="AB47" s="132"/>
      <c r="AD47" s="133"/>
      <c r="AE47" s="133"/>
      <c r="AF47" s="133"/>
      <c r="AG47" s="133"/>
      <c r="AH47" s="133"/>
      <c r="AI47" s="133"/>
      <c r="AJ47" s="133"/>
      <c r="AK47" s="133"/>
      <c r="AL47" s="133"/>
      <c r="AM47" s="133"/>
      <c r="AN47" s="133"/>
    </row>
    <row r="48" spans="1:40" s="117" customFormat="1" ht="15" customHeight="1" x14ac:dyDescent="0.35">
      <c r="A48" s="137" t="s">
        <v>204</v>
      </c>
      <c r="B48" s="130">
        <f ca="1">ROUND(FIRE1403_raw!B48,0)</f>
        <v>239</v>
      </c>
      <c r="C48" s="130">
        <f ca="1">ROUND(FIRE1403_raw!C48,0)</f>
        <v>15</v>
      </c>
      <c r="D48" s="130">
        <f ca="1">IF(FIRE1403_raw!D48="..","..",ROUND(FIRE1403_raw!D48,0))</f>
        <v>27</v>
      </c>
      <c r="E48" s="130">
        <f ca="1">ROUND(FIRE1403_raw!E48,0)</f>
        <v>281</v>
      </c>
      <c r="F48" s="130"/>
      <c r="G48" s="130">
        <f ca="1">ROUND(FIRE1403_raw!G48,0)</f>
        <v>360</v>
      </c>
      <c r="H48" s="130">
        <f ca="1">ROUND(FIRE1403_raw!H48,0)</f>
        <v>35</v>
      </c>
      <c r="I48" s="130">
        <f ca="1">ROUND(FIRE1403_raw!I48,0)</f>
        <v>310</v>
      </c>
      <c r="J48" s="130">
        <f ca="1">ROUND(FIRE1403_raw!J48,0)</f>
        <v>705</v>
      </c>
      <c r="K48" s="130"/>
      <c r="L48" s="130">
        <f ca="1">ROUND(FIRE1403_raw!L48,0)</f>
        <v>921</v>
      </c>
      <c r="M48" s="130">
        <f ca="1">ROUND(FIRE1403_raw!M48,0)</f>
        <v>107</v>
      </c>
      <c r="N48" s="130">
        <f ca="1">ROUND(FIRE1403_raw!N48,0)</f>
        <v>79</v>
      </c>
      <c r="O48" s="130">
        <f ca="1">ROUND(FIRE1403_raw!O48,0)</f>
        <v>1107</v>
      </c>
      <c r="P48" s="136"/>
      <c r="R48" s="131"/>
      <c r="S48" s="131"/>
      <c r="U48" s="131"/>
      <c r="V48" s="131"/>
      <c r="X48" s="132"/>
      <c r="Y48" s="132"/>
      <c r="Z48" s="132"/>
      <c r="AA48" s="132"/>
      <c r="AB48" s="132"/>
      <c r="AD48" s="133"/>
      <c r="AE48" s="133"/>
      <c r="AF48" s="133"/>
      <c r="AG48" s="133"/>
      <c r="AH48" s="133"/>
      <c r="AI48" s="133"/>
      <c r="AJ48" s="133"/>
      <c r="AK48" s="133"/>
      <c r="AL48" s="133"/>
      <c r="AM48" s="133"/>
      <c r="AN48" s="133"/>
    </row>
    <row r="49" spans="1:40" s="117" customFormat="1" ht="15" customHeight="1" x14ac:dyDescent="0.35">
      <c r="A49" s="138" t="s">
        <v>28</v>
      </c>
      <c r="B49" s="135">
        <f ca="1">ROUND(FIRE1403_raw!B49,0)</f>
        <v>35</v>
      </c>
      <c r="C49" s="135">
        <f ca="1">ROUND(FIRE1403_raw!C49,0)</f>
        <v>0</v>
      </c>
      <c r="D49" s="135">
        <f ca="1">IF(FIRE1403_raw!D49="..","..",ROUND(FIRE1403_raw!D49,0))</f>
        <v>6</v>
      </c>
      <c r="E49" s="130">
        <f ca="1">ROUND(FIRE1403_raw!E49,0)</f>
        <v>41</v>
      </c>
      <c r="F49" s="130"/>
      <c r="G49" s="135">
        <f ca="1">ROUND(FIRE1403_raw!G49,0)</f>
        <v>54</v>
      </c>
      <c r="H49" s="135">
        <f ca="1">ROUND(FIRE1403_raw!H49,0)</f>
        <v>6</v>
      </c>
      <c r="I49" s="135">
        <f ca="1">ROUND(FIRE1403_raw!I49,0)</f>
        <v>18</v>
      </c>
      <c r="J49" s="130">
        <f ca="1">ROUND(FIRE1403_raw!J49,0)</f>
        <v>78</v>
      </c>
      <c r="K49" s="130"/>
      <c r="L49" s="135">
        <f ca="1">IF(FIRE1403_raw!L49="..","..",ROUND(FIRE1403_raw!L49,0))</f>
        <v>129</v>
      </c>
      <c r="M49" s="135">
        <f ca="1">IF(FIRE1403_raw!M49="..","..",ROUND(FIRE1403_raw!M49,0))</f>
        <v>12</v>
      </c>
      <c r="N49" s="135">
        <f ca="1">IF(FIRE1403_raw!N49="..","..",ROUND(FIRE1403_raw!N49,0))</f>
        <v>2</v>
      </c>
      <c r="O49" s="130">
        <f ca="1">ROUND(FIRE1403_raw!O49,0)</f>
        <v>143</v>
      </c>
      <c r="P49" s="136"/>
      <c r="R49" s="131"/>
      <c r="S49" s="131"/>
      <c r="U49" s="131"/>
      <c r="V49" s="131"/>
      <c r="X49" s="132"/>
      <c r="Y49" s="132"/>
      <c r="Z49" s="132"/>
      <c r="AA49" s="132"/>
      <c r="AB49" s="132"/>
      <c r="AD49" s="133"/>
      <c r="AE49" s="133"/>
      <c r="AF49" s="133"/>
      <c r="AG49" s="133"/>
      <c r="AH49" s="133"/>
      <c r="AI49" s="133"/>
      <c r="AJ49" s="133"/>
      <c r="AK49" s="133"/>
      <c r="AL49" s="133"/>
      <c r="AM49" s="133"/>
      <c r="AN49" s="133"/>
    </row>
    <row r="50" spans="1:40" s="117" customFormat="1" ht="15" customHeight="1" x14ac:dyDescent="0.35">
      <c r="A50" s="138" t="s">
        <v>26</v>
      </c>
      <c r="B50" s="135">
        <f ca="1">ROUND(FIRE1403_raw!B50,0)</f>
        <v>12</v>
      </c>
      <c r="C50" s="135">
        <f ca="1">ROUND(FIRE1403_raw!C50,0)</f>
        <v>0</v>
      </c>
      <c r="D50" s="135">
        <f ca="1">IF(FIRE1403_raw!D50="..","..",ROUND(FIRE1403_raw!D50,0))</f>
        <v>11</v>
      </c>
      <c r="E50" s="130">
        <f ca="1">ROUND(FIRE1403_raw!E50,0)</f>
        <v>23</v>
      </c>
      <c r="F50" s="130"/>
      <c r="G50" s="135">
        <f ca="1">ROUND(FIRE1403_raw!G50,0)</f>
        <v>29</v>
      </c>
      <c r="H50" s="135">
        <f ca="1">ROUND(FIRE1403_raw!H50,0)</f>
        <v>4</v>
      </c>
      <c r="I50" s="135">
        <f ca="1">ROUND(FIRE1403_raw!I50,0)</f>
        <v>47</v>
      </c>
      <c r="J50" s="130">
        <f ca="1">ROUND(FIRE1403_raw!J50,0)</f>
        <v>80</v>
      </c>
      <c r="K50" s="130"/>
      <c r="L50" s="135">
        <f ca="1">IF(FIRE1403_raw!L50="..","..",ROUND(FIRE1403_raw!L50,0))</f>
        <v>163</v>
      </c>
      <c r="M50" s="135">
        <f ca="1">IF(FIRE1403_raw!M50="..","..",ROUND(FIRE1403_raw!M50,0))</f>
        <v>9</v>
      </c>
      <c r="N50" s="135">
        <f ca="1">IF(FIRE1403_raw!N50="..","..",ROUND(FIRE1403_raw!N50,0))</f>
        <v>6</v>
      </c>
      <c r="O50" s="130">
        <f ca="1">ROUND(FIRE1403_raw!O50,0)</f>
        <v>178</v>
      </c>
      <c r="P50" s="136"/>
      <c r="R50" s="131"/>
      <c r="S50" s="131"/>
      <c r="U50" s="131"/>
      <c r="V50" s="131"/>
      <c r="X50" s="132"/>
      <c r="Y50" s="132"/>
      <c r="Z50" s="132"/>
      <c r="AA50" s="132"/>
      <c r="AB50" s="132"/>
      <c r="AD50" s="133"/>
      <c r="AE50" s="133"/>
      <c r="AF50" s="133"/>
      <c r="AG50" s="133"/>
      <c r="AH50" s="133"/>
      <c r="AI50" s="133"/>
      <c r="AJ50" s="133"/>
      <c r="AK50" s="133"/>
      <c r="AL50" s="133"/>
      <c r="AM50" s="133"/>
      <c r="AN50" s="133"/>
    </row>
    <row r="51" spans="1:40" s="117" customFormat="1" ht="15" customHeight="1" x14ac:dyDescent="0.35">
      <c r="A51" s="138" t="s">
        <v>24</v>
      </c>
      <c r="B51" s="135">
        <f ca="1">ROUND(FIRE1403_raw!B51,0)</f>
        <v>14</v>
      </c>
      <c r="C51" s="135">
        <f ca="1">ROUND(FIRE1403_raw!C51,0)</f>
        <v>4</v>
      </c>
      <c r="D51" s="135">
        <f ca="1">IF(FIRE1403_raw!D51="..","..",ROUND(FIRE1403_raw!D51,0))</f>
        <v>3</v>
      </c>
      <c r="E51" s="130">
        <f ca="1">ROUND(FIRE1403_raw!E51,0)</f>
        <v>21</v>
      </c>
      <c r="F51" s="130"/>
      <c r="G51" s="135">
        <f ca="1">ROUND(FIRE1403_raw!G51,0)</f>
        <v>27</v>
      </c>
      <c r="H51" s="135">
        <f ca="1">ROUND(FIRE1403_raw!H51,0)</f>
        <v>2</v>
      </c>
      <c r="I51" s="135">
        <f ca="1">ROUND(FIRE1403_raw!I51,0)</f>
        <v>13</v>
      </c>
      <c r="J51" s="130">
        <f ca="1">ROUND(FIRE1403_raw!J51,0)</f>
        <v>42</v>
      </c>
      <c r="K51" s="130"/>
      <c r="L51" s="135">
        <f ca="1">IF(FIRE1403_raw!L51="..","..",ROUND(FIRE1403_raw!L51,0))</f>
        <v>140</v>
      </c>
      <c r="M51" s="135">
        <f ca="1">IF(FIRE1403_raw!M51="..","..",ROUND(FIRE1403_raw!M51,0))</f>
        <v>4</v>
      </c>
      <c r="N51" s="135">
        <f ca="1">IF(FIRE1403_raw!N51="..","..",ROUND(FIRE1403_raw!N51,0))</f>
        <v>3</v>
      </c>
      <c r="O51" s="130">
        <f ca="1">ROUND(FIRE1403_raw!O51,0)</f>
        <v>147</v>
      </c>
      <c r="P51" s="136"/>
      <c r="R51" s="131"/>
      <c r="S51" s="131"/>
      <c r="U51" s="131"/>
      <c r="V51" s="131"/>
      <c r="X51" s="132"/>
      <c r="Y51" s="132"/>
      <c r="Z51" s="132"/>
      <c r="AA51" s="132"/>
      <c r="AB51" s="132"/>
      <c r="AD51" s="133"/>
      <c r="AE51" s="133"/>
      <c r="AF51" s="133"/>
      <c r="AG51" s="133"/>
      <c r="AH51" s="133"/>
      <c r="AI51" s="133"/>
      <c r="AJ51" s="133"/>
      <c r="AK51" s="133"/>
      <c r="AL51" s="133"/>
      <c r="AM51" s="133"/>
      <c r="AN51" s="133"/>
    </row>
    <row r="52" spans="1:40" s="117" customFormat="1" ht="15" customHeight="1" x14ac:dyDescent="0.35">
      <c r="A52" s="138" t="s">
        <v>22</v>
      </c>
      <c r="B52" s="135">
        <f ca="1">ROUND(FIRE1403_raw!B52,0)</f>
        <v>16</v>
      </c>
      <c r="C52" s="135">
        <f ca="1">ROUND(FIRE1403_raw!C52,0)</f>
        <v>1</v>
      </c>
      <c r="D52" s="135">
        <f ca="1">IF(FIRE1403_raw!D52="..","..",ROUND(FIRE1403_raw!D52,0))</f>
        <v>0</v>
      </c>
      <c r="E52" s="130">
        <f ca="1">ROUND(FIRE1403_raw!E52,0)</f>
        <v>17</v>
      </c>
      <c r="F52" s="130"/>
      <c r="G52" s="135">
        <f ca="1">ROUND(FIRE1403_raw!G52,0)</f>
        <v>24</v>
      </c>
      <c r="H52" s="135">
        <f ca="1">ROUND(FIRE1403_raw!H52,0)</f>
        <v>3</v>
      </c>
      <c r="I52" s="135">
        <f ca="1">ROUND(FIRE1403_raw!I52,0)</f>
        <v>20</v>
      </c>
      <c r="J52" s="130">
        <f ca="1">ROUND(FIRE1403_raw!J52,0)</f>
        <v>47</v>
      </c>
      <c r="K52" s="130"/>
      <c r="L52" s="135">
        <f ca="1">IF(FIRE1403_raw!L52="..","..",ROUND(FIRE1403_raw!L52,0))</f>
        <v>86</v>
      </c>
      <c r="M52" s="135">
        <f ca="1">IF(FIRE1403_raw!M52="..","..",ROUND(FIRE1403_raw!M52,0))</f>
        <v>6</v>
      </c>
      <c r="N52" s="135">
        <f ca="1">IF(FIRE1403_raw!N52="..","..",ROUND(FIRE1403_raw!N52,0))</f>
        <v>11</v>
      </c>
      <c r="O52" s="130">
        <f ca="1">ROUND(FIRE1403_raw!O52,0)</f>
        <v>103</v>
      </c>
      <c r="P52" s="136"/>
      <c r="R52" s="131"/>
      <c r="S52" s="131"/>
      <c r="U52" s="131"/>
      <c r="V52" s="131"/>
      <c r="X52" s="132"/>
      <c r="Y52" s="132"/>
      <c r="Z52" s="132"/>
      <c r="AA52" s="132"/>
      <c r="AB52" s="132"/>
      <c r="AD52" s="133"/>
      <c r="AE52" s="133"/>
      <c r="AF52" s="133"/>
      <c r="AG52" s="133"/>
      <c r="AH52" s="133"/>
      <c r="AI52" s="133"/>
      <c r="AJ52" s="133"/>
      <c r="AK52" s="133"/>
      <c r="AL52" s="133"/>
      <c r="AM52" s="133"/>
      <c r="AN52" s="133"/>
    </row>
    <row r="53" spans="1:40" s="117" customFormat="1" ht="15" customHeight="1" x14ac:dyDescent="0.35">
      <c r="A53" s="138" t="s">
        <v>20</v>
      </c>
      <c r="B53" s="135">
        <f ca="1">ROUND(FIRE1403_raw!B53,0)</f>
        <v>38</v>
      </c>
      <c r="C53" s="135">
        <f ca="1">ROUND(FIRE1403_raw!C53,0)</f>
        <v>0</v>
      </c>
      <c r="D53" s="135">
        <f ca="1">IF(FIRE1403_raw!D53="..","..",ROUND(FIRE1403_raw!D53,0))</f>
        <v>0</v>
      </c>
      <c r="E53" s="130">
        <f ca="1">ROUND(FIRE1403_raw!E53,0)</f>
        <v>38</v>
      </c>
      <c r="F53" s="130"/>
      <c r="G53" s="135">
        <f ca="1">ROUND(FIRE1403_raw!G53,0)</f>
        <v>41</v>
      </c>
      <c r="H53" s="135">
        <f ca="1">ROUND(FIRE1403_raw!H53,0)</f>
        <v>4</v>
      </c>
      <c r="I53" s="135">
        <f ca="1">ROUND(FIRE1403_raw!I53,0)</f>
        <v>34</v>
      </c>
      <c r="J53" s="130">
        <f ca="1">ROUND(FIRE1403_raw!J53,0)</f>
        <v>79</v>
      </c>
      <c r="K53" s="130"/>
      <c r="L53" s="135">
        <f ca="1">IF(FIRE1403_raw!L53="..","..",ROUND(FIRE1403_raw!L53,0))</f>
        <v>106</v>
      </c>
      <c r="M53" s="135">
        <f ca="1">IF(FIRE1403_raw!M53="..","..",ROUND(FIRE1403_raw!M53,0))</f>
        <v>14</v>
      </c>
      <c r="N53" s="135">
        <f ca="1">IF(FIRE1403_raw!N53="..","..",ROUND(FIRE1403_raw!N53,0))</f>
        <v>10</v>
      </c>
      <c r="O53" s="130">
        <f ca="1">ROUND(FIRE1403_raw!O53,0)</f>
        <v>130</v>
      </c>
      <c r="P53" s="136"/>
      <c r="R53" s="131"/>
      <c r="S53" s="131"/>
      <c r="U53" s="131"/>
      <c r="V53" s="131"/>
      <c r="X53" s="132"/>
      <c r="Y53" s="132"/>
      <c r="Z53" s="132"/>
      <c r="AA53" s="132"/>
      <c r="AB53" s="132"/>
      <c r="AD53" s="133"/>
      <c r="AE53" s="133"/>
      <c r="AF53" s="133"/>
      <c r="AG53" s="133"/>
      <c r="AH53" s="133"/>
      <c r="AI53" s="133"/>
      <c r="AJ53" s="133"/>
      <c r="AK53" s="133"/>
      <c r="AL53" s="133"/>
      <c r="AM53" s="133"/>
      <c r="AN53" s="133"/>
    </row>
    <row r="54" spans="1:40" s="117" customFormat="1" ht="15" customHeight="1" x14ac:dyDescent="0.35">
      <c r="A54" s="138" t="s">
        <v>18</v>
      </c>
      <c r="B54" s="135">
        <f ca="1">ROUND(FIRE1403_raw!B54,0)</f>
        <v>21</v>
      </c>
      <c r="C54" s="135">
        <f ca="1">ROUND(FIRE1403_raw!C54,0)</f>
        <v>10</v>
      </c>
      <c r="D54" s="135">
        <f ca="1">IF(FIRE1403_raw!D54="..","..",ROUND(FIRE1403_raw!D54,0))</f>
        <v>7</v>
      </c>
      <c r="E54" s="130">
        <f ca="1">ROUND(FIRE1403_raw!E54,0)</f>
        <v>38</v>
      </c>
      <c r="F54" s="130"/>
      <c r="G54" s="135">
        <f ca="1">ROUND(FIRE1403_raw!G54,0)</f>
        <v>43</v>
      </c>
      <c r="H54" s="135">
        <f ca="1">ROUND(FIRE1403_raw!H54,0)</f>
        <v>5</v>
      </c>
      <c r="I54" s="135">
        <f ca="1">ROUND(FIRE1403_raw!I54,0)</f>
        <v>42</v>
      </c>
      <c r="J54" s="130">
        <f ca="1">ROUND(FIRE1403_raw!J54,0)</f>
        <v>90</v>
      </c>
      <c r="K54" s="130"/>
      <c r="L54" s="135">
        <f ca="1">IF(FIRE1403_raw!L54="..","..",ROUND(FIRE1403_raw!L54,0))</f>
        <v>208</v>
      </c>
      <c r="M54" s="135">
        <f ca="1">IF(FIRE1403_raw!M54="..","..",ROUND(FIRE1403_raw!M54,0))</f>
        <v>8</v>
      </c>
      <c r="N54" s="135">
        <f ca="1">IF(FIRE1403_raw!N54="..","..",ROUND(FIRE1403_raw!N54,0))</f>
        <v>5</v>
      </c>
      <c r="O54" s="130">
        <f ca="1">ROUND(FIRE1403_raw!O54,0)</f>
        <v>221</v>
      </c>
      <c r="P54" s="136"/>
      <c r="R54" s="131"/>
      <c r="S54" s="131"/>
      <c r="T54" s="116"/>
      <c r="U54" s="131"/>
      <c r="V54" s="131"/>
      <c r="X54" s="132"/>
      <c r="Y54" s="132"/>
      <c r="Z54" s="132"/>
      <c r="AA54" s="132"/>
      <c r="AB54" s="132"/>
      <c r="AD54" s="133"/>
      <c r="AE54" s="133"/>
      <c r="AF54" s="133"/>
      <c r="AG54" s="133"/>
      <c r="AH54" s="133"/>
      <c r="AI54" s="133"/>
      <c r="AJ54" s="133"/>
      <c r="AK54" s="133"/>
      <c r="AL54" s="133"/>
      <c r="AM54" s="133"/>
      <c r="AN54" s="133"/>
    </row>
    <row r="55" spans="1:40" s="117" customFormat="1" ht="15" customHeight="1" thickBot="1" x14ac:dyDescent="0.4">
      <c r="A55" s="139" t="s">
        <v>190</v>
      </c>
      <c r="B55" s="140">
        <f ca="1">ROUND(FIRE1403_raw!B55,0)</f>
        <v>103</v>
      </c>
      <c r="C55" s="140">
        <f ca="1">ROUND(FIRE1403_raw!C55,0)</f>
        <v>0</v>
      </c>
      <c r="D55" s="140">
        <f ca="1">IF(FIRE1403_raw!D55="..","..",ROUND(FIRE1403_raw!D55,0))</f>
        <v>0</v>
      </c>
      <c r="E55" s="202">
        <f ca="1">ROUND(FIRE1403_raw!E55,0)</f>
        <v>103</v>
      </c>
      <c r="F55" s="202"/>
      <c r="G55" s="140">
        <f ca="1">ROUND(FIRE1403_raw!G55,0)</f>
        <v>142</v>
      </c>
      <c r="H55" s="140">
        <f ca="1">ROUND(FIRE1403_raw!H55,0)</f>
        <v>11</v>
      </c>
      <c r="I55" s="140">
        <f ca="1">ROUND(FIRE1403_raw!I55,0)</f>
        <v>136</v>
      </c>
      <c r="J55" s="202">
        <f ca="1">ROUND(FIRE1403_raw!J55,0)</f>
        <v>289</v>
      </c>
      <c r="K55" s="202"/>
      <c r="L55" s="140">
        <f ca="1">IF(FIRE1403_raw!L55="..","..",ROUND(FIRE1403_raw!L55,0))</f>
        <v>89</v>
      </c>
      <c r="M55" s="140">
        <f ca="1">IF(FIRE1403_raw!M55="..","..",ROUND(FIRE1403_raw!M55,0))</f>
        <v>54</v>
      </c>
      <c r="N55" s="140">
        <f ca="1">IF(FIRE1403_raw!N55="..","..",ROUND(FIRE1403_raw!N55,0))</f>
        <v>42</v>
      </c>
      <c r="O55" s="202">
        <f ca="1">ROUND(FIRE1403_raw!O55,0)</f>
        <v>185</v>
      </c>
      <c r="P55" s="136"/>
      <c r="R55" s="131"/>
      <c r="S55" s="131"/>
      <c r="T55" s="116"/>
      <c r="U55" s="131"/>
      <c r="V55" s="131"/>
      <c r="X55" s="132"/>
      <c r="Y55" s="132"/>
      <c r="Z55" s="132"/>
      <c r="AA55" s="132"/>
      <c r="AB55" s="132"/>
      <c r="AD55" s="133"/>
      <c r="AE55" s="133"/>
      <c r="AF55" s="133"/>
      <c r="AG55" s="133"/>
      <c r="AH55" s="133"/>
      <c r="AI55" s="133"/>
      <c r="AJ55" s="133"/>
      <c r="AK55" s="133"/>
      <c r="AL55" s="133"/>
      <c r="AM55" s="133"/>
      <c r="AN55" s="133"/>
    </row>
    <row r="56" spans="1:40" x14ac:dyDescent="0.35">
      <c r="R56" s="131"/>
      <c r="S56" s="131"/>
      <c r="U56" s="131"/>
      <c r="V56" s="131"/>
      <c r="W56" s="131"/>
      <c r="X56" s="131"/>
      <c r="Y56" s="131"/>
      <c r="Z56" s="131"/>
      <c r="AA56" s="131"/>
      <c r="AB56" s="131"/>
    </row>
    <row r="57" spans="1:40" x14ac:dyDescent="0.35">
      <c r="A57" s="116" t="s">
        <v>777</v>
      </c>
      <c r="R57" s="131"/>
      <c r="S57" s="131"/>
      <c r="U57" s="131"/>
      <c r="V57" s="131"/>
      <c r="W57" s="131"/>
      <c r="X57" s="131"/>
      <c r="Y57" s="131"/>
      <c r="Z57" s="131"/>
      <c r="AA57" s="131"/>
      <c r="AB57" s="131"/>
    </row>
    <row r="58" spans="1:40" ht="30" customHeight="1" x14ac:dyDescent="0.35">
      <c r="A58" s="403" t="s">
        <v>775</v>
      </c>
      <c r="B58" s="403"/>
      <c r="C58" s="403"/>
      <c r="D58" s="403"/>
      <c r="E58" s="403"/>
      <c r="F58" s="403"/>
      <c r="G58" s="403"/>
      <c r="H58" s="403"/>
      <c r="I58" s="403"/>
      <c r="J58" s="403"/>
      <c r="K58" s="403"/>
      <c r="L58" s="403"/>
      <c r="M58" s="403"/>
      <c r="N58" s="403"/>
      <c r="O58" s="403"/>
      <c r="R58" s="131"/>
      <c r="S58" s="131"/>
      <c r="U58" s="131"/>
      <c r="V58" s="131"/>
      <c r="W58" s="131"/>
      <c r="X58" s="131"/>
      <c r="Y58" s="131"/>
      <c r="Z58" s="131"/>
      <c r="AA58" s="131"/>
      <c r="AB58" s="131"/>
    </row>
    <row r="59" spans="1:40" x14ac:dyDescent="0.35">
      <c r="A59" s="116" t="s">
        <v>776</v>
      </c>
      <c r="R59" s="131"/>
      <c r="S59" s="131"/>
      <c r="U59" s="131"/>
      <c r="V59" s="131"/>
      <c r="W59" s="131"/>
      <c r="X59" s="131"/>
      <c r="Y59" s="131"/>
      <c r="Z59" s="131"/>
      <c r="AA59" s="131"/>
      <c r="AB59" s="131"/>
    </row>
    <row r="60" spans="1:40" x14ac:dyDescent="0.35">
      <c r="R60" s="131"/>
      <c r="S60" s="131"/>
      <c r="U60" s="131"/>
      <c r="V60" s="131"/>
      <c r="W60" s="131"/>
      <c r="X60" s="131"/>
      <c r="Y60" s="131"/>
      <c r="Z60" s="131"/>
      <c r="AA60" s="131"/>
      <c r="AB60" s="131"/>
    </row>
    <row r="61" spans="1:40" x14ac:dyDescent="0.35">
      <c r="A61" s="137" t="s">
        <v>341</v>
      </c>
      <c r="R61" s="131"/>
      <c r="S61" s="131"/>
      <c r="U61" s="131"/>
      <c r="V61" s="131"/>
      <c r="W61" s="131"/>
      <c r="X61" s="131"/>
      <c r="Y61" s="131"/>
      <c r="Z61" s="131"/>
      <c r="AA61" s="131"/>
      <c r="AB61" s="131"/>
    </row>
    <row r="62" spans="1:40" s="117" customFormat="1" ht="15" customHeight="1" x14ac:dyDescent="0.35">
      <c r="A62" s="403" t="s">
        <v>340</v>
      </c>
      <c r="B62" s="403"/>
      <c r="C62" s="403"/>
      <c r="D62" s="403"/>
      <c r="E62" s="403"/>
      <c r="F62" s="403"/>
      <c r="G62" s="403"/>
      <c r="H62" s="403"/>
      <c r="I62" s="403"/>
      <c r="J62" s="403"/>
      <c r="K62" s="403"/>
      <c r="L62" s="403"/>
      <c r="M62" s="403"/>
      <c r="N62" s="403"/>
      <c r="O62" s="403"/>
      <c r="P62" s="116"/>
      <c r="Q62" s="116"/>
      <c r="R62" s="131"/>
      <c r="S62" s="131"/>
      <c r="T62" s="116"/>
      <c r="U62" s="131"/>
      <c r="V62" s="131"/>
      <c r="W62" s="131"/>
      <c r="X62" s="131"/>
      <c r="Y62" s="131"/>
      <c r="Z62" s="131"/>
      <c r="AA62" s="131"/>
      <c r="AB62" s="131"/>
    </row>
    <row r="63" spans="1:40" s="117" customFormat="1" ht="15" customHeight="1" x14ac:dyDescent="0.35">
      <c r="A63" s="141"/>
      <c r="B63" s="141"/>
      <c r="C63" s="141"/>
      <c r="D63" s="141"/>
      <c r="E63" s="141"/>
      <c r="F63" s="141"/>
      <c r="G63" s="141"/>
      <c r="H63" s="141"/>
      <c r="I63" s="141"/>
      <c r="J63" s="141"/>
      <c r="K63" s="141"/>
      <c r="L63" s="141"/>
      <c r="M63" s="141"/>
      <c r="N63" s="141"/>
      <c r="O63" s="141"/>
      <c r="P63" s="116"/>
      <c r="Q63" s="116"/>
      <c r="R63" s="131"/>
      <c r="S63" s="131"/>
      <c r="T63" s="116"/>
      <c r="U63" s="131"/>
      <c r="V63" s="131"/>
      <c r="W63" s="131"/>
      <c r="X63" s="131"/>
      <c r="Y63" s="131"/>
      <c r="Z63" s="131"/>
      <c r="AA63" s="131"/>
      <c r="AB63" s="131"/>
    </row>
    <row r="64" spans="1:40" s="117" customFormat="1" ht="15" customHeight="1" x14ac:dyDescent="0.35">
      <c r="A64" s="116" t="s">
        <v>205</v>
      </c>
      <c r="B64" s="114"/>
      <c r="C64" s="114"/>
      <c r="D64" s="114"/>
      <c r="E64" s="114"/>
      <c r="F64" s="114"/>
      <c r="G64" s="114"/>
      <c r="H64" s="114"/>
      <c r="I64" s="114"/>
      <c r="J64" s="114"/>
      <c r="K64" s="114"/>
      <c r="L64" s="114"/>
      <c r="M64" s="114"/>
      <c r="N64" s="114"/>
      <c r="O64" s="114"/>
      <c r="T64" s="116"/>
    </row>
    <row r="65" spans="1:20" s="117" customFormat="1" ht="15" customHeight="1" x14ac:dyDescent="0.35">
      <c r="A65" s="142" t="s">
        <v>206</v>
      </c>
      <c r="B65" s="114"/>
      <c r="C65" s="114"/>
      <c r="D65" s="114"/>
      <c r="E65" s="114"/>
      <c r="F65" s="114"/>
      <c r="G65" s="114"/>
      <c r="H65" s="114"/>
      <c r="I65" s="114"/>
      <c r="J65" s="114"/>
      <c r="K65" s="114"/>
      <c r="L65" s="114"/>
      <c r="M65" s="114"/>
      <c r="N65" s="114"/>
      <c r="O65" s="114"/>
      <c r="T65" s="116"/>
    </row>
    <row r="66" spans="1:20" s="117" customFormat="1" ht="15" customHeight="1" x14ac:dyDescent="0.35">
      <c r="A66" s="142"/>
      <c r="B66" s="114"/>
      <c r="C66" s="114"/>
      <c r="D66" s="114"/>
      <c r="E66" s="114"/>
      <c r="F66" s="114"/>
      <c r="G66" s="114"/>
      <c r="H66" s="114"/>
      <c r="I66" s="114"/>
      <c r="J66" s="114"/>
      <c r="K66" s="114"/>
      <c r="L66" s="114"/>
      <c r="M66" s="114"/>
      <c r="N66" s="114"/>
      <c r="O66" s="114"/>
      <c r="T66" s="116"/>
    </row>
    <row r="67" spans="1:20" s="117" customFormat="1" x14ac:dyDescent="0.35">
      <c r="A67" s="403" t="s">
        <v>207</v>
      </c>
      <c r="B67" s="403"/>
      <c r="C67" s="403"/>
      <c r="D67" s="403"/>
      <c r="E67" s="403"/>
      <c r="F67" s="403"/>
      <c r="G67" s="403"/>
      <c r="H67" s="403"/>
      <c r="I67" s="403"/>
      <c r="J67" s="403"/>
      <c r="K67" s="403"/>
      <c r="L67" s="403"/>
      <c r="M67" s="403"/>
      <c r="N67" s="403"/>
      <c r="O67" s="403"/>
      <c r="T67" s="116"/>
    </row>
    <row r="69" spans="1:20" s="117" customFormat="1" x14ac:dyDescent="0.35">
      <c r="A69" s="116" t="s">
        <v>339</v>
      </c>
      <c r="B69" s="116"/>
      <c r="C69" s="116"/>
      <c r="D69" s="116"/>
      <c r="E69" s="116"/>
      <c r="F69" s="116"/>
      <c r="G69" s="116"/>
      <c r="H69" s="116"/>
      <c r="I69" s="116"/>
      <c r="J69" s="404"/>
      <c r="K69" s="404"/>
      <c r="L69" s="404"/>
      <c r="M69" s="405" t="s">
        <v>779</v>
      </c>
      <c r="N69" s="405"/>
      <c r="O69" s="405"/>
      <c r="T69" s="116"/>
    </row>
    <row r="70" spans="1:20" s="117" customFormat="1" x14ac:dyDescent="0.35">
      <c r="A70" s="142" t="s">
        <v>734</v>
      </c>
      <c r="B70" s="116"/>
      <c r="C70" s="116"/>
      <c r="D70" s="116"/>
      <c r="E70" s="116"/>
      <c r="F70" s="116"/>
      <c r="G70" s="116"/>
      <c r="H70" s="116"/>
      <c r="I70" s="116"/>
      <c r="J70" s="400"/>
      <c r="K70" s="400"/>
      <c r="L70" s="400"/>
      <c r="M70" s="400" t="s">
        <v>780</v>
      </c>
      <c r="N70" s="400"/>
      <c r="O70" s="400"/>
      <c r="T70" s="116"/>
    </row>
    <row r="76" spans="1:20" x14ac:dyDescent="0.35">
      <c r="R76" s="116">
        <v>2010</v>
      </c>
    </row>
    <row r="77" spans="1:20" x14ac:dyDescent="0.35">
      <c r="R77" s="116">
        <v>2011</v>
      </c>
      <c r="S77" s="117"/>
    </row>
    <row r="78" spans="1:20" x14ac:dyDescent="0.35">
      <c r="R78" s="116">
        <v>2012</v>
      </c>
    </row>
    <row r="79" spans="1:20" x14ac:dyDescent="0.35">
      <c r="R79" s="116">
        <v>2013</v>
      </c>
    </row>
    <row r="80" spans="1:20" x14ac:dyDescent="0.35">
      <c r="R80" s="116">
        <v>2014</v>
      </c>
    </row>
    <row r="81" spans="18:18" x14ac:dyDescent="0.35">
      <c r="R81" s="116">
        <v>2015</v>
      </c>
    </row>
    <row r="82" spans="18:18" x14ac:dyDescent="0.35">
      <c r="R82" s="116">
        <v>2016</v>
      </c>
    </row>
    <row r="83" spans="18:18" x14ac:dyDescent="0.35">
      <c r="R83" s="116">
        <v>2017</v>
      </c>
    </row>
    <row r="84" spans="18:18" x14ac:dyDescent="0.35">
      <c r="R84" s="116">
        <v>2018</v>
      </c>
    </row>
    <row r="85" spans="18:18" x14ac:dyDescent="0.35">
      <c r="R85" s="116">
        <v>2019</v>
      </c>
    </row>
  </sheetData>
  <mergeCells count="13">
    <mergeCell ref="J70:L70"/>
    <mergeCell ref="M70:O70"/>
    <mergeCell ref="A1:O1"/>
    <mergeCell ref="B5:J5"/>
    <mergeCell ref="B6:E6"/>
    <mergeCell ref="G6:J6"/>
    <mergeCell ref="A62:O62"/>
    <mergeCell ref="A67:O67"/>
    <mergeCell ref="L6:O6"/>
    <mergeCell ref="A4:H4"/>
    <mergeCell ref="A58:O58"/>
    <mergeCell ref="J69:L69"/>
    <mergeCell ref="M69:O69"/>
  </mergeCells>
  <dataValidations count="1">
    <dataValidation type="list" allowBlank="1" showInputMessage="1" showErrorMessage="1" sqref="A4:H4" xr:uid="{00000000-0002-0000-0B00-000000000000}">
      <formula1>$R$76:$R$85</formula1>
    </dataValidation>
  </dataValidations>
  <hyperlinks>
    <hyperlink ref="A65" r:id="rId1" xr:uid="{00000000-0004-0000-0B00-000000000000}"/>
    <hyperlink ref="A70" r:id="rId2" display="Contact: FireStatistics@homeoffice.gsi.gov.uk" xr:uid="{00000000-0004-0000-0B00-000001000000}"/>
    <hyperlink ref="M69:O69" r:id="rId3" display="Last updated: 31 January 2019" xr:uid="{BDE562DD-9210-4717-8B36-8368A63E4A55}"/>
    <hyperlink ref="M70:O70" r:id="rId4" display="Next update: Winter 2020/21" xr:uid="{DB8E8270-6100-4A1E-96BE-7C8F87AF79FC}"/>
  </hyperlinks>
  <pageMargins left="0.70866141732283472" right="0.70866141732283472" top="0.74803149606299213" bottom="0.74803149606299213" header="0.31496062992125984" footer="0.31496062992125984"/>
  <pageSetup paperSize="9" scale="65" orientation="landscape"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R1269"/>
  <sheetViews>
    <sheetView zoomScaleNormal="100" workbookViewId="0">
      <selection activeCell="A4" sqref="A4:H4"/>
    </sheetView>
  </sheetViews>
  <sheetFormatPr defaultRowHeight="10" x14ac:dyDescent="0.35"/>
  <cols>
    <col min="1" max="1" width="17.81640625" style="173" customWidth="1"/>
    <col min="2" max="2" width="1.7265625" style="173" customWidth="1"/>
    <col min="3" max="3" width="6.7265625" style="194" customWidth="1"/>
    <col min="4" max="4" width="8.7265625" style="173" customWidth="1"/>
    <col min="5" max="6" width="8.7265625" style="160" customWidth="1"/>
    <col min="7" max="7" width="1.7265625" style="160" customWidth="1"/>
    <col min="8" max="8" width="6.7265625" style="160" customWidth="1"/>
    <col min="9" max="11" width="8.7265625" style="173" customWidth="1"/>
    <col min="12" max="12" width="3" style="173" customWidth="1"/>
    <col min="13" max="13" width="6.7265625" style="173" customWidth="1"/>
    <col min="14" max="16" width="8.7265625" style="173" customWidth="1"/>
    <col min="17" max="17" width="7.54296875" style="173" customWidth="1"/>
    <col min="18" max="18" width="20" style="173" bestFit="1" customWidth="1"/>
    <col min="19" max="19" width="9.1796875" style="173"/>
    <col min="20" max="21" width="9.1796875" style="179"/>
    <col min="22" max="257" width="9.1796875" style="173"/>
    <col min="258" max="258" width="0" style="173" hidden="1" customWidth="1"/>
    <col min="259" max="259" width="22.54296875" style="173" customWidth="1"/>
    <col min="260" max="260" width="2.453125" style="173" customWidth="1"/>
    <col min="261" max="261" width="11.26953125" style="173" customWidth="1"/>
    <col min="262" max="262" width="12.81640625" style="173" customWidth="1"/>
    <col min="263" max="263" width="12.26953125" style="173" customWidth="1"/>
    <col min="264" max="264" width="13.26953125" style="173" customWidth="1"/>
    <col min="265" max="265" width="16.81640625" style="173" bestFit="1" customWidth="1"/>
    <col min="266" max="267" width="12.1796875" style="173" customWidth="1"/>
    <col min="268" max="270" width="13.1796875" style="173" customWidth="1"/>
    <col min="271" max="271" width="13.54296875" style="173" customWidth="1"/>
    <col min="272" max="272" width="12.7265625" style="173" customWidth="1"/>
    <col min="273" max="273" width="11.1796875" style="173" customWidth="1"/>
    <col min="274" max="274" width="7.54296875" style="173" customWidth="1"/>
    <col min="275" max="513" width="9.1796875" style="173"/>
    <col min="514" max="514" width="0" style="173" hidden="1" customWidth="1"/>
    <col min="515" max="515" width="22.54296875" style="173" customWidth="1"/>
    <col min="516" max="516" width="2.453125" style="173" customWidth="1"/>
    <col min="517" max="517" width="11.26953125" style="173" customWidth="1"/>
    <col min="518" max="518" width="12.81640625" style="173" customWidth="1"/>
    <col min="519" max="519" width="12.26953125" style="173" customWidth="1"/>
    <col min="520" max="520" width="13.26953125" style="173" customWidth="1"/>
    <col min="521" max="521" width="16.81640625" style="173" bestFit="1" customWidth="1"/>
    <col min="522" max="523" width="12.1796875" style="173" customWidth="1"/>
    <col min="524" max="526" width="13.1796875" style="173" customWidth="1"/>
    <col min="527" max="527" width="13.54296875" style="173" customWidth="1"/>
    <col min="528" max="528" width="12.7265625" style="173" customWidth="1"/>
    <col min="529" max="529" width="11.1796875" style="173" customWidth="1"/>
    <col min="530" max="530" width="7.54296875" style="173" customWidth="1"/>
    <col min="531" max="769" width="9.1796875" style="173"/>
    <col min="770" max="770" width="0" style="173" hidden="1" customWidth="1"/>
    <col min="771" max="771" width="22.54296875" style="173" customWidth="1"/>
    <col min="772" max="772" width="2.453125" style="173" customWidth="1"/>
    <col min="773" max="773" width="11.26953125" style="173" customWidth="1"/>
    <col min="774" max="774" width="12.81640625" style="173" customWidth="1"/>
    <col min="775" max="775" width="12.26953125" style="173" customWidth="1"/>
    <col min="776" max="776" width="13.26953125" style="173" customWidth="1"/>
    <col min="777" max="777" width="16.81640625" style="173" bestFit="1" customWidth="1"/>
    <col min="778" max="779" width="12.1796875" style="173" customWidth="1"/>
    <col min="780" max="782" width="13.1796875" style="173" customWidth="1"/>
    <col min="783" max="783" width="13.54296875" style="173" customWidth="1"/>
    <col min="784" max="784" width="12.7265625" style="173" customWidth="1"/>
    <col min="785" max="785" width="11.1796875" style="173" customWidth="1"/>
    <col min="786" max="786" width="7.54296875" style="173" customWidth="1"/>
    <col min="787" max="1025" width="9.1796875" style="173"/>
    <col min="1026" max="1026" width="0" style="173" hidden="1" customWidth="1"/>
    <col min="1027" max="1027" width="22.54296875" style="173" customWidth="1"/>
    <col min="1028" max="1028" width="2.453125" style="173" customWidth="1"/>
    <col min="1029" max="1029" width="11.26953125" style="173" customWidth="1"/>
    <col min="1030" max="1030" width="12.81640625" style="173" customWidth="1"/>
    <col min="1031" max="1031" width="12.26953125" style="173" customWidth="1"/>
    <col min="1032" max="1032" width="13.26953125" style="173" customWidth="1"/>
    <col min="1033" max="1033" width="16.81640625" style="173" bestFit="1" customWidth="1"/>
    <col min="1034" max="1035" width="12.1796875" style="173" customWidth="1"/>
    <col min="1036" max="1038" width="13.1796875" style="173" customWidth="1"/>
    <col min="1039" max="1039" width="13.54296875" style="173" customWidth="1"/>
    <col min="1040" max="1040" width="12.7265625" style="173" customWidth="1"/>
    <col min="1041" max="1041" width="11.1796875" style="173" customWidth="1"/>
    <col min="1042" max="1042" width="7.54296875" style="173" customWidth="1"/>
    <col min="1043" max="1281" width="9.1796875" style="173"/>
    <col min="1282" max="1282" width="0" style="173" hidden="1" customWidth="1"/>
    <col min="1283" max="1283" width="22.54296875" style="173" customWidth="1"/>
    <col min="1284" max="1284" width="2.453125" style="173" customWidth="1"/>
    <col min="1285" max="1285" width="11.26953125" style="173" customWidth="1"/>
    <col min="1286" max="1286" width="12.81640625" style="173" customWidth="1"/>
    <col min="1287" max="1287" width="12.26953125" style="173" customWidth="1"/>
    <col min="1288" max="1288" width="13.26953125" style="173" customWidth="1"/>
    <col min="1289" max="1289" width="16.81640625" style="173" bestFit="1" customWidth="1"/>
    <col min="1290" max="1291" width="12.1796875" style="173" customWidth="1"/>
    <col min="1292" max="1294" width="13.1796875" style="173" customWidth="1"/>
    <col min="1295" max="1295" width="13.54296875" style="173" customWidth="1"/>
    <col min="1296" max="1296" width="12.7265625" style="173" customWidth="1"/>
    <col min="1297" max="1297" width="11.1796875" style="173" customWidth="1"/>
    <col min="1298" max="1298" width="7.54296875" style="173" customWidth="1"/>
    <col min="1299" max="1537" width="9.1796875" style="173"/>
    <col min="1538" max="1538" width="0" style="173" hidden="1" customWidth="1"/>
    <col min="1539" max="1539" width="22.54296875" style="173" customWidth="1"/>
    <col min="1540" max="1540" width="2.453125" style="173" customWidth="1"/>
    <col min="1541" max="1541" width="11.26953125" style="173" customWidth="1"/>
    <col min="1542" max="1542" width="12.81640625" style="173" customWidth="1"/>
    <col min="1543" max="1543" width="12.26953125" style="173" customWidth="1"/>
    <col min="1544" max="1544" width="13.26953125" style="173" customWidth="1"/>
    <col min="1545" max="1545" width="16.81640625" style="173" bestFit="1" customWidth="1"/>
    <col min="1546" max="1547" width="12.1796875" style="173" customWidth="1"/>
    <col min="1548" max="1550" width="13.1796875" style="173" customWidth="1"/>
    <col min="1551" max="1551" width="13.54296875" style="173" customWidth="1"/>
    <col min="1552" max="1552" width="12.7265625" style="173" customWidth="1"/>
    <col min="1553" max="1553" width="11.1796875" style="173" customWidth="1"/>
    <col min="1554" max="1554" width="7.54296875" style="173" customWidth="1"/>
    <col min="1555" max="1793" width="9.1796875" style="173"/>
    <col min="1794" max="1794" width="0" style="173" hidden="1" customWidth="1"/>
    <col min="1795" max="1795" width="22.54296875" style="173" customWidth="1"/>
    <col min="1796" max="1796" width="2.453125" style="173" customWidth="1"/>
    <col min="1797" max="1797" width="11.26953125" style="173" customWidth="1"/>
    <col min="1798" max="1798" width="12.81640625" style="173" customWidth="1"/>
    <col min="1799" max="1799" width="12.26953125" style="173" customWidth="1"/>
    <col min="1800" max="1800" width="13.26953125" style="173" customWidth="1"/>
    <col min="1801" max="1801" width="16.81640625" style="173" bestFit="1" customWidth="1"/>
    <col min="1802" max="1803" width="12.1796875" style="173" customWidth="1"/>
    <col min="1804" max="1806" width="13.1796875" style="173" customWidth="1"/>
    <col min="1807" max="1807" width="13.54296875" style="173" customWidth="1"/>
    <col min="1808" max="1808" width="12.7265625" style="173" customWidth="1"/>
    <col min="1809" max="1809" width="11.1796875" style="173" customWidth="1"/>
    <col min="1810" max="1810" width="7.54296875" style="173" customWidth="1"/>
    <col min="1811" max="2049" width="9.1796875" style="173"/>
    <col min="2050" max="2050" width="0" style="173" hidden="1" customWidth="1"/>
    <col min="2051" max="2051" width="22.54296875" style="173" customWidth="1"/>
    <col min="2052" max="2052" width="2.453125" style="173" customWidth="1"/>
    <col min="2053" max="2053" width="11.26953125" style="173" customWidth="1"/>
    <col min="2054" max="2054" width="12.81640625" style="173" customWidth="1"/>
    <col min="2055" max="2055" width="12.26953125" style="173" customWidth="1"/>
    <col min="2056" max="2056" width="13.26953125" style="173" customWidth="1"/>
    <col min="2057" max="2057" width="16.81640625" style="173" bestFit="1" customWidth="1"/>
    <col min="2058" max="2059" width="12.1796875" style="173" customWidth="1"/>
    <col min="2060" max="2062" width="13.1796875" style="173" customWidth="1"/>
    <col min="2063" max="2063" width="13.54296875" style="173" customWidth="1"/>
    <col min="2064" max="2064" width="12.7265625" style="173" customWidth="1"/>
    <col min="2065" max="2065" width="11.1796875" style="173" customWidth="1"/>
    <col min="2066" max="2066" width="7.54296875" style="173" customWidth="1"/>
    <col min="2067" max="2305" width="9.1796875" style="173"/>
    <col min="2306" max="2306" width="0" style="173" hidden="1" customWidth="1"/>
    <col min="2307" max="2307" width="22.54296875" style="173" customWidth="1"/>
    <col min="2308" max="2308" width="2.453125" style="173" customWidth="1"/>
    <col min="2309" max="2309" width="11.26953125" style="173" customWidth="1"/>
    <col min="2310" max="2310" width="12.81640625" style="173" customWidth="1"/>
    <col min="2311" max="2311" width="12.26953125" style="173" customWidth="1"/>
    <col min="2312" max="2312" width="13.26953125" style="173" customWidth="1"/>
    <col min="2313" max="2313" width="16.81640625" style="173" bestFit="1" customWidth="1"/>
    <col min="2314" max="2315" width="12.1796875" style="173" customWidth="1"/>
    <col min="2316" max="2318" width="13.1796875" style="173" customWidth="1"/>
    <col min="2319" max="2319" width="13.54296875" style="173" customWidth="1"/>
    <col min="2320" max="2320" width="12.7265625" style="173" customWidth="1"/>
    <col min="2321" max="2321" width="11.1796875" style="173" customWidth="1"/>
    <col min="2322" max="2322" width="7.54296875" style="173" customWidth="1"/>
    <col min="2323" max="2561" width="9.1796875" style="173"/>
    <col min="2562" max="2562" width="0" style="173" hidden="1" customWidth="1"/>
    <col min="2563" max="2563" width="22.54296875" style="173" customWidth="1"/>
    <col min="2564" max="2564" width="2.453125" style="173" customWidth="1"/>
    <col min="2565" max="2565" width="11.26953125" style="173" customWidth="1"/>
    <col min="2566" max="2566" width="12.81640625" style="173" customWidth="1"/>
    <col min="2567" max="2567" width="12.26953125" style="173" customWidth="1"/>
    <col min="2568" max="2568" width="13.26953125" style="173" customWidth="1"/>
    <col min="2569" max="2569" width="16.81640625" style="173" bestFit="1" customWidth="1"/>
    <col min="2570" max="2571" width="12.1796875" style="173" customWidth="1"/>
    <col min="2572" max="2574" width="13.1796875" style="173" customWidth="1"/>
    <col min="2575" max="2575" width="13.54296875" style="173" customWidth="1"/>
    <col min="2576" max="2576" width="12.7265625" style="173" customWidth="1"/>
    <col min="2577" max="2577" width="11.1796875" style="173" customWidth="1"/>
    <col min="2578" max="2578" width="7.54296875" style="173" customWidth="1"/>
    <col min="2579" max="2817" width="9.1796875" style="173"/>
    <col min="2818" max="2818" width="0" style="173" hidden="1" customWidth="1"/>
    <col min="2819" max="2819" width="22.54296875" style="173" customWidth="1"/>
    <col min="2820" max="2820" width="2.453125" style="173" customWidth="1"/>
    <col min="2821" max="2821" width="11.26953125" style="173" customWidth="1"/>
    <col min="2822" max="2822" width="12.81640625" style="173" customWidth="1"/>
    <col min="2823" max="2823" width="12.26953125" style="173" customWidth="1"/>
    <col min="2824" max="2824" width="13.26953125" style="173" customWidth="1"/>
    <col min="2825" max="2825" width="16.81640625" style="173" bestFit="1" customWidth="1"/>
    <col min="2826" max="2827" width="12.1796875" style="173" customWidth="1"/>
    <col min="2828" max="2830" width="13.1796875" style="173" customWidth="1"/>
    <col min="2831" max="2831" width="13.54296875" style="173" customWidth="1"/>
    <col min="2832" max="2832" width="12.7265625" style="173" customWidth="1"/>
    <col min="2833" max="2833" width="11.1796875" style="173" customWidth="1"/>
    <col min="2834" max="2834" width="7.54296875" style="173" customWidth="1"/>
    <col min="2835" max="3073" width="9.1796875" style="173"/>
    <col min="3074" max="3074" width="0" style="173" hidden="1" customWidth="1"/>
    <col min="3075" max="3075" width="22.54296875" style="173" customWidth="1"/>
    <col min="3076" max="3076" width="2.453125" style="173" customWidth="1"/>
    <col min="3077" max="3077" width="11.26953125" style="173" customWidth="1"/>
    <col min="3078" max="3078" width="12.81640625" style="173" customWidth="1"/>
    <col min="3079" max="3079" width="12.26953125" style="173" customWidth="1"/>
    <col min="3080" max="3080" width="13.26953125" style="173" customWidth="1"/>
    <col min="3081" max="3081" width="16.81640625" style="173" bestFit="1" customWidth="1"/>
    <col min="3082" max="3083" width="12.1796875" style="173" customWidth="1"/>
    <col min="3084" max="3086" width="13.1796875" style="173" customWidth="1"/>
    <col min="3087" max="3087" width="13.54296875" style="173" customWidth="1"/>
    <col min="3088" max="3088" width="12.7265625" style="173" customWidth="1"/>
    <col min="3089" max="3089" width="11.1796875" style="173" customWidth="1"/>
    <col min="3090" max="3090" width="7.54296875" style="173" customWidth="1"/>
    <col min="3091" max="3329" width="9.1796875" style="173"/>
    <col min="3330" max="3330" width="0" style="173" hidden="1" customWidth="1"/>
    <col min="3331" max="3331" width="22.54296875" style="173" customWidth="1"/>
    <col min="3332" max="3332" width="2.453125" style="173" customWidth="1"/>
    <col min="3333" max="3333" width="11.26953125" style="173" customWidth="1"/>
    <col min="3334" max="3334" width="12.81640625" style="173" customWidth="1"/>
    <col min="3335" max="3335" width="12.26953125" style="173" customWidth="1"/>
    <col min="3336" max="3336" width="13.26953125" style="173" customWidth="1"/>
    <col min="3337" max="3337" width="16.81640625" style="173" bestFit="1" customWidth="1"/>
    <col min="3338" max="3339" width="12.1796875" style="173" customWidth="1"/>
    <col min="3340" max="3342" width="13.1796875" style="173" customWidth="1"/>
    <col min="3343" max="3343" width="13.54296875" style="173" customWidth="1"/>
    <col min="3344" max="3344" width="12.7265625" style="173" customWidth="1"/>
    <col min="3345" max="3345" width="11.1796875" style="173" customWidth="1"/>
    <col min="3346" max="3346" width="7.54296875" style="173" customWidth="1"/>
    <col min="3347" max="3585" width="9.1796875" style="173"/>
    <col min="3586" max="3586" width="0" style="173" hidden="1" customWidth="1"/>
    <col min="3587" max="3587" width="22.54296875" style="173" customWidth="1"/>
    <col min="3588" max="3588" width="2.453125" style="173" customWidth="1"/>
    <col min="3589" max="3589" width="11.26953125" style="173" customWidth="1"/>
    <col min="3590" max="3590" width="12.81640625" style="173" customWidth="1"/>
    <col min="3591" max="3591" width="12.26953125" style="173" customWidth="1"/>
    <col min="3592" max="3592" width="13.26953125" style="173" customWidth="1"/>
    <col min="3593" max="3593" width="16.81640625" style="173" bestFit="1" customWidth="1"/>
    <col min="3594" max="3595" width="12.1796875" style="173" customWidth="1"/>
    <col min="3596" max="3598" width="13.1796875" style="173" customWidth="1"/>
    <col min="3599" max="3599" width="13.54296875" style="173" customWidth="1"/>
    <col min="3600" max="3600" width="12.7265625" style="173" customWidth="1"/>
    <col min="3601" max="3601" width="11.1796875" style="173" customWidth="1"/>
    <col min="3602" max="3602" width="7.54296875" style="173" customWidth="1"/>
    <col min="3603" max="3841" width="9.1796875" style="173"/>
    <col min="3842" max="3842" width="0" style="173" hidden="1" customWidth="1"/>
    <col min="3843" max="3843" width="22.54296875" style="173" customWidth="1"/>
    <col min="3844" max="3844" width="2.453125" style="173" customWidth="1"/>
    <col min="3845" max="3845" width="11.26953125" style="173" customWidth="1"/>
    <col min="3846" max="3846" width="12.81640625" style="173" customWidth="1"/>
    <col min="3847" max="3847" width="12.26953125" style="173" customWidth="1"/>
    <col min="3848" max="3848" width="13.26953125" style="173" customWidth="1"/>
    <col min="3849" max="3849" width="16.81640625" style="173" bestFit="1" customWidth="1"/>
    <col min="3850" max="3851" width="12.1796875" style="173" customWidth="1"/>
    <col min="3852" max="3854" width="13.1796875" style="173" customWidth="1"/>
    <col min="3855" max="3855" width="13.54296875" style="173" customWidth="1"/>
    <col min="3856" max="3856" width="12.7265625" style="173" customWidth="1"/>
    <col min="3857" max="3857" width="11.1796875" style="173" customWidth="1"/>
    <col min="3858" max="3858" width="7.54296875" style="173" customWidth="1"/>
    <col min="3859" max="4097" width="9.1796875" style="173"/>
    <col min="4098" max="4098" width="0" style="173" hidden="1" customWidth="1"/>
    <col min="4099" max="4099" width="22.54296875" style="173" customWidth="1"/>
    <col min="4100" max="4100" width="2.453125" style="173" customWidth="1"/>
    <col min="4101" max="4101" width="11.26953125" style="173" customWidth="1"/>
    <col min="4102" max="4102" width="12.81640625" style="173" customWidth="1"/>
    <col min="4103" max="4103" width="12.26953125" style="173" customWidth="1"/>
    <col min="4104" max="4104" width="13.26953125" style="173" customWidth="1"/>
    <col min="4105" max="4105" width="16.81640625" style="173" bestFit="1" customWidth="1"/>
    <col min="4106" max="4107" width="12.1796875" style="173" customWidth="1"/>
    <col min="4108" max="4110" width="13.1796875" style="173" customWidth="1"/>
    <col min="4111" max="4111" width="13.54296875" style="173" customWidth="1"/>
    <col min="4112" max="4112" width="12.7265625" style="173" customWidth="1"/>
    <col min="4113" max="4113" width="11.1796875" style="173" customWidth="1"/>
    <col min="4114" max="4114" width="7.54296875" style="173" customWidth="1"/>
    <col min="4115" max="4353" width="9.1796875" style="173"/>
    <col min="4354" max="4354" width="0" style="173" hidden="1" customWidth="1"/>
    <col min="4355" max="4355" width="22.54296875" style="173" customWidth="1"/>
    <col min="4356" max="4356" width="2.453125" style="173" customWidth="1"/>
    <col min="4357" max="4357" width="11.26953125" style="173" customWidth="1"/>
    <col min="4358" max="4358" width="12.81640625" style="173" customWidth="1"/>
    <col min="4359" max="4359" width="12.26953125" style="173" customWidth="1"/>
    <col min="4360" max="4360" width="13.26953125" style="173" customWidth="1"/>
    <col min="4361" max="4361" width="16.81640625" style="173" bestFit="1" customWidth="1"/>
    <col min="4362" max="4363" width="12.1796875" style="173" customWidth="1"/>
    <col min="4364" max="4366" width="13.1796875" style="173" customWidth="1"/>
    <col min="4367" max="4367" width="13.54296875" style="173" customWidth="1"/>
    <col min="4368" max="4368" width="12.7265625" style="173" customWidth="1"/>
    <col min="4369" max="4369" width="11.1796875" style="173" customWidth="1"/>
    <col min="4370" max="4370" width="7.54296875" style="173" customWidth="1"/>
    <col min="4371" max="4609" width="9.1796875" style="173"/>
    <col min="4610" max="4610" width="0" style="173" hidden="1" customWidth="1"/>
    <col min="4611" max="4611" width="22.54296875" style="173" customWidth="1"/>
    <col min="4612" max="4612" width="2.453125" style="173" customWidth="1"/>
    <col min="4613" max="4613" width="11.26953125" style="173" customWidth="1"/>
    <col min="4614" max="4614" width="12.81640625" style="173" customWidth="1"/>
    <col min="4615" max="4615" width="12.26953125" style="173" customWidth="1"/>
    <col min="4616" max="4616" width="13.26953125" style="173" customWidth="1"/>
    <col min="4617" max="4617" width="16.81640625" style="173" bestFit="1" customWidth="1"/>
    <col min="4618" max="4619" width="12.1796875" style="173" customWidth="1"/>
    <col min="4620" max="4622" width="13.1796875" style="173" customWidth="1"/>
    <col min="4623" max="4623" width="13.54296875" style="173" customWidth="1"/>
    <col min="4624" max="4624" width="12.7265625" style="173" customWidth="1"/>
    <col min="4625" max="4625" width="11.1796875" style="173" customWidth="1"/>
    <col min="4626" max="4626" width="7.54296875" style="173" customWidth="1"/>
    <col min="4627" max="4865" width="9.1796875" style="173"/>
    <col min="4866" max="4866" width="0" style="173" hidden="1" customWidth="1"/>
    <col min="4867" max="4867" width="22.54296875" style="173" customWidth="1"/>
    <col min="4868" max="4868" width="2.453125" style="173" customWidth="1"/>
    <col min="4869" max="4869" width="11.26953125" style="173" customWidth="1"/>
    <col min="4870" max="4870" width="12.81640625" style="173" customWidth="1"/>
    <col min="4871" max="4871" width="12.26953125" style="173" customWidth="1"/>
    <col min="4872" max="4872" width="13.26953125" style="173" customWidth="1"/>
    <col min="4873" max="4873" width="16.81640625" style="173" bestFit="1" customWidth="1"/>
    <col min="4874" max="4875" width="12.1796875" style="173" customWidth="1"/>
    <col min="4876" max="4878" width="13.1796875" style="173" customWidth="1"/>
    <col min="4879" max="4879" width="13.54296875" style="173" customWidth="1"/>
    <col min="4880" max="4880" width="12.7265625" style="173" customWidth="1"/>
    <col min="4881" max="4881" width="11.1796875" style="173" customWidth="1"/>
    <col min="4882" max="4882" width="7.54296875" style="173" customWidth="1"/>
    <col min="4883" max="5121" width="9.1796875" style="173"/>
    <col min="5122" max="5122" width="0" style="173" hidden="1" customWidth="1"/>
    <col min="5123" max="5123" width="22.54296875" style="173" customWidth="1"/>
    <col min="5124" max="5124" width="2.453125" style="173" customWidth="1"/>
    <col min="5125" max="5125" width="11.26953125" style="173" customWidth="1"/>
    <col min="5126" max="5126" width="12.81640625" style="173" customWidth="1"/>
    <col min="5127" max="5127" width="12.26953125" style="173" customWidth="1"/>
    <col min="5128" max="5128" width="13.26953125" style="173" customWidth="1"/>
    <col min="5129" max="5129" width="16.81640625" style="173" bestFit="1" customWidth="1"/>
    <col min="5130" max="5131" width="12.1796875" style="173" customWidth="1"/>
    <col min="5132" max="5134" width="13.1796875" style="173" customWidth="1"/>
    <col min="5135" max="5135" width="13.54296875" style="173" customWidth="1"/>
    <col min="5136" max="5136" width="12.7265625" style="173" customWidth="1"/>
    <col min="5137" max="5137" width="11.1796875" style="173" customWidth="1"/>
    <col min="5138" max="5138" width="7.54296875" style="173" customWidth="1"/>
    <col min="5139" max="5377" width="9.1796875" style="173"/>
    <col min="5378" max="5378" width="0" style="173" hidden="1" customWidth="1"/>
    <col min="5379" max="5379" width="22.54296875" style="173" customWidth="1"/>
    <col min="5380" max="5380" width="2.453125" style="173" customWidth="1"/>
    <col min="5381" max="5381" width="11.26953125" style="173" customWidth="1"/>
    <col min="5382" max="5382" width="12.81640625" style="173" customWidth="1"/>
    <col min="5383" max="5383" width="12.26953125" style="173" customWidth="1"/>
    <col min="5384" max="5384" width="13.26953125" style="173" customWidth="1"/>
    <col min="5385" max="5385" width="16.81640625" style="173" bestFit="1" customWidth="1"/>
    <col min="5386" max="5387" width="12.1796875" style="173" customWidth="1"/>
    <col min="5388" max="5390" width="13.1796875" style="173" customWidth="1"/>
    <col min="5391" max="5391" width="13.54296875" style="173" customWidth="1"/>
    <col min="5392" max="5392" width="12.7265625" style="173" customWidth="1"/>
    <col min="5393" max="5393" width="11.1796875" style="173" customWidth="1"/>
    <col min="5394" max="5394" width="7.54296875" style="173" customWidth="1"/>
    <col min="5395" max="5633" width="9.1796875" style="173"/>
    <col min="5634" max="5634" width="0" style="173" hidden="1" customWidth="1"/>
    <col min="5635" max="5635" width="22.54296875" style="173" customWidth="1"/>
    <col min="5636" max="5636" width="2.453125" style="173" customWidth="1"/>
    <col min="5637" max="5637" width="11.26953125" style="173" customWidth="1"/>
    <col min="5638" max="5638" width="12.81640625" style="173" customWidth="1"/>
    <col min="5639" max="5639" width="12.26953125" style="173" customWidth="1"/>
    <col min="5640" max="5640" width="13.26953125" style="173" customWidth="1"/>
    <col min="5641" max="5641" width="16.81640625" style="173" bestFit="1" customWidth="1"/>
    <col min="5642" max="5643" width="12.1796875" style="173" customWidth="1"/>
    <col min="5644" max="5646" width="13.1796875" style="173" customWidth="1"/>
    <col min="5647" max="5647" width="13.54296875" style="173" customWidth="1"/>
    <col min="5648" max="5648" width="12.7265625" style="173" customWidth="1"/>
    <col min="5649" max="5649" width="11.1796875" style="173" customWidth="1"/>
    <col min="5650" max="5650" width="7.54296875" style="173" customWidth="1"/>
    <col min="5651" max="5889" width="9.1796875" style="173"/>
    <col min="5890" max="5890" width="0" style="173" hidden="1" customWidth="1"/>
    <col min="5891" max="5891" width="22.54296875" style="173" customWidth="1"/>
    <col min="5892" max="5892" width="2.453125" style="173" customWidth="1"/>
    <col min="5893" max="5893" width="11.26953125" style="173" customWidth="1"/>
    <col min="5894" max="5894" width="12.81640625" style="173" customWidth="1"/>
    <col min="5895" max="5895" width="12.26953125" style="173" customWidth="1"/>
    <col min="5896" max="5896" width="13.26953125" style="173" customWidth="1"/>
    <col min="5897" max="5897" width="16.81640625" style="173" bestFit="1" customWidth="1"/>
    <col min="5898" max="5899" width="12.1796875" style="173" customWidth="1"/>
    <col min="5900" max="5902" width="13.1796875" style="173" customWidth="1"/>
    <col min="5903" max="5903" width="13.54296875" style="173" customWidth="1"/>
    <col min="5904" max="5904" width="12.7265625" style="173" customWidth="1"/>
    <col min="5905" max="5905" width="11.1796875" style="173" customWidth="1"/>
    <col min="5906" max="5906" width="7.54296875" style="173" customWidth="1"/>
    <col min="5907" max="6145" width="9.1796875" style="173"/>
    <col min="6146" max="6146" width="0" style="173" hidden="1" customWidth="1"/>
    <col min="6147" max="6147" width="22.54296875" style="173" customWidth="1"/>
    <col min="6148" max="6148" width="2.453125" style="173" customWidth="1"/>
    <col min="6149" max="6149" width="11.26953125" style="173" customWidth="1"/>
    <col min="6150" max="6150" width="12.81640625" style="173" customWidth="1"/>
    <col min="6151" max="6151" width="12.26953125" style="173" customWidth="1"/>
    <col min="6152" max="6152" width="13.26953125" style="173" customWidth="1"/>
    <col min="6153" max="6153" width="16.81640625" style="173" bestFit="1" customWidth="1"/>
    <col min="6154" max="6155" width="12.1796875" style="173" customWidth="1"/>
    <col min="6156" max="6158" width="13.1796875" style="173" customWidth="1"/>
    <col min="6159" max="6159" width="13.54296875" style="173" customWidth="1"/>
    <col min="6160" max="6160" width="12.7265625" style="173" customWidth="1"/>
    <col min="6161" max="6161" width="11.1796875" style="173" customWidth="1"/>
    <col min="6162" max="6162" width="7.54296875" style="173" customWidth="1"/>
    <col min="6163" max="6401" width="9.1796875" style="173"/>
    <col min="6402" max="6402" width="0" style="173" hidden="1" customWidth="1"/>
    <col min="6403" max="6403" width="22.54296875" style="173" customWidth="1"/>
    <col min="6404" max="6404" width="2.453125" style="173" customWidth="1"/>
    <col min="6405" max="6405" width="11.26953125" style="173" customWidth="1"/>
    <col min="6406" max="6406" width="12.81640625" style="173" customWidth="1"/>
    <col min="6407" max="6407" width="12.26953125" style="173" customWidth="1"/>
    <col min="6408" max="6408" width="13.26953125" style="173" customWidth="1"/>
    <col min="6409" max="6409" width="16.81640625" style="173" bestFit="1" customWidth="1"/>
    <col min="6410" max="6411" width="12.1796875" style="173" customWidth="1"/>
    <col min="6412" max="6414" width="13.1796875" style="173" customWidth="1"/>
    <col min="6415" max="6415" width="13.54296875" style="173" customWidth="1"/>
    <col min="6416" max="6416" width="12.7265625" style="173" customWidth="1"/>
    <col min="6417" max="6417" width="11.1796875" style="173" customWidth="1"/>
    <col min="6418" max="6418" width="7.54296875" style="173" customWidth="1"/>
    <col min="6419" max="6657" width="9.1796875" style="173"/>
    <col min="6658" max="6658" width="0" style="173" hidden="1" customWidth="1"/>
    <col min="6659" max="6659" width="22.54296875" style="173" customWidth="1"/>
    <col min="6660" max="6660" width="2.453125" style="173" customWidth="1"/>
    <col min="6661" max="6661" width="11.26953125" style="173" customWidth="1"/>
    <col min="6662" max="6662" width="12.81640625" style="173" customWidth="1"/>
    <col min="6663" max="6663" width="12.26953125" style="173" customWidth="1"/>
    <col min="6664" max="6664" width="13.26953125" style="173" customWidth="1"/>
    <col min="6665" max="6665" width="16.81640625" style="173" bestFit="1" customWidth="1"/>
    <col min="6666" max="6667" width="12.1796875" style="173" customWidth="1"/>
    <col min="6668" max="6670" width="13.1796875" style="173" customWidth="1"/>
    <col min="6671" max="6671" width="13.54296875" style="173" customWidth="1"/>
    <col min="6672" max="6672" width="12.7265625" style="173" customWidth="1"/>
    <col min="6673" max="6673" width="11.1796875" style="173" customWidth="1"/>
    <col min="6674" max="6674" width="7.54296875" style="173" customWidth="1"/>
    <col min="6675" max="6913" width="9.1796875" style="173"/>
    <col min="6914" max="6914" width="0" style="173" hidden="1" customWidth="1"/>
    <col min="6915" max="6915" width="22.54296875" style="173" customWidth="1"/>
    <col min="6916" max="6916" width="2.453125" style="173" customWidth="1"/>
    <col min="6917" max="6917" width="11.26953125" style="173" customWidth="1"/>
    <col min="6918" max="6918" width="12.81640625" style="173" customWidth="1"/>
    <col min="6919" max="6919" width="12.26953125" style="173" customWidth="1"/>
    <col min="6920" max="6920" width="13.26953125" style="173" customWidth="1"/>
    <col min="6921" max="6921" width="16.81640625" style="173" bestFit="1" customWidth="1"/>
    <col min="6922" max="6923" width="12.1796875" style="173" customWidth="1"/>
    <col min="6924" max="6926" width="13.1796875" style="173" customWidth="1"/>
    <col min="6927" max="6927" width="13.54296875" style="173" customWidth="1"/>
    <col min="6928" max="6928" width="12.7265625" style="173" customWidth="1"/>
    <col min="6929" max="6929" width="11.1796875" style="173" customWidth="1"/>
    <col min="6930" max="6930" width="7.54296875" style="173" customWidth="1"/>
    <col min="6931" max="7169" width="9.1796875" style="173"/>
    <col min="7170" max="7170" width="0" style="173" hidden="1" customWidth="1"/>
    <col min="7171" max="7171" width="22.54296875" style="173" customWidth="1"/>
    <col min="7172" max="7172" width="2.453125" style="173" customWidth="1"/>
    <col min="7173" max="7173" width="11.26953125" style="173" customWidth="1"/>
    <col min="7174" max="7174" width="12.81640625" style="173" customWidth="1"/>
    <col min="7175" max="7175" width="12.26953125" style="173" customWidth="1"/>
    <col min="7176" max="7176" width="13.26953125" style="173" customWidth="1"/>
    <col min="7177" max="7177" width="16.81640625" style="173" bestFit="1" customWidth="1"/>
    <col min="7178" max="7179" width="12.1796875" style="173" customWidth="1"/>
    <col min="7180" max="7182" width="13.1796875" style="173" customWidth="1"/>
    <col min="7183" max="7183" width="13.54296875" style="173" customWidth="1"/>
    <col min="7184" max="7184" width="12.7265625" style="173" customWidth="1"/>
    <col min="7185" max="7185" width="11.1796875" style="173" customWidth="1"/>
    <col min="7186" max="7186" width="7.54296875" style="173" customWidth="1"/>
    <col min="7187" max="7425" width="9.1796875" style="173"/>
    <col min="7426" max="7426" width="0" style="173" hidden="1" customWidth="1"/>
    <col min="7427" max="7427" width="22.54296875" style="173" customWidth="1"/>
    <col min="7428" max="7428" width="2.453125" style="173" customWidth="1"/>
    <col min="7429" max="7429" width="11.26953125" style="173" customWidth="1"/>
    <col min="7430" max="7430" width="12.81640625" style="173" customWidth="1"/>
    <col min="7431" max="7431" width="12.26953125" style="173" customWidth="1"/>
    <col min="7432" max="7432" width="13.26953125" style="173" customWidth="1"/>
    <col min="7433" max="7433" width="16.81640625" style="173" bestFit="1" customWidth="1"/>
    <col min="7434" max="7435" width="12.1796875" style="173" customWidth="1"/>
    <col min="7436" max="7438" width="13.1796875" style="173" customWidth="1"/>
    <col min="7439" max="7439" width="13.54296875" style="173" customWidth="1"/>
    <col min="7440" max="7440" width="12.7265625" style="173" customWidth="1"/>
    <col min="7441" max="7441" width="11.1796875" style="173" customWidth="1"/>
    <col min="7442" max="7442" width="7.54296875" style="173" customWidth="1"/>
    <col min="7443" max="7681" width="9.1796875" style="173"/>
    <col min="7682" max="7682" width="0" style="173" hidden="1" customWidth="1"/>
    <col min="7683" max="7683" width="22.54296875" style="173" customWidth="1"/>
    <col min="7684" max="7684" width="2.453125" style="173" customWidth="1"/>
    <col min="7685" max="7685" width="11.26953125" style="173" customWidth="1"/>
    <col min="7686" max="7686" width="12.81640625" style="173" customWidth="1"/>
    <col min="7687" max="7687" width="12.26953125" style="173" customWidth="1"/>
    <col min="7688" max="7688" width="13.26953125" style="173" customWidth="1"/>
    <col min="7689" max="7689" width="16.81640625" style="173" bestFit="1" customWidth="1"/>
    <col min="7690" max="7691" width="12.1796875" style="173" customWidth="1"/>
    <col min="7692" max="7694" width="13.1796875" style="173" customWidth="1"/>
    <col min="7695" max="7695" width="13.54296875" style="173" customWidth="1"/>
    <col min="7696" max="7696" width="12.7265625" style="173" customWidth="1"/>
    <col min="7697" max="7697" width="11.1796875" style="173" customWidth="1"/>
    <col min="7698" max="7698" width="7.54296875" style="173" customWidth="1"/>
    <col min="7699" max="7937" width="9.1796875" style="173"/>
    <col min="7938" max="7938" width="0" style="173" hidden="1" customWidth="1"/>
    <col min="7939" max="7939" width="22.54296875" style="173" customWidth="1"/>
    <col min="7940" max="7940" width="2.453125" style="173" customWidth="1"/>
    <col min="7941" max="7941" width="11.26953125" style="173" customWidth="1"/>
    <col min="7942" max="7942" width="12.81640625" style="173" customWidth="1"/>
    <col min="7943" max="7943" width="12.26953125" style="173" customWidth="1"/>
    <col min="7944" max="7944" width="13.26953125" style="173" customWidth="1"/>
    <col min="7945" max="7945" width="16.81640625" style="173" bestFit="1" customWidth="1"/>
    <col min="7946" max="7947" width="12.1796875" style="173" customWidth="1"/>
    <col min="7948" max="7950" width="13.1796875" style="173" customWidth="1"/>
    <col min="7951" max="7951" width="13.54296875" style="173" customWidth="1"/>
    <col min="7952" max="7952" width="12.7265625" style="173" customWidth="1"/>
    <col min="7953" max="7953" width="11.1796875" style="173" customWidth="1"/>
    <col min="7954" max="7954" width="7.54296875" style="173" customWidth="1"/>
    <col min="7955" max="8193" width="9.1796875" style="173"/>
    <col min="8194" max="8194" width="0" style="173" hidden="1" customWidth="1"/>
    <col min="8195" max="8195" width="22.54296875" style="173" customWidth="1"/>
    <col min="8196" max="8196" width="2.453125" style="173" customWidth="1"/>
    <col min="8197" max="8197" width="11.26953125" style="173" customWidth="1"/>
    <col min="8198" max="8198" width="12.81640625" style="173" customWidth="1"/>
    <col min="8199" max="8199" width="12.26953125" style="173" customWidth="1"/>
    <col min="8200" max="8200" width="13.26953125" style="173" customWidth="1"/>
    <col min="8201" max="8201" width="16.81640625" style="173" bestFit="1" customWidth="1"/>
    <col min="8202" max="8203" width="12.1796875" style="173" customWidth="1"/>
    <col min="8204" max="8206" width="13.1796875" style="173" customWidth="1"/>
    <col min="8207" max="8207" width="13.54296875" style="173" customWidth="1"/>
    <col min="8208" max="8208" width="12.7265625" style="173" customWidth="1"/>
    <col min="8209" max="8209" width="11.1796875" style="173" customWidth="1"/>
    <col min="8210" max="8210" width="7.54296875" style="173" customWidth="1"/>
    <col min="8211" max="8449" width="9.1796875" style="173"/>
    <col min="8450" max="8450" width="0" style="173" hidden="1" customWidth="1"/>
    <col min="8451" max="8451" width="22.54296875" style="173" customWidth="1"/>
    <col min="8452" max="8452" width="2.453125" style="173" customWidth="1"/>
    <col min="8453" max="8453" width="11.26953125" style="173" customWidth="1"/>
    <col min="8454" max="8454" width="12.81640625" style="173" customWidth="1"/>
    <col min="8455" max="8455" width="12.26953125" style="173" customWidth="1"/>
    <col min="8456" max="8456" width="13.26953125" style="173" customWidth="1"/>
    <col min="8457" max="8457" width="16.81640625" style="173" bestFit="1" customWidth="1"/>
    <col min="8458" max="8459" width="12.1796875" style="173" customWidth="1"/>
    <col min="8460" max="8462" width="13.1796875" style="173" customWidth="1"/>
    <col min="8463" max="8463" width="13.54296875" style="173" customWidth="1"/>
    <col min="8464" max="8464" width="12.7265625" style="173" customWidth="1"/>
    <col min="8465" max="8465" width="11.1796875" style="173" customWidth="1"/>
    <col min="8466" max="8466" width="7.54296875" style="173" customWidth="1"/>
    <col min="8467" max="8705" width="9.1796875" style="173"/>
    <col min="8706" max="8706" width="0" style="173" hidden="1" customWidth="1"/>
    <col min="8707" max="8707" width="22.54296875" style="173" customWidth="1"/>
    <col min="8708" max="8708" width="2.453125" style="173" customWidth="1"/>
    <col min="8709" max="8709" width="11.26953125" style="173" customWidth="1"/>
    <col min="8710" max="8710" width="12.81640625" style="173" customWidth="1"/>
    <col min="8711" max="8711" width="12.26953125" style="173" customWidth="1"/>
    <col min="8712" max="8712" width="13.26953125" style="173" customWidth="1"/>
    <col min="8713" max="8713" width="16.81640625" style="173" bestFit="1" customWidth="1"/>
    <col min="8714" max="8715" width="12.1796875" style="173" customWidth="1"/>
    <col min="8716" max="8718" width="13.1796875" style="173" customWidth="1"/>
    <col min="8719" max="8719" width="13.54296875" style="173" customWidth="1"/>
    <col min="8720" max="8720" width="12.7265625" style="173" customWidth="1"/>
    <col min="8721" max="8721" width="11.1796875" style="173" customWidth="1"/>
    <col min="8722" max="8722" width="7.54296875" style="173" customWidth="1"/>
    <col min="8723" max="8961" width="9.1796875" style="173"/>
    <col min="8962" max="8962" width="0" style="173" hidden="1" customWidth="1"/>
    <col min="8963" max="8963" width="22.54296875" style="173" customWidth="1"/>
    <col min="8964" max="8964" width="2.453125" style="173" customWidth="1"/>
    <col min="8965" max="8965" width="11.26953125" style="173" customWidth="1"/>
    <col min="8966" max="8966" width="12.81640625" style="173" customWidth="1"/>
    <col min="8967" max="8967" width="12.26953125" style="173" customWidth="1"/>
    <col min="8968" max="8968" width="13.26953125" style="173" customWidth="1"/>
    <col min="8969" max="8969" width="16.81640625" style="173" bestFit="1" customWidth="1"/>
    <col min="8970" max="8971" width="12.1796875" style="173" customWidth="1"/>
    <col min="8972" max="8974" width="13.1796875" style="173" customWidth="1"/>
    <col min="8975" max="8975" width="13.54296875" style="173" customWidth="1"/>
    <col min="8976" max="8976" width="12.7265625" style="173" customWidth="1"/>
    <col min="8977" max="8977" width="11.1796875" style="173" customWidth="1"/>
    <col min="8978" max="8978" width="7.54296875" style="173" customWidth="1"/>
    <col min="8979" max="9217" width="9.1796875" style="173"/>
    <col min="9218" max="9218" width="0" style="173" hidden="1" customWidth="1"/>
    <col min="9219" max="9219" width="22.54296875" style="173" customWidth="1"/>
    <col min="9220" max="9220" width="2.453125" style="173" customWidth="1"/>
    <col min="9221" max="9221" width="11.26953125" style="173" customWidth="1"/>
    <col min="9222" max="9222" width="12.81640625" style="173" customWidth="1"/>
    <col min="9223" max="9223" width="12.26953125" style="173" customWidth="1"/>
    <col min="9224" max="9224" width="13.26953125" style="173" customWidth="1"/>
    <col min="9225" max="9225" width="16.81640625" style="173" bestFit="1" customWidth="1"/>
    <col min="9226" max="9227" width="12.1796875" style="173" customWidth="1"/>
    <col min="9228" max="9230" width="13.1796875" style="173" customWidth="1"/>
    <col min="9231" max="9231" width="13.54296875" style="173" customWidth="1"/>
    <col min="9232" max="9232" width="12.7265625" style="173" customWidth="1"/>
    <col min="9233" max="9233" width="11.1796875" style="173" customWidth="1"/>
    <col min="9234" max="9234" width="7.54296875" style="173" customWidth="1"/>
    <col min="9235" max="9473" width="9.1796875" style="173"/>
    <col min="9474" max="9474" width="0" style="173" hidden="1" customWidth="1"/>
    <col min="9475" max="9475" width="22.54296875" style="173" customWidth="1"/>
    <col min="9476" max="9476" width="2.453125" style="173" customWidth="1"/>
    <col min="9477" max="9477" width="11.26953125" style="173" customWidth="1"/>
    <col min="9478" max="9478" width="12.81640625" style="173" customWidth="1"/>
    <col min="9479" max="9479" width="12.26953125" style="173" customWidth="1"/>
    <col min="9480" max="9480" width="13.26953125" style="173" customWidth="1"/>
    <col min="9481" max="9481" width="16.81640625" style="173" bestFit="1" customWidth="1"/>
    <col min="9482" max="9483" width="12.1796875" style="173" customWidth="1"/>
    <col min="9484" max="9486" width="13.1796875" style="173" customWidth="1"/>
    <col min="9487" max="9487" width="13.54296875" style="173" customWidth="1"/>
    <col min="9488" max="9488" width="12.7265625" style="173" customWidth="1"/>
    <col min="9489" max="9489" width="11.1796875" style="173" customWidth="1"/>
    <col min="9490" max="9490" width="7.54296875" style="173" customWidth="1"/>
    <col min="9491" max="9729" width="9.1796875" style="173"/>
    <col min="9730" max="9730" width="0" style="173" hidden="1" customWidth="1"/>
    <col min="9731" max="9731" width="22.54296875" style="173" customWidth="1"/>
    <col min="9732" max="9732" width="2.453125" style="173" customWidth="1"/>
    <col min="9733" max="9733" width="11.26953125" style="173" customWidth="1"/>
    <col min="9734" max="9734" width="12.81640625" style="173" customWidth="1"/>
    <col min="9735" max="9735" width="12.26953125" style="173" customWidth="1"/>
    <col min="9736" max="9736" width="13.26953125" style="173" customWidth="1"/>
    <col min="9737" max="9737" width="16.81640625" style="173" bestFit="1" customWidth="1"/>
    <col min="9738" max="9739" width="12.1796875" style="173" customWidth="1"/>
    <col min="9740" max="9742" width="13.1796875" style="173" customWidth="1"/>
    <col min="9743" max="9743" width="13.54296875" style="173" customWidth="1"/>
    <col min="9744" max="9744" width="12.7265625" style="173" customWidth="1"/>
    <col min="9745" max="9745" width="11.1796875" style="173" customWidth="1"/>
    <col min="9746" max="9746" width="7.54296875" style="173" customWidth="1"/>
    <col min="9747" max="9985" width="9.1796875" style="173"/>
    <col min="9986" max="9986" width="0" style="173" hidden="1" customWidth="1"/>
    <col min="9987" max="9987" width="22.54296875" style="173" customWidth="1"/>
    <col min="9988" max="9988" width="2.453125" style="173" customWidth="1"/>
    <col min="9989" max="9989" width="11.26953125" style="173" customWidth="1"/>
    <col min="9990" max="9990" width="12.81640625" style="173" customWidth="1"/>
    <col min="9991" max="9991" width="12.26953125" style="173" customWidth="1"/>
    <col min="9992" max="9992" width="13.26953125" style="173" customWidth="1"/>
    <col min="9993" max="9993" width="16.81640625" style="173" bestFit="1" customWidth="1"/>
    <col min="9994" max="9995" width="12.1796875" style="173" customWidth="1"/>
    <col min="9996" max="9998" width="13.1796875" style="173" customWidth="1"/>
    <col min="9999" max="9999" width="13.54296875" style="173" customWidth="1"/>
    <col min="10000" max="10000" width="12.7265625" style="173" customWidth="1"/>
    <col min="10001" max="10001" width="11.1796875" style="173" customWidth="1"/>
    <col min="10002" max="10002" width="7.54296875" style="173" customWidth="1"/>
    <col min="10003" max="10241" width="9.1796875" style="173"/>
    <col min="10242" max="10242" width="0" style="173" hidden="1" customWidth="1"/>
    <col min="10243" max="10243" width="22.54296875" style="173" customWidth="1"/>
    <col min="10244" max="10244" width="2.453125" style="173" customWidth="1"/>
    <col min="10245" max="10245" width="11.26953125" style="173" customWidth="1"/>
    <col min="10246" max="10246" width="12.81640625" style="173" customWidth="1"/>
    <col min="10247" max="10247" width="12.26953125" style="173" customWidth="1"/>
    <col min="10248" max="10248" width="13.26953125" style="173" customWidth="1"/>
    <col min="10249" max="10249" width="16.81640625" style="173" bestFit="1" customWidth="1"/>
    <col min="10250" max="10251" width="12.1796875" style="173" customWidth="1"/>
    <col min="10252" max="10254" width="13.1796875" style="173" customWidth="1"/>
    <col min="10255" max="10255" width="13.54296875" style="173" customWidth="1"/>
    <col min="10256" max="10256" width="12.7265625" style="173" customWidth="1"/>
    <col min="10257" max="10257" width="11.1796875" style="173" customWidth="1"/>
    <col min="10258" max="10258" width="7.54296875" style="173" customWidth="1"/>
    <col min="10259" max="10497" width="9.1796875" style="173"/>
    <col min="10498" max="10498" width="0" style="173" hidden="1" customWidth="1"/>
    <col min="10499" max="10499" width="22.54296875" style="173" customWidth="1"/>
    <col min="10500" max="10500" width="2.453125" style="173" customWidth="1"/>
    <col min="10501" max="10501" width="11.26953125" style="173" customWidth="1"/>
    <col min="10502" max="10502" width="12.81640625" style="173" customWidth="1"/>
    <col min="10503" max="10503" width="12.26953125" style="173" customWidth="1"/>
    <col min="10504" max="10504" width="13.26953125" style="173" customWidth="1"/>
    <col min="10505" max="10505" width="16.81640625" style="173" bestFit="1" customWidth="1"/>
    <col min="10506" max="10507" width="12.1796875" style="173" customWidth="1"/>
    <col min="10508" max="10510" width="13.1796875" style="173" customWidth="1"/>
    <col min="10511" max="10511" width="13.54296875" style="173" customWidth="1"/>
    <col min="10512" max="10512" width="12.7265625" style="173" customWidth="1"/>
    <col min="10513" max="10513" width="11.1796875" style="173" customWidth="1"/>
    <col min="10514" max="10514" width="7.54296875" style="173" customWidth="1"/>
    <col min="10515" max="10753" width="9.1796875" style="173"/>
    <col min="10754" max="10754" width="0" style="173" hidden="1" customWidth="1"/>
    <col min="10755" max="10755" width="22.54296875" style="173" customWidth="1"/>
    <col min="10756" max="10756" width="2.453125" style="173" customWidth="1"/>
    <col min="10757" max="10757" width="11.26953125" style="173" customWidth="1"/>
    <col min="10758" max="10758" width="12.81640625" style="173" customWidth="1"/>
    <col min="10759" max="10759" width="12.26953125" style="173" customWidth="1"/>
    <col min="10760" max="10760" width="13.26953125" style="173" customWidth="1"/>
    <col min="10761" max="10761" width="16.81640625" style="173" bestFit="1" customWidth="1"/>
    <col min="10762" max="10763" width="12.1796875" style="173" customWidth="1"/>
    <col min="10764" max="10766" width="13.1796875" style="173" customWidth="1"/>
    <col min="10767" max="10767" width="13.54296875" style="173" customWidth="1"/>
    <col min="10768" max="10768" width="12.7265625" style="173" customWidth="1"/>
    <col min="10769" max="10769" width="11.1796875" style="173" customWidth="1"/>
    <col min="10770" max="10770" width="7.54296875" style="173" customWidth="1"/>
    <col min="10771" max="11009" width="9.1796875" style="173"/>
    <col min="11010" max="11010" width="0" style="173" hidden="1" customWidth="1"/>
    <col min="11011" max="11011" width="22.54296875" style="173" customWidth="1"/>
    <col min="11012" max="11012" width="2.453125" style="173" customWidth="1"/>
    <col min="11013" max="11013" width="11.26953125" style="173" customWidth="1"/>
    <col min="11014" max="11014" width="12.81640625" style="173" customWidth="1"/>
    <col min="11015" max="11015" width="12.26953125" style="173" customWidth="1"/>
    <col min="11016" max="11016" width="13.26953125" style="173" customWidth="1"/>
    <col min="11017" max="11017" width="16.81640625" style="173" bestFit="1" customWidth="1"/>
    <col min="11018" max="11019" width="12.1796875" style="173" customWidth="1"/>
    <col min="11020" max="11022" width="13.1796875" style="173" customWidth="1"/>
    <col min="11023" max="11023" width="13.54296875" style="173" customWidth="1"/>
    <col min="11024" max="11024" width="12.7265625" style="173" customWidth="1"/>
    <col min="11025" max="11025" width="11.1796875" style="173" customWidth="1"/>
    <col min="11026" max="11026" width="7.54296875" style="173" customWidth="1"/>
    <col min="11027" max="11265" width="9.1796875" style="173"/>
    <col min="11266" max="11266" width="0" style="173" hidden="1" customWidth="1"/>
    <col min="11267" max="11267" width="22.54296875" style="173" customWidth="1"/>
    <col min="11268" max="11268" width="2.453125" style="173" customWidth="1"/>
    <col min="11269" max="11269" width="11.26953125" style="173" customWidth="1"/>
    <col min="11270" max="11270" width="12.81640625" style="173" customWidth="1"/>
    <col min="11271" max="11271" width="12.26953125" style="173" customWidth="1"/>
    <col min="11272" max="11272" width="13.26953125" style="173" customWidth="1"/>
    <col min="11273" max="11273" width="16.81640625" style="173" bestFit="1" customWidth="1"/>
    <col min="11274" max="11275" width="12.1796875" style="173" customWidth="1"/>
    <col min="11276" max="11278" width="13.1796875" style="173" customWidth="1"/>
    <col min="11279" max="11279" width="13.54296875" style="173" customWidth="1"/>
    <col min="11280" max="11280" width="12.7265625" style="173" customWidth="1"/>
    <col min="11281" max="11281" width="11.1796875" style="173" customWidth="1"/>
    <col min="11282" max="11282" width="7.54296875" style="173" customWidth="1"/>
    <col min="11283" max="11521" width="9.1796875" style="173"/>
    <col min="11522" max="11522" width="0" style="173" hidden="1" customWidth="1"/>
    <col min="11523" max="11523" width="22.54296875" style="173" customWidth="1"/>
    <col min="11524" max="11524" width="2.453125" style="173" customWidth="1"/>
    <col min="11525" max="11525" width="11.26953125" style="173" customWidth="1"/>
    <col min="11526" max="11526" width="12.81640625" style="173" customWidth="1"/>
    <col min="11527" max="11527" width="12.26953125" style="173" customWidth="1"/>
    <col min="11528" max="11528" width="13.26953125" style="173" customWidth="1"/>
    <col min="11529" max="11529" width="16.81640625" style="173" bestFit="1" customWidth="1"/>
    <col min="11530" max="11531" width="12.1796875" style="173" customWidth="1"/>
    <col min="11532" max="11534" width="13.1796875" style="173" customWidth="1"/>
    <col min="11535" max="11535" width="13.54296875" style="173" customWidth="1"/>
    <col min="11536" max="11536" width="12.7265625" style="173" customWidth="1"/>
    <col min="11537" max="11537" width="11.1796875" style="173" customWidth="1"/>
    <col min="11538" max="11538" width="7.54296875" style="173" customWidth="1"/>
    <col min="11539" max="11777" width="9.1796875" style="173"/>
    <col min="11778" max="11778" width="0" style="173" hidden="1" customWidth="1"/>
    <col min="11779" max="11779" width="22.54296875" style="173" customWidth="1"/>
    <col min="11780" max="11780" width="2.453125" style="173" customWidth="1"/>
    <col min="11781" max="11781" width="11.26953125" style="173" customWidth="1"/>
    <col min="11782" max="11782" width="12.81640625" style="173" customWidth="1"/>
    <col min="11783" max="11783" width="12.26953125" style="173" customWidth="1"/>
    <col min="11784" max="11784" width="13.26953125" style="173" customWidth="1"/>
    <col min="11785" max="11785" width="16.81640625" style="173" bestFit="1" customWidth="1"/>
    <col min="11786" max="11787" width="12.1796875" style="173" customWidth="1"/>
    <col min="11788" max="11790" width="13.1796875" style="173" customWidth="1"/>
    <col min="11791" max="11791" width="13.54296875" style="173" customWidth="1"/>
    <col min="11792" max="11792" width="12.7265625" style="173" customWidth="1"/>
    <col min="11793" max="11793" width="11.1796875" style="173" customWidth="1"/>
    <col min="11794" max="11794" width="7.54296875" style="173" customWidth="1"/>
    <col min="11795" max="12033" width="9.1796875" style="173"/>
    <col min="12034" max="12034" width="0" style="173" hidden="1" customWidth="1"/>
    <col min="12035" max="12035" width="22.54296875" style="173" customWidth="1"/>
    <col min="12036" max="12036" width="2.453125" style="173" customWidth="1"/>
    <col min="12037" max="12037" width="11.26953125" style="173" customWidth="1"/>
    <col min="12038" max="12038" width="12.81640625" style="173" customWidth="1"/>
    <col min="12039" max="12039" width="12.26953125" style="173" customWidth="1"/>
    <col min="12040" max="12040" width="13.26953125" style="173" customWidth="1"/>
    <col min="12041" max="12041" width="16.81640625" style="173" bestFit="1" customWidth="1"/>
    <col min="12042" max="12043" width="12.1796875" style="173" customWidth="1"/>
    <col min="12044" max="12046" width="13.1796875" style="173" customWidth="1"/>
    <col min="12047" max="12047" width="13.54296875" style="173" customWidth="1"/>
    <col min="12048" max="12048" width="12.7265625" style="173" customWidth="1"/>
    <col min="12049" max="12049" width="11.1796875" style="173" customWidth="1"/>
    <col min="12050" max="12050" width="7.54296875" style="173" customWidth="1"/>
    <col min="12051" max="12289" width="9.1796875" style="173"/>
    <col min="12290" max="12290" width="0" style="173" hidden="1" customWidth="1"/>
    <col min="12291" max="12291" width="22.54296875" style="173" customWidth="1"/>
    <col min="12292" max="12292" width="2.453125" style="173" customWidth="1"/>
    <col min="12293" max="12293" width="11.26953125" style="173" customWidth="1"/>
    <col min="12294" max="12294" width="12.81640625" style="173" customWidth="1"/>
    <col min="12295" max="12295" width="12.26953125" style="173" customWidth="1"/>
    <col min="12296" max="12296" width="13.26953125" style="173" customWidth="1"/>
    <col min="12297" max="12297" width="16.81640625" style="173" bestFit="1" customWidth="1"/>
    <col min="12298" max="12299" width="12.1796875" style="173" customWidth="1"/>
    <col min="12300" max="12302" width="13.1796875" style="173" customWidth="1"/>
    <col min="12303" max="12303" width="13.54296875" style="173" customWidth="1"/>
    <col min="12304" max="12304" width="12.7265625" style="173" customWidth="1"/>
    <col min="12305" max="12305" width="11.1796875" style="173" customWidth="1"/>
    <col min="12306" max="12306" width="7.54296875" style="173" customWidth="1"/>
    <col min="12307" max="12545" width="9.1796875" style="173"/>
    <col min="12546" max="12546" width="0" style="173" hidden="1" customWidth="1"/>
    <col min="12547" max="12547" width="22.54296875" style="173" customWidth="1"/>
    <col min="12548" max="12548" width="2.453125" style="173" customWidth="1"/>
    <col min="12549" max="12549" width="11.26953125" style="173" customWidth="1"/>
    <col min="12550" max="12550" width="12.81640625" style="173" customWidth="1"/>
    <col min="12551" max="12551" width="12.26953125" style="173" customWidth="1"/>
    <col min="12552" max="12552" width="13.26953125" style="173" customWidth="1"/>
    <col min="12553" max="12553" width="16.81640625" style="173" bestFit="1" customWidth="1"/>
    <col min="12554" max="12555" width="12.1796875" style="173" customWidth="1"/>
    <col min="12556" max="12558" width="13.1796875" style="173" customWidth="1"/>
    <col min="12559" max="12559" width="13.54296875" style="173" customWidth="1"/>
    <col min="12560" max="12560" width="12.7265625" style="173" customWidth="1"/>
    <col min="12561" max="12561" width="11.1796875" style="173" customWidth="1"/>
    <col min="12562" max="12562" width="7.54296875" style="173" customWidth="1"/>
    <col min="12563" max="12801" width="9.1796875" style="173"/>
    <col min="12802" max="12802" width="0" style="173" hidden="1" customWidth="1"/>
    <col min="12803" max="12803" width="22.54296875" style="173" customWidth="1"/>
    <col min="12804" max="12804" width="2.453125" style="173" customWidth="1"/>
    <col min="12805" max="12805" width="11.26953125" style="173" customWidth="1"/>
    <col min="12806" max="12806" width="12.81640625" style="173" customWidth="1"/>
    <col min="12807" max="12807" width="12.26953125" style="173" customWidth="1"/>
    <col min="12808" max="12808" width="13.26953125" style="173" customWidth="1"/>
    <col min="12809" max="12809" width="16.81640625" style="173" bestFit="1" customWidth="1"/>
    <col min="12810" max="12811" width="12.1796875" style="173" customWidth="1"/>
    <col min="12812" max="12814" width="13.1796875" style="173" customWidth="1"/>
    <col min="12815" max="12815" width="13.54296875" style="173" customWidth="1"/>
    <col min="12816" max="12816" width="12.7265625" style="173" customWidth="1"/>
    <col min="12817" max="12817" width="11.1796875" style="173" customWidth="1"/>
    <col min="12818" max="12818" width="7.54296875" style="173" customWidth="1"/>
    <col min="12819" max="13057" width="9.1796875" style="173"/>
    <col min="13058" max="13058" width="0" style="173" hidden="1" customWidth="1"/>
    <col min="13059" max="13059" width="22.54296875" style="173" customWidth="1"/>
    <col min="13060" max="13060" width="2.453125" style="173" customWidth="1"/>
    <col min="13061" max="13061" width="11.26953125" style="173" customWidth="1"/>
    <col min="13062" max="13062" width="12.81640625" style="173" customWidth="1"/>
    <col min="13063" max="13063" width="12.26953125" style="173" customWidth="1"/>
    <col min="13064" max="13064" width="13.26953125" style="173" customWidth="1"/>
    <col min="13065" max="13065" width="16.81640625" style="173" bestFit="1" customWidth="1"/>
    <col min="13066" max="13067" width="12.1796875" style="173" customWidth="1"/>
    <col min="13068" max="13070" width="13.1796875" style="173" customWidth="1"/>
    <col min="13071" max="13071" width="13.54296875" style="173" customWidth="1"/>
    <col min="13072" max="13072" width="12.7265625" style="173" customWidth="1"/>
    <col min="13073" max="13073" width="11.1796875" style="173" customWidth="1"/>
    <col min="13074" max="13074" width="7.54296875" style="173" customWidth="1"/>
    <col min="13075" max="13313" width="9.1796875" style="173"/>
    <col min="13314" max="13314" width="0" style="173" hidden="1" customWidth="1"/>
    <col min="13315" max="13315" width="22.54296875" style="173" customWidth="1"/>
    <col min="13316" max="13316" width="2.453125" style="173" customWidth="1"/>
    <col min="13317" max="13317" width="11.26953125" style="173" customWidth="1"/>
    <col min="13318" max="13318" width="12.81640625" style="173" customWidth="1"/>
    <col min="13319" max="13319" width="12.26953125" style="173" customWidth="1"/>
    <col min="13320" max="13320" width="13.26953125" style="173" customWidth="1"/>
    <col min="13321" max="13321" width="16.81640625" style="173" bestFit="1" customWidth="1"/>
    <col min="13322" max="13323" width="12.1796875" style="173" customWidth="1"/>
    <col min="13324" max="13326" width="13.1796875" style="173" customWidth="1"/>
    <col min="13327" max="13327" width="13.54296875" style="173" customWidth="1"/>
    <col min="13328" max="13328" width="12.7265625" style="173" customWidth="1"/>
    <col min="13329" max="13329" width="11.1796875" style="173" customWidth="1"/>
    <col min="13330" max="13330" width="7.54296875" style="173" customWidth="1"/>
    <col min="13331" max="13569" width="9.1796875" style="173"/>
    <col min="13570" max="13570" width="0" style="173" hidden="1" customWidth="1"/>
    <col min="13571" max="13571" width="22.54296875" style="173" customWidth="1"/>
    <col min="13572" max="13572" width="2.453125" style="173" customWidth="1"/>
    <col min="13573" max="13573" width="11.26953125" style="173" customWidth="1"/>
    <col min="13574" max="13574" width="12.81640625" style="173" customWidth="1"/>
    <col min="13575" max="13575" width="12.26953125" style="173" customWidth="1"/>
    <col min="13576" max="13576" width="13.26953125" style="173" customWidth="1"/>
    <col min="13577" max="13577" width="16.81640625" style="173" bestFit="1" customWidth="1"/>
    <col min="13578" max="13579" width="12.1796875" style="173" customWidth="1"/>
    <col min="13580" max="13582" width="13.1796875" style="173" customWidth="1"/>
    <col min="13583" max="13583" width="13.54296875" style="173" customWidth="1"/>
    <col min="13584" max="13584" width="12.7265625" style="173" customWidth="1"/>
    <col min="13585" max="13585" width="11.1796875" style="173" customWidth="1"/>
    <col min="13586" max="13586" width="7.54296875" style="173" customWidth="1"/>
    <col min="13587" max="13825" width="9.1796875" style="173"/>
    <col min="13826" max="13826" width="0" style="173" hidden="1" customWidth="1"/>
    <col min="13827" max="13827" width="22.54296875" style="173" customWidth="1"/>
    <col min="13828" max="13828" width="2.453125" style="173" customWidth="1"/>
    <col min="13829" max="13829" width="11.26953125" style="173" customWidth="1"/>
    <col min="13830" max="13830" width="12.81640625" style="173" customWidth="1"/>
    <col min="13831" max="13831" width="12.26953125" style="173" customWidth="1"/>
    <col min="13832" max="13832" width="13.26953125" style="173" customWidth="1"/>
    <col min="13833" max="13833" width="16.81640625" style="173" bestFit="1" customWidth="1"/>
    <col min="13834" max="13835" width="12.1796875" style="173" customWidth="1"/>
    <col min="13836" max="13838" width="13.1796875" style="173" customWidth="1"/>
    <col min="13839" max="13839" width="13.54296875" style="173" customWidth="1"/>
    <col min="13840" max="13840" width="12.7265625" style="173" customWidth="1"/>
    <col min="13841" max="13841" width="11.1796875" style="173" customWidth="1"/>
    <col min="13842" max="13842" width="7.54296875" style="173" customWidth="1"/>
    <col min="13843" max="14081" width="9.1796875" style="173"/>
    <col min="14082" max="14082" width="0" style="173" hidden="1" customWidth="1"/>
    <col min="14083" max="14083" width="22.54296875" style="173" customWidth="1"/>
    <col min="14084" max="14084" width="2.453125" style="173" customWidth="1"/>
    <col min="14085" max="14085" width="11.26953125" style="173" customWidth="1"/>
    <col min="14086" max="14086" width="12.81640625" style="173" customWidth="1"/>
    <col min="14087" max="14087" width="12.26953125" style="173" customWidth="1"/>
    <col min="14088" max="14088" width="13.26953125" style="173" customWidth="1"/>
    <col min="14089" max="14089" width="16.81640625" style="173" bestFit="1" customWidth="1"/>
    <col min="14090" max="14091" width="12.1796875" style="173" customWidth="1"/>
    <col min="14092" max="14094" width="13.1796875" style="173" customWidth="1"/>
    <col min="14095" max="14095" width="13.54296875" style="173" customWidth="1"/>
    <col min="14096" max="14096" width="12.7265625" style="173" customWidth="1"/>
    <col min="14097" max="14097" width="11.1796875" style="173" customWidth="1"/>
    <col min="14098" max="14098" width="7.54296875" style="173" customWidth="1"/>
    <col min="14099" max="14337" width="9.1796875" style="173"/>
    <col min="14338" max="14338" width="0" style="173" hidden="1" customWidth="1"/>
    <col min="14339" max="14339" width="22.54296875" style="173" customWidth="1"/>
    <col min="14340" max="14340" width="2.453125" style="173" customWidth="1"/>
    <col min="14341" max="14341" width="11.26953125" style="173" customWidth="1"/>
    <col min="14342" max="14342" width="12.81640625" style="173" customWidth="1"/>
    <col min="14343" max="14343" width="12.26953125" style="173" customWidth="1"/>
    <col min="14344" max="14344" width="13.26953125" style="173" customWidth="1"/>
    <col min="14345" max="14345" width="16.81640625" style="173" bestFit="1" customWidth="1"/>
    <col min="14346" max="14347" width="12.1796875" style="173" customWidth="1"/>
    <col min="14348" max="14350" width="13.1796875" style="173" customWidth="1"/>
    <col min="14351" max="14351" width="13.54296875" style="173" customWidth="1"/>
    <col min="14352" max="14352" width="12.7265625" style="173" customWidth="1"/>
    <col min="14353" max="14353" width="11.1796875" style="173" customWidth="1"/>
    <col min="14354" max="14354" width="7.54296875" style="173" customWidth="1"/>
    <col min="14355" max="14593" width="9.1796875" style="173"/>
    <col min="14594" max="14594" width="0" style="173" hidden="1" customWidth="1"/>
    <col min="14595" max="14595" width="22.54296875" style="173" customWidth="1"/>
    <col min="14596" max="14596" width="2.453125" style="173" customWidth="1"/>
    <col min="14597" max="14597" width="11.26953125" style="173" customWidth="1"/>
    <col min="14598" max="14598" width="12.81640625" style="173" customWidth="1"/>
    <col min="14599" max="14599" width="12.26953125" style="173" customWidth="1"/>
    <col min="14600" max="14600" width="13.26953125" style="173" customWidth="1"/>
    <col min="14601" max="14601" width="16.81640625" style="173" bestFit="1" customWidth="1"/>
    <col min="14602" max="14603" width="12.1796875" style="173" customWidth="1"/>
    <col min="14604" max="14606" width="13.1796875" style="173" customWidth="1"/>
    <col min="14607" max="14607" width="13.54296875" style="173" customWidth="1"/>
    <col min="14608" max="14608" width="12.7265625" style="173" customWidth="1"/>
    <col min="14609" max="14609" width="11.1796875" style="173" customWidth="1"/>
    <col min="14610" max="14610" width="7.54296875" style="173" customWidth="1"/>
    <col min="14611" max="14849" width="9.1796875" style="173"/>
    <col min="14850" max="14850" width="0" style="173" hidden="1" customWidth="1"/>
    <col min="14851" max="14851" width="22.54296875" style="173" customWidth="1"/>
    <col min="14852" max="14852" width="2.453125" style="173" customWidth="1"/>
    <col min="14853" max="14853" width="11.26953125" style="173" customWidth="1"/>
    <col min="14854" max="14854" width="12.81640625" style="173" customWidth="1"/>
    <col min="14855" max="14855" width="12.26953125" style="173" customWidth="1"/>
    <col min="14856" max="14856" width="13.26953125" style="173" customWidth="1"/>
    <col min="14857" max="14857" width="16.81640625" style="173" bestFit="1" customWidth="1"/>
    <col min="14858" max="14859" width="12.1796875" style="173" customWidth="1"/>
    <col min="14860" max="14862" width="13.1796875" style="173" customWidth="1"/>
    <col min="14863" max="14863" width="13.54296875" style="173" customWidth="1"/>
    <col min="14864" max="14864" width="12.7265625" style="173" customWidth="1"/>
    <col min="14865" max="14865" width="11.1796875" style="173" customWidth="1"/>
    <col min="14866" max="14866" width="7.54296875" style="173" customWidth="1"/>
    <col min="14867" max="15105" width="9.1796875" style="173"/>
    <col min="15106" max="15106" width="0" style="173" hidden="1" customWidth="1"/>
    <col min="15107" max="15107" width="22.54296875" style="173" customWidth="1"/>
    <col min="15108" max="15108" width="2.453125" style="173" customWidth="1"/>
    <col min="15109" max="15109" width="11.26953125" style="173" customWidth="1"/>
    <col min="15110" max="15110" width="12.81640625" style="173" customWidth="1"/>
    <col min="15111" max="15111" width="12.26953125" style="173" customWidth="1"/>
    <col min="15112" max="15112" width="13.26953125" style="173" customWidth="1"/>
    <col min="15113" max="15113" width="16.81640625" style="173" bestFit="1" customWidth="1"/>
    <col min="15114" max="15115" width="12.1796875" style="173" customWidth="1"/>
    <col min="15116" max="15118" width="13.1796875" style="173" customWidth="1"/>
    <col min="15119" max="15119" width="13.54296875" style="173" customWidth="1"/>
    <col min="15120" max="15120" width="12.7265625" style="173" customWidth="1"/>
    <col min="15121" max="15121" width="11.1796875" style="173" customWidth="1"/>
    <col min="15122" max="15122" width="7.54296875" style="173" customWidth="1"/>
    <col min="15123" max="15361" width="9.1796875" style="173"/>
    <col min="15362" max="15362" width="0" style="173" hidden="1" customWidth="1"/>
    <col min="15363" max="15363" width="22.54296875" style="173" customWidth="1"/>
    <col min="15364" max="15364" width="2.453125" style="173" customWidth="1"/>
    <col min="15365" max="15365" width="11.26953125" style="173" customWidth="1"/>
    <col min="15366" max="15366" width="12.81640625" style="173" customWidth="1"/>
    <col min="15367" max="15367" width="12.26953125" style="173" customWidth="1"/>
    <col min="15368" max="15368" width="13.26953125" style="173" customWidth="1"/>
    <col min="15369" max="15369" width="16.81640625" style="173" bestFit="1" customWidth="1"/>
    <col min="15370" max="15371" width="12.1796875" style="173" customWidth="1"/>
    <col min="15372" max="15374" width="13.1796875" style="173" customWidth="1"/>
    <col min="15375" max="15375" width="13.54296875" style="173" customWidth="1"/>
    <col min="15376" max="15376" width="12.7265625" style="173" customWidth="1"/>
    <col min="15377" max="15377" width="11.1796875" style="173" customWidth="1"/>
    <col min="15378" max="15378" width="7.54296875" style="173" customWidth="1"/>
    <col min="15379" max="15617" width="9.1796875" style="173"/>
    <col min="15618" max="15618" width="0" style="173" hidden="1" customWidth="1"/>
    <col min="15619" max="15619" width="22.54296875" style="173" customWidth="1"/>
    <col min="15620" max="15620" width="2.453125" style="173" customWidth="1"/>
    <col min="15621" max="15621" width="11.26953125" style="173" customWidth="1"/>
    <col min="15622" max="15622" width="12.81640625" style="173" customWidth="1"/>
    <col min="15623" max="15623" width="12.26953125" style="173" customWidth="1"/>
    <col min="15624" max="15624" width="13.26953125" style="173" customWidth="1"/>
    <col min="15625" max="15625" width="16.81640625" style="173" bestFit="1" customWidth="1"/>
    <col min="15626" max="15627" width="12.1796875" style="173" customWidth="1"/>
    <col min="15628" max="15630" width="13.1796875" style="173" customWidth="1"/>
    <col min="15631" max="15631" width="13.54296875" style="173" customWidth="1"/>
    <col min="15632" max="15632" width="12.7265625" style="173" customWidth="1"/>
    <col min="15633" max="15633" width="11.1796875" style="173" customWidth="1"/>
    <col min="15634" max="15634" width="7.54296875" style="173" customWidth="1"/>
    <col min="15635" max="15873" width="9.1796875" style="173"/>
    <col min="15874" max="15874" width="0" style="173" hidden="1" customWidth="1"/>
    <col min="15875" max="15875" width="22.54296875" style="173" customWidth="1"/>
    <col min="15876" max="15876" width="2.453125" style="173" customWidth="1"/>
    <col min="15877" max="15877" width="11.26953125" style="173" customWidth="1"/>
    <col min="15878" max="15878" width="12.81640625" style="173" customWidth="1"/>
    <col min="15879" max="15879" width="12.26953125" style="173" customWidth="1"/>
    <col min="15880" max="15880" width="13.26953125" style="173" customWidth="1"/>
    <col min="15881" max="15881" width="16.81640625" style="173" bestFit="1" customWidth="1"/>
    <col min="15882" max="15883" width="12.1796875" style="173" customWidth="1"/>
    <col min="15884" max="15886" width="13.1796875" style="173" customWidth="1"/>
    <col min="15887" max="15887" width="13.54296875" style="173" customWidth="1"/>
    <col min="15888" max="15888" width="12.7265625" style="173" customWidth="1"/>
    <col min="15889" max="15889" width="11.1796875" style="173" customWidth="1"/>
    <col min="15890" max="15890" width="7.54296875" style="173" customWidth="1"/>
    <col min="15891" max="16129" width="9.1796875" style="173"/>
    <col min="16130" max="16130" width="0" style="173" hidden="1" customWidth="1"/>
    <col min="16131" max="16131" width="22.54296875" style="173" customWidth="1"/>
    <col min="16132" max="16132" width="2.453125" style="173" customWidth="1"/>
    <col min="16133" max="16133" width="11.26953125" style="173" customWidth="1"/>
    <col min="16134" max="16134" width="12.81640625" style="173" customWidth="1"/>
    <col min="16135" max="16135" width="12.26953125" style="173" customWidth="1"/>
    <col min="16136" max="16136" width="13.26953125" style="173" customWidth="1"/>
    <col min="16137" max="16137" width="16.81640625" style="173" bestFit="1" customWidth="1"/>
    <col min="16138" max="16139" width="12.1796875" style="173" customWidth="1"/>
    <col min="16140" max="16142" width="13.1796875" style="173" customWidth="1"/>
    <col min="16143" max="16143" width="13.54296875" style="173" customWidth="1"/>
    <col min="16144" max="16144" width="12.7265625" style="173" customWidth="1"/>
    <col min="16145" max="16145" width="11.1796875" style="173" customWidth="1"/>
    <col min="16146" max="16146" width="7.54296875" style="173" customWidth="1"/>
    <col min="16147" max="16384" width="9.1796875" style="173"/>
  </cols>
  <sheetData>
    <row r="1" spans="1:44" s="160" customFormat="1" ht="24.75" customHeight="1" x14ac:dyDescent="0.35">
      <c r="A1" s="195"/>
      <c r="B1" s="195"/>
      <c r="C1" s="407" t="s">
        <v>315</v>
      </c>
      <c r="D1" s="407"/>
      <c r="E1" s="407"/>
      <c r="F1" s="407"/>
      <c r="G1" s="407"/>
      <c r="H1" s="407"/>
      <c r="I1" s="407"/>
      <c r="J1" s="407"/>
      <c r="K1" s="407"/>
      <c r="L1" s="407"/>
      <c r="M1" s="407"/>
      <c r="N1" s="407"/>
      <c r="O1" s="407"/>
      <c r="P1" s="407"/>
      <c r="R1" s="408" t="s">
        <v>319</v>
      </c>
      <c r="S1" s="408"/>
      <c r="T1" s="408"/>
      <c r="U1" s="408"/>
      <c r="V1" s="408"/>
      <c r="W1" s="408"/>
      <c r="X1" s="408"/>
      <c r="Y1" s="408"/>
      <c r="Z1" s="408"/>
      <c r="AA1" s="408"/>
    </row>
    <row r="2" spans="1:44" s="165" customFormat="1" ht="34.5" customHeight="1" x14ac:dyDescent="0.35">
      <c r="A2" s="161"/>
      <c r="B2" s="162"/>
      <c r="C2" s="163"/>
      <c r="D2" s="409" t="s">
        <v>167</v>
      </c>
      <c r="E2" s="409"/>
      <c r="F2" s="163"/>
      <c r="G2" s="163"/>
      <c r="H2" s="163"/>
      <c r="I2" s="410" t="s">
        <v>168</v>
      </c>
      <c r="J2" s="410"/>
      <c r="K2" s="410"/>
      <c r="L2" s="164"/>
      <c r="M2" s="164"/>
      <c r="N2" s="410" t="s">
        <v>169</v>
      </c>
      <c r="O2" s="410"/>
      <c r="P2" s="410"/>
      <c r="T2" s="166"/>
      <c r="U2" s="166"/>
    </row>
    <row r="3" spans="1:44" s="165" customFormat="1" ht="40" x14ac:dyDescent="0.35">
      <c r="A3" s="161"/>
      <c r="B3" s="167"/>
      <c r="C3" s="168"/>
      <c r="D3" s="168" t="s">
        <v>170</v>
      </c>
      <c r="E3" s="168" t="s">
        <v>171</v>
      </c>
      <c r="F3" s="168" t="s">
        <v>174</v>
      </c>
      <c r="G3" s="168"/>
      <c r="H3" s="168"/>
      <c r="I3" s="169" t="s">
        <v>175</v>
      </c>
      <c r="J3" s="168" t="s">
        <v>176</v>
      </c>
      <c r="K3" s="168" t="s">
        <v>313</v>
      </c>
      <c r="L3" s="168"/>
      <c r="M3" s="168"/>
      <c r="N3" s="168" t="s">
        <v>314</v>
      </c>
      <c r="O3" s="168" t="s">
        <v>179</v>
      </c>
      <c r="P3" s="168" t="s">
        <v>180</v>
      </c>
      <c r="R3" s="196" t="s">
        <v>738</v>
      </c>
      <c r="S3" s="197" t="s">
        <v>170</v>
      </c>
      <c r="T3" s="197" t="s">
        <v>171</v>
      </c>
      <c r="U3" s="197" t="s">
        <v>222</v>
      </c>
      <c r="V3" s="197" t="s">
        <v>175</v>
      </c>
      <c r="W3" s="197" t="s">
        <v>176</v>
      </c>
      <c r="X3" s="197" t="s">
        <v>218</v>
      </c>
      <c r="Y3" s="197" t="s">
        <v>219</v>
      </c>
      <c r="Z3" s="197" t="s">
        <v>179</v>
      </c>
      <c r="AA3" s="197" t="s">
        <v>180</v>
      </c>
    </row>
    <row r="4" spans="1:44" s="175" customFormat="1" ht="25.5" customHeight="1" x14ac:dyDescent="0.35">
      <c r="A4" s="170" t="s">
        <v>181</v>
      </c>
      <c r="B4" s="171"/>
      <c r="C4" s="172"/>
      <c r="D4" s="172">
        <f>'(2019)'!H4-'(2018)'!H4</f>
        <v>-19</v>
      </c>
      <c r="E4" s="172">
        <f>'(2019)'!I4-'(2018)'!I4</f>
        <v>20</v>
      </c>
      <c r="F4" s="172">
        <f>'(2019)'!J4-'(2018)'!J4</f>
        <v>0</v>
      </c>
      <c r="G4" s="172"/>
      <c r="H4" s="172"/>
      <c r="I4" s="172">
        <f>'(2019)'!K4-'(2018)'!K4</f>
        <v>-11</v>
      </c>
      <c r="J4" s="172">
        <f>'(2019)'!L4-'(2018)'!L4</f>
        <v>-5</v>
      </c>
      <c r="K4" s="172">
        <f>'(2019)'!M4-'(2018)'!M4</f>
        <v>6</v>
      </c>
      <c r="L4" s="172"/>
      <c r="M4" s="172"/>
      <c r="N4" s="172">
        <f>'(2019)'!N4-'(2018)'!N4</f>
        <v>129</v>
      </c>
      <c r="O4" s="172">
        <f>'(2019)'!O4-'(2018)'!O4</f>
        <v>4</v>
      </c>
      <c r="P4" s="172">
        <f>'(2019)'!P4-'(2018)'!P4</f>
        <v>-2</v>
      </c>
      <c r="Q4" s="170"/>
      <c r="R4" s="170" t="s">
        <v>316</v>
      </c>
      <c r="S4" s="173">
        <f>'(2018)'!H4-'(2018)'!H5-'(2018)'!H44</f>
        <v>0</v>
      </c>
      <c r="T4" s="173">
        <f>'(2018)'!I4-'(2018)'!I5-'(2018)'!I44</f>
        <v>0</v>
      </c>
      <c r="U4" s="173">
        <f>'(2018)'!J4-'(2018)'!J5-'(2018)'!J44</f>
        <v>0</v>
      </c>
      <c r="V4" s="173">
        <f>'(2018)'!K4-'(2018)'!K5-'(2018)'!K44</f>
        <v>0</v>
      </c>
      <c r="W4" s="173">
        <f>'(2018)'!L4-'(2018)'!L5-'(2018)'!L44</f>
        <v>0</v>
      </c>
      <c r="X4" s="173">
        <f>'(2018)'!M4-'(2018)'!M5-'(2018)'!M44</f>
        <v>0</v>
      </c>
      <c r="Y4" s="173">
        <f>'(2018)'!N4-'(2018)'!N5-'(2018)'!N44</f>
        <v>0</v>
      </c>
      <c r="Z4" s="173">
        <f>'(2018)'!O4-'(2018)'!O5-'(2018)'!O44</f>
        <v>0</v>
      </c>
      <c r="AA4" s="173">
        <f>'(2018)'!P4-'(2018)'!P5-'(2018)'!P44</f>
        <v>0</v>
      </c>
      <c r="AB4" s="165"/>
      <c r="AC4" s="174"/>
      <c r="AD4" s="174"/>
      <c r="AE4" s="174"/>
      <c r="AF4" s="173"/>
      <c r="AG4" s="165"/>
      <c r="AH4" s="165"/>
      <c r="AI4" s="165"/>
      <c r="AJ4" s="173"/>
      <c r="AK4" s="174"/>
      <c r="AL4" s="174"/>
      <c r="AM4" s="174"/>
      <c r="AN4" s="173"/>
      <c r="AO4" s="173"/>
      <c r="AP4" s="173"/>
      <c r="AQ4" s="173"/>
      <c r="AR4" s="173"/>
    </row>
    <row r="5" spans="1:44" s="178" customFormat="1" ht="25.5" customHeight="1" x14ac:dyDescent="0.35">
      <c r="A5" s="170" t="s">
        <v>182</v>
      </c>
      <c r="B5" s="176"/>
      <c r="C5" s="177"/>
      <c r="D5" s="172">
        <f>'(2019)'!H5-'(2018)'!H5</f>
        <v>-7</v>
      </c>
      <c r="E5" s="172">
        <f>'(2019)'!I5-'(2018)'!I5</f>
        <v>18</v>
      </c>
      <c r="F5" s="172">
        <f>'(2019)'!J5-'(2018)'!J5</f>
        <v>-8</v>
      </c>
      <c r="G5" s="172"/>
      <c r="H5" s="172"/>
      <c r="I5" s="172">
        <f>'(2019)'!K5-'(2018)'!K5</f>
        <v>2</v>
      </c>
      <c r="J5" s="172">
        <f>'(2019)'!L5-'(2018)'!L5</f>
        <v>-3</v>
      </c>
      <c r="K5" s="172">
        <f>'(2019)'!M5-'(2018)'!M5</f>
        <v>1</v>
      </c>
      <c r="L5" s="177"/>
      <c r="M5" s="177"/>
      <c r="N5" s="172">
        <f>'(2019)'!N5-'(2018)'!N5</f>
        <v>212</v>
      </c>
      <c r="O5" s="172">
        <f>'(2019)'!O5-'(2018)'!O5</f>
        <v>-7</v>
      </c>
      <c r="P5" s="172">
        <f>'(2019)'!P5-'(2018)'!P5</f>
        <v>0</v>
      </c>
      <c r="R5" s="175" t="s">
        <v>317</v>
      </c>
      <c r="S5" s="173">
        <f>'(2018)'!H44-SUM('(2018)'!H45:H51)</f>
        <v>0</v>
      </c>
      <c r="T5" s="173">
        <f>'(2018)'!I44-SUM('(2018)'!I45:I51)</f>
        <v>0</v>
      </c>
      <c r="U5" s="173">
        <f>'(2018)'!J44-SUM('(2018)'!J45:J51)</f>
        <v>0</v>
      </c>
      <c r="V5" s="173">
        <f>'(2018)'!K44-SUM('(2018)'!K45:K51)</f>
        <v>0</v>
      </c>
      <c r="W5" s="173">
        <f>'(2018)'!L44-SUM('(2018)'!L45:L51)</f>
        <v>0</v>
      </c>
      <c r="X5" s="173">
        <f>'(2018)'!M44-SUM('(2018)'!M45:M51)</f>
        <v>0</v>
      </c>
      <c r="Y5" s="173">
        <f>'(2018)'!N44-SUM('(2018)'!N45:N51)</f>
        <v>0</v>
      </c>
      <c r="Z5" s="173">
        <f>'(2018)'!O44-SUM('(2018)'!O45:O51)</f>
        <v>0</v>
      </c>
      <c r="AA5" s="173">
        <f>'(2018)'!P44-SUM('(2018)'!P45:P51)</f>
        <v>0</v>
      </c>
      <c r="AB5" s="173"/>
      <c r="AC5" s="174"/>
      <c r="AD5" s="174"/>
      <c r="AE5" s="174"/>
      <c r="AF5" s="173"/>
      <c r="AG5" s="173"/>
      <c r="AH5" s="173"/>
      <c r="AI5" s="173"/>
      <c r="AJ5" s="173"/>
      <c r="AK5" s="174"/>
      <c r="AL5" s="174"/>
      <c r="AM5" s="174"/>
      <c r="AO5" s="173"/>
      <c r="AP5" s="173"/>
      <c r="AQ5" s="173"/>
      <c r="AR5" s="173"/>
    </row>
    <row r="6" spans="1:44" ht="14.25" customHeight="1" x14ac:dyDescent="0.35">
      <c r="A6" s="180" t="s">
        <v>77</v>
      </c>
      <c r="B6" s="181"/>
      <c r="C6" s="182" t="str">
        <f>IF(VLOOKUP($A6,Fire2018!$C$10:$I$58,4,FALSE)="..","Imputed","")</f>
        <v/>
      </c>
      <c r="D6" s="172">
        <f>'(2019)'!H6-'(2018)'!H6</f>
        <v>0</v>
      </c>
      <c r="E6" s="172">
        <f>'(2019)'!I6-'(2018)'!I6</f>
        <v>0</v>
      </c>
      <c r="F6" s="172">
        <f>'(2019)'!J6-'(2018)'!J6</f>
        <v>0</v>
      </c>
      <c r="G6" s="172"/>
      <c r="H6" s="182" t="str">
        <f>IF(VLOOKUP($A6,Fire2018!$C$10:$O$58,13,FALSE)="..","Imputed","")</f>
        <v/>
      </c>
      <c r="I6" s="172">
        <f>'(2019)'!K6-'(2018)'!K6</f>
        <v>-1</v>
      </c>
      <c r="J6" s="172">
        <f>'(2019)'!L6-'(2018)'!L6</f>
        <v>0</v>
      </c>
      <c r="K6" s="172">
        <f>'(2019)'!M6-'(2018)'!M6</f>
        <v>6</v>
      </c>
      <c r="L6" s="182"/>
      <c r="M6" s="182" t="str">
        <f>IF(VLOOKUP($A6,Fire2018!$C$10:$R$58,16,FALSE)="..","Imputed","")</f>
        <v/>
      </c>
      <c r="N6" s="172">
        <f>'(2019)'!N6-'(2018)'!N6</f>
        <v>26</v>
      </c>
      <c r="O6" s="172">
        <f>'(2019)'!O6-'(2018)'!O6</f>
        <v>0</v>
      </c>
      <c r="P6" s="172">
        <f>'(2019)'!P6-'(2018)'!P6</f>
        <v>0</v>
      </c>
      <c r="Q6" s="183"/>
      <c r="R6" s="175" t="s">
        <v>318</v>
      </c>
      <c r="S6" s="173">
        <f>'(2018)'!H5-SUM('(2018)'!H6:H43)</f>
        <v>0</v>
      </c>
      <c r="T6" s="173">
        <f>'(2018)'!I5-SUM('(2018)'!I6:I43)</f>
        <v>0</v>
      </c>
      <c r="U6" s="173">
        <f>'(2018)'!J5-SUM('(2018)'!J6:J43)</f>
        <v>0</v>
      </c>
      <c r="V6" s="173">
        <f>'(2018)'!K5-SUM('(2018)'!K6:K43)</f>
        <v>0</v>
      </c>
      <c r="W6" s="173">
        <f>'(2018)'!L5-SUM('(2018)'!L6:L43)</f>
        <v>0</v>
      </c>
      <c r="X6" s="173">
        <f>'(2018)'!M5-SUM('(2018)'!M6:M43)</f>
        <v>0</v>
      </c>
      <c r="Y6" s="173">
        <f>'(2018)'!N5-SUM('(2018)'!N6:N43)</f>
        <v>0</v>
      </c>
      <c r="Z6" s="173">
        <f>'(2018)'!O5-SUM('(2018)'!O6:O43)</f>
        <v>0</v>
      </c>
      <c r="AA6" s="173">
        <f>'(2018)'!P5-SUM('(2018)'!P6:P43)</f>
        <v>0</v>
      </c>
      <c r="AC6" s="174"/>
      <c r="AD6" s="174"/>
      <c r="AE6" s="174"/>
      <c r="AK6" s="174"/>
      <c r="AL6" s="174"/>
      <c r="AM6" s="174"/>
    </row>
    <row r="7" spans="1:44" ht="14.25" customHeight="1" x14ac:dyDescent="0.35">
      <c r="A7" s="160" t="s">
        <v>75</v>
      </c>
      <c r="B7" s="181"/>
      <c r="C7" s="182" t="str">
        <f>IF(VLOOKUP($A7,Fire2018!$C$10:$I$58,4,FALSE)="..","Imputed","")</f>
        <v/>
      </c>
      <c r="D7" s="172">
        <f>'(2019)'!H7-'(2018)'!H7</f>
        <v>0</v>
      </c>
      <c r="E7" s="172">
        <f>'(2019)'!I7-'(2018)'!I7</f>
        <v>0</v>
      </c>
      <c r="F7" s="172">
        <f>'(2019)'!J7-'(2018)'!J7</f>
        <v>0</v>
      </c>
      <c r="G7" s="172"/>
      <c r="H7" s="182" t="str">
        <f>IF(VLOOKUP($A7,Fire2018!$C$10:$O$58,13,FALSE)="..","Imputed","")</f>
        <v/>
      </c>
      <c r="I7" s="172">
        <f>'(2019)'!K7-'(2018)'!K7</f>
        <v>0</v>
      </c>
      <c r="J7" s="172">
        <f>'(2019)'!L7-'(2018)'!L7</f>
        <v>0</v>
      </c>
      <c r="K7" s="172">
        <f>'(2019)'!M7-'(2018)'!M7</f>
        <v>0</v>
      </c>
      <c r="L7" s="182"/>
      <c r="M7" s="182" t="str">
        <f>IF(VLOOKUP($A7,Fire2018!$C$10:$R$58,16,FALSE)="..","Imputed","")</f>
        <v/>
      </c>
      <c r="N7" s="172">
        <f>'(2019)'!N7-'(2018)'!N7</f>
        <v>0</v>
      </c>
      <c r="O7" s="172">
        <f>'(2019)'!O7-'(2018)'!O7</f>
        <v>0</v>
      </c>
      <c r="P7" s="172">
        <f>'(2019)'!P7-'(2018)'!P7</f>
        <v>0</v>
      </c>
      <c r="V7" s="165"/>
      <c r="X7" s="174"/>
      <c r="AC7" s="174"/>
      <c r="AD7" s="174"/>
      <c r="AE7" s="174"/>
      <c r="AK7" s="174"/>
      <c r="AL7" s="174"/>
      <c r="AM7" s="174"/>
    </row>
    <row r="8" spans="1:44" ht="14.25" customHeight="1" x14ac:dyDescent="0.35">
      <c r="A8" s="160" t="s">
        <v>73</v>
      </c>
      <c r="B8" s="181"/>
      <c r="C8" s="182" t="str">
        <f>IF(VLOOKUP($A8,Fire2018!$C$10:$I$58,4,FALSE)="..","Imputed","")</f>
        <v/>
      </c>
      <c r="D8" s="172">
        <f>'(2019)'!H8-'(2018)'!H8</f>
        <v>0</v>
      </c>
      <c r="E8" s="172">
        <f>'(2019)'!I8-'(2018)'!I8</f>
        <v>0</v>
      </c>
      <c r="F8" s="172">
        <f>'(2019)'!J8-'(2018)'!J8</f>
        <v>0</v>
      </c>
      <c r="G8" s="172"/>
      <c r="H8" s="182" t="str">
        <f>IF(VLOOKUP($A8,Fire2018!$C$10:$O$58,13,FALSE)="..","Imputed","")</f>
        <v/>
      </c>
      <c r="I8" s="172">
        <f>'(2019)'!K8-'(2018)'!K8</f>
        <v>0</v>
      </c>
      <c r="J8" s="172">
        <f>'(2019)'!L8-'(2018)'!L8</f>
        <v>0</v>
      </c>
      <c r="K8" s="172">
        <f>'(2019)'!M8-'(2018)'!M8</f>
        <v>5</v>
      </c>
      <c r="L8" s="182"/>
      <c r="M8" s="182" t="str">
        <f>IF(VLOOKUP($A8,Fire2018!$C$10:$R$58,16,FALSE)="..","Imputed","")</f>
        <v/>
      </c>
      <c r="N8" s="172">
        <f>'(2019)'!N8-'(2018)'!N8</f>
        <v>-20</v>
      </c>
      <c r="O8" s="172">
        <f>'(2019)'!O8-'(2018)'!O8</f>
        <v>2</v>
      </c>
      <c r="P8" s="172">
        <f>'(2019)'!P8-'(2018)'!P8</f>
        <v>0</v>
      </c>
      <c r="R8" s="198"/>
      <c r="S8" s="199"/>
      <c r="T8" s="199"/>
      <c r="U8" s="199"/>
      <c r="V8" s="199"/>
      <c r="W8" s="199"/>
      <c r="X8" s="199"/>
      <c r="Y8" s="199"/>
      <c r="Z8" s="199"/>
      <c r="AA8" s="199"/>
      <c r="AB8" s="183"/>
      <c r="AC8" s="174"/>
      <c r="AD8" s="174"/>
      <c r="AE8" s="174"/>
      <c r="AK8" s="174"/>
      <c r="AL8" s="174"/>
      <c r="AM8" s="174"/>
    </row>
    <row r="9" spans="1:44" ht="14.25" customHeight="1" x14ac:dyDescent="0.35">
      <c r="A9" s="160" t="s">
        <v>71</v>
      </c>
      <c r="B9" s="181"/>
      <c r="C9" s="182" t="str">
        <f>IF(VLOOKUP($A9,Fire2018!$C$10:$I$58,4,FALSE)="..","Imputed","")</f>
        <v/>
      </c>
      <c r="D9" s="172">
        <f>'(2019)'!H9-'(2018)'!H9</f>
        <v>0</v>
      </c>
      <c r="E9" s="172">
        <f>'(2019)'!I9-'(2018)'!I9</f>
        <v>0</v>
      </c>
      <c r="F9" s="172">
        <f>'(2019)'!J9-'(2018)'!J9</f>
        <v>0</v>
      </c>
      <c r="G9" s="172"/>
      <c r="H9" s="182" t="str">
        <f>IF(VLOOKUP($A9,Fire2018!$C$10:$O$58,13,FALSE)="..","Imputed","")</f>
        <v/>
      </c>
      <c r="I9" s="172">
        <f>'(2019)'!K9-'(2018)'!K9</f>
        <v>0</v>
      </c>
      <c r="J9" s="172">
        <f>'(2019)'!L9-'(2018)'!L9</f>
        <v>0</v>
      </c>
      <c r="K9" s="172">
        <f>'(2019)'!M9-'(2018)'!M9</f>
        <v>0</v>
      </c>
      <c r="L9" s="182"/>
      <c r="M9" s="182" t="str">
        <f>IF(VLOOKUP($A9,Fire2018!$C$10:$R$58,16,FALSE)="..","Imputed","")</f>
        <v/>
      </c>
      <c r="N9" s="172">
        <f>'(2019)'!N9-'(2018)'!N9</f>
        <v>3</v>
      </c>
      <c r="O9" s="172">
        <f>'(2019)'!O9-'(2018)'!O9</f>
        <v>-2</v>
      </c>
      <c r="P9" s="172">
        <f>'(2019)'!P9-'(2018)'!P9</f>
        <v>0</v>
      </c>
      <c r="R9" s="172"/>
      <c r="S9" s="183"/>
      <c r="T9" s="183"/>
      <c r="U9" s="183"/>
      <c r="V9" s="183"/>
      <c r="W9" s="183"/>
      <c r="X9" s="183"/>
      <c r="Y9" s="183"/>
      <c r="Z9" s="183"/>
      <c r="AA9" s="183"/>
      <c r="AB9" s="183"/>
      <c r="AC9" s="174"/>
      <c r="AD9" s="174"/>
      <c r="AE9" s="174"/>
      <c r="AK9" s="174"/>
      <c r="AL9" s="174"/>
      <c r="AM9" s="174"/>
    </row>
    <row r="10" spans="1:44" ht="14.25" customHeight="1" x14ac:dyDescent="0.35">
      <c r="A10" s="160" t="s">
        <v>69</v>
      </c>
      <c r="B10" s="181"/>
      <c r="C10" s="182" t="str">
        <f>IF(VLOOKUP($A10,Fire2018!$C$10:$I$58,4,FALSE)="..","Imputed","")</f>
        <v/>
      </c>
      <c r="D10" s="172">
        <f>'(2019)'!H10-'(2018)'!H10</f>
        <v>0</v>
      </c>
      <c r="E10" s="172">
        <f>'(2019)'!I10-'(2018)'!I10</f>
        <v>0</v>
      </c>
      <c r="F10" s="172">
        <f>'(2019)'!J10-'(2018)'!J10</f>
        <v>0</v>
      </c>
      <c r="G10" s="172"/>
      <c r="H10" s="182" t="str">
        <f>IF(VLOOKUP($A10,Fire2018!$C$10:$O$58,13,FALSE)="..","Imputed","")</f>
        <v/>
      </c>
      <c r="I10" s="172">
        <f>'(2019)'!K10-'(2018)'!K10</f>
        <v>0</v>
      </c>
      <c r="J10" s="172">
        <f>'(2019)'!L10-'(2018)'!L10</f>
        <v>0</v>
      </c>
      <c r="K10" s="369">
        <f>'(2019)'!M10-'(2018)'!M10</f>
        <v>85</v>
      </c>
      <c r="L10" s="182"/>
      <c r="M10" s="182" t="str">
        <f>IF(VLOOKUP($A10,Fire2018!$C$10:$R$58,16,FALSE)="..","Imputed","")</f>
        <v/>
      </c>
      <c r="N10" s="369">
        <f>'(2019)'!N10-'(2018)'!N10</f>
        <v>74</v>
      </c>
      <c r="O10" s="172">
        <f>'(2019)'!O10-'(2018)'!O10</f>
        <v>0</v>
      </c>
      <c r="P10" s="172">
        <f>'(2019)'!P10-'(2018)'!P10</f>
        <v>0</v>
      </c>
      <c r="R10" s="200"/>
      <c r="S10" s="183"/>
      <c r="T10" s="183"/>
      <c r="U10" s="183"/>
      <c r="V10" s="183"/>
      <c r="W10" s="183"/>
      <c r="X10" s="183"/>
      <c r="Y10" s="183"/>
      <c r="Z10" s="183"/>
      <c r="AA10" s="183"/>
      <c r="AB10" s="183"/>
      <c r="AC10" s="174"/>
      <c r="AD10" s="174"/>
      <c r="AE10" s="174"/>
      <c r="AK10" s="174"/>
      <c r="AL10" s="174"/>
      <c r="AM10" s="174"/>
    </row>
    <row r="11" spans="1:44" ht="14.25" customHeight="1" x14ac:dyDescent="0.35">
      <c r="A11" s="160" t="s">
        <v>67</v>
      </c>
      <c r="B11" s="181"/>
      <c r="C11" s="182" t="str">
        <f>IF(VLOOKUP($A11,Fire2018!$C$10:$I$58,4,FALSE)="..","Imputed","")</f>
        <v/>
      </c>
      <c r="D11" s="172">
        <f>'(2019)'!H11-'(2018)'!H11</f>
        <v>0</v>
      </c>
      <c r="E11" s="172">
        <f>'(2019)'!I11-'(2018)'!I11</f>
        <v>0</v>
      </c>
      <c r="F11" s="172">
        <f>'(2019)'!J11-'(2018)'!J11</f>
        <v>0</v>
      </c>
      <c r="G11" s="172"/>
      <c r="H11" s="182" t="str">
        <f>IF(VLOOKUP($A11,Fire2018!$C$10:$O$58,13,FALSE)="..","Imputed","")</f>
        <v/>
      </c>
      <c r="I11" s="172">
        <f>'(2019)'!K11-'(2018)'!K11</f>
        <v>-1</v>
      </c>
      <c r="J11" s="172">
        <f>'(2019)'!L11-'(2018)'!L11</f>
        <v>0</v>
      </c>
      <c r="K11" s="172">
        <f>'(2019)'!M11-'(2018)'!M11</f>
        <v>-5</v>
      </c>
      <c r="L11" s="182"/>
      <c r="M11" s="182" t="str">
        <f>IF(VLOOKUP($A11,Fire2018!$C$10:$R$58,16,FALSE)="..","Imputed","")</f>
        <v/>
      </c>
      <c r="N11" s="172">
        <f>'(2019)'!N11-'(2018)'!N11</f>
        <v>-14</v>
      </c>
      <c r="O11" s="172">
        <f>'(2019)'!O11-'(2018)'!O11</f>
        <v>-3</v>
      </c>
      <c r="P11" s="172">
        <f>'(2019)'!P11-'(2018)'!P11</f>
        <v>0</v>
      </c>
      <c r="R11" s="408" t="s">
        <v>320</v>
      </c>
      <c r="S11" s="408"/>
      <c r="T11" s="408"/>
      <c r="U11" s="408"/>
      <c r="V11" s="408"/>
      <c r="W11" s="408"/>
      <c r="X11" s="408"/>
      <c r="Y11" s="408"/>
      <c r="Z11" s="408"/>
      <c r="AA11" s="408"/>
      <c r="AB11" s="183"/>
      <c r="AC11" s="174"/>
      <c r="AD11" s="174"/>
      <c r="AE11" s="174"/>
      <c r="AK11" s="174"/>
      <c r="AL11" s="174"/>
      <c r="AM11" s="174"/>
    </row>
    <row r="12" spans="1:44" ht="14.25" customHeight="1" x14ac:dyDescent="0.35">
      <c r="A12" s="160" t="s">
        <v>65</v>
      </c>
      <c r="B12" s="181"/>
      <c r="C12" s="182" t="str">
        <f>IF(VLOOKUP($A12,Fire2018!$C$10:$I$58,4,FALSE)="..","Imputed","")</f>
        <v/>
      </c>
      <c r="D12" s="172">
        <f>'(2019)'!H12-'(2018)'!H12</f>
        <v>0</v>
      </c>
      <c r="E12" s="172">
        <f>'(2019)'!I12-'(2018)'!I12</f>
        <v>0</v>
      </c>
      <c r="F12" s="172">
        <f>'(2019)'!J12-'(2018)'!J12</f>
        <v>0</v>
      </c>
      <c r="G12" s="172"/>
      <c r="H12" s="182" t="str">
        <f>IF(VLOOKUP($A12,Fire2018!$C$10:$O$58,13,FALSE)="..","Imputed","")</f>
        <v/>
      </c>
      <c r="I12" s="172">
        <f>'(2019)'!K12-'(2018)'!K12</f>
        <v>2</v>
      </c>
      <c r="J12" s="172">
        <f>'(2019)'!L12-'(2018)'!L12</f>
        <v>-1</v>
      </c>
      <c r="K12" s="172">
        <f>'(2019)'!M12-'(2018)'!M12</f>
        <v>-4</v>
      </c>
      <c r="L12" s="182"/>
      <c r="M12" s="182" t="str">
        <f>IF(VLOOKUP($A12,Fire2018!$C$10:$R$58,16,FALSE)="..","Imputed","")</f>
        <v/>
      </c>
      <c r="N12" s="172">
        <f>'(2019)'!N12-'(2018)'!N12</f>
        <v>5</v>
      </c>
      <c r="O12" s="172">
        <f>'(2019)'!O12-'(2018)'!O12</f>
        <v>-2</v>
      </c>
      <c r="P12" s="172">
        <f>'(2019)'!P12-'(2018)'!P12</f>
        <v>0</v>
      </c>
      <c r="V12" s="165"/>
      <c r="X12" s="174"/>
      <c r="AC12" s="174"/>
      <c r="AD12" s="174"/>
      <c r="AE12" s="174"/>
      <c r="AK12" s="174"/>
      <c r="AL12" s="174"/>
      <c r="AM12" s="174"/>
    </row>
    <row r="13" spans="1:44" ht="14.25" customHeight="1" x14ac:dyDescent="0.35">
      <c r="A13" s="160" t="s">
        <v>108</v>
      </c>
      <c r="B13" s="181"/>
      <c r="C13" s="182" t="str">
        <f>IF(VLOOKUP($A13,Fire2018!$C$10:$I$58,4,FALSE)="..","Imputed","")</f>
        <v/>
      </c>
      <c r="D13" s="172">
        <f>'(2019)'!H13-'(2018)'!H13</f>
        <v>0</v>
      </c>
      <c r="E13" s="172">
        <f>'(2019)'!I13-'(2018)'!I13</f>
        <v>0</v>
      </c>
      <c r="F13" s="172">
        <f>'(2019)'!J13-'(2018)'!J13</f>
        <v>0</v>
      </c>
      <c r="G13" s="172"/>
      <c r="H13" s="182" t="str">
        <f>IF(VLOOKUP($A13,Fire2018!$C$10:$O$58,13,FALSE)="..","Imputed","")</f>
        <v/>
      </c>
      <c r="I13" s="172">
        <f>'(2019)'!K13-'(2018)'!K13</f>
        <v>-1</v>
      </c>
      <c r="J13" s="172">
        <f>'(2019)'!L13-'(2018)'!L13</f>
        <v>0</v>
      </c>
      <c r="K13" s="172">
        <f>'(2019)'!M13-'(2018)'!M13</f>
        <v>1</v>
      </c>
      <c r="L13" s="182"/>
      <c r="M13" s="182" t="str">
        <f>IF(VLOOKUP($A13,Fire2018!$C$10:$R$58,16,FALSE)="..","Imputed","")</f>
        <v/>
      </c>
      <c r="N13" s="172">
        <f>'(2019)'!N13-'(2018)'!N13</f>
        <v>-5</v>
      </c>
      <c r="O13" s="172">
        <f>'(2019)'!O13-'(2018)'!O13</f>
        <v>0</v>
      </c>
      <c r="P13" s="172">
        <f>'(2019)'!P13-'(2018)'!P13</f>
        <v>1</v>
      </c>
      <c r="S13" s="173" t="s">
        <v>321</v>
      </c>
      <c r="T13" s="179" t="s">
        <v>217</v>
      </c>
      <c r="U13" s="179" t="s">
        <v>322</v>
      </c>
      <c r="V13" s="165"/>
      <c r="X13" s="174"/>
      <c r="AC13" s="174"/>
      <c r="AD13" s="174"/>
      <c r="AE13" s="174"/>
      <c r="AK13" s="174"/>
      <c r="AL13" s="174"/>
      <c r="AM13" s="174"/>
    </row>
    <row r="14" spans="1:44" ht="14.25" customHeight="1" x14ac:dyDescent="0.35">
      <c r="A14" s="160" t="s">
        <v>106</v>
      </c>
      <c r="B14" s="181"/>
      <c r="C14" s="182" t="str">
        <f>IF(VLOOKUP($A14,Fire2018!$C$10:$I$58,4,FALSE)="..","Imputed","")</f>
        <v/>
      </c>
      <c r="D14" s="172">
        <f>'(2019)'!H14-'(2018)'!H14</f>
        <v>-1</v>
      </c>
      <c r="E14" s="172">
        <f>'(2019)'!I14-'(2018)'!I14</f>
        <v>0</v>
      </c>
      <c r="F14" s="172">
        <f>'(2019)'!J14-'(2018)'!J14</f>
        <v>1</v>
      </c>
      <c r="G14" s="172"/>
      <c r="H14" s="182" t="str">
        <f>IF(VLOOKUP($A14,Fire2018!$C$10:$O$58,13,FALSE)="..","Imputed","")</f>
        <v/>
      </c>
      <c r="I14" s="172">
        <f>'(2019)'!K14-'(2018)'!K14</f>
        <v>0</v>
      </c>
      <c r="J14" s="172">
        <f>'(2019)'!L14-'(2018)'!L14</f>
        <v>0</v>
      </c>
      <c r="K14" s="172">
        <f>'(2019)'!M14-'(2018)'!M14</f>
        <v>-7</v>
      </c>
      <c r="L14" s="182"/>
      <c r="M14" s="182" t="str">
        <f>IF(VLOOKUP($A14,Fire2018!$C$10:$R$58,16,FALSE)="..","Imputed","")</f>
        <v/>
      </c>
      <c r="N14" s="172">
        <f>'(2019)'!N14-'(2018)'!N14</f>
        <v>15</v>
      </c>
      <c r="O14" s="172">
        <f>'(2019)'!O14-'(2018)'!O14</f>
        <v>1</v>
      </c>
      <c r="P14" s="172">
        <f>'(2019)'!P14-'(2018)'!P14</f>
        <v>1</v>
      </c>
      <c r="R14" s="194" t="s">
        <v>323</v>
      </c>
      <c r="S14" s="183">
        <f>'(2010)'!$H$4+'(2010)'!$I$4</f>
        <v>1439</v>
      </c>
      <c r="T14" s="184">
        <f>'(2010)'!$K$4+'(2010)'!$L$4+'(2010)'!$M$4</f>
        <v>3261</v>
      </c>
      <c r="U14" s="184">
        <f>'(2010)'!$N$4+'(2010)'!$O$4+'(2010)'!$P$4</f>
        <v>5782</v>
      </c>
      <c r="V14" s="165"/>
      <c r="X14" s="174"/>
      <c r="AC14" s="174"/>
      <c r="AD14" s="174"/>
      <c r="AE14" s="174"/>
      <c r="AK14" s="174"/>
      <c r="AL14" s="174"/>
      <c r="AM14" s="174"/>
    </row>
    <row r="15" spans="1:44" ht="14.25" customHeight="1" x14ac:dyDescent="0.35">
      <c r="A15" s="160" t="s">
        <v>63</v>
      </c>
      <c r="B15" s="181"/>
      <c r="C15" s="182" t="str">
        <f>IF(VLOOKUP($A15,Fire2018!$C$10:$I$58,4,FALSE)="..","Imputed","")</f>
        <v/>
      </c>
      <c r="D15" s="172">
        <f>'(2019)'!H15-'(2018)'!H15</f>
        <v>0</v>
      </c>
      <c r="E15" s="172">
        <f>'(2019)'!I15-'(2018)'!I15</f>
        <v>0</v>
      </c>
      <c r="F15" s="172">
        <f>'(2019)'!J15-'(2018)'!J15</f>
        <v>0</v>
      </c>
      <c r="G15" s="172"/>
      <c r="H15" s="182" t="str">
        <f>IF(VLOOKUP($A15,Fire2018!$C$10:$O$58,13,FALSE)="..","Imputed","")</f>
        <v/>
      </c>
      <c r="I15" s="172">
        <f>'(2019)'!K15-'(2018)'!K15</f>
        <v>0</v>
      </c>
      <c r="J15" s="172">
        <f>'(2019)'!L15-'(2018)'!L15</f>
        <v>-1</v>
      </c>
      <c r="K15" s="172">
        <f>'(2019)'!M15-'(2018)'!M15</f>
        <v>-6</v>
      </c>
      <c r="L15" s="182"/>
      <c r="M15" s="182" t="str">
        <f>IF(VLOOKUP($A15,Fire2018!$C$10:$R$58,16,FALSE)="..","Imputed","")</f>
        <v/>
      </c>
      <c r="N15" s="172">
        <f>'(2019)'!N15-'(2018)'!N15</f>
        <v>7</v>
      </c>
      <c r="O15" s="172">
        <f>'(2019)'!O15-'(2018)'!O15</f>
        <v>0</v>
      </c>
      <c r="P15" s="172">
        <f>'(2019)'!P15-'(2018)'!P15</f>
        <v>-2</v>
      </c>
      <c r="R15" s="194" t="s">
        <v>208</v>
      </c>
      <c r="S15" s="183">
        <f>'(2011)'!$H$4+'(2011)'!$I$4</f>
        <v>1435</v>
      </c>
      <c r="T15" s="184">
        <f>'(2011)'!$K$4+'(2011)'!$L$4+'(2011)'!$M$4</f>
        <v>3323</v>
      </c>
      <c r="U15" s="184">
        <f>'(2011)'!$N$4+'(2011)'!$O$4+'(2011)'!$P$4</f>
        <v>5959</v>
      </c>
      <c r="V15" s="165"/>
      <c r="X15" s="174"/>
      <c r="AC15" s="174"/>
      <c r="AD15" s="174"/>
      <c r="AE15" s="174"/>
      <c r="AK15" s="174"/>
      <c r="AL15" s="174"/>
      <c r="AM15" s="174"/>
    </row>
    <row r="16" spans="1:44" ht="14.25" customHeight="1" x14ac:dyDescent="0.35">
      <c r="A16" s="160" t="s">
        <v>61</v>
      </c>
      <c r="B16" s="181"/>
      <c r="C16" s="182" t="str">
        <f>IF(VLOOKUP($A16,Fire2018!$C$10:$I$58,4,FALSE)="..","Imputed","")</f>
        <v/>
      </c>
      <c r="D16" s="172">
        <f>'(2019)'!H16-'(2018)'!H16</f>
        <v>0</v>
      </c>
      <c r="E16" s="172">
        <f>'(2019)'!I16-'(2018)'!I16</f>
        <v>0</v>
      </c>
      <c r="F16" s="172">
        <f>'(2019)'!J16-'(2018)'!J16</f>
        <v>0</v>
      </c>
      <c r="G16" s="172"/>
      <c r="H16" s="182" t="str">
        <f>IF(VLOOKUP($A16,Fire2018!$C$10:$O$58,13,FALSE)="..","Imputed","")</f>
        <v/>
      </c>
      <c r="I16" s="172">
        <f>'(2019)'!K16-'(2018)'!K16</f>
        <v>0</v>
      </c>
      <c r="J16" s="172">
        <f>'(2019)'!L16-'(2018)'!L16</f>
        <v>0</v>
      </c>
      <c r="K16" s="369">
        <f>'(2019)'!M16-'(2018)'!M16</f>
        <v>-1</v>
      </c>
      <c r="L16" s="182"/>
      <c r="M16" s="182" t="str">
        <f>IF(VLOOKUP($A16,Fire2018!$C$10:$R$58,16,FALSE)="..","Imputed","")</f>
        <v/>
      </c>
      <c r="N16" s="365">
        <f>'(2019)'!N16-'(2018)'!N16</f>
        <v>-3</v>
      </c>
      <c r="O16" s="172">
        <f>'(2019)'!O16-'(2018)'!O16</f>
        <v>1</v>
      </c>
      <c r="P16" s="172">
        <f>'(2019)'!P16-'(2018)'!P16</f>
        <v>0</v>
      </c>
      <c r="R16" s="194" t="s">
        <v>209</v>
      </c>
      <c r="S16" s="183">
        <f>'(2012)'!$H$4+'(2012)'!$I$4</f>
        <v>1422</v>
      </c>
      <c r="T16" s="184">
        <f>'(2012)'!$K$4+'(2012)'!$L$4+'(2012)'!$M$4</f>
        <v>2820</v>
      </c>
      <c r="U16" s="184">
        <f>'(2012)'!$N$4+'(2012)'!$O$4+'(2012)'!$P$4</f>
        <v>5846</v>
      </c>
      <c r="V16" s="165"/>
      <c r="X16" s="174"/>
      <c r="AC16" s="174"/>
      <c r="AD16" s="174"/>
      <c r="AE16" s="174"/>
      <c r="AK16" s="174"/>
      <c r="AL16" s="174"/>
      <c r="AM16" s="174"/>
    </row>
    <row r="17" spans="1:39" ht="14.25" customHeight="1" x14ac:dyDescent="0.35">
      <c r="A17" s="160" t="s">
        <v>358</v>
      </c>
      <c r="B17" s="181"/>
      <c r="C17" s="182" t="str">
        <f>IF(VLOOKUP($A17,Fire2018!$C$10:$I$58,4,FALSE)="..","Imputed","")</f>
        <v/>
      </c>
      <c r="D17" s="172">
        <f>'(2019)'!H17-'(2018)'!H17</f>
        <v>0</v>
      </c>
      <c r="E17" s="172">
        <f>'(2019)'!I17-'(2018)'!I17</f>
        <v>0</v>
      </c>
      <c r="F17" s="172">
        <f>'(2019)'!J17-'(2018)'!J17</f>
        <v>0</v>
      </c>
      <c r="G17" s="172"/>
      <c r="H17" s="182" t="str">
        <f>IF(VLOOKUP($A17,Fire2018!$C$10:$O$58,13,FALSE)="..","Imputed","")</f>
        <v/>
      </c>
      <c r="I17" s="172">
        <f>'(2019)'!K17-'(2018)'!K17</f>
        <v>0</v>
      </c>
      <c r="J17" s="172">
        <f>'(2019)'!L17-'(2018)'!L17</f>
        <v>0</v>
      </c>
      <c r="K17" s="172">
        <f>'(2019)'!M17-'(2018)'!M17</f>
        <v>-2</v>
      </c>
      <c r="L17" s="182"/>
      <c r="M17" s="182" t="str">
        <f>IF(VLOOKUP($A17,Fire2018!$C$10:$R$58,16,FALSE)="..","Imputed","")</f>
        <v/>
      </c>
      <c r="N17" s="172">
        <f>'(2019)'!N17-'(2018)'!N17</f>
        <v>7</v>
      </c>
      <c r="O17" s="172">
        <f>'(2019)'!O17-'(2018)'!O17</f>
        <v>0</v>
      </c>
      <c r="P17" s="172">
        <f>'(2019)'!P17-'(2018)'!P17</f>
        <v>0</v>
      </c>
      <c r="R17" s="194" t="s">
        <v>210</v>
      </c>
      <c r="S17" s="183">
        <f>'(2013)'!$H$4+'(2013)'!$I$4</f>
        <v>1416</v>
      </c>
      <c r="T17" s="184">
        <f>'(2013)'!$K$4+'(2013)'!$L$4+'(2013)'!$M$4</f>
        <v>3517</v>
      </c>
      <c r="U17" s="184">
        <f>'(2013)'!$N$4+'(2013)'!$O$4+'(2013)'!$P$4</f>
        <v>5504</v>
      </c>
      <c r="V17" s="165"/>
      <c r="X17" s="174"/>
      <c r="AC17" s="174"/>
      <c r="AD17" s="174"/>
      <c r="AE17" s="174"/>
      <c r="AK17" s="174"/>
      <c r="AL17" s="174"/>
      <c r="AM17" s="174"/>
    </row>
    <row r="18" spans="1:39" ht="14.25" customHeight="1" x14ac:dyDescent="0.35">
      <c r="A18" s="160" t="s">
        <v>57</v>
      </c>
      <c r="B18" s="181"/>
      <c r="C18" s="182" t="str">
        <f>IF(VLOOKUP($A18,Fire2018!$C$10:$I$58,4,FALSE)="..","Imputed","")</f>
        <v/>
      </c>
      <c r="D18" s="172">
        <f>'(2019)'!H18-'(2018)'!H18</f>
        <v>0</v>
      </c>
      <c r="E18" s="172">
        <f>'(2019)'!I18-'(2018)'!I18</f>
        <v>0</v>
      </c>
      <c r="F18" s="172">
        <f>'(2019)'!J18-'(2018)'!J18</f>
        <v>0</v>
      </c>
      <c r="G18" s="172"/>
      <c r="H18" s="182" t="str">
        <f>IF(VLOOKUP($A18,Fire2018!$C$10:$O$58,13,FALSE)="..","Imputed","")</f>
        <v/>
      </c>
      <c r="I18" s="172">
        <f>'(2019)'!K18-'(2018)'!K18</f>
        <v>-1</v>
      </c>
      <c r="J18" s="172">
        <f>'(2019)'!L18-'(2018)'!L18</f>
        <v>0</v>
      </c>
      <c r="K18" s="172">
        <f>'(2019)'!M18-'(2018)'!M18</f>
        <v>3</v>
      </c>
      <c r="L18" s="182"/>
      <c r="M18" s="182" t="str">
        <f>IF(VLOOKUP($A18,Fire2018!$C$10:$R$58,16,FALSE)="..","Imputed","")</f>
        <v/>
      </c>
      <c r="N18" s="172">
        <f>'(2019)'!N18-'(2018)'!N18</f>
        <v>-5</v>
      </c>
      <c r="O18" s="172">
        <f>'(2019)'!O18-'(2018)'!O18</f>
        <v>1</v>
      </c>
      <c r="P18" s="172">
        <f>'(2019)'!P18-'(2018)'!P18</f>
        <v>0</v>
      </c>
      <c r="R18" s="194" t="s">
        <v>211</v>
      </c>
      <c r="S18" s="173">
        <f>'(2014)'!$H$4+'(2014)'!$I$4</f>
        <v>1407</v>
      </c>
      <c r="T18" s="179">
        <f>'(2014)'!$K$4+'(2014)'!$L$4+'(2014)'!$M$4</f>
        <v>3738</v>
      </c>
      <c r="U18" s="179">
        <f>'(2014)'!$N$4+'(2014)'!$O$4+'(2014)'!$P$4</f>
        <v>5632</v>
      </c>
      <c r="V18" s="165"/>
      <c r="X18" s="174"/>
      <c r="AC18" s="174"/>
      <c r="AD18" s="174"/>
      <c r="AE18" s="174"/>
      <c r="AK18" s="174"/>
      <c r="AL18" s="174"/>
      <c r="AM18" s="174"/>
    </row>
    <row r="19" spans="1:39" ht="14.25" customHeight="1" x14ac:dyDescent="0.35">
      <c r="A19" s="160" t="s">
        <v>55</v>
      </c>
      <c r="B19" s="181"/>
      <c r="C19" s="182" t="str">
        <f>IF(VLOOKUP($A19,Fire2018!$C$10:$I$58,4,FALSE)="..","Imputed","")</f>
        <v/>
      </c>
      <c r="D19" s="172">
        <f>'(2019)'!H19-'(2018)'!H19</f>
        <v>0</v>
      </c>
      <c r="E19" s="172">
        <f>'(2019)'!I19-'(2018)'!I19</f>
        <v>0</v>
      </c>
      <c r="F19" s="172">
        <f>'(2019)'!J19-'(2018)'!J19</f>
        <v>0</v>
      </c>
      <c r="G19" s="172"/>
      <c r="H19" s="182" t="str">
        <f>IF(VLOOKUP($A19,Fire2018!$C$10:$O$58,13,FALSE)="..","Imputed","")</f>
        <v/>
      </c>
      <c r="I19" s="172">
        <f>'(2019)'!K19-'(2018)'!K19</f>
        <v>0</v>
      </c>
      <c r="J19" s="172">
        <f>'(2019)'!L19-'(2018)'!L19</f>
        <v>0</v>
      </c>
      <c r="K19" s="369">
        <f>'(2019)'!M19-'(2018)'!M19</f>
        <v>-1</v>
      </c>
      <c r="L19" s="182"/>
      <c r="M19" s="182" t="str">
        <f>IF(VLOOKUP($A19,Fire2018!$C$10:$R$58,16,FALSE)="..","Imputed","")</f>
        <v/>
      </c>
      <c r="N19" s="172">
        <f>'(2019)'!N19-'(2018)'!N19</f>
        <v>20</v>
      </c>
      <c r="O19" s="172">
        <f>'(2019)'!O19-'(2018)'!O19</f>
        <v>-6</v>
      </c>
      <c r="P19" s="172">
        <f>'(2019)'!P19-'(2018)'!P19</f>
        <v>0</v>
      </c>
      <c r="R19" s="194" t="s">
        <v>212</v>
      </c>
      <c r="S19" s="173">
        <f>'(2015)'!$H$4+'(2015)'!$I$4+'(2015)'!$J$4</f>
        <v>1409</v>
      </c>
      <c r="T19" s="179">
        <f>'(2015)'!$K$4+'(2015)'!$L$4+'(2015)'!$M$4</f>
        <v>3404</v>
      </c>
      <c r="U19" s="179">
        <f>'(2015)'!$N$4+'(2015)'!$O$4+'(2015)'!$P$4</f>
        <v>5548</v>
      </c>
      <c r="V19" s="165"/>
      <c r="X19" s="174"/>
      <c r="AC19" s="174"/>
      <c r="AD19" s="174"/>
      <c r="AE19" s="174"/>
      <c r="AK19" s="174"/>
      <c r="AL19" s="174"/>
      <c r="AM19" s="174"/>
    </row>
    <row r="20" spans="1:39" ht="14.25" customHeight="1" x14ac:dyDescent="0.35">
      <c r="A20" s="160" t="s">
        <v>53</v>
      </c>
      <c r="B20" s="181"/>
      <c r="C20" s="182" t="str">
        <f>IF(VLOOKUP($A20,Fire2018!$C$10:$I$58,4,FALSE)="..","Imputed","")</f>
        <v/>
      </c>
      <c r="D20" s="172">
        <f>'(2019)'!H20-'(2018)'!H20</f>
        <v>0</v>
      </c>
      <c r="E20" s="172">
        <f>'(2019)'!I20-'(2018)'!I20</f>
        <v>0</v>
      </c>
      <c r="F20" s="172">
        <f>'(2019)'!J20-'(2018)'!J20</f>
        <v>0</v>
      </c>
      <c r="G20" s="172"/>
      <c r="H20" s="182" t="str">
        <f>IF(VLOOKUP($A20,Fire2018!$C$10:$O$58,13,FALSE)="..","Imputed","")</f>
        <v/>
      </c>
      <c r="I20" s="172">
        <f>'(2019)'!K20-'(2018)'!K20</f>
        <v>-6</v>
      </c>
      <c r="J20" s="172">
        <f>'(2019)'!L20-'(2018)'!L20</f>
        <v>-1</v>
      </c>
      <c r="K20" s="172">
        <f>'(2019)'!M20-'(2018)'!M20</f>
        <v>4</v>
      </c>
      <c r="L20" s="182"/>
      <c r="M20" s="182" t="str">
        <f>IF(VLOOKUP($A20,Fire2018!$C$10:$R$58,16,FALSE)="..","Imputed","")</f>
        <v/>
      </c>
      <c r="N20" s="172">
        <f>'(2019)'!N20-'(2018)'!N20</f>
        <v>1</v>
      </c>
      <c r="O20" s="172">
        <f>'(2019)'!O20-'(2018)'!O20</f>
        <v>-1</v>
      </c>
      <c r="P20" s="172">
        <f>'(2019)'!P20-'(2018)'!P20</f>
        <v>-1</v>
      </c>
      <c r="R20" s="194" t="s">
        <v>200</v>
      </c>
      <c r="S20" s="173">
        <f>'(2016)'!$H$4+'(2016)'!$I$4+'(2016)'!$J$4</f>
        <v>1400</v>
      </c>
      <c r="T20" s="179">
        <f>'(2016)'!$K$4+'(2016)'!$L$4+'(2016)'!$M$4</f>
        <v>3389</v>
      </c>
      <c r="U20" s="179">
        <f>'(2016)'!$N$4+'(2016)'!$O$4+'(2016)'!$P$4</f>
        <v>5692</v>
      </c>
      <c r="V20" s="165"/>
      <c r="X20" s="174"/>
      <c r="AC20" s="174"/>
      <c r="AD20" s="174"/>
      <c r="AE20" s="174"/>
      <c r="AK20" s="174"/>
      <c r="AL20" s="174"/>
      <c r="AM20" s="174"/>
    </row>
    <row r="21" spans="1:39" ht="14.25" customHeight="1" x14ac:dyDescent="0.35">
      <c r="A21" s="160" t="s">
        <v>104</v>
      </c>
      <c r="B21" s="181"/>
      <c r="C21" s="182" t="str">
        <f>IF(VLOOKUP($A21,Fire2018!$C$10:$I$58,4,FALSE)="..","Imputed","")</f>
        <v/>
      </c>
      <c r="D21" s="172">
        <f>'(2019)'!H21-'(2018)'!H21</f>
        <v>0</v>
      </c>
      <c r="E21" s="172">
        <f>'(2019)'!I21-'(2018)'!I21</f>
        <v>0</v>
      </c>
      <c r="F21" s="172">
        <f>'(2019)'!J21-'(2018)'!J21</f>
        <v>0</v>
      </c>
      <c r="G21" s="172"/>
      <c r="H21" s="182" t="str">
        <f>IF(VLOOKUP($A21,Fire2018!$C$10:$O$58,13,FALSE)="..","Imputed","")</f>
        <v/>
      </c>
      <c r="I21" s="172">
        <f>'(2019)'!K21-'(2018)'!K21</f>
        <v>0</v>
      </c>
      <c r="J21" s="172">
        <f>'(2019)'!L21-'(2018)'!L21</f>
        <v>0</v>
      </c>
      <c r="K21" s="172">
        <f>'(2019)'!M21-'(2018)'!M21</f>
        <v>1</v>
      </c>
      <c r="L21" s="182"/>
      <c r="M21" s="182" t="str">
        <f>IF(VLOOKUP($A21,Fire2018!$C$10:$R$58,16,FALSE)="..","Imputed","")</f>
        <v/>
      </c>
      <c r="N21" s="172">
        <f>'(2019)'!N21-'(2018)'!N21</f>
        <v>5</v>
      </c>
      <c r="O21" s="172">
        <f>'(2019)'!O21-'(2018)'!O21</f>
        <v>-1</v>
      </c>
      <c r="P21" s="172">
        <f>'(2019)'!P21-'(2018)'!P21</f>
        <v>-1</v>
      </c>
      <c r="R21" s="194" t="s">
        <v>398</v>
      </c>
      <c r="S21" s="173">
        <f>'(2017)'!$H$4+'(2017)'!$I$4+'(2017)'!$J$4</f>
        <v>1400</v>
      </c>
      <c r="T21" s="179">
        <f>'(2017)'!$K$4+'(2017)'!$L$4+'(2017)'!$M$4</f>
        <v>3201</v>
      </c>
      <c r="U21" s="179">
        <f>'(2017)'!$N$4+'(2017)'!$O$4+'(2017)'!$P$4</f>
        <v>5831</v>
      </c>
      <c r="V21" s="165"/>
      <c r="X21" s="174"/>
      <c r="AC21" s="174"/>
      <c r="AD21" s="174"/>
      <c r="AE21" s="174"/>
      <c r="AK21" s="174"/>
      <c r="AL21" s="174"/>
      <c r="AM21" s="174"/>
    </row>
    <row r="22" spans="1:39" ht="14.25" customHeight="1" x14ac:dyDescent="0.35">
      <c r="A22" s="160" t="s">
        <v>51</v>
      </c>
      <c r="B22" s="181"/>
      <c r="C22" s="182" t="str">
        <f>IF(VLOOKUP($A22,Fire2018!$C$10:$I$58,4,FALSE)="..","Imputed","")</f>
        <v/>
      </c>
      <c r="D22" s="172">
        <f>'(2019)'!H22-'(2018)'!H22</f>
        <v>-3</v>
      </c>
      <c r="E22" s="172">
        <f>'(2019)'!I22-'(2018)'!I22</f>
        <v>0</v>
      </c>
      <c r="F22" s="172">
        <f>'(2019)'!J22-'(2018)'!J22</f>
        <v>3</v>
      </c>
      <c r="G22" s="172"/>
      <c r="H22" s="182" t="str">
        <f>IF(VLOOKUP($A22,Fire2018!$C$10:$O$58,13,FALSE)="..","Imputed","")</f>
        <v/>
      </c>
      <c r="I22" s="172">
        <f>'(2019)'!K22-'(2018)'!K22</f>
        <v>0</v>
      </c>
      <c r="J22" s="172">
        <f>'(2019)'!L22-'(2018)'!L22</f>
        <v>0</v>
      </c>
      <c r="K22" s="172">
        <f>'(2019)'!M22-'(2018)'!M22</f>
        <v>-21</v>
      </c>
      <c r="L22" s="187"/>
      <c r="M22" s="182" t="str">
        <f>IF(VLOOKUP($A22,Fire2018!$C$10:$R$58,16,FALSE)="..","Imputed","")</f>
        <v/>
      </c>
      <c r="N22" s="365">
        <f>'(2019)'!N22-'(2018)'!N22</f>
        <v>-67</v>
      </c>
      <c r="O22" s="172">
        <f>'(2019)'!O22-'(2018)'!O22</f>
        <v>0</v>
      </c>
      <c r="P22" s="172">
        <f>'(2019)'!P22-'(2018)'!P22</f>
        <v>3</v>
      </c>
      <c r="R22" s="194" t="s">
        <v>621</v>
      </c>
      <c r="S22" s="173">
        <f>'(2018)'!$H$4+'(2018)'!$I$4+'(2018)'!$J$4</f>
        <v>1394</v>
      </c>
      <c r="T22" s="179">
        <f>'(2018)'!$K$4+'(2018)'!$L$4+'(2018)'!$M$4</f>
        <v>3445</v>
      </c>
      <c r="U22" s="179">
        <f>'(2018)'!$N$4+'(2018)'!$O$4+'(2018)'!$P$4</f>
        <v>5609</v>
      </c>
      <c r="V22" s="165"/>
      <c r="X22" s="174"/>
      <c r="AC22" s="174"/>
      <c r="AD22" s="174"/>
      <c r="AE22" s="174"/>
      <c r="AK22" s="174"/>
      <c r="AL22" s="174"/>
      <c r="AM22" s="174"/>
    </row>
    <row r="23" spans="1:39" ht="14.25" customHeight="1" x14ac:dyDescent="0.35">
      <c r="A23" s="160" t="s">
        <v>49</v>
      </c>
      <c r="B23" s="181"/>
      <c r="C23" s="182" t="str">
        <f>IF(VLOOKUP($A23,Fire2018!$C$10:$I$58,4,FALSE)="..","Imputed","")</f>
        <v/>
      </c>
      <c r="D23" s="172">
        <f>'(2019)'!H23-'(2018)'!H23</f>
        <v>0</v>
      </c>
      <c r="E23" s="172">
        <f>'(2019)'!I23-'(2018)'!I23</f>
        <v>0</v>
      </c>
      <c r="F23" s="172">
        <f>'(2019)'!J23-'(2018)'!J23</f>
        <v>0</v>
      </c>
      <c r="G23" s="172"/>
      <c r="H23" s="182" t="str">
        <f>IF(VLOOKUP($A23,Fire2018!$C$10:$O$58,13,FALSE)="..","Imputed","")</f>
        <v/>
      </c>
      <c r="I23" s="172">
        <f>'(2019)'!K23-'(2018)'!K23</f>
        <v>0</v>
      </c>
      <c r="J23" s="172">
        <f>'(2019)'!L23-'(2018)'!L23</f>
        <v>0</v>
      </c>
      <c r="K23" s="172">
        <f>'(2019)'!M23-'(2018)'!M23</f>
        <v>-16</v>
      </c>
      <c r="L23" s="182"/>
      <c r="M23" s="182" t="str">
        <f>IF(VLOOKUP($A23,Fire2018!$C$10:$R$58,16,FALSE)="..","Imputed","")</f>
        <v/>
      </c>
      <c r="N23" s="369">
        <f>'(2019)'!N23-'(2018)'!N23</f>
        <v>51</v>
      </c>
      <c r="O23" s="172">
        <f>'(2019)'!O23-'(2018)'!O23</f>
        <v>-1</v>
      </c>
      <c r="P23" s="172">
        <f>'(2019)'!P23-'(2018)'!P23</f>
        <v>1</v>
      </c>
      <c r="R23" s="194" t="s">
        <v>738</v>
      </c>
      <c r="S23" s="173">
        <f>'(2019)'!$H$4+'(2019)'!$I$4+'(2019)'!$J$4</f>
        <v>1395</v>
      </c>
      <c r="T23" s="179">
        <f>'(2019)'!$K$4+'(2019)'!$L$4+'(2019)'!$M$4</f>
        <v>3435</v>
      </c>
      <c r="U23" s="184">
        <f>'(2019)'!$N$4+'(2019)'!$O$4+'(2019)'!$P$4</f>
        <v>5740</v>
      </c>
      <c r="V23" s="165"/>
      <c r="W23" s="165"/>
      <c r="X23" s="174"/>
      <c r="AC23" s="174"/>
      <c r="AD23" s="174"/>
      <c r="AE23" s="174"/>
      <c r="AK23" s="174"/>
      <c r="AL23" s="174"/>
      <c r="AM23" s="174"/>
    </row>
    <row r="24" spans="1:39" ht="14.25" customHeight="1" x14ac:dyDescent="0.35">
      <c r="A24" s="160" t="s">
        <v>102</v>
      </c>
      <c r="B24" s="181"/>
      <c r="C24" s="182" t="str">
        <f>IF(VLOOKUP($A24,Fire2018!$C$10:$I$58,4,FALSE)="..","Imputed","")</f>
        <v/>
      </c>
      <c r="D24" s="172">
        <f>'(2019)'!H24-'(2018)'!H24</f>
        <v>0</v>
      </c>
      <c r="E24" s="172">
        <f>'(2019)'!I24-'(2018)'!I24</f>
        <v>0</v>
      </c>
      <c r="F24" s="172">
        <f>'(2019)'!J24-'(2018)'!J24</f>
        <v>0</v>
      </c>
      <c r="G24" s="172"/>
      <c r="H24" s="182" t="str">
        <f>IF(VLOOKUP($A24,Fire2018!$C$10:$O$58,13,FALSE)="..","Imputed","")</f>
        <v/>
      </c>
      <c r="I24" s="172">
        <f>'(2019)'!K24-'(2018)'!K24</f>
        <v>0</v>
      </c>
      <c r="J24" s="172">
        <f>'(2019)'!L24-'(2018)'!L24</f>
        <v>0</v>
      </c>
      <c r="K24" s="172">
        <f>'(2019)'!M24-'(2018)'!M24</f>
        <v>0</v>
      </c>
      <c r="L24" s="182"/>
      <c r="M24" s="182" t="str">
        <f>IF(VLOOKUP($A24,Fire2018!$C$10:$R$58,16,FALSE)="..","Imputed","")</f>
        <v/>
      </c>
      <c r="N24" s="172">
        <f>'(2019)'!N24-'(2018)'!N24</f>
        <v>1</v>
      </c>
      <c r="O24" s="172">
        <f>'(2019)'!O24-'(2018)'!O24</f>
        <v>1</v>
      </c>
      <c r="P24" s="172">
        <f>'(2019)'!P24-'(2018)'!P24</f>
        <v>-1</v>
      </c>
      <c r="V24" s="165"/>
      <c r="X24" s="174"/>
      <c r="AC24" s="174"/>
      <c r="AD24" s="174"/>
      <c r="AE24" s="174"/>
      <c r="AK24" s="174"/>
      <c r="AL24" s="174"/>
      <c r="AM24" s="174"/>
    </row>
    <row r="25" spans="1:39" ht="14.25" customHeight="1" x14ac:dyDescent="0.35">
      <c r="A25" s="160" t="s">
        <v>47</v>
      </c>
      <c r="B25" s="181"/>
      <c r="C25" s="182" t="str">
        <f>IF(VLOOKUP($A25,Fire2018!$C$10:$I$58,4,FALSE)="..","Imputed","")</f>
        <v/>
      </c>
      <c r="D25" s="172">
        <f>'(2019)'!H25-'(2018)'!H25</f>
        <v>2</v>
      </c>
      <c r="E25" s="172">
        <f>'(2019)'!I25-'(2018)'!I25</f>
        <v>0</v>
      </c>
      <c r="F25" s="172">
        <f>'(2019)'!J25-'(2018)'!J25</f>
        <v>0</v>
      </c>
      <c r="G25" s="172"/>
      <c r="H25" s="182" t="str">
        <f>IF(VLOOKUP($A25,Fire2018!$C$10:$O$58,13,FALSE)="..","Imputed","")</f>
        <v/>
      </c>
      <c r="I25" s="172">
        <f>'(2019)'!K25-'(2018)'!K25</f>
        <v>1</v>
      </c>
      <c r="J25" s="172">
        <f>'(2019)'!L25-'(2018)'!L25</f>
        <v>0</v>
      </c>
      <c r="K25" s="172">
        <f>'(2019)'!M25-'(2018)'!M25</f>
        <v>1</v>
      </c>
      <c r="L25" s="182"/>
      <c r="M25" s="182" t="str">
        <f>IF(VLOOKUP($A25,Fire2018!$C$10:$R$58,16,FALSE)="..","Imputed","")</f>
        <v/>
      </c>
      <c r="N25" s="172">
        <f>'(2019)'!N25-'(2018)'!N25</f>
        <v>-8</v>
      </c>
      <c r="O25" s="172">
        <f>'(2019)'!O25-'(2018)'!O25</f>
        <v>-1</v>
      </c>
      <c r="P25" s="172">
        <f>'(2019)'!P25-'(2018)'!P25</f>
        <v>0</v>
      </c>
      <c r="V25" s="165"/>
      <c r="X25" s="174"/>
      <c r="AC25" s="174"/>
      <c r="AD25" s="174"/>
      <c r="AE25" s="174"/>
      <c r="AK25" s="174"/>
      <c r="AL25" s="174"/>
      <c r="AM25" s="174"/>
    </row>
    <row r="26" spans="1:39" ht="14.25" customHeight="1" x14ac:dyDescent="0.35">
      <c r="A26" s="188" t="s">
        <v>100</v>
      </c>
      <c r="B26" s="181"/>
      <c r="C26" s="182" t="str">
        <f>IF(VLOOKUP($A26,Fire2018!$C$10:$I$58,4,FALSE)="..","Imputed","")</f>
        <v/>
      </c>
      <c r="D26" s="172">
        <f>'(2019)'!H26-'(2018)'!H26</f>
        <v>0</v>
      </c>
      <c r="E26" s="172">
        <f>'(2019)'!I26-'(2018)'!I26</f>
        <v>0</v>
      </c>
      <c r="F26" s="172">
        <f>'(2019)'!J26-'(2018)'!J26</f>
        <v>0</v>
      </c>
      <c r="G26" s="172"/>
      <c r="H26" s="182" t="str">
        <f>IF(VLOOKUP($A26,Fire2018!$C$10:$O$58,13,FALSE)="..","Imputed","")</f>
        <v/>
      </c>
      <c r="I26" s="172">
        <f>'(2019)'!K26-'(2018)'!K26</f>
        <v>0</v>
      </c>
      <c r="J26" s="172">
        <f>'(2019)'!L26-'(2018)'!L26</f>
        <v>0</v>
      </c>
      <c r="K26" s="172">
        <f>'(2019)'!M26-'(2018)'!M26</f>
        <v>-1</v>
      </c>
      <c r="L26" s="182"/>
      <c r="M26" s="182" t="str">
        <f>IF(VLOOKUP($A26,Fire2018!$C$10:$R$58,16,FALSE)="..","Imputed","")</f>
        <v/>
      </c>
      <c r="N26" s="172">
        <f>'(2019)'!N26-'(2018)'!N26</f>
        <v>0</v>
      </c>
      <c r="O26" s="172">
        <f>'(2019)'!O26-'(2018)'!O26</f>
        <v>0</v>
      </c>
      <c r="P26" s="172">
        <f>'(2019)'!P26-'(2018)'!P26</f>
        <v>0</v>
      </c>
      <c r="V26" s="165"/>
      <c r="X26" s="174"/>
      <c r="AC26" s="174"/>
      <c r="AD26" s="174"/>
      <c r="AE26" s="174"/>
      <c r="AK26" s="174"/>
      <c r="AL26" s="174"/>
      <c r="AM26" s="174"/>
    </row>
    <row r="27" spans="1:39" ht="14.25" customHeight="1" x14ac:dyDescent="0.35">
      <c r="A27" s="160" t="s">
        <v>45</v>
      </c>
      <c r="B27" s="181"/>
      <c r="C27" s="182" t="str">
        <f>IF(VLOOKUP($A27,Fire2018!$C$10:$I$58,4,FALSE)="..","Imputed","")</f>
        <v/>
      </c>
      <c r="D27" s="172">
        <f>'(2019)'!H27-'(2018)'!H27</f>
        <v>-6</v>
      </c>
      <c r="E27" s="172">
        <f>'(2019)'!I27-'(2018)'!I27</f>
        <v>0</v>
      </c>
      <c r="F27" s="172">
        <f>'(2019)'!J27-'(2018)'!J27</f>
        <v>6</v>
      </c>
      <c r="G27" s="172"/>
      <c r="H27" s="182" t="str">
        <f>IF(VLOOKUP($A27,Fire2018!$C$10:$O$58,13,FALSE)="..","Imputed","")</f>
        <v/>
      </c>
      <c r="I27" s="172">
        <f>'(2019)'!K27-'(2018)'!K27</f>
        <v>0</v>
      </c>
      <c r="J27" s="172">
        <f>'(2019)'!L27-'(2018)'!L27</f>
        <v>0</v>
      </c>
      <c r="K27" s="172">
        <f>'(2019)'!M27-'(2018)'!M27</f>
        <v>-2</v>
      </c>
      <c r="L27" s="182"/>
      <c r="M27" s="182" t="str">
        <f>IF(VLOOKUP($A27,Fire2018!$C$10:$R$58,16,FALSE)="..","Imputed","")</f>
        <v/>
      </c>
      <c r="N27" s="172">
        <f>'(2019)'!N27-'(2018)'!N27</f>
        <v>-3</v>
      </c>
      <c r="O27" s="172">
        <f>'(2019)'!O27-'(2018)'!O27</f>
        <v>0</v>
      </c>
      <c r="P27" s="172">
        <f>'(2019)'!P27-'(2018)'!P27</f>
        <v>0</v>
      </c>
      <c r="V27" s="165"/>
      <c r="X27" s="174"/>
      <c r="AC27" s="174"/>
      <c r="AD27" s="174"/>
      <c r="AE27" s="174"/>
      <c r="AK27" s="174"/>
      <c r="AL27" s="174"/>
      <c r="AM27" s="174"/>
    </row>
    <row r="28" spans="1:39" ht="14.25" customHeight="1" x14ac:dyDescent="0.35">
      <c r="A28" s="160" t="s">
        <v>43</v>
      </c>
      <c r="B28" s="181"/>
      <c r="C28" s="182" t="str">
        <f>IF(VLOOKUP($A28,Fire2018!$C$10:$I$58,4,FALSE)="..","Imputed","")</f>
        <v/>
      </c>
      <c r="D28" s="172">
        <f>'(2019)'!H28-'(2018)'!H28</f>
        <v>0</v>
      </c>
      <c r="E28" s="172">
        <f>'(2019)'!I28-'(2018)'!I28</f>
        <v>0</v>
      </c>
      <c r="F28" s="172">
        <f>'(2019)'!J28-'(2018)'!J28</f>
        <v>0</v>
      </c>
      <c r="G28" s="172"/>
      <c r="H28" s="182" t="str">
        <f>IF(VLOOKUP($A28,Fire2018!$C$10:$O$58,13,FALSE)="..","Imputed","")</f>
        <v/>
      </c>
      <c r="I28" s="172">
        <f>'(2019)'!K28-'(2018)'!K28</f>
        <v>0</v>
      </c>
      <c r="J28" s="172">
        <f>'(2019)'!L28-'(2018)'!L28</f>
        <v>-1</v>
      </c>
      <c r="K28" s="172">
        <f>'(2019)'!M28-'(2018)'!M28</f>
        <v>-1</v>
      </c>
      <c r="L28" s="182"/>
      <c r="M28" s="182" t="str">
        <f>IF(VLOOKUP($A28,Fire2018!$C$10:$R$58,16,FALSE)="..","Imputed","")</f>
        <v/>
      </c>
      <c r="N28" s="172">
        <f>'(2019)'!N28-'(2018)'!N28</f>
        <v>1</v>
      </c>
      <c r="O28" s="172">
        <f>'(2019)'!O28-'(2018)'!O28</f>
        <v>0</v>
      </c>
      <c r="P28" s="172">
        <f>'(2019)'!P28-'(2018)'!P28</f>
        <v>1</v>
      </c>
      <c r="V28" s="165"/>
      <c r="X28" s="174"/>
      <c r="AC28" s="174"/>
      <c r="AD28" s="174"/>
      <c r="AE28" s="174"/>
      <c r="AK28" s="174"/>
      <c r="AL28" s="174"/>
      <c r="AM28" s="174"/>
    </row>
    <row r="29" spans="1:39" ht="14.25" customHeight="1" x14ac:dyDescent="0.35">
      <c r="A29" s="160" t="s">
        <v>41</v>
      </c>
      <c r="B29" s="181"/>
      <c r="C29" s="182" t="str">
        <f>IF(VLOOKUP($A29,Fire2018!$C$10:$I$58,4,FALSE)="..","Imputed","")</f>
        <v/>
      </c>
      <c r="D29" s="172">
        <f>'(2019)'!H29-'(2018)'!H29</f>
        <v>0</v>
      </c>
      <c r="E29" s="172">
        <f>'(2019)'!I29-'(2018)'!I29</f>
        <v>0</v>
      </c>
      <c r="F29" s="172">
        <f>'(2019)'!J29-'(2018)'!J29</f>
        <v>0</v>
      </c>
      <c r="G29" s="172"/>
      <c r="H29" s="182" t="str">
        <f>IF(VLOOKUP($A29,Fire2018!$C$10:$O$58,13,FALSE)="..","Imputed","")</f>
        <v/>
      </c>
      <c r="I29" s="172">
        <f>'(2019)'!K29-'(2018)'!K29</f>
        <v>2</v>
      </c>
      <c r="J29" s="172">
        <f>'(2019)'!L29-'(2018)'!L29</f>
        <v>0</v>
      </c>
      <c r="K29" s="172">
        <f>'(2019)'!M29-'(2018)'!M29</f>
        <v>0</v>
      </c>
      <c r="L29" s="182"/>
      <c r="M29" s="182" t="str">
        <f>IF(VLOOKUP($A29,Fire2018!$C$10:$R$58,16,FALSE)="..","Imputed","")</f>
        <v/>
      </c>
      <c r="N29" s="172">
        <f>'(2019)'!N29-'(2018)'!N29</f>
        <v>-1</v>
      </c>
      <c r="O29" s="172">
        <f>'(2019)'!O29-'(2018)'!O29</f>
        <v>0</v>
      </c>
      <c r="P29" s="172">
        <f>'(2019)'!P29-'(2018)'!P29</f>
        <v>0</v>
      </c>
      <c r="V29" s="165"/>
      <c r="X29" s="174"/>
      <c r="AC29" s="174"/>
      <c r="AD29" s="174"/>
      <c r="AE29" s="174"/>
      <c r="AK29" s="174"/>
      <c r="AL29" s="174"/>
      <c r="AM29" s="174"/>
    </row>
    <row r="30" spans="1:39" ht="14.25" customHeight="1" x14ac:dyDescent="0.35">
      <c r="A30" s="160" t="s">
        <v>98</v>
      </c>
      <c r="B30" s="181"/>
      <c r="C30" s="182" t="str">
        <f>IF(VLOOKUP($A30,Fire2018!$C$10:$I$58,4,FALSE)="..","Imputed","")</f>
        <v/>
      </c>
      <c r="D30" s="172">
        <f>'(2019)'!H30-'(2018)'!H30</f>
        <v>0</v>
      </c>
      <c r="E30" s="172">
        <f>'(2019)'!I30-'(2018)'!I30</f>
        <v>0</v>
      </c>
      <c r="F30" s="172">
        <f>'(2019)'!J30-'(2018)'!J30</f>
        <v>0</v>
      </c>
      <c r="G30" s="172"/>
      <c r="H30" s="182" t="str">
        <f>IF(VLOOKUP($A30,Fire2018!$C$10:$O$58,13,FALSE)="..","Imputed","")</f>
        <v/>
      </c>
      <c r="I30" s="172">
        <f>'(2019)'!K30-'(2018)'!K30</f>
        <v>0</v>
      </c>
      <c r="J30" s="172">
        <f>'(2019)'!L30-'(2018)'!L30</f>
        <v>0</v>
      </c>
      <c r="K30" s="172">
        <f>'(2019)'!M30-'(2018)'!M30</f>
        <v>-1</v>
      </c>
      <c r="L30" s="182"/>
      <c r="M30" s="182" t="str">
        <f>IF(VLOOKUP($A30,Fire2018!$C$10:$R$58,16,FALSE)="..","Imputed","")</f>
        <v/>
      </c>
      <c r="N30" s="172">
        <f>'(2019)'!N30-'(2018)'!N30</f>
        <v>-4</v>
      </c>
      <c r="O30" s="172">
        <f>'(2019)'!O30-'(2018)'!O30</f>
        <v>0</v>
      </c>
      <c r="P30" s="172">
        <f>'(2019)'!P30-'(2018)'!P30</f>
        <v>0</v>
      </c>
      <c r="V30" s="165"/>
      <c r="X30" s="174"/>
      <c r="AC30" s="174"/>
      <c r="AD30" s="174"/>
      <c r="AE30" s="174"/>
      <c r="AK30" s="174"/>
      <c r="AL30" s="174"/>
      <c r="AM30" s="174"/>
    </row>
    <row r="31" spans="1:39" ht="14.25" customHeight="1" x14ac:dyDescent="0.35">
      <c r="A31" s="160" t="s">
        <v>96</v>
      </c>
      <c r="B31" s="181"/>
      <c r="C31" s="182" t="str">
        <f>IF(VLOOKUP($A31,Fire2018!$C$10:$I$58,4,FALSE)="..","Imputed","")</f>
        <v/>
      </c>
      <c r="D31" s="172">
        <f>'(2019)'!H31-'(2018)'!H31</f>
        <v>0</v>
      </c>
      <c r="E31" s="172">
        <f>'(2019)'!I31-'(2018)'!I31</f>
        <v>-1</v>
      </c>
      <c r="F31" s="172">
        <f>'(2019)'!J31-'(2018)'!J31</f>
        <v>1</v>
      </c>
      <c r="G31" s="172"/>
      <c r="H31" s="182" t="str">
        <f>IF(VLOOKUP($A31,Fire2018!$C$10:$O$58,13,FALSE)="..","Imputed","")</f>
        <v/>
      </c>
      <c r="I31" s="172">
        <f>'(2019)'!K31-'(2018)'!K31</f>
        <v>0</v>
      </c>
      <c r="J31" s="172">
        <f>'(2019)'!L31-'(2018)'!L31</f>
        <v>1</v>
      </c>
      <c r="K31" s="172">
        <f>'(2019)'!M31-'(2018)'!M31</f>
        <v>-6</v>
      </c>
      <c r="L31" s="182"/>
      <c r="M31" s="182" t="str">
        <f>IF(VLOOKUP($A31,Fire2018!$C$10:$R$58,16,FALSE)="..","Imputed","")</f>
        <v/>
      </c>
      <c r="N31" s="172">
        <f>'(2019)'!N31-'(2018)'!N31</f>
        <v>8</v>
      </c>
      <c r="O31" s="172">
        <f>'(2019)'!O31-'(2018)'!O31</f>
        <v>0</v>
      </c>
      <c r="P31" s="172">
        <f>'(2019)'!P31-'(2018)'!P31</f>
        <v>1</v>
      </c>
      <c r="V31" s="165"/>
      <c r="X31" s="174"/>
      <c r="AC31" s="174"/>
      <c r="AD31" s="174"/>
      <c r="AE31" s="174"/>
      <c r="AK31" s="174"/>
      <c r="AL31" s="174"/>
      <c r="AM31" s="174"/>
    </row>
    <row r="32" spans="1:39" ht="14.25" customHeight="1" x14ac:dyDescent="0.35">
      <c r="A32" s="160" t="s">
        <v>39</v>
      </c>
      <c r="B32" s="181"/>
      <c r="C32" s="182" t="str">
        <f>IF(VLOOKUP($A32,Fire2018!$C$10:$I$58,4,FALSE)="..","Imputed","")</f>
        <v/>
      </c>
      <c r="D32" s="172">
        <f>'(2019)'!H32-'(2018)'!H32</f>
        <v>0</v>
      </c>
      <c r="E32" s="172">
        <f>'(2019)'!I32-'(2018)'!I32</f>
        <v>0</v>
      </c>
      <c r="F32" s="172">
        <f>'(2019)'!J32-'(2018)'!J32</f>
        <v>0</v>
      </c>
      <c r="G32" s="172"/>
      <c r="H32" s="182" t="str">
        <f>IF(VLOOKUP($A32,Fire2018!$C$10:$O$58,13,FALSE)="..","Imputed","")</f>
        <v/>
      </c>
      <c r="I32" s="172">
        <f>'(2019)'!K32-'(2018)'!K32</f>
        <v>6</v>
      </c>
      <c r="J32" s="172">
        <f>'(2019)'!L32-'(2018)'!L32</f>
        <v>0</v>
      </c>
      <c r="K32" s="172">
        <f>'(2019)'!M32-'(2018)'!M32</f>
        <v>-23</v>
      </c>
      <c r="L32" s="182"/>
      <c r="M32" s="182" t="str">
        <f>IF(VLOOKUP($A32,Fire2018!$C$10:$R$58,16,FALSE)="..","Imputed","")</f>
        <v/>
      </c>
      <c r="N32" s="172">
        <f>'(2019)'!N32-'(2018)'!N32</f>
        <v>19</v>
      </c>
      <c r="O32" s="172">
        <f>'(2019)'!O32-'(2018)'!O32</f>
        <v>-1</v>
      </c>
      <c r="P32" s="172">
        <f>'(2019)'!P32-'(2018)'!P32</f>
        <v>-1</v>
      </c>
      <c r="V32" s="165"/>
      <c r="X32" s="174"/>
      <c r="AC32" s="174"/>
      <c r="AD32" s="174"/>
      <c r="AE32" s="174"/>
      <c r="AK32" s="174"/>
      <c r="AL32" s="174"/>
      <c r="AM32" s="174"/>
    </row>
    <row r="33" spans="1:44" ht="14.25" customHeight="1" x14ac:dyDescent="0.35">
      <c r="A33" s="160" t="s">
        <v>94</v>
      </c>
      <c r="B33" s="181"/>
      <c r="C33" s="182" t="str">
        <f>IF(VLOOKUP($A33,Fire2018!$C$10:$I$58,4,FALSE)="..","Imputed","")</f>
        <v/>
      </c>
      <c r="D33" s="172">
        <f>'(2019)'!H33-'(2018)'!H33</f>
        <v>0</v>
      </c>
      <c r="E33" s="172">
        <f>'(2019)'!I33-'(2018)'!I33</f>
        <v>0</v>
      </c>
      <c r="F33" s="172">
        <f>'(2019)'!J33-'(2018)'!J33</f>
        <v>0</v>
      </c>
      <c r="G33" s="172"/>
      <c r="H33" s="182" t="str">
        <f>IF(VLOOKUP($A33,Fire2018!$C$10:$O$58,13,FALSE)="..","Imputed","")</f>
        <v/>
      </c>
      <c r="I33" s="172">
        <f>'(2019)'!K33-'(2018)'!K33</f>
        <v>0</v>
      </c>
      <c r="J33" s="172">
        <f>'(2019)'!L33-'(2018)'!L33</f>
        <v>0</v>
      </c>
      <c r="K33" s="172">
        <f>'(2019)'!M33-'(2018)'!M33</f>
        <v>0</v>
      </c>
      <c r="L33" s="182"/>
      <c r="M33" s="182" t="str">
        <f>IF(VLOOKUP($A33,Fire2018!$C$10:$R$58,16,FALSE)="..","Imputed","")</f>
        <v/>
      </c>
      <c r="N33" s="172">
        <f>'(2019)'!N33-'(2018)'!N33</f>
        <v>0</v>
      </c>
      <c r="O33" s="172">
        <f>'(2019)'!O33-'(2018)'!O33</f>
        <v>0</v>
      </c>
      <c r="P33" s="172">
        <f>'(2019)'!P33-'(2018)'!P33</f>
        <v>0</v>
      </c>
      <c r="V33" s="165"/>
      <c r="X33" s="174"/>
      <c r="AC33" s="174"/>
      <c r="AD33" s="174"/>
      <c r="AE33" s="174"/>
      <c r="AK33" s="174"/>
      <c r="AL33" s="174"/>
      <c r="AM33" s="174"/>
    </row>
    <row r="34" spans="1:44" ht="14.25" customHeight="1" x14ac:dyDescent="0.35">
      <c r="A34" s="160" t="s">
        <v>92</v>
      </c>
      <c r="B34" s="181"/>
      <c r="C34" s="182" t="str">
        <f>IF(VLOOKUP($A34,Fire2018!$C$10:$I$58,4,FALSE)="..","Imputed","")</f>
        <v/>
      </c>
      <c r="D34" s="172">
        <f>'(2019)'!H34-'(2018)'!H34</f>
        <v>0</v>
      </c>
      <c r="E34" s="172">
        <f>'(2019)'!I34-'(2018)'!I34</f>
        <v>0</v>
      </c>
      <c r="F34" s="172">
        <f>'(2019)'!J34-'(2018)'!J34</f>
        <v>0</v>
      </c>
      <c r="G34" s="172"/>
      <c r="H34" s="182" t="str">
        <f>IF(VLOOKUP($A34,Fire2018!$C$10:$O$58,13,FALSE)="..","Imputed","")</f>
        <v/>
      </c>
      <c r="I34" s="172">
        <f>'(2019)'!K34-'(2018)'!K34</f>
        <v>0</v>
      </c>
      <c r="J34" s="172">
        <f>'(2019)'!L34-'(2018)'!L34</f>
        <v>0</v>
      </c>
      <c r="K34" s="172">
        <f>'(2019)'!M34-'(2018)'!M34</f>
        <v>0</v>
      </c>
      <c r="L34" s="182"/>
      <c r="M34" s="182" t="str">
        <f>IF(VLOOKUP($A34,Fire2018!$C$10:$R$58,16,FALSE)="..","Imputed","")</f>
        <v/>
      </c>
      <c r="N34" s="172">
        <f>'(2019)'!N34-'(2018)'!N34</f>
        <v>1</v>
      </c>
      <c r="O34" s="172">
        <f>'(2019)'!O34-'(2018)'!O34</f>
        <v>0</v>
      </c>
      <c r="P34" s="172">
        <f>'(2019)'!P34-'(2018)'!P34</f>
        <v>0</v>
      </c>
      <c r="V34" s="165"/>
      <c r="X34" s="174"/>
      <c r="AC34" s="174"/>
      <c r="AD34" s="174"/>
      <c r="AE34" s="174"/>
      <c r="AK34" s="174"/>
      <c r="AL34" s="174"/>
      <c r="AM34" s="174"/>
    </row>
    <row r="35" spans="1:44" ht="14.25" customHeight="1" x14ac:dyDescent="0.35">
      <c r="A35" s="160" t="s">
        <v>37</v>
      </c>
      <c r="B35" s="181"/>
      <c r="C35" s="182" t="str">
        <f>IF(VLOOKUP($A35,Fire2018!$C$10:$I$58,4,FALSE)="..","Imputed","")</f>
        <v/>
      </c>
      <c r="D35" s="172">
        <f>'(2019)'!H35-'(2018)'!H35</f>
        <v>0</v>
      </c>
      <c r="E35" s="172">
        <f>'(2019)'!I35-'(2018)'!I35</f>
        <v>0</v>
      </c>
      <c r="F35" s="172">
        <f>'(2019)'!J35-'(2018)'!J35</f>
        <v>0</v>
      </c>
      <c r="G35" s="172"/>
      <c r="H35" s="182" t="str">
        <f>IF(VLOOKUP($A35,Fire2018!$C$10:$O$58,13,FALSE)="..","Imputed","")</f>
        <v/>
      </c>
      <c r="I35" s="172">
        <f>'(2019)'!K35-'(2018)'!K35</f>
        <v>0</v>
      </c>
      <c r="J35" s="172">
        <f>'(2019)'!L35-'(2018)'!L35</f>
        <v>0</v>
      </c>
      <c r="K35" s="172">
        <f>'(2019)'!M35-'(2018)'!M35</f>
        <v>2</v>
      </c>
      <c r="L35" s="187"/>
      <c r="M35" s="182" t="str">
        <f>IF(VLOOKUP($A35,Fire2018!$C$10:$R$58,16,FALSE)="..","Imputed","")</f>
        <v/>
      </c>
      <c r="N35" s="172">
        <f>'(2019)'!N35-'(2018)'!N35</f>
        <v>24</v>
      </c>
      <c r="O35" s="172">
        <f>'(2019)'!O35-'(2018)'!O35</f>
        <v>0</v>
      </c>
      <c r="P35" s="172">
        <f>'(2019)'!P35-'(2018)'!P35</f>
        <v>-1</v>
      </c>
      <c r="V35" s="165"/>
      <c r="X35" s="174"/>
      <c r="AC35" s="174"/>
      <c r="AD35" s="174"/>
      <c r="AE35" s="174"/>
      <c r="AK35" s="174"/>
      <c r="AL35" s="174"/>
      <c r="AM35" s="174"/>
    </row>
    <row r="36" spans="1:44" ht="14.25" customHeight="1" x14ac:dyDescent="0.35">
      <c r="A36" s="160" t="s">
        <v>90</v>
      </c>
      <c r="B36" s="181"/>
      <c r="C36" s="182" t="str">
        <f>IF(VLOOKUP($A36,Fire2018!$C$10:$I$58,4,FALSE)="..","Imputed","")</f>
        <v/>
      </c>
      <c r="D36" s="172">
        <f>'(2019)'!H36-'(2018)'!H36</f>
        <v>0</v>
      </c>
      <c r="E36" s="172">
        <f>'(2019)'!I36-'(2018)'!I36</f>
        <v>19</v>
      </c>
      <c r="F36" s="172">
        <f>'(2019)'!J36-'(2018)'!J36</f>
        <v>-18</v>
      </c>
      <c r="G36" s="172"/>
      <c r="H36" s="182" t="str">
        <f>IF(VLOOKUP($A36,Fire2018!$C$10:$O$58,13,FALSE)="..","Imputed","")</f>
        <v/>
      </c>
      <c r="I36" s="172">
        <f>'(2019)'!K36-'(2018)'!K36</f>
        <v>0</v>
      </c>
      <c r="J36" s="172">
        <f>'(2019)'!L36-'(2018)'!L36</f>
        <v>-1</v>
      </c>
      <c r="K36" s="172">
        <f>'(2019)'!M36-'(2018)'!M36</f>
        <v>0</v>
      </c>
      <c r="L36" s="182"/>
      <c r="M36" s="182" t="str">
        <f>IF(VLOOKUP($A36,Fire2018!$C$10:$R$58,16,FALSE)="..","Imputed","")</f>
        <v/>
      </c>
      <c r="N36" s="172">
        <f>'(2019)'!N36-'(2018)'!N36</f>
        <v>-31</v>
      </c>
      <c r="O36" s="172">
        <f>'(2019)'!O36-'(2018)'!O36</f>
        <v>0</v>
      </c>
      <c r="P36" s="172">
        <f>'(2019)'!P36-'(2018)'!P36</f>
        <v>3</v>
      </c>
      <c r="V36" s="165"/>
      <c r="X36" s="174"/>
      <c r="AC36" s="174"/>
      <c r="AD36" s="174"/>
      <c r="AE36" s="174"/>
      <c r="AK36" s="174"/>
      <c r="AL36" s="174"/>
      <c r="AM36" s="174"/>
    </row>
    <row r="37" spans="1:44" ht="14.25" customHeight="1" x14ac:dyDescent="0.35">
      <c r="A37" s="180" t="s">
        <v>35</v>
      </c>
      <c r="B37" s="181"/>
      <c r="C37" s="182" t="str">
        <f>IF(VLOOKUP($A37,Fire2018!$C$10:$I$58,4,FALSE)="..","Imputed","")</f>
        <v/>
      </c>
      <c r="D37" s="172">
        <f>'(2019)'!H37-'(2018)'!H37</f>
        <v>0</v>
      </c>
      <c r="E37" s="172">
        <f>'(2019)'!I37-'(2018)'!I37</f>
        <v>1</v>
      </c>
      <c r="F37" s="172">
        <f>'(2019)'!J37-'(2018)'!J37</f>
        <v>-1</v>
      </c>
      <c r="G37" s="172"/>
      <c r="H37" s="182" t="str">
        <f>IF(VLOOKUP($A37,Fire2018!$C$10:$O$58,13,FALSE)="..","Imputed","")</f>
        <v/>
      </c>
      <c r="I37" s="172">
        <f>'(2019)'!K37-'(2018)'!K37</f>
        <v>0</v>
      </c>
      <c r="J37" s="172">
        <f>'(2019)'!L37-'(2018)'!L37</f>
        <v>0</v>
      </c>
      <c r="K37" s="172">
        <f>'(2019)'!M37-'(2018)'!M37</f>
        <v>-1</v>
      </c>
      <c r="L37" s="182"/>
      <c r="M37" s="182" t="str">
        <f>IF(VLOOKUP($A37,Fire2018!$C$10:$R$58,16,FALSE)="..","Imputed","")</f>
        <v/>
      </c>
      <c r="N37" s="172">
        <f>'(2019)'!N37-'(2018)'!N37</f>
        <v>-11</v>
      </c>
      <c r="O37" s="172">
        <f>'(2019)'!O37-'(2018)'!O37</f>
        <v>3</v>
      </c>
      <c r="P37" s="172">
        <f>'(2019)'!P37-'(2018)'!P37</f>
        <v>-3</v>
      </c>
      <c r="Q37" s="183"/>
      <c r="R37" s="183"/>
      <c r="S37" s="183"/>
      <c r="T37" s="184"/>
      <c r="U37" s="184"/>
      <c r="V37" s="185"/>
      <c r="W37" s="183"/>
      <c r="X37" s="186"/>
      <c r="AC37" s="174"/>
      <c r="AD37" s="174"/>
      <c r="AE37" s="174"/>
      <c r="AK37" s="174"/>
      <c r="AL37" s="174"/>
      <c r="AM37" s="174"/>
    </row>
    <row r="38" spans="1:44" ht="14.25" customHeight="1" x14ac:dyDescent="0.35">
      <c r="A38" s="160" t="s">
        <v>33</v>
      </c>
      <c r="B38" s="181"/>
      <c r="C38" s="182" t="str">
        <f>IF(VLOOKUP($A38,Fire2018!$C$10:$I$58,4,FALSE)="..","Imputed","")</f>
        <v/>
      </c>
      <c r="D38" s="172">
        <f>'(2019)'!H38-'(2018)'!H38</f>
        <v>0</v>
      </c>
      <c r="E38" s="172">
        <f>'(2019)'!I38-'(2018)'!I38</f>
        <v>0</v>
      </c>
      <c r="F38" s="172">
        <f>'(2019)'!J38-'(2018)'!J38</f>
        <v>0</v>
      </c>
      <c r="G38" s="172"/>
      <c r="H38" s="182" t="str">
        <f>IF(VLOOKUP($A38,Fire2018!$C$10:$O$58,13,FALSE)="..","Imputed","")</f>
        <v/>
      </c>
      <c r="I38" s="172">
        <f>'(2019)'!K38-'(2018)'!K38</f>
        <v>1</v>
      </c>
      <c r="J38" s="172">
        <f>'(2019)'!L38-'(2018)'!L38</f>
        <v>0</v>
      </c>
      <c r="K38" s="172">
        <f>'(2019)'!M38-'(2018)'!M38</f>
        <v>0</v>
      </c>
      <c r="L38" s="182"/>
      <c r="M38" s="182" t="str">
        <f>IF(VLOOKUP($A38,Fire2018!$C$10:$R$58,16,FALSE)="..","Imputed","")</f>
        <v/>
      </c>
      <c r="N38" s="172">
        <f>'(2019)'!N38-'(2018)'!N38</f>
        <v>-3</v>
      </c>
      <c r="O38" s="172">
        <f>'(2019)'!O38-'(2018)'!O38</f>
        <v>-1</v>
      </c>
      <c r="P38" s="172">
        <f>'(2019)'!P38-'(2018)'!P38</f>
        <v>-1</v>
      </c>
      <c r="V38" s="165"/>
      <c r="X38" s="174"/>
      <c r="AC38" s="174"/>
      <c r="AD38" s="174"/>
      <c r="AE38" s="174"/>
      <c r="AK38" s="174"/>
      <c r="AL38" s="174"/>
      <c r="AM38" s="174"/>
    </row>
    <row r="39" spans="1:44" ht="14.25" customHeight="1" x14ac:dyDescent="0.35">
      <c r="A39" s="160" t="s">
        <v>88</v>
      </c>
      <c r="B39" s="181"/>
      <c r="C39" s="182" t="str">
        <f>IF(VLOOKUP($A39,Fire2018!$C$10:$I$58,4,FALSE)="..","Imputed","")</f>
        <v/>
      </c>
      <c r="D39" s="172">
        <f>'(2019)'!H39-'(2018)'!H39</f>
        <v>0</v>
      </c>
      <c r="E39" s="172">
        <f>'(2019)'!I39-'(2018)'!I39</f>
        <v>0</v>
      </c>
      <c r="F39" s="172">
        <f>'(2019)'!J39-'(2018)'!J39</f>
        <v>0</v>
      </c>
      <c r="G39" s="172"/>
      <c r="H39" s="182" t="str">
        <f>IF(VLOOKUP($A39,Fire2018!$C$10:$O$58,13,FALSE)="..","Imputed","")</f>
        <v/>
      </c>
      <c r="I39" s="172">
        <f>'(2019)'!K39-'(2018)'!K39</f>
        <v>6</v>
      </c>
      <c r="J39" s="172">
        <f>'(2019)'!L39-'(2018)'!L39</f>
        <v>0</v>
      </c>
      <c r="K39" s="172">
        <f>'(2019)'!M39-'(2018)'!M39</f>
        <v>-5</v>
      </c>
      <c r="L39" s="182"/>
      <c r="M39" s="182" t="str">
        <f>IF(VLOOKUP($A39,Fire2018!$C$10:$R$58,16,FALSE)="..","Imputed","")</f>
        <v/>
      </c>
      <c r="N39" s="172">
        <f>'(2019)'!N39-'(2018)'!N39</f>
        <v>-13</v>
      </c>
      <c r="O39" s="172">
        <f>'(2019)'!O39-'(2018)'!O39</f>
        <v>1</v>
      </c>
      <c r="P39" s="172">
        <f>'(2019)'!P39-'(2018)'!P39</f>
        <v>0</v>
      </c>
      <c r="V39" s="165"/>
      <c r="X39" s="174"/>
      <c r="AC39" s="174"/>
      <c r="AD39" s="174"/>
      <c r="AE39" s="174"/>
      <c r="AK39" s="174"/>
      <c r="AL39" s="174"/>
      <c r="AM39" s="174"/>
    </row>
    <row r="40" spans="1:44" ht="14.25" customHeight="1" x14ac:dyDescent="0.35">
      <c r="A40" s="160" t="s">
        <v>86</v>
      </c>
      <c r="B40" s="181"/>
      <c r="C40" s="182" t="str">
        <f>IF(VLOOKUP($A40,Fire2018!$C$10:$I$58,4,FALSE)="..","Imputed","")</f>
        <v/>
      </c>
      <c r="D40" s="172">
        <f>'(2019)'!H40-'(2018)'!H40</f>
        <v>0</v>
      </c>
      <c r="E40" s="172">
        <f>'(2019)'!I40-'(2018)'!I40</f>
        <v>0</v>
      </c>
      <c r="F40" s="172">
        <f>'(2019)'!J40-'(2018)'!J40</f>
        <v>0</v>
      </c>
      <c r="G40" s="172"/>
      <c r="H40" s="182" t="str">
        <f>IF(VLOOKUP($A40,Fire2018!$C$10:$O$58,13,FALSE)="..","Imputed","")</f>
        <v/>
      </c>
      <c r="I40" s="172">
        <f>'(2019)'!K40-'(2018)'!K40</f>
        <v>0</v>
      </c>
      <c r="J40" s="172">
        <f>'(2019)'!L40-'(2018)'!L40</f>
        <v>0</v>
      </c>
      <c r="K40" s="172">
        <f>'(2019)'!M40-'(2018)'!M40</f>
        <v>2</v>
      </c>
      <c r="L40" s="182"/>
      <c r="M40" s="182" t="str">
        <f>IF(VLOOKUP($A40,Fire2018!$C$10:$R$58,16,FALSE)="..","Imputed","")</f>
        <v/>
      </c>
      <c r="N40" s="172">
        <f>'(2019)'!N40-'(2018)'!N40</f>
        <v>-2</v>
      </c>
      <c r="O40" s="172">
        <f>'(2019)'!O40-'(2018)'!O40</f>
        <v>0</v>
      </c>
      <c r="P40" s="172">
        <f>'(2019)'!P40-'(2018)'!P40</f>
        <v>1</v>
      </c>
      <c r="V40" s="165"/>
      <c r="X40" s="174"/>
      <c r="AC40" s="174"/>
      <c r="AD40" s="174"/>
      <c r="AE40" s="174"/>
      <c r="AK40" s="174"/>
      <c r="AL40" s="174"/>
      <c r="AM40" s="174"/>
    </row>
    <row r="41" spans="1:44" ht="14.25" customHeight="1" x14ac:dyDescent="0.35">
      <c r="A41" s="160" t="s">
        <v>84</v>
      </c>
      <c r="B41" s="181"/>
      <c r="C41" s="182" t="str">
        <f>IF(VLOOKUP($A41,Fire2018!$C$10:$I$58,4,FALSE)="..","Imputed","")</f>
        <v/>
      </c>
      <c r="D41" s="172">
        <f>'(2019)'!H41-'(2018)'!H41</f>
        <v>0</v>
      </c>
      <c r="E41" s="172">
        <f>'(2019)'!I41-'(2018)'!I41</f>
        <v>0</v>
      </c>
      <c r="F41" s="172">
        <f>'(2019)'!J41-'(2018)'!J41</f>
        <v>0</v>
      </c>
      <c r="G41" s="172"/>
      <c r="H41" s="182" t="str">
        <f>IF(VLOOKUP($A41,Fire2018!$C$10:$O$58,13,FALSE)="..","Imputed","")</f>
        <v/>
      </c>
      <c r="I41" s="172">
        <f>'(2019)'!K41-'(2018)'!K41</f>
        <v>0</v>
      </c>
      <c r="J41" s="172">
        <f>'(2019)'!L41-'(2018)'!L41</f>
        <v>1</v>
      </c>
      <c r="K41" s="172">
        <f>'(2019)'!M41-'(2018)'!M41</f>
        <v>3</v>
      </c>
      <c r="L41" s="182"/>
      <c r="M41" s="182" t="str">
        <f>IF(VLOOKUP($A41,Fire2018!$C$10:$R$58,16,FALSE)="..","Imputed","")</f>
        <v/>
      </c>
      <c r="N41" s="172">
        <f>'(2019)'!N41-'(2018)'!N41</f>
        <v>18</v>
      </c>
      <c r="O41" s="172">
        <f>'(2019)'!O41-'(2018)'!O41</f>
        <v>-2</v>
      </c>
      <c r="P41" s="172">
        <f>'(2019)'!P41-'(2018)'!P41</f>
        <v>-3</v>
      </c>
      <c r="V41" s="165"/>
      <c r="X41" s="174"/>
      <c r="AC41" s="174"/>
      <c r="AD41" s="174"/>
      <c r="AE41" s="174"/>
      <c r="AK41" s="174"/>
      <c r="AL41" s="174"/>
      <c r="AM41" s="174"/>
    </row>
    <row r="42" spans="1:44" ht="14.25" customHeight="1" x14ac:dyDescent="0.35">
      <c r="A42" s="160" t="s">
        <v>82</v>
      </c>
      <c r="B42" s="181"/>
      <c r="C42" s="182" t="str">
        <f>IF(VLOOKUP($A42,Fire2018!$C$10:$I$58,4,FALSE)="..","Imputed","")</f>
        <v/>
      </c>
      <c r="D42" s="172">
        <f>'(2019)'!H42-'(2018)'!H42</f>
        <v>1</v>
      </c>
      <c r="E42" s="172">
        <f>'(2019)'!I42-'(2018)'!I42</f>
        <v>-1</v>
      </c>
      <c r="F42" s="172">
        <f>'(2019)'!J42-'(2018)'!J42</f>
        <v>0</v>
      </c>
      <c r="G42" s="172"/>
      <c r="H42" s="182" t="str">
        <f>IF(VLOOKUP($A42,Fire2018!$C$10:$O$58,13,FALSE)="..","Imputed","")</f>
        <v/>
      </c>
      <c r="I42" s="172">
        <f>'(2019)'!K42-'(2018)'!K42</f>
        <v>-6</v>
      </c>
      <c r="J42" s="172">
        <f>'(2019)'!L42-'(2018)'!L42</f>
        <v>0</v>
      </c>
      <c r="K42" s="172">
        <f>'(2019)'!M42-'(2018)'!M42</f>
        <v>-9</v>
      </c>
      <c r="L42" s="182"/>
      <c r="M42" s="182" t="str">
        <f>IF(VLOOKUP($A42,Fire2018!$C$10:$R$58,16,FALSE)="..","Imputed","")</f>
        <v/>
      </c>
      <c r="N42" s="369">
        <f>'(2019)'!N42-'(2018)'!N42</f>
        <v>116</v>
      </c>
      <c r="O42" s="172">
        <f>'(2019)'!O42-'(2018)'!O42</f>
        <v>4</v>
      </c>
      <c r="P42" s="172">
        <f>'(2019)'!P42-'(2018)'!P42</f>
        <v>2</v>
      </c>
      <c r="Q42" s="160"/>
      <c r="R42" s="160"/>
      <c r="V42" s="165"/>
      <c r="X42" s="174"/>
      <c r="AC42" s="174"/>
      <c r="AD42" s="174"/>
      <c r="AE42" s="174"/>
      <c r="AK42" s="174"/>
      <c r="AL42" s="174"/>
      <c r="AM42" s="174"/>
    </row>
    <row r="43" spans="1:44" ht="14.25" customHeight="1" x14ac:dyDescent="0.35">
      <c r="A43" s="188" t="s">
        <v>79</v>
      </c>
      <c r="B43" s="181"/>
      <c r="C43" s="182" t="str">
        <f>IF(VLOOKUP($A43,Fire2018!$C$10:$I$58,4,FALSE)="..","Imputed","")</f>
        <v>Imputed</v>
      </c>
      <c r="D43" s="172">
        <f>'(2019)'!H43-'(2018)'!H43</f>
        <v>0</v>
      </c>
      <c r="E43" s="172">
        <f>'(2019)'!I43-'(2018)'!I43</f>
        <v>0</v>
      </c>
      <c r="F43" s="172">
        <f>'(2019)'!J43-'(2018)'!J43</f>
        <v>0</v>
      </c>
      <c r="G43" s="172"/>
      <c r="H43" s="182" t="str">
        <f>IF(VLOOKUP($A43,Fire2018!$C$10:$O$58,13,FALSE)="..","Imputed","")</f>
        <v>Imputed</v>
      </c>
      <c r="I43" s="172">
        <f>'(2019)'!K43-'(2018)'!K43</f>
        <v>0</v>
      </c>
      <c r="J43" s="172">
        <f>'(2019)'!L43-'(2018)'!L43</f>
        <v>0</v>
      </c>
      <c r="K43" s="172">
        <f>'(2019)'!M43-'(2018)'!M43</f>
        <v>0</v>
      </c>
      <c r="L43" s="187"/>
      <c r="M43" s="182" t="str">
        <f>IF(VLOOKUP($A43,Fire2018!$C$10:$R$58,16,FALSE)="..","Imputed","")</f>
        <v>Imputed</v>
      </c>
      <c r="N43" s="172">
        <f>'(2019)'!N43-'(2018)'!N43</f>
        <v>0</v>
      </c>
      <c r="O43" s="172">
        <f>'(2019)'!O43-'(2018)'!O43</f>
        <v>0</v>
      </c>
      <c r="P43" s="172">
        <f>'(2019)'!P43-'(2018)'!P43</f>
        <v>0</v>
      </c>
      <c r="V43" s="165"/>
      <c r="X43" s="174"/>
      <c r="AC43" s="174"/>
      <c r="AD43" s="174"/>
      <c r="AE43" s="174"/>
      <c r="AK43" s="174"/>
      <c r="AL43" s="174"/>
      <c r="AM43" s="174"/>
    </row>
    <row r="44" spans="1:44" s="175" customFormat="1" ht="14.25" customHeight="1" x14ac:dyDescent="0.35">
      <c r="A44" s="170" t="s">
        <v>188</v>
      </c>
      <c r="B44" s="177"/>
      <c r="C44" s="182"/>
      <c r="D44" s="172">
        <f>'(2019)'!H44-'(2018)'!H44</f>
        <v>-12</v>
      </c>
      <c r="E44" s="172">
        <f>'(2019)'!I44-'(2018)'!I44</f>
        <v>2</v>
      </c>
      <c r="F44" s="172">
        <f>'(2019)'!J44-'(2018)'!J44</f>
        <v>8</v>
      </c>
      <c r="G44" s="172"/>
      <c r="H44" s="182"/>
      <c r="I44" s="172">
        <f>'(2019)'!K44-'(2018)'!K44</f>
        <v>-13</v>
      </c>
      <c r="J44" s="172">
        <f>'(2019)'!L44-'(2018)'!L44</f>
        <v>-2</v>
      </c>
      <c r="K44" s="172">
        <f>'(2019)'!M44-'(2018)'!M44</f>
        <v>5</v>
      </c>
      <c r="L44" s="177"/>
      <c r="M44" s="182"/>
      <c r="N44" s="172">
        <f>'(2019)'!N44-'(2018)'!N44</f>
        <v>-83</v>
      </c>
      <c r="O44" s="172">
        <f>'(2019)'!O44-'(2018)'!O44</f>
        <v>11</v>
      </c>
      <c r="P44" s="172">
        <f>'(2019)'!P44-'(2018)'!P44</f>
        <v>-2</v>
      </c>
      <c r="S44" s="173"/>
      <c r="T44" s="179"/>
      <c r="U44" s="179"/>
      <c r="V44" s="165"/>
      <c r="W44" s="173"/>
      <c r="X44" s="174"/>
      <c r="Y44" s="173"/>
      <c r="Z44" s="173"/>
      <c r="AA44" s="173"/>
      <c r="AB44" s="173"/>
      <c r="AC44" s="174"/>
      <c r="AD44" s="174"/>
      <c r="AE44" s="174"/>
      <c r="AF44" s="173"/>
      <c r="AG44" s="173"/>
      <c r="AH44" s="173"/>
      <c r="AI44" s="173"/>
      <c r="AJ44" s="173"/>
      <c r="AK44" s="174"/>
      <c r="AL44" s="174"/>
      <c r="AM44" s="174"/>
      <c r="AO44" s="173"/>
      <c r="AP44" s="173"/>
      <c r="AQ44" s="173"/>
      <c r="AR44" s="173"/>
    </row>
    <row r="45" spans="1:44" ht="14.25" customHeight="1" x14ac:dyDescent="0.35">
      <c r="A45" s="180" t="s">
        <v>28</v>
      </c>
      <c r="B45" s="181"/>
      <c r="C45" s="182" t="str">
        <f>IF(VLOOKUP($A45,Fire2018!$C$10:$I$58,4,FALSE)="..","Imputed","")</f>
        <v/>
      </c>
      <c r="D45" s="172">
        <f>'(2019)'!H45-'(2018)'!H45</f>
        <v>-6</v>
      </c>
      <c r="E45" s="172">
        <f>'(2019)'!I45-'(2018)'!I45</f>
        <v>0</v>
      </c>
      <c r="F45" s="172">
        <f>'(2019)'!J45-'(2018)'!J45</f>
        <v>6</v>
      </c>
      <c r="G45" s="172"/>
      <c r="H45" s="182" t="str">
        <f>IF(VLOOKUP($A45,Fire2018!$C$10:$O$58,13,FALSE)="..","Imputed","")</f>
        <v/>
      </c>
      <c r="I45" s="172">
        <f>'(2019)'!K45-'(2018)'!K45</f>
        <v>0</v>
      </c>
      <c r="J45" s="172">
        <f>'(2019)'!L45-'(2018)'!L45</f>
        <v>0</v>
      </c>
      <c r="K45" s="172">
        <f>'(2019)'!M45-'(2018)'!M45</f>
        <v>-5</v>
      </c>
      <c r="L45" s="182"/>
      <c r="M45" s="182" t="str">
        <f>IF(VLOOKUP($A45,Fire2018!$C$10:$R$58,16,FALSE)="..","Imputed","")</f>
        <v/>
      </c>
      <c r="N45" s="172">
        <f>'(2019)'!N45-'(2018)'!N45</f>
        <v>8</v>
      </c>
      <c r="O45" s="172">
        <f>'(2019)'!O45-'(2018)'!O45</f>
        <v>0</v>
      </c>
      <c r="P45" s="172">
        <f>'(2019)'!P45-'(2018)'!P45</f>
        <v>-5</v>
      </c>
      <c r="V45" s="165"/>
      <c r="X45" s="174"/>
      <c r="AC45" s="174"/>
      <c r="AD45" s="174"/>
      <c r="AE45" s="174"/>
      <c r="AK45" s="174"/>
      <c r="AL45" s="174"/>
      <c r="AM45" s="174"/>
    </row>
    <row r="46" spans="1:44" ht="14.25" customHeight="1" x14ac:dyDescent="0.35">
      <c r="A46" s="180" t="s">
        <v>26</v>
      </c>
      <c r="B46" s="181"/>
      <c r="C46" s="182" t="str">
        <f>IF(VLOOKUP($A46,Fire2018!$C$10:$I$58,4,FALSE)="..","Imputed","")</f>
        <v/>
      </c>
      <c r="D46" s="172">
        <f>'(2019)'!H46-'(2018)'!H46</f>
        <v>-2</v>
      </c>
      <c r="E46" s="172">
        <f>'(2019)'!I46-'(2018)'!I46</f>
        <v>0</v>
      </c>
      <c r="F46" s="172">
        <f>'(2019)'!J46-'(2018)'!J46</f>
        <v>2</v>
      </c>
      <c r="G46" s="172"/>
      <c r="H46" s="182" t="str">
        <f>IF(VLOOKUP($A46,Fire2018!$C$10:$O$58,13,FALSE)="..","Imputed","")</f>
        <v/>
      </c>
      <c r="I46" s="172">
        <f>'(2019)'!K46-'(2018)'!K46</f>
        <v>0</v>
      </c>
      <c r="J46" s="172">
        <f>'(2019)'!L46-'(2018)'!L46</f>
        <v>0</v>
      </c>
      <c r="K46" s="172">
        <f>'(2019)'!M46-'(2018)'!M46</f>
        <v>-5</v>
      </c>
      <c r="L46" s="182"/>
      <c r="M46" s="182" t="str">
        <f>IF(VLOOKUP($A46,Fire2018!$C$10:$R$58,16,FALSE)="..","Imputed","")</f>
        <v/>
      </c>
      <c r="N46" s="172">
        <f>'(2019)'!N46-'(2018)'!N46</f>
        <v>-2</v>
      </c>
      <c r="O46" s="172">
        <f>'(2019)'!O46-'(2018)'!O46</f>
        <v>-1</v>
      </c>
      <c r="P46" s="172">
        <f>'(2019)'!P46-'(2018)'!P46</f>
        <v>0</v>
      </c>
      <c r="V46" s="165"/>
      <c r="X46" s="174"/>
      <c r="AC46" s="174"/>
      <c r="AD46" s="174"/>
      <c r="AE46" s="174"/>
      <c r="AK46" s="174"/>
      <c r="AL46" s="174"/>
      <c r="AM46" s="174"/>
    </row>
    <row r="47" spans="1:44" ht="14.25" customHeight="1" x14ac:dyDescent="0.35">
      <c r="A47" s="180" t="s">
        <v>24</v>
      </c>
      <c r="B47" s="181"/>
      <c r="C47" s="182" t="str">
        <f>IF(VLOOKUP($A47,Fire2018!$C$10:$I$58,4,FALSE)="..","Imputed","")</f>
        <v/>
      </c>
      <c r="D47" s="172">
        <f>'(2019)'!H47-'(2018)'!H47</f>
        <v>0</v>
      </c>
      <c r="E47" s="172">
        <f>'(2019)'!I47-'(2018)'!I47</f>
        <v>0</v>
      </c>
      <c r="F47" s="172">
        <f>'(2019)'!J47-'(2018)'!J47</f>
        <v>0</v>
      </c>
      <c r="G47" s="172"/>
      <c r="H47" s="182" t="str">
        <f>IF(VLOOKUP($A47,Fire2018!$C$10:$O$58,13,FALSE)="..","Imputed","")</f>
        <v/>
      </c>
      <c r="I47" s="172">
        <f>'(2019)'!K47-'(2018)'!K47</f>
        <v>0</v>
      </c>
      <c r="J47" s="172">
        <f>'(2019)'!L47-'(2018)'!L47</f>
        <v>0</v>
      </c>
      <c r="K47" s="172">
        <f>'(2019)'!M47-'(2018)'!M47</f>
        <v>-3</v>
      </c>
      <c r="L47" s="182"/>
      <c r="M47" s="182" t="str">
        <f>IF(VLOOKUP($A47,Fire2018!$C$10:$R$58,16,FALSE)="..","Imputed","")</f>
        <v/>
      </c>
      <c r="N47" s="172">
        <f>'(2019)'!N47-'(2018)'!N47</f>
        <v>-7</v>
      </c>
      <c r="O47" s="172">
        <f>'(2019)'!O47-'(2018)'!O47</f>
        <v>0</v>
      </c>
      <c r="P47" s="172">
        <f>'(2019)'!P47-'(2018)'!P47</f>
        <v>0</v>
      </c>
      <c r="V47" s="165"/>
      <c r="X47" s="174"/>
      <c r="AC47" s="174"/>
      <c r="AD47" s="174"/>
      <c r="AE47" s="174"/>
      <c r="AK47" s="174"/>
      <c r="AL47" s="174"/>
      <c r="AM47" s="174"/>
    </row>
    <row r="48" spans="1:44" ht="14.25" customHeight="1" x14ac:dyDescent="0.35">
      <c r="A48" s="180" t="s">
        <v>22</v>
      </c>
      <c r="B48" s="181"/>
      <c r="C48" s="182" t="str">
        <f>IF(VLOOKUP($A48,Fire2018!$C$10:$I$58,4,FALSE)="..","Imputed","")</f>
        <v/>
      </c>
      <c r="D48" s="172">
        <f>'(2019)'!H48-'(2018)'!H48</f>
        <v>0</v>
      </c>
      <c r="E48" s="172">
        <f>'(2019)'!I48-'(2018)'!I48</f>
        <v>0</v>
      </c>
      <c r="F48" s="172">
        <f>'(2019)'!J48-'(2018)'!J48</f>
        <v>0</v>
      </c>
      <c r="G48" s="172"/>
      <c r="H48" s="182" t="str">
        <f>IF(VLOOKUP($A48,Fire2018!$C$10:$O$58,13,FALSE)="..","Imputed","")</f>
        <v/>
      </c>
      <c r="I48" s="172">
        <f>'(2019)'!K48-'(2018)'!K48</f>
        <v>0</v>
      </c>
      <c r="J48" s="172">
        <f>'(2019)'!L48-'(2018)'!L48</f>
        <v>0</v>
      </c>
      <c r="K48" s="172">
        <f>'(2019)'!M48-'(2018)'!M48</f>
        <v>0</v>
      </c>
      <c r="L48" s="182"/>
      <c r="M48" s="182" t="str">
        <f>IF(VLOOKUP($A48,Fire2018!$C$10:$R$58,16,FALSE)="..","Imputed","")</f>
        <v/>
      </c>
      <c r="N48" s="172">
        <f>'(2019)'!N48-'(2018)'!N48</f>
        <v>-2</v>
      </c>
      <c r="O48" s="172">
        <f>'(2019)'!O48-'(2018)'!O48</f>
        <v>0</v>
      </c>
      <c r="P48" s="172">
        <f>'(2019)'!P48-'(2018)'!P48</f>
        <v>0</v>
      </c>
      <c r="V48" s="165"/>
      <c r="X48" s="174"/>
      <c r="AC48" s="174"/>
      <c r="AD48" s="174"/>
      <c r="AE48" s="174"/>
      <c r="AK48" s="174"/>
      <c r="AL48" s="174"/>
      <c r="AM48" s="174"/>
    </row>
    <row r="49" spans="1:39" ht="14.25" customHeight="1" x14ac:dyDescent="0.35">
      <c r="A49" s="180" t="s">
        <v>20</v>
      </c>
      <c r="B49" s="181"/>
      <c r="C49" s="182" t="str">
        <f>IF(VLOOKUP($A49,Fire2018!$C$10:$I$58,4,FALSE)="..","Imputed","")</f>
        <v/>
      </c>
      <c r="D49" s="172">
        <f>'(2019)'!H49-'(2018)'!H49</f>
        <v>0</v>
      </c>
      <c r="E49" s="172">
        <f>'(2019)'!I49-'(2018)'!I49</f>
        <v>0</v>
      </c>
      <c r="F49" s="172">
        <f>'(2019)'!J49-'(2018)'!J49</f>
        <v>0</v>
      </c>
      <c r="G49" s="172"/>
      <c r="H49" s="182" t="str">
        <f>IF(VLOOKUP($A49,Fire2018!$C$10:$O$58,13,FALSE)="..","Imputed","")</f>
        <v/>
      </c>
      <c r="I49" s="172">
        <f>'(2019)'!K49-'(2018)'!K49</f>
        <v>0</v>
      </c>
      <c r="J49" s="172">
        <f>'(2019)'!L49-'(2018)'!L49</f>
        <v>0</v>
      </c>
      <c r="K49" s="172">
        <f>'(2019)'!M49-'(2018)'!M49</f>
        <v>-1</v>
      </c>
      <c r="L49" s="182"/>
      <c r="M49" s="182" t="str">
        <f>IF(VLOOKUP($A49,Fire2018!$C$10:$R$58,16,FALSE)="..","Imputed","")</f>
        <v/>
      </c>
      <c r="N49" s="172">
        <f>'(2019)'!N49-'(2018)'!N49</f>
        <v>2</v>
      </c>
      <c r="O49" s="172">
        <f>'(2019)'!O49-'(2018)'!O49</f>
        <v>0</v>
      </c>
      <c r="P49" s="172">
        <f>'(2019)'!P49-'(2018)'!P49</f>
        <v>0</v>
      </c>
      <c r="V49" s="165"/>
      <c r="X49" s="174"/>
      <c r="AC49" s="174"/>
      <c r="AD49" s="174"/>
      <c r="AE49" s="174"/>
      <c r="AK49" s="174"/>
      <c r="AL49" s="174"/>
      <c r="AM49" s="174"/>
    </row>
    <row r="50" spans="1:39" ht="14.25" customHeight="1" x14ac:dyDescent="0.35">
      <c r="A50" s="160" t="s">
        <v>18</v>
      </c>
      <c r="B50" s="181"/>
      <c r="C50" s="182" t="str">
        <f>IF(VLOOKUP($A50,Fire2018!$C$10:$I$58,4,FALSE)="..","Imputed","")</f>
        <v/>
      </c>
      <c r="D50" s="172">
        <f>'(2019)'!H50-'(2018)'!H50</f>
        <v>-4</v>
      </c>
      <c r="E50" s="172">
        <f>'(2019)'!I50-'(2018)'!I50</f>
        <v>2</v>
      </c>
      <c r="F50" s="172">
        <f>'(2019)'!J50-'(2018)'!J50</f>
        <v>0</v>
      </c>
      <c r="G50" s="172"/>
      <c r="H50" s="182" t="str">
        <f>IF(VLOOKUP($A50,Fire2018!$C$10:$O$58,13,FALSE)="..","Imputed","")</f>
        <v/>
      </c>
      <c r="I50" s="172">
        <f>'(2019)'!K50-'(2018)'!K50</f>
        <v>-13</v>
      </c>
      <c r="J50" s="172">
        <f>'(2019)'!L50-'(2018)'!L50</f>
        <v>-2</v>
      </c>
      <c r="K50" s="172">
        <f>'(2019)'!M50-'(2018)'!M50</f>
        <v>11</v>
      </c>
      <c r="L50" s="182"/>
      <c r="M50" s="182" t="str">
        <f>IF(VLOOKUP($A50,Fire2018!$C$10:$R$58,16,FALSE)="..","Imputed","")</f>
        <v/>
      </c>
      <c r="N50" s="369">
        <f>'(2019)'!N50-'(2018)'!N50</f>
        <v>-60</v>
      </c>
      <c r="O50" s="172">
        <f>'(2019)'!O50-'(2018)'!O50</f>
        <v>2</v>
      </c>
      <c r="P50" s="172">
        <f>'(2019)'!P50-'(2018)'!P50</f>
        <v>-5</v>
      </c>
      <c r="V50" s="165"/>
      <c r="X50" s="174"/>
      <c r="AC50" s="174"/>
      <c r="AD50" s="174"/>
      <c r="AE50" s="174"/>
      <c r="AK50" s="174"/>
      <c r="AL50" s="174"/>
      <c r="AM50" s="174"/>
    </row>
    <row r="51" spans="1:39" ht="14.25" customHeight="1" x14ac:dyDescent="0.35">
      <c r="A51" s="89" t="s">
        <v>620</v>
      </c>
      <c r="B51" s="189"/>
      <c r="C51" s="182" t="str">
        <f>IF(VLOOKUP($A51,Fire2018!$C$10:$I$58,4,FALSE)="..","Imputed","")</f>
        <v/>
      </c>
      <c r="D51" s="172">
        <f>'(2019)'!H51-'(2018)'!H51</f>
        <v>0</v>
      </c>
      <c r="E51" s="172">
        <f>'(2019)'!I51-'(2018)'!I51</f>
        <v>0</v>
      </c>
      <c r="F51" s="172">
        <f>'(2019)'!J51-'(2018)'!J51</f>
        <v>0</v>
      </c>
      <c r="G51" s="172"/>
      <c r="H51" s="182" t="str">
        <f>IF(VLOOKUP($A51,Fire2018!$C$10:$O$58,13,FALSE)="..","Imputed","")</f>
        <v/>
      </c>
      <c r="I51" s="172">
        <f>'(2019)'!K51-'(2018)'!K51</f>
        <v>0</v>
      </c>
      <c r="J51" s="172">
        <f>'(2019)'!L51-'(2018)'!L51</f>
        <v>0</v>
      </c>
      <c r="K51" s="172">
        <f>'(2019)'!M51-'(2018)'!M51</f>
        <v>8</v>
      </c>
      <c r="L51" s="190"/>
      <c r="M51" s="182" t="str">
        <f>IF(VLOOKUP($A51,Fire2018!$C$10:$R$58,16,FALSE)="..","Imputed","")</f>
        <v/>
      </c>
      <c r="N51" s="172">
        <f>'(2019)'!N51-'(2018)'!N51</f>
        <v>-22</v>
      </c>
      <c r="O51" s="172">
        <f>'(2019)'!O51-'(2018)'!O51</f>
        <v>10</v>
      </c>
      <c r="P51" s="172">
        <f>'(2019)'!P51-'(2018)'!P51</f>
        <v>8</v>
      </c>
      <c r="V51" s="165"/>
      <c r="X51" s="174"/>
      <c r="AC51" s="174"/>
      <c r="AD51" s="174"/>
      <c r="AE51" s="174"/>
      <c r="AK51" s="174"/>
      <c r="AL51" s="174"/>
      <c r="AM51" s="174"/>
    </row>
    <row r="52" spans="1:39" ht="6" customHeight="1" x14ac:dyDescent="0.35">
      <c r="A52" s="160"/>
      <c r="B52" s="160"/>
      <c r="C52" s="191"/>
      <c r="D52" s="180"/>
      <c r="I52" s="160"/>
      <c r="J52" s="160"/>
      <c r="K52" s="160"/>
      <c r="L52" s="160"/>
      <c r="M52" s="160"/>
      <c r="N52" s="160"/>
      <c r="O52" s="160"/>
      <c r="P52" s="160"/>
      <c r="Q52" s="160"/>
      <c r="R52" s="160"/>
      <c r="AC52" s="174"/>
      <c r="AD52" s="174"/>
      <c r="AE52" s="174"/>
    </row>
    <row r="53" spans="1:39" x14ac:dyDescent="0.35">
      <c r="A53" s="160" t="s">
        <v>191</v>
      </c>
      <c r="B53" s="160"/>
      <c r="C53" s="191"/>
      <c r="D53" s="180"/>
      <c r="I53" s="160"/>
      <c r="J53" s="160"/>
      <c r="K53" s="160"/>
      <c r="L53" s="160"/>
      <c r="M53" s="160"/>
      <c r="N53" s="160"/>
      <c r="O53" s="160"/>
      <c r="P53" s="160"/>
      <c r="Q53" s="160"/>
      <c r="R53" s="160"/>
    </row>
    <row r="54" spans="1:39" x14ac:dyDescent="0.35">
      <c r="A54" s="160" t="s">
        <v>192</v>
      </c>
      <c r="B54" s="160"/>
      <c r="C54" s="191"/>
      <c r="D54" s="180"/>
      <c r="I54" s="160"/>
      <c r="J54" s="160"/>
      <c r="K54" s="160"/>
      <c r="L54" s="160"/>
      <c r="M54" s="160"/>
      <c r="N54" s="160"/>
      <c r="O54" s="160"/>
      <c r="P54" s="160"/>
      <c r="Q54" s="160"/>
      <c r="R54" s="160"/>
    </row>
    <row r="55" spans="1:39" ht="24" customHeight="1" x14ac:dyDescent="0.35">
      <c r="A55" s="406" t="s">
        <v>193</v>
      </c>
      <c r="B55" s="406"/>
      <c r="C55" s="406"/>
      <c r="D55" s="406"/>
      <c r="E55" s="406"/>
      <c r="F55" s="406"/>
      <c r="G55" s="406"/>
      <c r="H55" s="406"/>
      <c r="I55" s="406"/>
      <c r="J55" s="406"/>
      <c r="K55" s="406"/>
      <c r="L55" s="406"/>
      <c r="M55" s="406"/>
      <c r="N55" s="406"/>
      <c r="O55" s="406"/>
      <c r="P55" s="406"/>
      <c r="Q55" s="160"/>
      <c r="R55" s="160"/>
    </row>
    <row r="56" spans="1:39" x14ac:dyDescent="0.35">
      <c r="A56" s="160" t="s">
        <v>194</v>
      </c>
      <c r="B56" s="160"/>
      <c r="C56" s="191"/>
      <c r="D56" s="180"/>
      <c r="I56" s="160"/>
      <c r="J56" s="160"/>
      <c r="K56" s="160"/>
      <c r="L56" s="160"/>
      <c r="M56" s="160"/>
      <c r="N56" s="160"/>
      <c r="O56" s="160"/>
      <c r="P56" s="160"/>
      <c r="Q56" s="160"/>
      <c r="R56" s="160"/>
    </row>
    <row r="57" spans="1:39" x14ac:dyDescent="0.35">
      <c r="A57" s="160"/>
      <c r="B57" s="160"/>
      <c r="C57" s="191"/>
      <c r="D57" s="180"/>
      <c r="I57" s="160"/>
      <c r="J57" s="160"/>
      <c r="K57" s="160"/>
      <c r="L57" s="160"/>
      <c r="M57" s="160"/>
      <c r="N57" s="160"/>
      <c r="O57" s="160"/>
      <c r="P57" s="160"/>
      <c r="Q57" s="160"/>
      <c r="R57" s="160"/>
    </row>
    <row r="58" spans="1:39" x14ac:dyDescent="0.35">
      <c r="A58" s="192" t="s">
        <v>195</v>
      </c>
      <c r="B58" s="160"/>
      <c r="C58" s="191"/>
      <c r="D58" s="180"/>
      <c r="I58" s="160"/>
      <c r="J58" s="160"/>
      <c r="K58" s="160"/>
      <c r="L58" s="160"/>
      <c r="M58" s="160"/>
      <c r="N58" s="160"/>
      <c r="O58" s="160"/>
      <c r="P58" s="160"/>
      <c r="Q58" s="160"/>
      <c r="R58" s="160"/>
    </row>
    <row r="59" spans="1:39" x14ac:dyDescent="0.35">
      <c r="A59" s="160" t="s">
        <v>196</v>
      </c>
      <c r="B59" s="160"/>
      <c r="C59" s="191"/>
      <c r="D59" s="180"/>
      <c r="I59" s="160"/>
      <c r="J59" s="160"/>
      <c r="K59" s="160"/>
      <c r="L59" s="160"/>
      <c r="M59" s="160"/>
      <c r="N59" s="160"/>
      <c r="O59" s="160"/>
      <c r="P59" s="160"/>
      <c r="Q59" s="160"/>
      <c r="R59" s="160"/>
    </row>
    <row r="60" spans="1:39" x14ac:dyDescent="0.35">
      <c r="A60" s="160"/>
      <c r="B60" s="160"/>
      <c r="C60" s="191"/>
      <c r="D60" s="180"/>
      <c r="I60" s="160"/>
      <c r="J60" s="160"/>
      <c r="K60" s="160"/>
      <c r="L60" s="160"/>
      <c r="M60" s="160"/>
      <c r="N60" s="160"/>
      <c r="O60" s="160"/>
      <c r="P60" s="160"/>
      <c r="Q60" s="160"/>
      <c r="R60" s="160"/>
    </row>
    <row r="61" spans="1:39" x14ac:dyDescent="0.35">
      <c r="A61" s="160" t="s">
        <v>197</v>
      </c>
      <c r="B61" s="160"/>
      <c r="C61" s="191"/>
      <c r="D61" s="180"/>
      <c r="I61" s="160"/>
      <c r="J61" s="160"/>
      <c r="K61" s="160"/>
      <c r="L61" s="160"/>
      <c r="M61" s="160"/>
      <c r="N61" s="160"/>
      <c r="O61" s="160"/>
      <c r="P61" s="160"/>
      <c r="Q61" s="160"/>
      <c r="R61" s="160"/>
    </row>
    <row r="62" spans="1:39" x14ac:dyDescent="0.35">
      <c r="A62" s="160"/>
      <c r="B62" s="160"/>
      <c r="C62" s="191"/>
      <c r="D62" s="180"/>
      <c r="I62" s="160"/>
      <c r="J62" s="160"/>
      <c r="K62" s="160"/>
      <c r="L62" s="160"/>
      <c r="M62" s="160"/>
      <c r="N62" s="160"/>
      <c r="O62" s="160"/>
      <c r="P62" s="160"/>
      <c r="Q62" s="160"/>
      <c r="R62" s="160"/>
    </row>
    <row r="63" spans="1:39" ht="15" customHeight="1" x14ac:dyDescent="0.35">
      <c r="A63" s="193"/>
      <c r="B63" s="160"/>
      <c r="C63" s="191"/>
      <c r="D63" s="180"/>
      <c r="I63" s="160"/>
      <c r="J63" s="160"/>
      <c r="K63" s="160"/>
      <c r="L63" s="160"/>
      <c r="M63" s="160"/>
      <c r="N63" s="160"/>
      <c r="O63" s="160"/>
      <c r="P63" s="160"/>
      <c r="Q63" s="160"/>
      <c r="R63" s="160"/>
    </row>
    <row r="64" spans="1:39" ht="15" customHeight="1" x14ac:dyDescent="0.35">
      <c r="A64" s="193"/>
      <c r="B64" s="160"/>
      <c r="C64" s="191"/>
      <c r="D64" s="180"/>
      <c r="I64" s="160"/>
      <c r="J64" s="160"/>
      <c r="K64" s="160"/>
      <c r="L64" s="160"/>
      <c r="M64" s="160"/>
      <c r="N64" s="160"/>
      <c r="O64" s="160"/>
      <c r="P64" s="160"/>
      <c r="Q64" s="160"/>
      <c r="R64" s="160"/>
    </row>
    <row r="65" spans="1:18" x14ac:dyDescent="0.35">
      <c r="B65" s="160"/>
      <c r="C65" s="191"/>
      <c r="D65" s="180"/>
      <c r="I65" s="160"/>
      <c r="J65" s="160"/>
      <c r="K65" s="160"/>
      <c r="L65" s="160"/>
      <c r="M65" s="160"/>
      <c r="N65" s="160"/>
      <c r="O65" s="160"/>
      <c r="P65" s="160"/>
      <c r="Q65" s="160"/>
      <c r="R65" s="160"/>
    </row>
    <row r="66" spans="1:18" x14ac:dyDescent="0.35">
      <c r="B66" s="160"/>
      <c r="C66" s="191"/>
      <c r="D66" s="160"/>
    </row>
    <row r="67" spans="1:18" x14ac:dyDescent="0.35">
      <c r="A67" s="160"/>
      <c r="B67" s="160"/>
      <c r="C67" s="191"/>
      <c r="D67" s="160"/>
    </row>
    <row r="68" spans="1:18" x14ac:dyDescent="0.35">
      <c r="A68" s="160"/>
      <c r="B68" s="160"/>
      <c r="C68" s="191"/>
      <c r="D68" s="160"/>
    </row>
    <row r="69" spans="1:18" x14ac:dyDescent="0.35">
      <c r="A69" s="160"/>
      <c r="B69" s="160"/>
      <c r="C69" s="191"/>
      <c r="D69" s="160"/>
    </row>
    <row r="70" spans="1:18" x14ac:dyDescent="0.35">
      <c r="A70" s="160"/>
      <c r="B70" s="160"/>
      <c r="C70" s="191"/>
      <c r="D70" s="160"/>
    </row>
    <row r="71" spans="1:18" x14ac:dyDescent="0.35">
      <c r="A71" s="160"/>
      <c r="B71" s="160"/>
      <c r="C71" s="191"/>
      <c r="D71" s="160"/>
    </row>
    <row r="72" spans="1:18" x14ac:dyDescent="0.35">
      <c r="A72" s="160"/>
      <c r="B72" s="160"/>
      <c r="C72" s="191"/>
      <c r="D72" s="160"/>
    </row>
    <row r="73" spans="1:18" x14ac:dyDescent="0.35">
      <c r="A73" s="160"/>
      <c r="B73" s="160"/>
      <c r="C73" s="191"/>
      <c r="D73" s="160"/>
    </row>
    <row r="74" spans="1:18" x14ac:dyDescent="0.35">
      <c r="A74" s="160"/>
      <c r="B74" s="160"/>
      <c r="C74" s="191"/>
      <c r="D74" s="160"/>
    </row>
    <row r="75" spans="1:18" x14ac:dyDescent="0.35">
      <c r="A75" s="160"/>
      <c r="B75" s="160"/>
      <c r="C75" s="191"/>
      <c r="D75" s="160"/>
    </row>
    <row r="76" spans="1:18" x14ac:dyDescent="0.35">
      <c r="A76" s="160"/>
      <c r="B76" s="160"/>
      <c r="C76" s="191"/>
      <c r="D76" s="160"/>
    </row>
    <row r="77" spans="1:18" x14ac:dyDescent="0.35">
      <c r="A77" s="160"/>
      <c r="B77" s="160"/>
      <c r="C77" s="191"/>
      <c r="D77" s="160"/>
    </row>
    <row r="78" spans="1:18" x14ac:dyDescent="0.35">
      <c r="A78" s="160"/>
      <c r="B78" s="160"/>
      <c r="C78" s="191"/>
      <c r="D78" s="160"/>
    </row>
    <row r="79" spans="1:18" x14ac:dyDescent="0.35">
      <c r="A79" s="160"/>
      <c r="B79" s="160"/>
      <c r="C79" s="191"/>
      <c r="D79" s="160"/>
    </row>
    <row r="80" spans="1:18" x14ac:dyDescent="0.35">
      <c r="A80" s="160"/>
      <c r="B80" s="160"/>
      <c r="C80" s="191"/>
      <c r="D80" s="160"/>
    </row>
    <row r="81" spans="1:4" x14ac:dyDescent="0.35">
      <c r="A81" s="160"/>
      <c r="B81" s="160"/>
      <c r="C81" s="191"/>
      <c r="D81" s="160"/>
    </row>
    <row r="82" spans="1:4" x14ac:dyDescent="0.35">
      <c r="A82" s="160"/>
      <c r="B82" s="160"/>
      <c r="C82" s="191"/>
      <c r="D82" s="160"/>
    </row>
    <row r="83" spans="1:4" x14ac:dyDescent="0.35">
      <c r="A83" s="160"/>
      <c r="B83" s="160"/>
      <c r="C83" s="191"/>
      <c r="D83" s="160"/>
    </row>
    <row r="84" spans="1:4" x14ac:dyDescent="0.35">
      <c r="A84" s="160"/>
      <c r="B84" s="160"/>
      <c r="C84" s="191"/>
      <c r="D84" s="160"/>
    </row>
    <row r="85" spans="1:4" x14ac:dyDescent="0.35">
      <c r="A85" s="160"/>
      <c r="B85" s="160"/>
      <c r="C85" s="191"/>
      <c r="D85" s="160"/>
    </row>
    <row r="86" spans="1:4" x14ac:dyDescent="0.35">
      <c r="A86" s="160"/>
      <c r="B86" s="160"/>
      <c r="C86" s="191"/>
      <c r="D86" s="160"/>
    </row>
    <row r="87" spans="1:4" x14ac:dyDescent="0.35">
      <c r="A87" s="160"/>
      <c r="B87" s="160"/>
      <c r="C87" s="191"/>
      <c r="D87" s="160"/>
    </row>
    <row r="88" spans="1:4" x14ac:dyDescent="0.35">
      <c r="A88" s="160"/>
      <c r="B88" s="160"/>
      <c r="C88" s="191"/>
      <c r="D88" s="160"/>
    </row>
    <row r="89" spans="1:4" x14ac:dyDescent="0.35">
      <c r="A89" s="160"/>
      <c r="B89" s="160"/>
      <c r="C89" s="191"/>
      <c r="D89" s="160"/>
    </row>
    <row r="90" spans="1:4" x14ac:dyDescent="0.35">
      <c r="A90" s="160"/>
      <c r="B90" s="160"/>
      <c r="C90" s="191"/>
      <c r="D90" s="160"/>
    </row>
    <row r="91" spans="1:4" x14ac:dyDescent="0.35">
      <c r="A91" s="160"/>
      <c r="B91" s="160"/>
      <c r="C91" s="191"/>
      <c r="D91" s="160"/>
    </row>
    <row r="92" spans="1:4" x14ac:dyDescent="0.35">
      <c r="A92" s="160"/>
      <c r="B92" s="160"/>
      <c r="C92" s="191"/>
      <c r="D92" s="160"/>
    </row>
    <row r="93" spans="1:4" x14ac:dyDescent="0.35">
      <c r="A93" s="160"/>
      <c r="B93" s="160"/>
      <c r="C93" s="191"/>
      <c r="D93" s="160"/>
    </row>
    <row r="94" spans="1:4" x14ac:dyDescent="0.35">
      <c r="A94" s="160"/>
      <c r="B94" s="160"/>
      <c r="C94" s="191"/>
      <c r="D94" s="160"/>
    </row>
    <row r="95" spans="1:4" x14ac:dyDescent="0.35">
      <c r="A95" s="160"/>
      <c r="B95" s="160"/>
      <c r="C95" s="191"/>
      <c r="D95" s="160"/>
    </row>
    <row r="96" spans="1:4" x14ac:dyDescent="0.35">
      <c r="A96" s="160"/>
      <c r="B96" s="160"/>
      <c r="C96" s="191"/>
      <c r="D96" s="160"/>
    </row>
    <row r="97" spans="1:4" x14ac:dyDescent="0.35">
      <c r="A97" s="160"/>
      <c r="B97" s="160"/>
      <c r="C97" s="191"/>
      <c r="D97" s="160"/>
    </row>
    <row r="98" spans="1:4" x14ac:dyDescent="0.35">
      <c r="A98" s="160"/>
      <c r="B98" s="160"/>
      <c r="C98" s="191"/>
      <c r="D98" s="160"/>
    </row>
    <row r="99" spans="1:4" x14ac:dyDescent="0.35">
      <c r="A99" s="160"/>
      <c r="B99" s="160"/>
      <c r="C99" s="191"/>
      <c r="D99" s="160"/>
    </row>
    <row r="100" spans="1:4" x14ac:dyDescent="0.35">
      <c r="A100" s="160"/>
      <c r="B100" s="160"/>
      <c r="C100" s="191"/>
      <c r="D100" s="160"/>
    </row>
    <row r="101" spans="1:4" x14ac:dyDescent="0.35">
      <c r="A101" s="160"/>
      <c r="B101" s="160"/>
      <c r="C101" s="191"/>
      <c r="D101" s="160"/>
    </row>
    <row r="102" spans="1:4" x14ac:dyDescent="0.35">
      <c r="A102" s="160"/>
      <c r="B102" s="160"/>
      <c r="C102" s="191"/>
      <c r="D102" s="160"/>
    </row>
    <row r="103" spans="1:4" x14ac:dyDescent="0.35">
      <c r="A103" s="160"/>
      <c r="B103" s="160"/>
      <c r="C103" s="191"/>
      <c r="D103" s="160"/>
    </row>
    <row r="104" spans="1:4" x14ac:dyDescent="0.35">
      <c r="A104" s="160"/>
      <c r="B104" s="160"/>
      <c r="C104" s="191"/>
      <c r="D104" s="160"/>
    </row>
    <row r="105" spans="1:4" x14ac:dyDescent="0.35">
      <c r="A105" s="160"/>
      <c r="B105" s="160"/>
      <c r="C105" s="191"/>
      <c r="D105" s="160"/>
    </row>
    <row r="106" spans="1:4" x14ac:dyDescent="0.35">
      <c r="A106" s="160"/>
      <c r="B106" s="160"/>
      <c r="C106" s="191"/>
      <c r="D106" s="160"/>
    </row>
    <row r="107" spans="1:4" x14ac:dyDescent="0.35">
      <c r="A107" s="160"/>
      <c r="B107" s="160"/>
      <c r="C107" s="191"/>
      <c r="D107" s="160"/>
    </row>
    <row r="108" spans="1:4" x14ac:dyDescent="0.35">
      <c r="A108" s="160"/>
      <c r="B108" s="160"/>
      <c r="C108" s="191"/>
      <c r="D108" s="160"/>
    </row>
    <row r="109" spans="1:4" x14ac:dyDescent="0.35">
      <c r="A109" s="160"/>
      <c r="B109" s="160"/>
      <c r="C109" s="191"/>
      <c r="D109" s="160"/>
    </row>
    <row r="110" spans="1:4" x14ac:dyDescent="0.35">
      <c r="A110" s="160"/>
      <c r="B110" s="160"/>
      <c r="C110" s="191"/>
      <c r="D110" s="160"/>
    </row>
    <row r="111" spans="1:4" x14ac:dyDescent="0.35">
      <c r="A111" s="160"/>
      <c r="B111" s="160"/>
      <c r="C111" s="191"/>
      <c r="D111" s="160"/>
    </row>
    <row r="112" spans="1:4" x14ac:dyDescent="0.35">
      <c r="A112" s="160"/>
      <c r="B112" s="160"/>
      <c r="C112" s="191"/>
      <c r="D112" s="160"/>
    </row>
    <row r="113" spans="1:4" x14ac:dyDescent="0.35">
      <c r="A113" s="160"/>
      <c r="B113" s="160"/>
      <c r="C113" s="191"/>
      <c r="D113" s="160"/>
    </row>
    <row r="114" spans="1:4" x14ac:dyDescent="0.35">
      <c r="A114" s="160"/>
      <c r="B114" s="160"/>
      <c r="C114" s="191"/>
      <c r="D114" s="160"/>
    </row>
    <row r="115" spans="1:4" x14ac:dyDescent="0.35">
      <c r="A115" s="160"/>
      <c r="B115" s="160"/>
      <c r="C115" s="191"/>
      <c r="D115" s="160"/>
    </row>
    <row r="116" spans="1:4" x14ac:dyDescent="0.35">
      <c r="A116" s="160"/>
      <c r="B116" s="160"/>
      <c r="C116" s="191"/>
      <c r="D116" s="160"/>
    </row>
    <row r="117" spans="1:4" x14ac:dyDescent="0.35">
      <c r="A117" s="160"/>
      <c r="B117" s="160"/>
      <c r="C117" s="191"/>
      <c r="D117" s="160"/>
    </row>
    <row r="118" spans="1:4" x14ac:dyDescent="0.35">
      <c r="A118" s="160"/>
      <c r="B118" s="160"/>
      <c r="C118" s="191"/>
      <c r="D118" s="160"/>
    </row>
    <row r="119" spans="1:4" x14ac:dyDescent="0.35">
      <c r="A119" s="160"/>
      <c r="B119" s="160"/>
      <c r="C119" s="191"/>
      <c r="D119" s="160"/>
    </row>
    <row r="120" spans="1:4" x14ac:dyDescent="0.35">
      <c r="A120" s="160"/>
      <c r="B120" s="160"/>
      <c r="C120" s="191"/>
      <c r="D120" s="160"/>
    </row>
    <row r="121" spans="1:4" x14ac:dyDescent="0.35">
      <c r="A121" s="160"/>
      <c r="B121" s="160"/>
      <c r="C121" s="191"/>
      <c r="D121" s="160"/>
    </row>
    <row r="122" spans="1:4" x14ac:dyDescent="0.35">
      <c r="A122" s="160"/>
      <c r="B122" s="160"/>
      <c r="C122" s="191"/>
      <c r="D122" s="160"/>
    </row>
    <row r="123" spans="1:4" x14ac:dyDescent="0.35">
      <c r="A123" s="160"/>
      <c r="B123" s="160"/>
      <c r="C123" s="191"/>
      <c r="D123" s="160"/>
    </row>
    <row r="124" spans="1:4" x14ac:dyDescent="0.35">
      <c r="A124" s="160"/>
      <c r="B124" s="160"/>
      <c r="C124" s="191"/>
      <c r="D124" s="160"/>
    </row>
    <row r="125" spans="1:4" x14ac:dyDescent="0.35">
      <c r="A125" s="160"/>
      <c r="B125" s="160"/>
      <c r="C125" s="191"/>
      <c r="D125" s="160"/>
    </row>
    <row r="126" spans="1:4" x14ac:dyDescent="0.35">
      <c r="A126" s="160"/>
      <c r="B126" s="160"/>
      <c r="C126" s="191"/>
      <c r="D126" s="160"/>
    </row>
    <row r="127" spans="1:4" x14ac:dyDescent="0.35">
      <c r="A127" s="160"/>
      <c r="B127" s="160"/>
      <c r="C127" s="191"/>
      <c r="D127" s="160"/>
    </row>
    <row r="128" spans="1:4" x14ac:dyDescent="0.35">
      <c r="A128" s="160"/>
      <c r="B128" s="160"/>
      <c r="C128" s="191"/>
      <c r="D128" s="160"/>
    </row>
    <row r="129" spans="1:4" x14ac:dyDescent="0.35">
      <c r="A129" s="160"/>
      <c r="B129" s="160"/>
      <c r="C129" s="191"/>
      <c r="D129" s="160"/>
    </row>
    <row r="130" spans="1:4" x14ac:dyDescent="0.35">
      <c r="A130" s="160"/>
      <c r="B130" s="160"/>
      <c r="C130" s="191"/>
      <c r="D130" s="160"/>
    </row>
    <row r="131" spans="1:4" x14ac:dyDescent="0.35">
      <c r="A131" s="160"/>
      <c r="B131" s="160"/>
      <c r="C131" s="191"/>
      <c r="D131" s="160"/>
    </row>
    <row r="132" spans="1:4" x14ac:dyDescent="0.35">
      <c r="A132" s="160"/>
      <c r="B132" s="160"/>
      <c r="C132" s="191"/>
      <c r="D132" s="160"/>
    </row>
    <row r="133" spans="1:4" x14ac:dyDescent="0.35">
      <c r="A133" s="160"/>
      <c r="B133" s="160"/>
      <c r="C133" s="191"/>
      <c r="D133" s="160"/>
    </row>
    <row r="134" spans="1:4" x14ac:dyDescent="0.35">
      <c r="A134" s="160"/>
      <c r="B134" s="160"/>
      <c r="C134" s="191"/>
      <c r="D134" s="160"/>
    </row>
    <row r="135" spans="1:4" x14ac:dyDescent="0.35">
      <c r="A135" s="160"/>
      <c r="B135" s="160"/>
      <c r="C135" s="191"/>
      <c r="D135" s="160"/>
    </row>
    <row r="136" spans="1:4" x14ac:dyDescent="0.35">
      <c r="A136" s="160"/>
      <c r="B136" s="160"/>
      <c r="C136" s="191"/>
      <c r="D136" s="160"/>
    </row>
    <row r="137" spans="1:4" x14ac:dyDescent="0.35">
      <c r="A137" s="160"/>
      <c r="B137" s="160"/>
      <c r="C137" s="191"/>
      <c r="D137" s="160"/>
    </row>
    <row r="138" spans="1:4" x14ac:dyDescent="0.35">
      <c r="A138" s="160"/>
      <c r="B138" s="160"/>
      <c r="C138" s="191"/>
      <c r="D138" s="160"/>
    </row>
    <row r="139" spans="1:4" x14ac:dyDescent="0.35">
      <c r="A139" s="160"/>
      <c r="B139" s="160"/>
      <c r="C139" s="191"/>
      <c r="D139" s="160"/>
    </row>
    <row r="140" spans="1:4" x14ac:dyDescent="0.35">
      <c r="A140" s="160"/>
      <c r="B140" s="160"/>
      <c r="C140" s="191"/>
      <c r="D140" s="160"/>
    </row>
    <row r="141" spans="1:4" x14ac:dyDescent="0.35">
      <c r="A141" s="160"/>
      <c r="B141" s="160"/>
      <c r="C141" s="191"/>
      <c r="D141" s="160"/>
    </row>
    <row r="142" spans="1:4" x14ac:dyDescent="0.35">
      <c r="A142" s="160"/>
      <c r="B142" s="160"/>
      <c r="C142" s="191"/>
      <c r="D142" s="160"/>
    </row>
    <row r="143" spans="1:4" x14ac:dyDescent="0.35">
      <c r="A143" s="160"/>
      <c r="B143" s="160"/>
      <c r="C143" s="191"/>
      <c r="D143" s="160"/>
    </row>
    <row r="144" spans="1:4" x14ac:dyDescent="0.35">
      <c r="A144" s="160"/>
      <c r="B144" s="160"/>
      <c r="C144" s="191"/>
      <c r="D144" s="160"/>
    </row>
    <row r="145" spans="1:4" x14ac:dyDescent="0.35">
      <c r="A145" s="160"/>
      <c r="B145" s="160"/>
      <c r="C145" s="191"/>
      <c r="D145" s="160"/>
    </row>
    <row r="146" spans="1:4" x14ac:dyDescent="0.35">
      <c r="A146" s="160"/>
      <c r="B146" s="160"/>
      <c r="C146" s="191"/>
      <c r="D146" s="160"/>
    </row>
    <row r="147" spans="1:4" x14ac:dyDescent="0.35">
      <c r="A147" s="160"/>
      <c r="B147" s="160"/>
      <c r="C147" s="191"/>
      <c r="D147" s="160"/>
    </row>
    <row r="148" spans="1:4" x14ac:dyDescent="0.35">
      <c r="A148" s="160"/>
      <c r="B148" s="160"/>
      <c r="C148" s="191"/>
      <c r="D148" s="160"/>
    </row>
    <row r="149" spans="1:4" x14ac:dyDescent="0.35">
      <c r="A149" s="160"/>
      <c r="B149" s="160"/>
      <c r="C149" s="191"/>
      <c r="D149" s="160"/>
    </row>
    <row r="150" spans="1:4" x14ac:dyDescent="0.35">
      <c r="A150" s="160"/>
      <c r="B150" s="160"/>
      <c r="C150" s="191"/>
      <c r="D150" s="160"/>
    </row>
    <row r="151" spans="1:4" x14ac:dyDescent="0.35">
      <c r="A151" s="160"/>
      <c r="B151" s="160"/>
      <c r="C151" s="191"/>
      <c r="D151" s="160"/>
    </row>
    <row r="152" spans="1:4" x14ac:dyDescent="0.35">
      <c r="A152" s="160"/>
      <c r="B152" s="160"/>
      <c r="C152" s="191"/>
      <c r="D152" s="160"/>
    </row>
    <row r="153" spans="1:4" x14ac:dyDescent="0.35">
      <c r="A153" s="160"/>
      <c r="B153" s="160"/>
      <c r="C153" s="191"/>
      <c r="D153" s="160"/>
    </row>
    <row r="154" spans="1:4" x14ac:dyDescent="0.35">
      <c r="A154" s="160"/>
      <c r="B154" s="160"/>
      <c r="C154" s="191"/>
      <c r="D154" s="160"/>
    </row>
    <row r="155" spans="1:4" x14ac:dyDescent="0.35">
      <c r="A155" s="160"/>
      <c r="B155" s="160"/>
      <c r="C155" s="191"/>
      <c r="D155" s="160"/>
    </row>
    <row r="156" spans="1:4" x14ac:dyDescent="0.35">
      <c r="A156" s="160"/>
      <c r="B156" s="160"/>
      <c r="C156" s="191"/>
      <c r="D156" s="160"/>
    </row>
    <row r="157" spans="1:4" x14ac:dyDescent="0.35">
      <c r="A157" s="160"/>
      <c r="B157" s="160"/>
      <c r="C157" s="191"/>
      <c r="D157" s="160"/>
    </row>
    <row r="158" spans="1:4" x14ac:dyDescent="0.35">
      <c r="A158" s="160"/>
      <c r="B158" s="160"/>
      <c r="C158" s="191"/>
      <c r="D158" s="160"/>
    </row>
    <row r="159" spans="1:4" x14ac:dyDescent="0.35">
      <c r="A159" s="160"/>
      <c r="B159" s="160"/>
      <c r="C159" s="191"/>
      <c r="D159" s="160"/>
    </row>
    <row r="160" spans="1:4" x14ac:dyDescent="0.35">
      <c r="A160" s="160"/>
      <c r="B160" s="160"/>
      <c r="C160" s="191"/>
      <c r="D160" s="160"/>
    </row>
    <row r="161" spans="1:4" x14ac:dyDescent="0.35">
      <c r="A161" s="160"/>
      <c r="B161" s="160"/>
      <c r="C161" s="191"/>
      <c r="D161" s="160"/>
    </row>
    <row r="162" spans="1:4" x14ac:dyDescent="0.35">
      <c r="A162" s="160"/>
      <c r="B162" s="160"/>
      <c r="C162" s="191"/>
      <c r="D162" s="160"/>
    </row>
    <row r="163" spans="1:4" x14ac:dyDescent="0.35">
      <c r="A163" s="160"/>
      <c r="B163" s="160"/>
      <c r="C163" s="191"/>
      <c r="D163" s="160"/>
    </row>
    <row r="164" spans="1:4" x14ac:dyDescent="0.35">
      <c r="A164" s="160"/>
      <c r="B164" s="160"/>
      <c r="C164" s="191"/>
      <c r="D164" s="160"/>
    </row>
    <row r="165" spans="1:4" x14ac:dyDescent="0.35">
      <c r="A165" s="160"/>
      <c r="B165" s="160"/>
      <c r="C165" s="191"/>
      <c r="D165" s="160"/>
    </row>
    <row r="166" spans="1:4" x14ac:dyDescent="0.35">
      <c r="A166" s="160"/>
      <c r="B166" s="160"/>
      <c r="C166" s="191"/>
      <c r="D166" s="160"/>
    </row>
    <row r="167" spans="1:4" x14ac:dyDescent="0.35">
      <c r="A167" s="160"/>
      <c r="B167" s="160"/>
      <c r="C167" s="191"/>
      <c r="D167" s="160"/>
    </row>
    <row r="168" spans="1:4" x14ac:dyDescent="0.35">
      <c r="A168" s="160"/>
      <c r="B168" s="160"/>
      <c r="C168" s="191"/>
      <c r="D168" s="160"/>
    </row>
    <row r="169" spans="1:4" x14ac:dyDescent="0.35">
      <c r="A169" s="160"/>
      <c r="B169" s="160"/>
      <c r="C169" s="191"/>
      <c r="D169" s="160"/>
    </row>
    <row r="170" spans="1:4" x14ac:dyDescent="0.35">
      <c r="A170" s="160"/>
      <c r="B170" s="160"/>
      <c r="C170" s="191"/>
      <c r="D170" s="160"/>
    </row>
    <row r="171" spans="1:4" x14ac:dyDescent="0.35">
      <c r="A171" s="160"/>
      <c r="B171" s="160"/>
      <c r="C171" s="191"/>
      <c r="D171" s="160"/>
    </row>
    <row r="172" spans="1:4" x14ac:dyDescent="0.35">
      <c r="A172" s="160"/>
      <c r="B172" s="160"/>
      <c r="C172" s="191"/>
      <c r="D172" s="160"/>
    </row>
    <row r="173" spans="1:4" x14ac:dyDescent="0.35">
      <c r="A173" s="160"/>
      <c r="B173" s="160"/>
      <c r="C173" s="191"/>
      <c r="D173" s="160"/>
    </row>
    <row r="174" spans="1:4" x14ac:dyDescent="0.35">
      <c r="A174" s="160"/>
      <c r="B174" s="160"/>
      <c r="C174" s="191"/>
      <c r="D174" s="160"/>
    </row>
    <row r="175" spans="1:4" x14ac:dyDescent="0.35">
      <c r="A175" s="160"/>
      <c r="B175" s="160"/>
      <c r="C175" s="191"/>
      <c r="D175" s="160"/>
    </row>
    <row r="176" spans="1:4" x14ac:dyDescent="0.35">
      <c r="A176" s="160"/>
      <c r="B176" s="160"/>
      <c r="C176" s="191"/>
      <c r="D176" s="160"/>
    </row>
    <row r="177" spans="1:4" x14ac:dyDescent="0.35">
      <c r="A177" s="160"/>
      <c r="B177" s="160"/>
      <c r="C177" s="191"/>
      <c r="D177" s="160"/>
    </row>
    <row r="178" spans="1:4" x14ac:dyDescent="0.35">
      <c r="A178" s="160"/>
      <c r="B178" s="160"/>
      <c r="C178" s="191"/>
      <c r="D178" s="160"/>
    </row>
    <row r="179" spans="1:4" x14ac:dyDescent="0.35">
      <c r="A179" s="160"/>
      <c r="B179" s="160"/>
      <c r="C179" s="191"/>
      <c r="D179" s="160"/>
    </row>
    <row r="180" spans="1:4" x14ac:dyDescent="0.35">
      <c r="A180" s="160"/>
      <c r="B180" s="160"/>
      <c r="C180" s="191"/>
      <c r="D180" s="160"/>
    </row>
    <row r="181" spans="1:4" x14ac:dyDescent="0.35">
      <c r="A181" s="160"/>
      <c r="B181" s="160"/>
      <c r="C181" s="191"/>
      <c r="D181" s="160"/>
    </row>
    <row r="182" spans="1:4" x14ac:dyDescent="0.35">
      <c r="A182" s="160"/>
      <c r="B182" s="160"/>
      <c r="C182" s="191"/>
      <c r="D182" s="160"/>
    </row>
    <row r="183" spans="1:4" x14ac:dyDescent="0.35">
      <c r="A183" s="160"/>
      <c r="B183" s="160"/>
      <c r="C183" s="191"/>
      <c r="D183" s="160"/>
    </row>
    <row r="184" spans="1:4" x14ac:dyDescent="0.35">
      <c r="A184" s="160"/>
      <c r="B184" s="160"/>
      <c r="C184" s="191"/>
      <c r="D184" s="160"/>
    </row>
    <row r="185" spans="1:4" x14ac:dyDescent="0.35">
      <c r="A185" s="160"/>
      <c r="B185" s="160"/>
      <c r="C185" s="191"/>
      <c r="D185" s="160"/>
    </row>
    <row r="186" spans="1:4" x14ac:dyDescent="0.35">
      <c r="A186" s="160"/>
      <c r="B186" s="160"/>
      <c r="C186" s="191"/>
      <c r="D186" s="160"/>
    </row>
    <row r="187" spans="1:4" x14ac:dyDescent="0.35">
      <c r="A187" s="160"/>
      <c r="B187" s="160"/>
      <c r="C187" s="191"/>
      <c r="D187" s="160"/>
    </row>
    <row r="188" spans="1:4" x14ac:dyDescent="0.35">
      <c r="A188" s="160"/>
      <c r="B188" s="160"/>
      <c r="C188" s="191"/>
      <c r="D188" s="160"/>
    </row>
    <row r="189" spans="1:4" x14ac:dyDescent="0.35">
      <c r="A189" s="160"/>
      <c r="B189" s="160"/>
      <c r="C189" s="191"/>
      <c r="D189" s="160"/>
    </row>
    <row r="190" spans="1:4" x14ac:dyDescent="0.35">
      <c r="A190" s="160"/>
      <c r="B190" s="160"/>
      <c r="C190" s="191"/>
      <c r="D190" s="160"/>
    </row>
    <row r="191" spans="1:4" x14ac:dyDescent="0.35">
      <c r="A191" s="160"/>
      <c r="B191" s="160"/>
      <c r="C191" s="191"/>
      <c r="D191" s="160"/>
    </row>
    <row r="192" spans="1:4" x14ac:dyDescent="0.35">
      <c r="A192" s="160"/>
      <c r="B192" s="160"/>
      <c r="C192" s="191"/>
      <c r="D192" s="160"/>
    </row>
    <row r="193" spans="1:4" x14ac:dyDescent="0.35">
      <c r="A193" s="160"/>
      <c r="B193" s="160"/>
      <c r="C193" s="191"/>
      <c r="D193" s="160"/>
    </row>
    <row r="194" spans="1:4" x14ac:dyDescent="0.35">
      <c r="A194" s="160"/>
      <c r="B194" s="160"/>
      <c r="C194" s="191"/>
      <c r="D194" s="160"/>
    </row>
    <row r="195" spans="1:4" x14ac:dyDescent="0.35">
      <c r="A195" s="160"/>
      <c r="B195" s="160"/>
      <c r="C195" s="191"/>
      <c r="D195" s="160"/>
    </row>
    <row r="196" spans="1:4" x14ac:dyDescent="0.35">
      <c r="A196" s="160"/>
      <c r="B196" s="160"/>
      <c r="C196" s="191"/>
      <c r="D196" s="160"/>
    </row>
    <row r="197" spans="1:4" x14ac:dyDescent="0.35">
      <c r="A197" s="160"/>
      <c r="B197" s="160"/>
      <c r="C197" s="191"/>
      <c r="D197" s="160"/>
    </row>
    <row r="198" spans="1:4" x14ac:dyDescent="0.35">
      <c r="A198" s="160"/>
      <c r="B198" s="160"/>
      <c r="C198" s="191"/>
      <c r="D198" s="160"/>
    </row>
    <row r="199" spans="1:4" x14ac:dyDescent="0.35">
      <c r="A199" s="160"/>
      <c r="B199" s="160"/>
      <c r="C199" s="191"/>
      <c r="D199" s="160"/>
    </row>
    <row r="200" spans="1:4" x14ac:dyDescent="0.35">
      <c r="A200" s="160"/>
      <c r="B200" s="160"/>
      <c r="C200" s="191"/>
      <c r="D200" s="160"/>
    </row>
    <row r="201" spans="1:4" x14ac:dyDescent="0.35">
      <c r="A201" s="160"/>
      <c r="B201" s="160"/>
      <c r="C201" s="191"/>
      <c r="D201" s="160"/>
    </row>
    <row r="202" spans="1:4" x14ac:dyDescent="0.35">
      <c r="A202" s="160"/>
      <c r="B202" s="160"/>
      <c r="C202" s="191"/>
      <c r="D202" s="160"/>
    </row>
    <row r="203" spans="1:4" x14ac:dyDescent="0.35">
      <c r="A203" s="160"/>
      <c r="B203" s="160"/>
      <c r="C203" s="191"/>
      <c r="D203" s="160"/>
    </row>
    <row r="204" spans="1:4" x14ac:dyDescent="0.35">
      <c r="A204" s="160"/>
      <c r="B204" s="160"/>
      <c r="C204" s="191"/>
      <c r="D204" s="160"/>
    </row>
    <row r="205" spans="1:4" x14ac:dyDescent="0.35">
      <c r="A205" s="160"/>
      <c r="B205" s="160"/>
      <c r="C205" s="191"/>
      <c r="D205" s="160"/>
    </row>
    <row r="206" spans="1:4" x14ac:dyDescent="0.35">
      <c r="A206" s="160"/>
      <c r="B206" s="160"/>
      <c r="C206" s="191"/>
      <c r="D206" s="160"/>
    </row>
    <row r="207" spans="1:4" x14ac:dyDescent="0.35">
      <c r="A207" s="160"/>
      <c r="B207" s="160"/>
      <c r="C207" s="191"/>
      <c r="D207" s="160"/>
    </row>
    <row r="208" spans="1:4" x14ac:dyDescent="0.35">
      <c r="A208" s="160"/>
      <c r="B208" s="160"/>
      <c r="C208" s="191"/>
      <c r="D208" s="160"/>
    </row>
    <row r="209" spans="1:4" x14ac:dyDescent="0.35">
      <c r="A209" s="160"/>
      <c r="B209" s="160"/>
      <c r="C209" s="191"/>
      <c r="D209" s="160"/>
    </row>
    <row r="210" spans="1:4" x14ac:dyDescent="0.35">
      <c r="A210" s="160"/>
      <c r="B210" s="160"/>
      <c r="C210" s="191"/>
      <c r="D210" s="160"/>
    </row>
    <row r="211" spans="1:4" x14ac:dyDescent="0.35">
      <c r="A211" s="160"/>
      <c r="B211" s="160"/>
      <c r="C211" s="191"/>
      <c r="D211" s="160"/>
    </row>
    <row r="212" spans="1:4" x14ac:dyDescent="0.35">
      <c r="A212" s="160"/>
      <c r="B212" s="160"/>
      <c r="C212" s="191"/>
      <c r="D212" s="160"/>
    </row>
    <row r="213" spans="1:4" x14ac:dyDescent="0.35">
      <c r="A213" s="160"/>
      <c r="B213" s="160"/>
      <c r="C213" s="191"/>
      <c r="D213" s="160"/>
    </row>
    <row r="214" spans="1:4" x14ac:dyDescent="0.35">
      <c r="A214" s="160"/>
      <c r="B214" s="160"/>
      <c r="C214" s="191"/>
      <c r="D214" s="160"/>
    </row>
    <row r="215" spans="1:4" x14ac:dyDescent="0.35">
      <c r="A215" s="160"/>
      <c r="B215" s="160"/>
      <c r="C215" s="191"/>
      <c r="D215" s="160"/>
    </row>
    <row r="216" spans="1:4" x14ac:dyDescent="0.35">
      <c r="A216" s="160"/>
      <c r="B216" s="160"/>
      <c r="C216" s="191"/>
      <c r="D216" s="160"/>
    </row>
    <row r="217" spans="1:4" x14ac:dyDescent="0.35">
      <c r="A217" s="160"/>
      <c r="B217" s="160"/>
      <c r="C217" s="191"/>
      <c r="D217" s="160"/>
    </row>
    <row r="218" spans="1:4" x14ac:dyDescent="0.35">
      <c r="A218" s="160"/>
      <c r="B218" s="160"/>
      <c r="C218" s="191"/>
      <c r="D218" s="160"/>
    </row>
    <row r="219" spans="1:4" x14ac:dyDescent="0.35">
      <c r="A219" s="160"/>
      <c r="B219" s="160"/>
      <c r="C219" s="191"/>
      <c r="D219" s="160"/>
    </row>
    <row r="220" spans="1:4" x14ac:dyDescent="0.35">
      <c r="A220" s="160"/>
      <c r="B220" s="160"/>
      <c r="C220" s="191"/>
      <c r="D220" s="160"/>
    </row>
    <row r="221" spans="1:4" x14ac:dyDescent="0.35">
      <c r="A221" s="160"/>
      <c r="B221" s="160"/>
      <c r="C221" s="191"/>
      <c r="D221" s="160"/>
    </row>
    <row r="222" spans="1:4" x14ac:dyDescent="0.35">
      <c r="A222" s="160"/>
      <c r="B222" s="160"/>
      <c r="C222" s="191"/>
      <c r="D222" s="160"/>
    </row>
    <row r="223" spans="1:4" x14ac:dyDescent="0.35">
      <c r="A223" s="160"/>
      <c r="B223" s="160"/>
      <c r="C223" s="191"/>
      <c r="D223" s="160"/>
    </row>
    <row r="224" spans="1:4" x14ac:dyDescent="0.35">
      <c r="A224" s="160"/>
      <c r="B224" s="160"/>
      <c r="C224" s="191"/>
      <c r="D224" s="160"/>
    </row>
    <row r="225" spans="1:4" x14ac:dyDescent="0.35">
      <c r="A225" s="160"/>
      <c r="B225" s="160"/>
      <c r="C225" s="191"/>
      <c r="D225" s="160"/>
    </row>
    <row r="226" spans="1:4" x14ac:dyDescent="0.35">
      <c r="A226" s="160"/>
      <c r="B226" s="160"/>
      <c r="C226" s="191"/>
      <c r="D226" s="160"/>
    </row>
    <row r="227" spans="1:4" x14ac:dyDescent="0.35">
      <c r="A227" s="160"/>
      <c r="B227" s="160"/>
      <c r="C227" s="191"/>
      <c r="D227" s="160"/>
    </row>
    <row r="228" spans="1:4" x14ac:dyDescent="0.35">
      <c r="A228" s="160"/>
      <c r="B228" s="160"/>
      <c r="C228" s="191"/>
      <c r="D228" s="160"/>
    </row>
    <row r="229" spans="1:4" x14ac:dyDescent="0.35">
      <c r="A229" s="160"/>
      <c r="B229" s="160"/>
      <c r="C229" s="191"/>
      <c r="D229" s="160"/>
    </row>
    <row r="230" spans="1:4" x14ac:dyDescent="0.35">
      <c r="A230" s="160"/>
      <c r="B230" s="160"/>
      <c r="C230" s="191"/>
      <c r="D230" s="160"/>
    </row>
    <row r="231" spans="1:4" x14ac:dyDescent="0.35">
      <c r="A231" s="160"/>
      <c r="B231" s="160"/>
      <c r="C231" s="191"/>
      <c r="D231" s="160"/>
    </row>
    <row r="232" spans="1:4" x14ac:dyDescent="0.35">
      <c r="A232" s="160"/>
      <c r="B232" s="160"/>
      <c r="C232" s="191"/>
      <c r="D232" s="160"/>
    </row>
    <row r="233" spans="1:4" x14ac:dyDescent="0.35">
      <c r="A233" s="160"/>
      <c r="B233" s="160"/>
      <c r="C233" s="191"/>
      <c r="D233" s="160"/>
    </row>
    <row r="234" spans="1:4" x14ac:dyDescent="0.35">
      <c r="A234" s="160"/>
      <c r="B234" s="160"/>
      <c r="C234" s="191"/>
      <c r="D234" s="160"/>
    </row>
    <row r="235" spans="1:4" x14ac:dyDescent="0.35">
      <c r="A235" s="160"/>
      <c r="B235" s="160"/>
      <c r="C235" s="191"/>
      <c r="D235" s="160"/>
    </row>
    <row r="236" spans="1:4" x14ac:dyDescent="0.35">
      <c r="A236" s="160"/>
      <c r="B236" s="160"/>
      <c r="C236" s="191"/>
      <c r="D236" s="160"/>
    </row>
    <row r="237" spans="1:4" x14ac:dyDescent="0.35">
      <c r="A237" s="160"/>
      <c r="B237" s="160"/>
      <c r="C237" s="191"/>
      <c r="D237" s="160"/>
    </row>
    <row r="238" spans="1:4" x14ac:dyDescent="0.35">
      <c r="A238" s="160"/>
      <c r="B238" s="160"/>
      <c r="C238" s="191"/>
      <c r="D238" s="160"/>
    </row>
    <row r="239" spans="1:4" x14ac:dyDescent="0.35">
      <c r="A239" s="160"/>
      <c r="B239" s="160"/>
      <c r="C239" s="191"/>
      <c r="D239" s="160"/>
    </row>
    <row r="240" spans="1:4" x14ac:dyDescent="0.35">
      <c r="A240" s="160"/>
      <c r="B240" s="160"/>
      <c r="C240" s="191"/>
      <c r="D240" s="160"/>
    </row>
    <row r="241" spans="1:4" x14ac:dyDescent="0.35">
      <c r="A241" s="160"/>
      <c r="B241" s="160"/>
      <c r="C241" s="191"/>
      <c r="D241" s="160"/>
    </row>
    <row r="242" spans="1:4" x14ac:dyDescent="0.35">
      <c r="A242" s="160"/>
      <c r="B242" s="160"/>
      <c r="C242" s="191"/>
      <c r="D242" s="160"/>
    </row>
    <row r="243" spans="1:4" x14ac:dyDescent="0.35">
      <c r="A243" s="160"/>
      <c r="B243" s="160"/>
      <c r="C243" s="191"/>
      <c r="D243" s="160"/>
    </row>
    <row r="244" spans="1:4" x14ac:dyDescent="0.35">
      <c r="A244" s="160"/>
      <c r="B244" s="160"/>
      <c r="C244" s="191"/>
      <c r="D244" s="160"/>
    </row>
    <row r="245" spans="1:4" x14ac:dyDescent="0.35">
      <c r="A245" s="160"/>
      <c r="B245" s="160"/>
      <c r="C245" s="191"/>
      <c r="D245" s="160"/>
    </row>
    <row r="246" spans="1:4" x14ac:dyDescent="0.35">
      <c r="A246" s="160"/>
      <c r="B246" s="160"/>
      <c r="C246" s="191"/>
      <c r="D246" s="160"/>
    </row>
    <row r="247" spans="1:4" x14ac:dyDescent="0.35">
      <c r="A247" s="160"/>
      <c r="B247" s="160"/>
      <c r="C247" s="191"/>
      <c r="D247" s="160"/>
    </row>
    <row r="248" spans="1:4" x14ac:dyDescent="0.35">
      <c r="A248" s="160"/>
      <c r="B248" s="160"/>
      <c r="C248" s="191"/>
      <c r="D248" s="160"/>
    </row>
    <row r="249" spans="1:4" x14ac:dyDescent="0.35">
      <c r="A249" s="160"/>
      <c r="B249" s="160"/>
      <c r="C249" s="191"/>
      <c r="D249" s="160"/>
    </row>
    <row r="250" spans="1:4" x14ac:dyDescent="0.35">
      <c r="A250" s="160"/>
      <c r="B250" s="160"/>
      <c r="C250" s="191"/>
      <c r="D250" s="160"/>
    </row>
    <row r="251" spans="1:4" x14ac:dyDescent="0.35">
      <c r="A251" s="160"/>
      <c r="B251" s="160"/>
      <c r="C251" s="191"/>
      <c r="D251" s="160"/>
    </row>
    <row r="252" spans="1:4" x14ac:dyDescent="0.35">
      <c r="A252" s="160"/>
      <c r="B252" s="160"/>
      <c r="C252" s="191"/>
      <c r="D252" s="160"/>
    </row>
    <row r="253" spans="1:4" x14ac:dyDescent="0.35">
      <c r="A253" s="160"/>
      <c r="B253" s="160"/>
      <c r="C253" s="191"/>
      <c r="D253" s="160"/>
    </row>
    <row r="254" spans="1:4" x14ac:dyDescent="0.35">
      <c r="A254" s="160"/>
      <c r="B254" s="160"/>
      <c r="C254" s="191"/>
      <c r="D254" s="160"/>
    </row>
    <row r="255" spans="1:4" x14ac:dyDescent="0.35">
      <c r="A255" s="160"/>
      <c r="B255" s="160"/>
      <c r="C255" s="191"/>
      <c r="D255" s="160"/>
    </row>
    <row r="256" spans="1:4" x14ac:dyDescent="0.35">
      <c r="A256" s="160"/>
      <c r="B256" s="160"/>
      <c r="C256" s="191"/>
      <c r="D256" s="160"/>
    </row>
    <row r="257" spans="1:4" x14ac:dyDescent="0.35">
      <c r="A257" s="160"/>
      <c r="B257" s="160"/>
      <c r="C257" s="191"/>
      <c r="D257" s="160"/>
    </row>
    <row r="258" spans="1:4" x14ac:dyDescent="0.35">
      <c r="A258" s="160"/>
      <c r="B258" s="160"/>
      <c r="C258" s="191"/>
      <c r="D258" s="160"/>
    </row>
    <row r="259" spans="1:4" x14ac:dyDescent="0.35">
      <c r="A259" s="160"/>
      <c r="B259" s="160"/>
      <c r="C259" s="191"/>
      <c r="D259" s="160"/>
    </row>
    <row r="260" spans="1:4" x14ac:dyDescent="0.35">
      <c r="A260" s="160"/>
      <c r="B260" s="160"/>
      <c r="C260" s="191"/>
      <c r="D260" s="160"/>
    </row>
    <row r="261" spans="1:4" x14ac:dyDescent="0.35">
      <c r="A261" s="160"/>
      <c r="B261" s="160"/>
      <c r="C261" s="191"/>
      <c r="D261" s="160"/>
    </row>
    <row r="262" spans="1:4" x14ac:dyDescent="0.35">
      <c r="A262" s="160"/>
      <c r="B262" s="160"/>
      <c r="C262" s="191"/>
      <c r="D262" s="160"/>
    </row>
    <row r="263" spans="1:4" x14ac:dyDescent="0.35">
      <c r="A263" s="160"/>
      <c r="B263" s="160"/>
      <c r="C263" s="191"/>
      <c r="D263" s="160"/>
    </row>
    <row r="264" spans="1:4" x14ac:dyDescent="0.35">
      <c r="A264" s="160"/>
      <c r="B264" s="160"/>
      <c r="C264" s="191"/>
      <c r="D264" s="160"/>
    </row>
    <row r="265" spans="1:4" x14ac:dyDescent="0.35">
      <c r="A265" s="160"/>
      <c r="B265" s="160"/>
      <c r="C265" s="191"/>
      <c r="D265" s="160"/>
    </row>
    <row r="266" spans="1:4" x14ac:dyDescent="0.35">
      <c r="A266" s="160"/>
      <c r="B266" s="160"/>
      <c r="C266" s="191"/>
      <c r="D266" s="160"/>
    </row>
    <row r="267" spans="1:4" x14ac:dyDescent="0.35">
      <c r="A267" s="160"/>
      <c r="B267" s="160"/>
      <c r="C267" s="191"/>
      <c r="D267" s="160"/>
    </row>
    <row r="268" spans="1:4" x14ac:dyDescent="0.35">
      <c r="A268" s="160"/>
      <c r="B268" s="160"/>
      <c r="C268" s="191"/>
      <c r="D268" s="160"/>
    </row>
    <row r="269" spans="1:4" x14ac:dyDescent="0.35">
      <c r="A269" s="160"/>
      <c r="B269" s="160"/>
      <c r="C269" s="191"/>
      <c r="D269" s="160"/>
    </row>
    <row r="270" spans="1:4" x14ac:dyDescent="0.35">
      <c r="A270" s="160"/>
      <c r="B270" s="160"/>
      <c r="C270" s="191"/>
      <c r="D270" s="160"/>
    </row>
    <row r="271" spans="1:4" x14ac:dyDescent="0.35">
      <c r="A271" s="160"/>
      <c r="B271" s="160"/>
      <c r="C271" s="191"/>
      <c r="D271" s="160"/>
    </row>
    <row r="272" spans="1:4" x14ac:dyDescent="0.35">
      <c r="A272" s="160"/>
      <c r="B272" s="160"/>
      <c r="C272" s="191"/>
      <c r="D272" s="160"/>
    </row>
    <row r="273" spans="1:4" x14ac:dyDescent="0.35">
      <c r="A273" s="160"/>
      <c r="B273" s="160"/>
      <c r="C273" s="191"/>
      <c r="D273" s="160"/>
    </row>
    <row r="274" spans="1:4" x14ac:dyDescent="0.35">
      <c r="A274" s="160"/>
      <c r="B274" s="160"/>
      <c r="C274" s="191"/>
      <c r="D274" s="160"/>
    </row>
    <row r="275" spans="1:4" x14ac:dyDescent="0.35">
      <c r="A275" s="160"/>
      <c r="B275" s="160"/>
      <c r="C275" s="191"/>
      <c r="D275" s="160"/>
    </row>
    <row r="276" spans="1:4" x14ac:dyDescent="0.35">
      <c r="A276" s="160"/>
      <c r="B276" s="160"/>
      <c r="C276" s="191"/>
      <c r="D276" s="160"/>
    </row>
    <row r="277" spans="1:4" x14ac:dyDescent="0.35">
      <c r="A277" s="160"/>
      <c r="B277" s="160"/>
      <c r="C277" s="191"/>
      <c r="D277" s="160"/>
    </row>
    <row r="278" spans="1:4" x14ac:dyDescent="0.35">
      <c r="A278" s="160"/>
      <c r="B278" s="160"/>
      <c r="C278" s="191"/>
      <c r="D278" s="160"/>
    </row>
    <row r="279" spans="1:4" x14ac:dyDescent="0.35">
      <c r="A279" s="160"/>
      <c r="B279" s="160"/>
      <c r="C279" s="191"/>
      <c r="D279" s="160"/>
    </row>
    <row r="280" spans="1:4" x14ac:dyDescent="0.35">
      <c r="A280" s="160"/>
      <c r="B280" s="160"/>
      <c r="C280" s="191"/>
      <c r="D280" s="160"/>
    </row>
    <row r="281" spans="1:4" x14ac:dyDescent="0.35">
      <c r="A281" s="160"/>
      <c r="B281" s="160"/>
      <c r="C281" s="191"/>
      <c r="D281" s="160"/>
    </row>
    <row r="282" spans="1:4" x14ac:dyDescent="0.35">
      <c r="A282" s="160"/>
      <c r="B282" s="160"/>
      <c r="C282" s="191"/>
      <c r="D282" s="160"/>
    </row>
    <row r="283" spans="1:4" x14ac:dyDescent="0.35">
      <c r="A283" s="160"/>
      <c r="B283" s="160"/>
      <c r="C283" s="191"/>
      <c r="D283" s="160"/>
    </row>
    <row r="284" spans="1:4" x14ac:dyDescent="0.35">
      <c r="A284" s="160"/>
      <c r="B284" s="160"/>
      <c r="C284" s="191"/>
      <c r="D284" s="160"/>
    </row>
    <row r="285" spans="1:4" x14ac:dyDescent="0.35">
      <c r="A285" s="160"/>
      <c r="B285" s="160"/>
      <c r="C285" s="191"/>
      <c r="D285" s="160"/>
    </row>
    <row r="286" spans="1:4" x14ac:dyDescent="0.35">
      <c r="A286" s="160"/>
      <c r="B286" s="160"/>
      <c r="C286" s="191"/>
      <c r="D286" s="160"/>
    </row>
    <row r="287" spans="1:4" x14ac:dyDescent="0.35">
      <c r="A287" s="160"/>
      <c r="B287" s="160"/>
      <c r="C287" s="191"/>
      <c r="D287" s="160"/>
    </row>
    <row r="288" spans="1:4" x14ac:dyDescent="0.35">
      <c r="A288" s="160"/>
      <c r="B288" s="160"/>
      <c r="C288" s="191"/>
      <c r="D288" s="160"/>
    </row>
    <row r="289" spans="1:4" x14ac:dyDescent="0.35">
      <c r="A289" s="160"/>
      <c r="B289" s="160"/>
      <c r="C289" s="191"/>
      <c r="D289" s="160"/>
    </row>
    <row r="290" spans="1:4" x14ac:dyDescent="0.35">
      <c r="A290" s="160"/>
      <c r="B290" s="160"/>
      <c r="C290" s="191"/>
      <c r="D290" s="160"/>
    </row>
    <row r="291" spans="1:4" x14ac:dyDescent="0.35">
      <c r="A291" s="160"/>
      <c r="B291" s="160"/>
      <c r="C291" s="191"/>
      <c r="D291" s="160"/>
    </row>
    <row r="292" spans="1:4" x14ac:dyDescent="0.35">
      <c r="A292" s="160"/>
      <c r="B292" s="160"/>
      <c r="C292" s="191"/>
      <c r="D292" s="160"/>
    </row>
    <row r="293" spans="1:4" x14ac:dyDescent="0.35">
      <c r="A293" s="160"/>
      <c r="B293" s="160"/>
      <c r="C293" s="191"/>
      <c r="D293" s="160"/>
    </row>
    <row r="294" spans="1:4" x14ac:dyDescent="0.35">
      <c r="A294" s="160"/>
      <c r="B294" s="160"/>
      <c r="C294" s="191"/>
      <c r="D294" s="160"/>
    </row>
    <row r="295" spans="1:4" x14ac:dyDescent="0.35">
      <c r="A295" s="160"/>
      <c r="B295" s="160"/>
      <c r="C295" s="191"/>
      <c r="D295" s="160"/>
    </row>
    <row r="296" spans="1:4" x14ac:dyDescent="0.35">
      <c r="A296" s="160"/>
      <c r="B296" s="160"/>
      <c r="C296" s="191"/>
      <c r="D296" s="160"/>
    </row>
    <row r="297" spans="1:4" x14ac:dyDescent="0.35">
      <c r="A297" s="160"/>
      <c r="B297" s="160"/>
      <c r="C297" s="191"/>
      <c r="D297" s="160"/>
    </row>
    <row r="298" spans="1:4" x14ac:dyDescent="0.35">
      <c r="A298" s="160"/>
      <c r="B298" s="160"/>
      <c r="C298" s="191"/>
      <c r="D298" s="160"/>
    </row>
    <row r="299" spans="1:4" x14ac:dyDescent="0.35">
      <c r="A299" s="160"/>
      <c r="B299" s="160"/>
      <c r="C299" s="191"/>
      <c r="D299" s="160"/>
    </row>
    <row r="300" spans="1:4" x14ac:dyDescent="0.35">
      <c r="A300" s="160"/>
      <c r="B300" s="160"/>
      <c r="C300" s="191"/>
      <c r="D300" s="160"/>
    </row>
    <row r="301" spans="1:4" x14ac:dyDescent="0.35">
      <c r="A301" s="160"/>
      <c r="B301" s="160"/>
      <c r="C301" s="191"/>
      <c r="D301" s="160"/>
    </row>
    <row r="302" spans="1:4" x14ac:dyDescent="0.35">
      <c r="A302" s="160"/>
      <c r="B302" s="160"/>
      <c r="C302" s="191"/>
      <c r="D302" s="160"/>
    </row>
    <row r="303" spans="1:4" x14ac:dyDescent="0.35">
      <c r="A303" s="160"/>
      <c r="B303" s="160"/>
      <c r="C303" s="191"/>
      <c r="D303" s="160"/>
    </row>
    <row r="304" spans="1:4" x14ac:dyDescent="0.35">
      <c r="A304" s="160"/>
      <c r="B304" s="160"/>
      <c r="C304" s="191"/>
      <c r="D304" s="160"/>
    </row>
    <row r="305" spans="1:4" x14ac:dyDescent="0.35">
      <c r="A305" s="160"/>
      <c r="B305" s="160"/>
      <c r="C305" s="191"/>
      <c r="D305" s="160"/>
    </row>
    <row r="306" spans="1:4" x14ac:dyDescent="0.35">
      <c r="A306" s="160"/>
      <c r="B306" s="160"/>
      <c r="C306" s="191"/>
      <c r="D306" s="160"/>
    </row>
    <row r="307" spans="1:4" x14ac:dyDescent="0.35">
      <c r="A307" s="160"/>
      <c r="B307" s="160"/>
      <c r="C307" s="191"/>
      <c r="D307" s="160"/>
    </row>
    <row r="308" spans="1:4" x14ac:dyDescent="0.35">
      <c r="A308" s="160"/>
      <c r="B308" s="160"/>
      <c r="C308" s="191"/>
      <c r="D308" s="160"/>
    </row>
    <row r="309" spans="1:4" x14ac:dyDescent="0.35">
      <c r="A309" s="160"/>
      <c r="B309" s="160"/>
      <c r="C309" s="191"/>
      <c r="D309" s="160"/>
    </row>
    <row r="310" spans="1:4" x14ac:dyDescent="0.35">
      <c r="A310" s="160"/>
      <c r="B310" s="160"/>
      <c r="C310" s="191"/>
      <c r="D310" s="160"/>
    </row>
    <row r="311" spans="1:4" x14ac:dyDescent="0.35">
      <c r="A311" s="160"/>
      <c r="B311" s="160"/>
      <c r="C311" s="191"/>
      <c r="D311" s="160"/>
    </row>
    <row r="312" spans="1:4" x14ac:dyDescent="0.35">
      <c r="A312" s="160"/>
      <c r="B312" s="160"/>
      <c r="C312" s="191"/>
      <c r="D312" s="160"/>
    </row>
    <row r="313" spans="1:4" x14ac:dyDescent="0.35">
      <c r="A313" s="160"/>
      <c r="B313" s="160"/>
      <c r="C313" s="191"/>
      <c r="D313" s="160"/>
    </row>
    <row r="314" spans="1:4" x14ac:dyDescent="0.35">
      <c r="A314" s="160"/>
      <c r="B314" s="160"/>
      <c r="C314" s="191"/>
      <c r="D314" s="160"/>
    </row>
    <row r="315" spans="1:4" x14ac:dyDescent="0.35">
      <c r="A315" s="160"/>
      <c r="B315" s="160"/>
      <c r="C315" s="191"/>
      <c r="D315" s="160"/>
    </row>
    <row r="316" spans="1:4" x14ac:dyDescent="0.35">
      <c r="A316" s="160"/>
      <c r="B316" s="160"/>
      <c r="C316" s="191"/>
      <c r="D316" s="160"/>
    </row>
    <row r="317" spans="1:4" x14ac:dyDescent="0.35">
      <c r="A317" s="160"/>
      <c r="B317" s="160"/>
      <c r="C317" s="191"/>
      <c r="D317" s="160"/>
    </row>
    <row r="318" spans="1:4" x14ac:dyDescent="0.35">
      <c r="A318" s="160"/>
      <c r="B318" s="160"/>
      <c r="C318" s="191"/>
      <c r="D318" s="160"/>
    </row>
    <row r="319" spans="1:4" x14ac:dyDescent="0.35">
      <c r="A319" s="160"/>
      <c r="B319" s="160"/>
      <c r="C319" s="191"/>
      <c r="D319" s="160"/>
    </row>
    <row r="320" spans="1:4" x14ac:dyDescent="0.35">
      <c r="A320" s="160"/>
      <c r="B320" s="160"/>
      <c r="C320" s="191"/>
      <c r="D320" s="160"/>
    </row>
    <row r="321" spans="1:4" x14ac:dyDescent="0.35">
      <c r="A321" s="160"/>
      <c r="B321" s="160"/>
      <c r="C321" s="191"/>
      <c r="D321" s="160"/>
    </row>
    <row r="322" spans="1:4" x14ac:dyDescent="0.35">
      <c r="A322" s="160"/>
      <c r="B322" s="160"/>
      <c r="C322" s="191"/>
      <c r="D322" s="160"/>
    </row>
    <row r="323" spans="1:4" x14ac:dyDescent="0.35">
      <c r="A323" s="160"/>
      <c r="B323" s="160"/>
      <c r="C323" s="191"/>
      <c r="D323" s="160"/>
    </row>
    <row r="324" spans="1:4" x14ac:dyDescent="0.35">
      <c r="A324" s="160"/>
      <c r="B324" s="160"/>
      <c r="C324" s="191"/>
      <c r="D324" s="160"/>
    </row>
    <row r="325" spans="1:4" x14ac:dyDescent="0.35">
      <c r="A325" s="160"/>
      <c r="B325" s="160"/>
      <c r="C325" s="191"/>
      <c r="D325" s="160"/>
    </row>
    <row r="326" spans="1:4" x14ac:dyDescent="0.35">
      <c r="A326" s="160"/>
      <c r="B326" s="160"/>
      <c r="C326" s="191"/>
      <c r="D326" s="160"/>
    </row>
    <row r="327" spans="1:4" x14ac:dyDescent="0.35">
      <c r="A327" s="160"/>
      <c r="B327" s="160"/>
      <c r="C327" s="191"/>
      <c r="D327" s="160"/>
    </row>
    <row r="328" spans="1:4" x14ac:dyDescent="0.35">
      <c r="A328" s="160"/>
      <c r="B328" s="160"/>
      <c r="C328" s="191"/>
      <c r="D328" s="160"/>
    </row>
    <row r="329" spans="1:4" x14ac:dyDescent="0.35">
      <c r="A329" s="160"/>
      <c r="B329" s="160"/>
      <c r="C329" s="191"/>
      <c r="D329" s="160"/>
    </row>
    <row r="330" spans="1:4" x14ac:dyDescent="0.35">
      <c r="A330" s="160"/>
      <c r="B330" s="160"/>
      <c r="C330" s="191"/>
      <c r="D330" s="160"/>
    </row>
    <row r="331" spans="1:4" x14ac:dyDescent="0.35">
      <c r="A331" s="160"/>
      <c r="B331" s="160"/>
      <c r="C331" s="191"/>
      <c r="D331" s="160"/>
    </row>
    <row r="332" spans="1:4" x14ac:dyDescent="0.35">
      <c r="A332" s="160"/>
      <c r="B332" s="160"/>
      <c r="C332" s="191"/>
      <c r="D332" s="160"/>
    </row>
    <row r="333" spans="1:4" x14ac:dyDescent="0.35">
      <c r="A333" s="160"/>
      <c r="B333" s="160"/>
      <c r="C333" s="191"/>
      <c r="D333" s="160"/>
    </row>
    <row r="334" spans="1:4" x14ac:dyDescent="0.35">
      <c r="A334" s="160"/>
      <c r="B334" s="160"/>
      <c r="C334" s="191"/>
      <c r="D334" s="160"/>
    </row>
    <row r="335" spans="1:4" x14ac:dyDescent="0.35">
      <c r="A335" s="160"/>
      <c r="B335" s="160"/>
      <c r="C335" s="191"/>
      <c r="D335" s="160"/>
    </row>
    <row r="336" spans="1:4" x14ac:dyDescent="0.35">
      <c r="A336" s="160"/>
      <c r="B336" s="160"/>
      <c r="C336" s="191"/>
      <c r="D336" s="160"/>
    </row>
    <row r="337" spans="1:4" x14ac:dyDescent="0.35">
      <c r="A337" s="160"/>
      <c r="B337" s="160"/>
      <c r="C337" s="191"/>
      <c r="D337" s="160"/>
    </row>
    <row r="338" spans="1:4" x14ac:dyDescent="0.35">
      <c r="A338" s="160"/>
      <c r="B338" s="160"/>
      <c r="C338" s="191"/>
      <c r="D338" s="160"/>
    </row>
    <row r="339" spans="1:4" x14ac:dyDescent="0.35">
      <c r="A339" s="160"/>
      <c r="B339" s="160"/>
      <c r="C339" s="191"/>
      <c r="D339" s="160"/>
    </row>
    <row r="340" spans="1:4" x14ac:dyDescent="0.35">
      <c r="A340" s="160"/>
      <c r="B340" s="160"/>
      <c r="C340" s="191"/>
      <c r="D340" s="160"/>
    </row>
    <row r="341" spans="1:4" x14ac:dyDescent="0.35">
      <c r="A341" s="160"/>
      <c r="B341" s="160"/>
      <c r="C341" s="191"/>
      <c r="D341" s="160"/>
    </row>
    <row r="342" spans="1:4" x14ac:dyDescent="0.35">
      <c r="A342" s="160"/>
      <c r="B342" s="160"/>
      <c r="C342" s="191"/>
      <c r="D342" s="160"/>
    </row>
    <row r="343" spans="1:4" x14ac:dyDescent="0.35">
      <c r="A343" s="160"/>
      <c r="B343" s="160"/>
      <c r="C343" s="191"/>
      <c r="D343" s="160"/>
    </row>
    <row r="344" spans="1:4" x14ac:dyDescent="0.35">
      <c r="A344" s="160"/>
      <c r="B344" s="160"/>
      <c r="C344" s="191"/>
      <c r="D344" s="160"/>
    </row>
    <row r="345" spans="1:4" x14ac:dyDescent="0.35">
      <c r="A345" s="160"/>
      <c r="B345" s="160"/>
      <c r="C345" s="191"/>
      <c r="D345" s="160"/>
    </row>
    <row r="346" spans="1:4" x14ac:dyDescent="0.35">
      <c r="A346" s="160"/>
      <c r="B346" s="160"/>
      <c r="C346" s="191"/>
      <c r="D346" s="160"/>
    </row>
    <row r="347" spans="1:4" x14ac:dyDescent="0.35">
      <c r="A347" s="160"/>
      <c r="B347" s="160"/>
      <c r="C347" s="191"/>
      <c r="D347" s="160"/>
    </row>
    <row r="348" spans="1:4" x14ac:dyDescent="0.35">
      <c r="A348" s="160"/>
      <c r="B348" s="160"/>
      <c r="C348" s="191"/>
      <c r="D348" s="160"/>
    </row>
    <row r="349" spans="1:4" x14ac:dyDescent="0.35">
      <c r="A349" s="160"/>
      <c r="B349" s="160"/>
      <c r="C349" s="191"/>
      <c r="D349" s="160"/>
    </row>
    <row r="350" spans="1:4" x14ac:dyDescent="0.35">
      <c r="A350" s="160"/>
      <c r="B350" s="160"/>
      <c r="C350" s="191"/>
      <c r="D350" s="160"/>
    </row>
    <row r="351" spans="1:4" x14ac:dyDescent="0.35">
      <c r="A351" s="160"/>
      <c r="B351" s="160"/>
      <c r="C351" s="191"/>
      <c r="D351" s="160"/>
    </row>
    <row r="352" spans="1:4" x14ac:dyDescent="0.35">
      <c r="A352" s="160"/>
      <c r="B352" s="160"/>
      <c r="C352" s="191"/>
      <c r="D352" s="160"/>
    </row>
    <row r="353" spans="1:4" x14ac:dyDescent="0.35">
      <c r="A353" s="160"/>
      <c r="B353" s="160"/>
      <c r="C353" s="191"/>
      <c r="D353" s="160"/>
    </row>
    <row r="354" spans="1:4" x14ac:dyDescent="0.35">
      <c r="A354" s="160"/>
      <c r="B354" s="160"/>
      <c r="C354" s="191"/>
      <c r="D354" s="160"/>
    </row>
    <row r="355" spans="1:4" x14ac:dyDescent="0.35">
      <c r="A355" s="160"/>
      <c r="B355" s="160"/>
      <c r="C355" s="191"/>
      <c r="D355" s="160"/>
    </row>
    <row r="356" spans="1:4" x14ac:dyDescent="0.35">
      <c r="A356" s="160"/>
      <c r="B356" s="160"/>
      <c r="C356" s="191"/>
      <c r="D356" s="160"/>
    </row>
    <row r="357" spans="1:4" x14ac:dyDescent="0.35">
      <c r="A357" s="160"/>
      <c r="B357" s="160"/>
      <c r="C357" s="191"/>
      <c r="D357" s="160"/>
    </row>
    <row r="358" spans="1:4" x14ac:dyDescent="0.35">
      <c r="A358" s="160"/>
      <c r="B358" s="160"/>
      <c r="C358" s="191"/>
      <c r="D358" s="160"/>
    </row>
    <row r="359" spans="1:4" x14ac:dyDescent="0.35">
      <c r="A359" s="160"/>
      <c r="B359" s="160"/>
      <c r="C359" s="191"/>
      <c r="D359" s="160"/>
    </row>
    <row r="360" spans="1:4" x14ac:dyDescent="0.35">
      <c r="A360" s="160"/>
      <c r="B360" s="160"/>
      <c r="C360" s="191"/>
      <c r="D360" s="160"/>
    </row>
    <row r="361" spans="1:4" x14ac:dyDescent="0.35">
      <c r="A361" s="160"/>
      <c r="B361" s="160"/>
      <c r="C361" s="191"/>
      <c r="D361" s="160"/>
    </row>
    <row r="362" spans="1:4" x14ac:dyDescent="0.35">
      <c r="A362" s="160"/>
      <c r="B362" s="160"/>
      <c r="C362" s="191"/>
      <c r="D362" s="160"/>
    </row>
    <row r="363" spans="1:4" x14ac:dyDescent="0.35">
      <c r="A363" s="160"/>
      <c r="B363" s="160"/>
      <c r="C363" s="191"/>
      <c r="D363" s="160"/>
    </row>
    <row r="364" spans="1:4" x14ac:dyDescent="0.35">
      <c r="A364" s="160"/>
      <c r="B364" s="160"/>
      <c r="C364" s="191"/>
      <c r="D364" s="160"/>
    </row>
    <row r="365" spans="1:4" x14ac:dyDescent="0.35">
      <c r="A365" s="160"/>
      <c r="B365" s="160"/>
      <c r="C365" s="191"/>
      <c r="D365" s="160"/>
    </row>
    <row r="366" spans="1:4" x14ac:dyDescent="0.35">
      <c r="A366" s="160"/>
      <c r="B366" s="160"/>
      <c r="C366" s="191"/>
      <c r="D366" s="160"/>
    </row>
    <row r="367" spans="1:4" x14ac:dyDescent="0.35">
      <c r="A367" s="160"/>
      <c r="B367" s="160"/>
      <c r="C367" s="191"/>
      <c r="D367" s="160"/>
    </row>
    <row r="368" spans="1:4" x14ac:dyDescent="0.35">
      <c r="A368" s="160"/>
      <c r="B368" s="160"/>
      <c r="C368" s="191"/>
      <c r="D368" s="160"/>
    </row>
    <row r="369" spans="1:4" x14ac:dyDescent="0.35">
      <c r="A369" s="160"/>
      <c r="B369" s="160"/>
      <c r="C369" s="191"/>
      <c r="D369" s="160"/>
    </row>
    <row r="370" spans="1:4" x14ac:dyDescent="0.35">
      <c r="A370" s="160"/>
      <c r="B370" s="160"/>
      <c r="C370" s="191"/>
      <c r="D370" s="160"/>
    </row>
    <row r="371" spans="1:4" x14ac:dyDescent="0.35">
      <c r="A371" s="160"/>
      <c r="B371" s="160"/>
      <c r="C371" s="191"/>
      <c r="D371" s="160"/>
    </row>
    <row r="372" spans="1:4" x14ac:dyDescent="0.35">
      <c r="A372" s="160"/>
      <c r="B372" s="160"/>
      <c r="C372" s="191"/>
      <c r="D372" s="160"/>
    </row>
    <row r="373" spans="1:4" x14ac:dyDescent="0.35">
      <c r="A373" s="160"/>
      <c r="B373" s="160"/>
      <c r="C373" s="191"/>
      <c r="D373" s="160"/>
    </row>
    <row r="374" spans="1:4" x14ac:dyDescent="0.35">
      <c r="A374" s="160"/>
      <c r="B374" s="160"/>
      <c r="C374" s="191"/>
      <c r="D374" s="160"/>
    </row>
    <row r="375" spans="1:4" x14ac:dyDescent="0.35">
      <c r="A375" s="160"/>
      <c r="B375" s="160"/>
      <c r="C375" s="191"/>
      <c r="D375" s="160"/>
    </row>
    <row r="376" spans="1:4" x14ac:dyDescent="0.35">
      <c r="A376" s="160"/>
      <c r="B376" s="160"/>
      <c r="C376" s="191"/>
      <c r="D376" s="160"/>
    </row>
    <row r="377" spans="1:4" x14ac:dyDescent="0.35">
      <c r="A377" s="160"/>
      <c r="B377" s="160"/>
      <c r="C377" s="191"/>
      <c r="D377" s="160"/>
    </row>
    <row r="378" spans="1:4" x14ac:dyDescent="0.35">
      <c r="A378" s="160"/>
      <c r="B378" s="160"/>
      <c r="C378" s="191"/>
      <c r="D378" s="160"/>
    </row>
    <row r="379" spans="1:4" x14ac:dyDescent="0.35">
      <c r="A379" s="160"/>
      <c r="B379" s="160"/>
      <c r="C379" s="191"/>
      <c r="D379" s="160"/>
    </row>
    <row r="380" spans="1:4" x14ac:dyDescent="0.35">
      <c r="A380" s="160"/>
      <c r="B380" s="160"/>
      <c r="C380" s="191"/>
      <c r="D380" s="160"/>
    </row>
    <row r="381" spans="1:4" x14ac:dyDescent="0.35">
      <c r="A381" s="160"/>
      <c r="B381" s="160"/>
      <c r="C381" s="191"/>
      <c r="D381" s="160"/>
    </row>
    <row r="382" spans="1:4" x14ac:dyDescent="0.35">
      <c r="A382" s="160"/>
      <c r="B382" s="160"/>
      <c r="C382" s="191"/>
      <c r="D382" s="160"/>
    </row>
    <row r="383" spans="1:4" x14ac:dyDescent="0.35">
      <c r="A383" s="160"/>
      <c r="B383" s="160"/>
      <c r="C383" s="191"/>
      <c r="D383" s="160"/>
    </row>
    <row r="384" spans="1:4" x14ac:dyDescent="0.35">
      <c r="A384" s="160"/>
      <c r="B384" s="160"/>
      <c r="C384" s="191"/>
      <c r="D384" s="160"/>
    </row>
    <row r="385" spans="1:4" x14ac:dyDescent="0.35">
      <c r="A385" s="160"/>
      <c r="B385" s="160"/>
      <c r="C385" s="191"/>
      <c r="D385" s="160"/>
    </row>
    <row r="386" spans="1:4" x14ac:dyDescent="0.35">
      <c r="A386" s="160"/>
      <c r="B386" s="160"/>
      <c r="C386" s="191"/>
      <c r="D386" s="160"/>
    </row>
    <row r="387" spans="1:4" x14ac:dyDescent="0.35">
      <c r="A387" s="160"/>
      <c r="B387" s="160"/>
      <c r="C387" s="191"/>
      <c r="D387" s="160"/>
    </row>
    <row r="388" spans="1:4" x14ac:dyDescent="0.35">
      <c r="A388" s="160"/>
      <c r="B388" s="160"/>
      <c r="C388" s="191"/>
      <c r="D388" s="160"/>
    </row>
    <row r="389" spans="1:4" x14ac:dyDescent="0.35">
      <c r="A389" s="160"/>
      <c r="B389" s="160"/>
      <c r="C389" s="191"/>
      <c r="D389" s="160"/>
    </row>
    <row r="390" spans="1:4" x14ac:dyDescent="0.35">
      <c r="A390" s="160"/>
      <c r="B390" s="160"/>
      <c r="C390" s="191"/>
      <c r="D390" s="160"/>
    </row>
    <row r="391" spans="1:4" x14ac:dyDescent="0.35">
      <c r="A391" s="160"/>
      <c r="B391" s="160"/>
      <c r="C391" s="191"/>
      <c r="D391" s="160"/>
    </row>
    <row r="392" spans="1:4" x14ac:dyDescent="0.35">
      <c r="A392" s="160"/>
      <c r="B392" s="160"/>
      <c r="C392" s="191"/>
      <c r="D392" s="160"/>
    </row>
    <row r="393" spans="1:4" x14ac:dyDescent="0.35">
      <c r="A393" s="160"/>
      <c r="B393" s="160"/>
      <c r="C393" s="191"/>
      <c r="D393" s="160"/>
    </row>
    <row r="394" spans="1:4" x14ac:dyDescent="0.35">
      <c r="A394" s="160"/>
      <c r="B394" s="160"/>
      <c r="C394" s="191"/>
      <c r="D394" s="160"/>
    </row>
    <row r="395" spans="1:4" x14ac:dyDescent="0.35">
      <c r="A395" s="160"/>
      <c r="B395" s="160"/>
      <c r="C395" s="191"/>
      <c r="D395" s="160"/>
    </row>
    <row r="396" spans="1:4" x14ac:dyDescent="0.35">
      <c r="A396" s="160"/>
      <c r="B396" s="160"/>
      <c r="C396" s="191"/>
      <c r="D396" s="160"/>
    </row>
    <row r="397" spans="1:4" x14ac:dyDescent="0.35">
      <c r="A397" s="160"/>
      <c r="B397" s="160"/>
      <c r="C397" s="191"/>
      <c r="D397" s="160"/>
    </row>
    <row r="398" spans="1:4" x14ac:dyDescent="0.35">
      <c r="A398" s="160"/>
      <c r="B398" s="160"/>
      <c r="C398" s="191"/>
      <c r="D398" s="160"/>
    </row>
    <row r="399" spans="1:4" x14ac:dyDescent="0.35">
      <c r="A399" s="160"/>
      <c r="B399" s="160"/>
      <c r="C399" s="191"/>
      <c r="D399" s="160"/>
    </row>
    <row r="400" spans="1:4" x14ac:dyDescent="0.35">
      <c r="A400" s="160"/>
      <c r="B400" s="160"/>
      <c r="C400" s="191"/>
      <c r="D400" s="160"/>
    </row>
    <row r="401" spans="1:4" x14ac:dyDescent="0.35">
      <c r="A401" s="160"/>
      <c r="B401" s="160"/>
      <c r="C401" s="191"/>
      <c r="D401" s="160"/>
    </row>
    <row r="402" spans="1:4" x14ac:dyDescent="0.35">
      <c r="A402" s="160"/>
      <c r="B402" s="160"/>
      <c r="C402" s="191"/>
      <c r="D402" s="160"/>
    </row>
    <row r="403" spans="1:4" x14ac:dyDescent="0.35">
      <c r="A403" s="160"/>
      <c r="B403" s="160"/>
      <c r="C403" s="191"/>
      <c r="D403" s="160"/>
    </row>
    <row r="404" spans="1:4" x14ac:dyDescent="0.35">
      <c r="A404" s="160"/>
      <c r="B404" s="160"/>
      <c r="C404" s="191"/>
      <c r="D404" s="160"/>
    </row>
    <row r="405" spans="1:4" x14ac:dyDescent="0.35">
      <c r="A405" s="160"/>
      <c r="B405" s="160"/>
      <c r="C405" s="191"/>
      <c r="D405" s="160"/>
    </row>
    <row r="406" spans="1:4" x14ac:dyDescent="0.35">
      <c r="A406" s="160"/>
      <c r="B406" s="160"/>
      <c r="C406" s="191"/>
      <c r="D406" s="160"/>
    </row>
    <row r="407" spans="1:4" x14ac:dyDescent="0.35">
      <c r="A407" s="160"/>
      <c r="B407" s="160"/>
      <c r="C407" s="191"/>
      <c r="D407" s="160"/>
    </row>
    <row r="408" spans="1:4" x14ac:dyDescent="0.35">
      <c r="A408" s="160"/>
      <c r="B408" s="160"/>
      <c r="C408" s="191"/>
      <c r="D408" s="160"/>
    </row>
    <row r="409" spans="1:4" x14ac:dyDescent="0.35">
      <c r="A409" s="160"/>
      <c r="B409" s="160"/>
      <c r="C409" s="191"/>
      <c r="D409" s="160"/>
    </row>
    <row r="410" spans="1:4" x14ac:dyDescent="0.35">
      <c r="A410" s="160"/>
      <c r="B410" s="160"/>
      <c r="C410" s="191"/>
      <c r="D410" s="160"/>
    </row>
    <row r="411" spans="1:4" x14ac:dyDescent="0.35">
      <c r="A411" s="160"/>
      <c r="B411" s="160"/>
      <c r="C411" s="191"/>
      <c r="D411" s="160"/>
    </row>
    <row r="412" spans="1:4" x14ac:dyDescent="0.35">
      <c r="A412" s="160"/>
      <c r="B412" s="160"/>
      <c r="C412" s="191"/>
      <c r="D412" s="160"/>
    </row>
    <row r="413" spans="1:4" x14ac:dyDescent="0.35">
      <c r="A413" s="160"/>
      <c r="B413" s="160"/>
      <c r="C413" s="191"/>
      <c r="D413" s="160"/>
    </row>
    <row r="414" spans="1:4" x14ac:dyDescent="0.35">
      <c r="A414" s="160"/>
      <c r="B414" s="160"/>
      <c r="C414" s="191"/>
      <c r="D414" s="160"/>
    </row>
    <row r="415" spans="1:4" x14ac:dyDescent="0.35">
      <c r="A415" s="160"/>
      <c r="B415" s="160"/>
      <c r="C415" s="191"/>
      <c r="D415" s="160"/>
    </row>
    <row r="416" spans="1:4" x14ac:dyDescent="0.35">
      <c r="A416" s="160"/>
      <c r="B416" s="160"/>
      <c r="C416" s="191"/>
      <c r="D416" s="160"/>
    </row>
    <row r="417" spans="1:4" x14ac:dyDescent="0.35">
      <c r="A417" s="160"/>
      <c r="B417" s="160"/>
      <c r="C417" s="191"/>
      <c r="D417" s="160"/>
    </row>
    <row r="418" spans="1:4" x14ac:dyDescent="0.35">
      <c r="A418" s="160"/>
      <c r="B418" s="160"/>
      <c r="C418" s="191"/>
      <c r="D418" s="160"/>
    </row>
    <row r="419" spans="1:4" x14ac:dyDescent="0.35">
      <c r="A419" s="160"/>
      <c r="B419" s="160"/>
      <c r="C419" s="191"/>
      <c r="D419" s="160"/>
    </row>
    <row r="420" spans="1:4" x14ac:dyDescent="0.35">
      <c r="A420" s="160"/>
      <c r="B420" s="160"/>
      <c r="C420" s="191"/>
      <c r="D420" s="160"/>
    </row>
    <row r="421" spans="1:4" x14ac:dyDescent="0.35">
      <c r="A421" s="160"/>
      <c r="B421" s="160"/>
      <c r="C421" s="191"/>
      <c r="D421" s="160"/>
    </row>
    <row r="422" spans="1:4" x14ac:dyDescent="0.35">
      <c r="A422" s="160"/>
      <c r="B422" s="160"/>
      <c r="C422" s="191"/>
      <c r="D422" s="160"/>
    </row>
    <row r="423" spans="1:4" x14ac:dyDescent="0.35">
      <c r="A423" s="160"/>
      <c r="B423" s="160"/>
      <c r="C423" s="191"/>
      <c r="D423" s="160"/>
    </row>
    <row r="424" spans="1:4" x14ac:dyDescent="0.35">
      <c r="A424" s="160"/>
      <c r="B424" s="160"/>
      <c r="C424" s="191"/>
      <c r="D424" s="160"/>
    </row>
    <row r="425" spans="1:4" x14ac:dyDescent="0.35">
      <c r="A425" s="160"/>
      <c r="B425" s="160"/>
      <c r="C425" s="191"/>
      <c r="D425" s="160"/>
    </row>
    <row r="426" spans="1:4" x14ac:dyDescent="0.35">
      <c r="A426" s="160"/>
      <c r="B426" s="160"/>
      <c r="C426" s="191"/>
      <c r="D426" s="160"/>
    </row>
    <row r="427" spans="1:4" x14ac:dyDescent="0.35">
      <c r="A427" s="160"/>
      <c r="B427" s="160"/>
      <c r="C427" s="191"/>
      <c r="D427" s="160"/>
    </row>
    <row r="428" spans="1:4" x14ac:dyDescent="0.35">
      <c r="A428" s="160"/>
      <c r="B428" s="160"/>
      <c r="C428" s="191"/>
      <c r="D428" s="160"/>
    </row>
    <row r="429" spans="1:4" x14ac:dyDescent="0.35">
      <c r="A429" s="160"/>
      <c r="B429" s="160"/>
      <c r="C429" s="191"/>
      <c r="D429" s="160"/>
    </row>
    <row r="430" spans="1:4" x14ac:dyDescent="0.35">
      <c r="A430" s="160"/>
      <c r="B430" s="160"/>
      <c r="C430" s="191"/>
      <c r="D430" s="160"/>
    </row>
    <row r="431" spans="1:4" x14ac:dyDescent="0.35">
      <c r="A431" s="160"/>
      <c r="B431" s="160"/>
      <c r="C431" s="191"/>
      <c r="D431" s="160"/>
    </row>
    <row r="432" spans="1:4" x14ac:dyDescent="0.35">
      <c r="A432" s="160"/>
      <c r="B432" s="160"/>
      <c r="C432" s="191"/>
      <c r="D432" s="160"/>
    </row>
    <row r="433" spans="1:4" x14ac:dyDescent="0.35">
      <c r="A433" s="160"/>
      <c r="B433" s="160"/>
      <c r="C433" s="191"/>
      <c r="D433" s="160"/>
    </row>
    <row r="434" spans="1:4" x14ac:dyDescent="0.35">
      <c r="A434" s="160"/>
      <c r="B434" s="160"/>
      <c r="C434" s="191"/>
      <c r="D434" s="160"/>
    </row>
    <row r="435" spans="1:4" x14ac:dyDescent="0.35">
      <c r="A435" s="160"/>
      <c r="B435" s="160"/>
      <c r="C435" s="191"/>
      <c r="D435" s="160"/>
    </row>
    <row r="436" spans="1:4" x14ac:dyDescent="0.35">
      <c r="A436" s="160"/>
      <c r="B436" s="160"/>
      <c r="C436" s="191"/>
      <c r="D436" s="160"/>
    </row>
    <row r="437" spans="1:4" x14ac:dyDescent="0.35">
      <c r="A437" s="160"/>
      <c r="B437" s="160"/>
      <c r="C437" s="191"/>
      <c r="D437" s="160"/>
    </row>
    <row r="438" spans="1:4" x14ac:dyDescent="0.35">
      <c r="A438" s="160"/>
      <c r="B438" s="160"/>
      <c r="C438" s="191"/>
      <c r="D438" s="160"/>
    </row>
    <row r="439" spans="1:4" x14ac:dyDescent="0.35">
      <c r="A439" s="160"/>
      <c r="B439" s="160"/>
      <c r="C439" s="191"/>
      <c r="D439" s="160"/>
    </row>
    <row r="440" spans="1:4" x14ac:dyDescent="0.35">
      <c r="A440" s="160"/>
      <c r="B440" s="160"/>
      <c r="C440" s="191"/>
      <c r="D440" s="160"/>
    </row>
    <row r="441" spans="1:4" x14ac:dyDescent="0.35">
      <c r="A441" s="160"/>
      <c r="B441" s="160"/>
      <c r="C441" s="191"/>
      <c r="D441" s="160"/>
    </row>
    <row r="442" spans="1:4" x14ac:dyDescent="0.35">
      <c r="A442" s="160"/>
      <c r="B442" s="160"/>
      <c r="C442" s="191"/>
      <c r="D442" s="160"/>
    </row>
    <row r="443" spans="1:4" x14ac:dyDescent="0.35">
      <c r="A443" s="160"/>
      <c r="B443" s="160"/>
      <c r="C443" s="191"/>
      <c r="D443" s="160"/>
    </row>
    <row r="444" spans="1:4" x14ac:dyDescent="0.35">
      <c r="A444" s="160"/>
      <c r="B444" s="160"/>
      <c r="C444" s="191"/>
      <c r="D444" s="160"/>
    </row>
    <row r="445" spans="1:4" x14ac:dyDescent="0.35">
      <c r="A445" s="160"/>
      <c r="B445" s="160"/>
      <c r="C445" s="191"/>
      <c r="D445" s="160"/>
    </row>
    <row r="446" spans="1:4" x14ac:dyDescent="0.35">
      <c r="A446" s="160"/>
      <c r="B446" s="160"/>
      <c r="C446" s="191"/>
      <c r="D446" s="160"/>
    </row>
    <row r="447" spans="1:4" x14ac:dyDescent="0.35">
      <c r="A447" s="160"/>
      <c r="B447" s="160"/>
      <c r="C447" s="191"/>
      <c r="D447" s="160"/>
    </row>
    <row r="448" spans="1:4" x14ac:dyDescent="0.35">
      <c r="A448" s="160"/>
      <c r="B448" s="160"/>
      <c r="C448" s="191"/>
      <c r="D448" s="160"/>
    </row>
    <row r="449" spans="1:4" x14ac:dyDescent="0.35">
      <c r="A449" s="160"/>
      <c r="B449" s="160"/>
      <c r="C449" s="191"/>
      <c r="D449" s="160"/>
    </row>
    <row r="450" spans="1:4" x14ac:dyDescent="0.35">
      <c r="A450" s="160"/>
      <c r="B450" s="160"/>
      <c r="C450" s="191"/>
      <c r="D450" s="160"/>
    </row>
    <row r="451" spans="1:4" x14ac:dyDescent="0.35">
      <c r="A451" s="160"/>
      <c r="B451" s="160"/>
      <c r="C451" s="191"/>
      <c r="D451" s="160"/>
    </row>
    <row r="452" spans="1:4" x14ac:dyDescent="0.35">
      <c r="A452" s="160"/>
      <c r="B452" s="160"/>
      <c r="C452" s="191"/>
      <c r="D452" s="160"/>
    </row>
    <row r="453" spans="1:4" x14ac:dyDescent="0.35">
      <c r="A453" s="160"/>
      <c r="B453" s="160"/>
      <c r="C453" s="191"/>
      <c r="D453" s="160"/>
    </row>
    <row r="454" spans="1:4" x14ac:dyDescent="0.35">
      <c r="A454" s="160"/>
      <c r="B454" s="160"/>
      <c r="C454" s="191"/>
      <c r="D454" s="160"/>
    </row>
    <row r="455" spans="1:4" x14ac:dyDescent="0.35">
      <c r="A455" s="160"/>
      <c r="B455" s="160"/>
      <c r="C455" s="191"/>
      <c r="D455" s="160"/>
    </row>
    <row r="456" spans="1:4" x14ac:dyDescent="0.35">
      <c r="A456" s="160"/>
      <c r="B456" s="160"/>
      <c r="C456" s="191"/>
      <c r="D456" s="160"/>
    </row>
    <row r="457" spans="1:4" x14ac:dyDescent="0.35">
      <c r="A457" s="160"/>
      <c r="B457" s="160"/>
      <c r="C457" s="191"/>
      <c r="D457" s="160"/>
    </row>
    <row r="458" spans="1:4" x14ac:dyDescent="0.35">
      <c r="A458" s="160"/>
      <c r="B458" s="160"/>
      <c r="C458" s="191"/>
      <c r="D458" s="160"/>
    </row>
    <row r="459" spans="1:4" x14ac:dyDescent="0.35">
      <c r="A459" s="160"/>
      <c r="B459" s="160"/>
      <c r="C459" s="191"/>
      <c r="D459" s="160"/>
    </row>
    <row r="460" spans="1:4" x14ac:dyDescent="0.35">
      <c r="A460" s="160"/>
      <c r="B460" s="160"/>
      <c r="C460" s="191"/>
      <c r="D460" s="160"/>
    </row>
    <row r="461" spans="1:4" x14ac:dyDescent="0.35">
      <c r="A461" s="160"/>
      <c r="B461" s="160"/>
      <c r="C461" s="191"/>
      <c r="D461" s="160"/>
    </row>
    <row r="462" spans="1:4" x14ac:dyDescent="0.35">
      <c r="A462" s="160"/>
      <c r="B462" s="160"/>
      <c r="C462" s="191"/>
      <c r="D462" s="160"/>
    </row>
    <row r="463" spans="1:4" x14ac:dyDescent="0.35">
      <c r="A463" s="160"/>
      <c r="B463" s="160"/>
      <c r="C463" s="191"/>
      <c r="D463" s="160"/>
    </row>
    <row r="464" spans="1:4" x14ac:dyDescent="0.35">
      <c r="A464" s="160"/>
      <c r="B464" s="160"/>
      <c r="C464" s="191"/>
      <c r="D464" s="160"/>
    </row>
    <row r="465" spans="1:4" x14ac:dyDescent="0.35">
      <c r="A465" s="160"/>
      <c r="B465" s="160"/>
      <c r="C465" s="191"/>
      <c r="D465" s="160"/>
    </row>
    <row r="466" spans="1:4" x14ac:dyDescent="0.35">
      <c r="A466" s="160"/>
      <c r="B466" s="160"/>
      <c r="C466" s="191"/>
      <c r="D466" s="160"/>
    </row>
    <row r="467" spans="1:4" x14ac:dyDescent="0.35">
      <c r="A467" s="160"/>
      <c r="B467" s="160"/>
      <c r="C467" s="191"/>
      <c r="D467" s="160"/>
    </row>
    <row r="468" spans="1:4" x14ac:dyDescent="0.35">
      <c r="A468" s="160"/>
      <c r="B468" s="160"/>
      <c r="C468" s="191"/>
      <c r="D468" s="160"/>
    </row>
    <row r="469" spans="1:4" x14ac:dyDescent="0.35">
      <c r="A469" s="160"/>
      <c r="B469" s="160"/>
      <c r="C469" s="191"/>
      <c r="D469" s="160"/>
    </row>
    <row r="470" spans="1:4" x14ac:dyDescent="0.35">
      <c r="A470" s="160"/>
      <c r="B470" s="160"/>
      <c r="C470" s="191"/>
      <c r="D470" s="160"/>
    </row>
    <row r="471" spans="1:4" x14ac:dyDescent="0.35">
      <c r="A471" s="160"/>
      <c r="B471" s="160"/>
      <c r="C471" s="191"/>
      <c r="D471" s="160"/>
    </row>
    <row r="472" spans="1:4" x14ac:dyDescent="0.35">
      <c r="A472" s="160"/>
      <c r="B472" s="160"/>
      <c r="C472" s="191"/>
      <c r="D472" s="160"/>
    </row>
    <row r="473" spans="1:4" x14ac:dyDescent="0.35">
      <c r="A473" s="160"/>
      <c r="B473" s="160"/>
      <c r="C473" s="191"/>
      <c r="D473" s="160"/>
    </row>
    <row r="474" spans="1:4" x14ac:dyDescent="0.35">
      <c r="A474" s="160"/>
      <c r="B474" s="160"/>
      <c r="C474" s="191"/>
      <c r="D474" s="160"/>
    </row>
    <row r="475" spans="1:4" x14ac:dyDescent="0.35">
      <c r="A475" s="160"/>
      <c r="B475" s="160"/>
      <c r="C475" s="191"/>
      <c r="D475" s="160"/>
    </row>
    <row r="476" spans="1:4" x14ac:dyDescent="0.35">
      <c r="A476" s="160"/>
      <c r="B476" s="160"/>
      <c r="C476" s="191"/>
      <c r="D476" s="160"/>
    </row>
    <row r="477" spans="1:4" x14ac:dyDescent="0.35">
      <c r="A477" s="160"/>
      <c r="B477" s="160"/>
      <c r="C477" s="191"/>
      <c r="D477" s="160"/>
    </row>
    <row r="478" spans="1:4" x14ac:dyDescent="0.35">
      <c r="A478" s="160"/>
      <c r="B478" s="160"/>
      <c r="C478" s="191"/>
      <c r="D478" s="160"/>
    </row>
    <row r="479" spans="1:4" x14ac:dyDescent="0.35">
      <c r="A479" s="160"/>
      <c r="B479" s="160"/>
      <c r="C479" s="191"/>
      <c r="D479" s="160"/>
    </row>
    <row r="480" spans="1:4" x14ac:dyDescent="0.35">
      <c r="A480" s="160"/>
      <c r="B480" s="160"/>
      <c r="C480" s="191"/>
      <c r="D480" s="160"/>
    </row>
    <row r="481" spans="1:4" x14ac:dyDescent="0.35">
      <c r="A481" s="160"/>
      <c r="B481" s="160"/>
      <c r="C481" s="191"/>
      <c r="D481" s="160"/>
    </row>
    <row r="482" spans="1:4" x14ac:dyDescent="0.35">
      <c r="A482" s="160"/>
      <c r="B482" s="160"/>
      <c r="C482" s="191"/>
      <c r="D482" s="160"/>
    </row>
    <row r="483" spans="1:4" x14ac:dyDescent="0.35">
      <c r="A483" s="160"/>
      <c r="B483" s="160"/>
      <c r="C483" s="191"/>
      <c r="D483" s="160"/>
    </row>
    <row r="484" spans="1:4" x14ac:dyDescent="0.35">
      <c r="A484" s="160"/>
      <c r="B484" s="160"/>
      <c r="C484" s="191"/>
      <c r="D484" s="160"/>
    </row>
    <row r="485" spans="1:4" x14ac:dyDescent="0.35">
      <c r="A485" s="160"/>
      <c r="B485" s="160"/>
      <c r="C485" s="191"/>
      <c r="D485" s="160"/>
    </row>
    <row r="486" spans="1:4" x14ac:dyDescent="0.35">
      <c r="A486" s="160"/>
      <c r="B486" s="160"/>
      <c r="C486" s="191"/>
      <c r="D486" s="160"/>
    </row>
    <row r="487" spans="1:4" x14ac:dyDescent="0.35">
      <c r="A487" s="160"/>
      <c r="B487" s="160"/>
      <c r="C487" s="191"/>
      <c r="D487" s="160"/>
    </row>
    <row r="488" spans="1:4" x14ac:dyDescent="0.35">
      <c r="A488" s="160"/>
      <c r="B488" s="160"/>
      <c r="C488" s="191"/>
      <c r="D488" s="160"/>
    </row>
    <row r="489" spans="1:4" x14ac:dyDescent="0.35">
      <c r="A489" s="160"/>
      <c r="B489" s="160"/>
      <c r="C489" s="191"/>
      <c r="D489" s="160"/>
    </row>
    <row r="490" spans="1:4" x14ac:dyDescent="0.35">
      <c r="A490" s="160"/>
      <c r="B490" s="160"/>
      <c r="C490" s="191"/>
      <c r="D490" s="160"/>
    </row>
    <row r="491" spans="1:4" x14ac:dyDescent="0.35">
      <c r="A491" s="160"/>
      <c r="B491" s="160"/>
      <c r="C491" s="191"/>
      <c r="D491" s="160"/>
    </row>
    <row r="492" spans="1:4" x14ac:dyDescent="0.35">
      <c r="A492" s="160"/>
      <c r="B492" s="160"/>
      <c r="C492" s="191"/>
      <c r="D492" s="160"/>
    </row>
    <row r="493" spans="1:4" x14ac:dyDescent="0.35">
      <c r="A493" s="160"/>
      <c r="B493" s="160"/>
      <c r="C493" s="191"/>
      <c r="D493" s="160"/>
    </row>
    <row r="494" spans="1:4" x14ac:dyDescent="0.35">
      <c r="A494" s="160"/>
      <c r="B494" s="160"/>
      <c r="C494" s="191"/>
      <c r="D494" s="160"/>
    </row>
    <row r="495" spans="1:4" x14ac:dyDescent="0.35">
      <c r="A495" s="160"/>
      <c r="B495" s="160"/>
      <c r="C495" s="191"/>
      <c r="D495" s="160"/>
    </row>
    <row r="496" spans="1:4" x14ac:dyDescent="0.35">
      <c r="A496" s="160"/>
      <c r="B496" s="160"/>
      <c r="C496" s="191"/>
      <c r="D496" s="160"/>
    </row>
    <row r="497" spans="1:4" x14ac:dyDescent="0.35">
      <c r="A497" s="160"/>
      <c r="B497" s="160"/>
      <c r="C497" s="191"/>
      <c r="D497" s="160"/>
    </row>
    <row r="498" spans="1:4" x14ac:dyDescent="0.35">
      <c r="A498" s="160"/>
      <c r="B498" s="160"/>
      <c r="C498" s="191"/>
      <c r="D498" s="160"/>
    </row>
    <row r="499" spans="1:4" x14ac:dyDescent="0.35">
      <c r="A499" s="160"/>
      <c r="B499" s="160"/>
      <c r="C499" s="191"/>
      <c r="D499" s="160"/>
    </row>
    <row r="500" spans="1:4" x14ac:dyDescent="0.35">
      <c r="A500" s="160"/>
      <c r="B500" s="160"/>
      <c r="C500" s="191"/>
      <c r="D500" s="160"/>
    </row>
    <row r="501" spans="1:4" x14ac:dyDescent="0.35">
      <c r="A501" s="160"/>
      <c r="B501" s="160"/>
      <c r="C501" s="191"/>
      <c r="D501" s="160"/>
    </row>
    <row r="502" spans="1:4" x14ac:dyDescent="0.35">
      <c r="A502" s="160"/>
      <c r="B502" s="160"/>
      <c r="C502" s="191"/>
      <c r="D502" s="160"/>
    </row>
    <row r="503" spans="1:4" x14ac:dyDescent="0.35">
      <c r="A503" s="160"/>
      <c r="B503" s="160"/>
      <c r="C503" s="191"/>
      <c r="D503" s="160"/>
    </row>
    <row r="504" spans="1:4" x14ac:dyDescent="0.35">
      <c r="A504" s="160"/>
      <c r="B504" s="160"/>
      <c r="C504" s="191"/>
      <c r="D504" s="160"/>
    </row>
    <row r="505" spans="1:4" x14ac:dyDescent="0.35">
      <c r="A505" s="160"/>
      <c r="B505" s="160"/>
      <c r="C505" s="191"/>
      <c r="D505" s="160"/>
    </row>
    <row r="506" spans="1:4" x14ac:dyDescent="0.35">
      <c r="A506" s="160"/>
      <c r="B506" s="160"/>
      <c r="C506" s="191"/>
      <c r="D506" s="160"/>
    </row>
    <row r="507" spans="1:4" x14ac:dyDescent="0.35">
      <c r="A507" s="160"/>
      <c r="B507" s="160"/>
      <c r="C507" s="191"/>
      <c r="D507" s="160"/>
    </row>
    <row r="508" spans="1:4" x14ac:dyDescent="0.35">
      <c r="A508" s="160"/>
      <c r="B508" s="160"/>
      <c r="C508" s="191"/>
      <c r="D508" s="160"/>
    </row>
    <row r="509" spans="1:4" x14ac:dyDescent="0.35">
      <c r="A509" s="160"/>
      <c r="B509" s="160"/>
      <c r="C509" s="191"/>
      <c r="D509" s="160"/>
    </row>
    <row r="510" spans="1:4" x14ac:dyDescent="0.35">
      <c r="A510" s="160"/>
      <c r="B510" s="160"/>
      <c r="C510" s="191"/>
      <c r="D510" s="160"/>
    </row>
    <row r="511" spans="1:4" x14ac:dyDescent="0.35">
      <c r="A511" s="160"/>
      <c r="B511" s="160"/>
      <c r="C511" s="191"/>
      <c r="D511" s="160"/>
    </row>
    <row r="512" spans="1:4" x14ac:dyDescent="0.35">
      <c r="A512" s="160"/>
      <c r="B512" s="160"/>
      <c r="C512" s="191"/>
      <c r="D512" s="160"/>
    </row>
    <row r="513" spans="1:4" x14ac:dyDescent="0.35">
      <c r="A513" s="160"/>
      <c r="B513" s="160"/>
      <c r="C513" s="191"/>
      <c r="D513" s="160"/>
    </row>
    <row r="514" spans="1:4" x14ac:dyDescent="0.35">
      <c r="A514" s="160"/>
      <c r="B514" s="160"/>
      <c r="C514" s="191"/>
      <c r="D514" s="160"/>
    </row>
    <row r="515" spans="1:4" x14ac:dyDescent="0.35">
      <c r="A515" s="160"/>
      <c r="B515" s="160"/>
      <c r="C515" s="191"/>
      <c r="D515" s="160"/>
    </row>
    <row r="516" spans="1:4" x14ac:dyDescent="0.35">
      <c r="A516" s="160"/>
      <c r="B516" s="160"/>
      <c r="C516" s="191"/>
      <c r="D516" s="160"/>
    </row>
    <row r="517" spans="1:4" x14ac:dyDescent="0.35">
      <c r="A517" s="160"/>
      <c r="B517" s="160"/>
      <c r="C517" s="191"/>
      <c r="D517" s="160"/>
    </row>
    <row r="518" spans="1:4" x14ac:dyDescent="0.35">
      <c r="A518" s="160"/>
      <c r="B518" s="160"/>
      <c r="C518" s="191"/>
      <c r="D518" s="160"/>
    </row>
    <row r="519" spans="1:4" x14ac:dyDescent="0.35">
      <c r="A519" s="160"/>
      <c r="B519" s="160"/>
      <c r="C519" s="191"/>
      <c r="D519" s="160"/>
    </row>
    <row r="520" spans="1:4" x14ac:dyDescent="0.35">
      <c r="A520" s="160"/>
      <c r="B520" s="160"/>
      <c r="C520" s="191"/>
      <c r="D520" s="160"/>
    </row>
    <row r="521" spans="1:4" x14ac:dyDescent="0.35">
      <c r="A521" s="160"/>
      <c r="B521" s="160"/>
      <c r="C521" s="191"/>
      <c r="D521" s="160"/>
    </row>
    <row r="522" spans="1:4" x14ac:dyDescent="0.35">
      <c r="A522" s="160"/>
      <c r="B522" s="160"/>
      <c r="C522" s="191"/>
      <c r="D522" s="160"/>
    </row>
    <row r="523" spans="1:4" x14ac:dyDescent="0.35">
      <c r="A523" s="160"/>
      <c r="B523" s="160"/>
      <c r="C523" s="191"/>
      <c r="D523" s="160"/>
    </row>
    <row r="524" spans="1:4" x14ac:dyDescent="0.35">
      <c r="A524" s="160"/>
      <c r="B524" s="160"/>
      <c r="C524" s="191"/>
      <c r="D524" s="160"/>
    </row>
    <row r="525" spans="1:4" x14ac:dyDescent="0.35">
      <c r="A525" s="160"/>
      <c r="B525" s="160"/>
      <c r="C525" s="191"/>
      <c r="D525" s="160"/>
    </row>
    <row r="526" spans="1:4" x14ac:dyDescent="0.35">
      <c r="A526" s="160"/>
      <c r="B526" s="160"/>
      <c r="C526" s="191"/>
      <c r="D526" s="160"/>
    </row>
    <row r="527" spans="1:4" x14ac:dyDescent="0.35">
      <c r="A527" s="160"/>
      <c r="B527" s="160"/>
      <c r="C527" s="191"/>
      <c r="D527" s="160"/>
    </row>
    <row r="528" spans="1:4" x14ac:dyDescent="0.35">
      <c r="A528" s="160"/>
      <c r="B528" s="160"/>
      <c r="C528" s="191"/>
      <c r="D528" s="160"/>
    </row>
    <row r="529" spans="1:4" x14ac:dyDescent="0.35">
      <c r="A529" s="160"/>
      <c r="B529" s="160"/>
      <c r="C529" s="191"/>
      <c r="D529" s="160"/>
    </row>
    <row r="530" spans="1:4" x14ac:dyDescent="0.35">
      <c r="A530" s="160"/>
      <c r="B530" s="160"/>
      <c r="C530" s="191"/>
      <c r="D530" s="160"/>
    </row>
    <row r="531" spans="1:4" x14ac:dyDescent="0.35">
      <c r="A531" s="160"/>
      <c r="B531" s="160"/>
      <c r="C531" s="191"/>
      <c r="D531" s="160"/>
    </row>
    <row r="532" spans="1:4" x14ac:dyDescent="0.35">
      <c r="A532" s="160"/>
      <c r="B532" s="160"/>
      <c r="C532" s="191"/>
      <c r="D532" s="160"/>
    </row>
    <row r="533" spans="1:4" x14ac:dyDescent="0.35">
      <c r="A533" s="160"/>
      <c r="B533" s="160"/>
      <c r="C533" s="191"/>
      <c r="D533" s="160"/>
    </row>
    <row r="534" spans="1:4" x14ac:dyDescent="0.35">
      <c r="A534" s="160"/>
      <c r="B534" s="160"/>
      <c r="C534" s="191"/>
      <c r="D534" s="160"/>
    </row>
    <row r="535" spans="1:4" x14ac:dyDescent="0.35">
      <c r="A535" s="160"/>
      <c r="B535" s="160"/>
      <c r="C535" s="191"/>
      <c r="D535" s="160"/>
    </row>
    <row r="536" spans="1:4" x14ac:dyDescent="0.35">
      <c r="A536" s="160"/>
      <c r="B536" s="160"/>
      <c r="C536" s="191"/>
      <c r="D536" s="160"/>
    </row>
    <row r="537" spans="1:4" x14ac:dyDescent="0.35">
      <c r="A537" s="160"/>
      <c r="B537" s="160"/>
      <c r="C537" s="191"/>
      <c r="D537" s="160"/>
    </row>
    <row r="538" spans="1:4" x14ac:dyDescent="0.35">
      <c r="A538" s="160"/>
      <c r="B538" s="160"/>
      <c r="C538" s="191"/>
      <c r="D538" s="160"/>
    </row>
    <row r="539" spans="1:4" x14ac:dyDescent="0.35">
      <c r="A539" s="160"/>
      <c r="B539" s="160"/>
      <c r="C539" s="191"/>
      <c r="D539" s="160"/>
    </row>
    <row r="540" spans="1:4" x14ac:dyDescent="0.35">
      <c r="A540" s="160"/>
      <c r="B540" s="160"/>
      <c r="C540" s="191"/>
      <c r="D540" s="160"/>
    </row>
    <row r="541" spans="1:4" x14ac:dyDescent="0.35">
      <c r="A541" s="160"/>
      <c r="B541" s="160"/>
      <c r="C541" s="191"/>
      <c r="D541" s="160"/>
    </row>
    <row r="542" spans="1:4" x14ac:dyDescent="0.35">
      <c r="A542" s="160"/>
      <c r="B542" s="160"/>
      <c r="C542" s="191"/>
      <c r="D542" s="160"/>
    </row>
    <row r="543" spans="1:4" x14ac:dyDescent="0.35">
      <c r="A543" s="160"/>
      <c r="B543" s="160"/>
      <c r="C543" s="191"/>
      <c r="D543" s="160"/>
    </row>
    <row r="544" spans="1:4" x14ac:dyDescent="0.35">
      <c r="A544" s="160"/>
      <c r="B544" s="160"/>
      <c r="C544" s="191"/>
      <c r="D544" s="160"/>
    </row>
    <row r="545" spans="1:4" x14ac:dyDescent="0.35">
      <c r="A545" s="160"/>
      <c r="B545" s="160"/>
      <c r="C545" s="191"/>
      <c r="D545" s="160"/>
    </row>
    <row r="546" spans="1:4" x14ac:dyDescent="0.35">
      <c r="A546" s="160"/>
      <c r="B546" s="160"/>
      <c r="C546" s="191"/>
      <c r="D546" s="160"/>
    </row>
    <row r="547" spans="1:4" x14ac:dyDescent="0.35">
      <c r="A547" s="160"/>
      <c r="B547" s="160"/>
      <c r="C547" s="191"/>
      <c r="D547" s="160"/>
    </row>
    <row r="548" spans="1:4" x14ac:dyDescent="0.35">
      <c r="A548" s="160"/>
      <c r="B548" s="160"/>
      <c r="C548" s="191"/>
      <c r="D548" s="160"/>
    </row>
    <row r="549" spans="1:4" x14ac:dyDescent="0.35">
      <c r="A549" s="160"/>
      <c r="B549" s="160"/>
      <c r="C549" s="191"/>
      <c r="D549" s="160"/>
    </row>
    <row r="550" spans="1:4" x14ac:dyDescent="0.35">
      <c r="A550" s="160"/>
      <c r="B550" s="160"/>
      <c r="C550" s="191"/>
      <c r="D550" s="160"/>
    </row>
    <row r="551" spans="1:4" x14ac:dyDescent="0.35">
      <c r="A551" s="160"/>
      <c r="B551" s="160"/>
      <c r="C551" s="191"/>
      <c r="D551" s="160"/>
    </row>
    <row r="552" spans="1:4" x14ac:dyDescent="0.35">
      <c r="A552" s="160"/>
      <c r="B552" s="160"/>
      <c r="C552" s="191"/>
      <c r="D552" s="160"/>
    </row>
    <row r="553" spans="1:4" x14ac:dyDescent="0.35">
      <c r="A553" s="160"/>
      <c r="B553" s="160"/>
      <c r="C553" s="191"/>
      <c r="D553" s="160"/>
    </row>
    <row r="554" spans="1:4" x14ac:dyDescent="0.35">
      <c r="A554" s="160"/>
      <c r="B554" s="160"/>
      <c r="C554" s="191"/>
      <c r="D554" s="160"/>
    </row>
    <row r="555" spans="1:4" x14ac:dyDescent="0.35">
      <c r="A555" s="160"/>
      <c r="B555" s="160"/>
      <c r="C555" s="191"/>
      <c r="D555" s="160"/>
    </row>
    <row r="556" spans="1:4" x14ac:dyDescent="0.35">
      <c r="A556" s="160"/>
      <c r="B556" s="160"/>
      <c r="C556" s="191"/>
      <c r="D556" s="160"/>
    </row>
    <row r="557" spans="1:4" x14ac:dyDescent="0.35">
      <c r="A557" s="160"/>
      <c r="B557" s="160"/>
      <c r="C557" s="191"/>
      <c r="D557" s="160"/>
    </row>
    <row r="558" spans="1:4" x14ac:dyDescent="0.35">
      <c r="A558" s="160"/>
      <c r="B558" s="160"/>
      <c r="C558" s="191"/>
      <c r="D558" s="160"/>
    </row>
    <row r="559" spans="1:4" x14ac:dyDescent="0.35">
      <c r="A559" s="160"/>
      <c r="B559" s="160"/>
      <c r="C559" s="191"/>
      <c r="D559" s="160"/>
    </row>
    <row r="560" spans="1:4" x14ac:dyDescent="0.35">
      <c r="A560" s="160"/>
      <c r="B560" s="160"/>
      <c r="C560" s="191"/>
      <c r="D560" s="160"/>
    </row>
    <row r="561" spans="1:4" x14ac:dyDescent="0.35">
      <c r="A561" s="160"/>
      <c r="B561" s="160"/>
      <c r="C561" s="191"/>
      <c r="D561" s="160"/>
    </row>
    <row r="562" spans="1:4" x14ac:dyDescent="0.35">
      <c r="A562" s="160"/>
      <c r="B562" s="160"/>
      <c r="C562" s="191"/>
      <c r="D562" s="160"/>
    </row>
    <row r="563" spans="1:4" x14ac:dyDescent="0.35">
      <c r="A563" s="160"/>
      <c r="B563" s="160"/>
      <c r="C563" s="191"/>
      <c r="D563" s="160"/>
    </row>
    <row r="564" spans="1:4" x14ac:dyDescent="0.35">
      <c r="A564" s="160"/>
      <c r="B564" s="160"/>
      <c r="C564" s="191"/>
      <c r="D564" s="160"/>
    </row>
    <row r="565" spans="1:4" x14ac:dyDescent="0.35">
      <c r="A565" s="160"/>
      <c r="B565" s="160"/>
      <c r="C565" s="191"/>
      <c r="D565" s="160"/>
    </row>
    <row r="566" spans="1:4" x14ac:dyDescent="0.35">
      <c r="A566" s="160"/>
      <c r="B566" s="160"/>
      <c r="C566" s="191"/>
      <c r="D566" s="160"/>
    </row>
    <row r="567" spans="1:4" x14ac:dyDescent="0.35">
      <c r="A567" s="160"/>
      <c r="B567" s="160"/>
      <c r="C567" s="191"/>
      <c r="D567" s="160"/>
    </row>
    <row r="568" spans="1:4" x14ac:dyDescent="0.35">
      <c r="A568" s="160"/>
      <c r="B568" s="160"/>
      <c r="C568" s="191"/>
      <c r="D568" s="160"/>
    </row>
    <row r="569" spans="1:4" x14ac:dyDescent="0.35">
      <c r="A569" s="160"/>
      <c r="B569" s="160"/>
      <c r="C569" s="191"/>
      <c r="D569" s="160"/>
    </row>
    <row r="570" spans="1:4" x14ac:dyDescent="0.35">
      <c r="A570" s="160"/>
      <c r="B570" s="160"/>
      <c r="C570" s="191"/>
      <c r="D570" s="160"/>
    </row>
    <row r="571" spans="1:4" x14ac:dyDescent="0.35">
      <c r="A571" s="160"/>
      <c r="B571" s="160"/>
      <c r="C571" s="191"/>
      <c r="D571" s="160"/>
    </row>
    <row r="572" spans="1:4" x14ac:dyDescent="0.35">
      <c r="A572" s="160"/>
      <c r="B572" s="160"/>
      <c r="C572" s="191"/>
      <c r="D572" s="160"/>
    </row>
    <row r="573" spans="1:4" x14ac:dyDescent="0.35">
      <c r="A573" s="160"/>
      <c r="B573" s="160"/>
      <c r="C573" s="191"/>
      <c r="D573" s="160"/>
    </row>
    <row r="574" spans="1:4" x14ac:dyDescent="0.35">
      <c r="A574" s="160"/>
      <c r="B574" s="160"/>
      <c r="C574" s="191"/>
      <c r="D574" s="160"/>
    </row>
    <row r="575" spans="1:4" x14ac:dyDescent="0.35">
      <c r="A575" s="160"/>
      <c r="B575" s="160"/>
      <c r="C575" s="191"/>
      <c r="D575" s="160"/>
    </row>
    <row r="576" spans="1:4" x14ac:dyDescent="0.35">
      <c r="A576" s="160"/>
      <c r="B576" s="160"/>
      <c r="C576" s="191"/>
      <c r="D576" s="160"/>
    </row>
    <row r="577" spans="1:4" x14ac:dyDescent="0.35">
      <c r="A577" s="160"/>
      <c r="B577" s="160"/>
      <c r="C577" s="191"/>
      <c r="D577" s="160"/>
    </row>
    <row r="578" spans="1:4" x14ac:dyDescent="0.35">
      <c r="A578" s="160"/>
      <c r="B578" s="160"/>
      <c r="C578" s="191"/>
      <c r="D578" s="160"/>
    </row>
    <row r="579" spans="1:4" x14ac:dyDescent="0.35">
      <c r="A579" s="160"/>
      <c r="B579" s="160"/>
      <c r="C579" s="191"/>
      <c r="D579" s="160"/>
    </row>
    <row r="580" spans="1:4" x14ac:dyDescent="0.35">
      <c r="A580" s="160"/>
      <c r="B580" s="160"/>
      <c r="C580" s="191"/>
      <c r="D580" s="160"/>
    </row>
    <row r="581" spans="1:4" x14ac:dyDescent="0.35">
      <c r="A581" s="160"/>
      <c r="B581" s="160"/>
      <c r="C581" s="191"/>
      <c r="D581" s="160"/>
    </row>
    <row r="582" spans="1:4" x14ac:dyDescent="0.35">
      <c r="A582" s="160"/>
      <c r="B582" s="160"/>
      <c r="C582" s="191"/>
      <c r="D582" s="160"/>
    </row>
    <row r="583" spans="1:4" x14ac:dyDescent="0.35">
      <c r="A583" s="160"/>
      <c r="B583" s="160"/>
      <c r="C583" s="191"/>
      <c r="D583" s="160"/>
    </row>
    <row r="584" spans="1:4" x14ac:dyDescent="0.35">
      <c r="A584" s="160"/>
      <c r="B584" s="160"/>
      <c r="C584" s="191"/>
      <c r="D584" s="160"/>
    </row>
    <row r="585" spans="1:4" x14ac:dyDescent="0.35">
      <c r="A585" s="160"/>
      <c r="B585" s="160"/>
      <c r="C585" s="191"/>
      <c r="D585" s="160"/>
    </row>
    <row r="586" spans="1:4" x14ac:dyDescent="0.35">
      <c r="A586" s="160"/>
      <c r="B586" s="160"/>
      <c r="C586" s="191"/>
      <c r="D586" s="160"/>
    </row>
    <row r="587" spans="1:4" x14ac:dyDescent="0.35">
      <c r="A587" s="160"/>
      <c r="B587" s="160"/>
      <c r="C587" s="191"/>
      <c r="D587" s="160"/>
    </row>
    <row r="588" spans="1:4" x14ac:dyDescent="0.35">
      <c r="A588" s="160"/>
      <c r="B588" s="160"/>
      <c r="C588" s="191"/>
      <c r="D588" s="160"/>
    </row>
    <row r="589" spans="1:4" x14ac:dyDescent="0.35">
      <c r="A589" s="160"/>
      <c r="B589" s="160"/>
      <c r="C589" s="191"/>
      <c r="D589" s="160"/>
    </row>
    <row r="590" spans="1:4" x14ac:dyDescent="0.35">
      <c r="A590" s="160"/>
      <c r="B590" s="160"/>
      <c r="C590" s="191"/>
      <c r="D590" s="160"/>
    </row>
    <row r="591" spans="1:4" x14ac:dyDescent="0.35">
      <c r="A591" s="160"/>
      <c r="B591" s="160"/>
      <c r="C591" s="191"/>
      <c r="D591" s="160"/>
    </row>
    <row r="592" spans="1:4" x14ac:dyDescent="0.35">
      <c r="A592" s="160"/>
      <c r="B592" s="160"/>
      <c r="C592" s="191"/>
      <c r="D592" s="160"/>
    </row>
    <row r="593" spans="1:4" x14ac:dyDescent="0.35">
      <c r="A593" s="160"/>
      <c r="B593" s="160"/>
      <c r="C593" s="191"/>
      <c r="D593" s="160"/>
    </row>
    <row r="594" spans="1:4" x14ac:dyDescent="0.35">
      <c r="A594" s="160"/>
      <c r="B594" s="160"/>
      <c r="C594" s="191"/>
      <c r="D594" s="160"/>
    </row>
    <row r="595" spans="1:4" x14ac:dyDescent="0.35">
      <c r="A595" s="160"/>
      <c r="B595" s="160"/>
      <c r="C595" s="191"/>
      <c r="D595" s="160"/>
    </row>
    <row r="596" spans="1:4" x14ac:dyDescent="0.35">
      <c r="A596" s="160"/>
      <c r="B596" s="160"/>
      <c r="C596" s="191"/>
      <c r="D596" s="160"/>
    </row>
    <row r="597" spans="1:4" x14ac:dyDescent="0.35">
      <c r="A597" s="160"/>
      <c r="B597" s="160"/>
      <c r="C597" s="191"/>
      <c r="D597" s="160"/>
    </row>
    <row r="598" spans="1:4" x14ac:dyDescent="0.35">
      <c r="A598" s="160"/>
      <c r="B598" s="160"/>
      <c r="C598" s="191"/>
      <c r="D598" s="160"/>
    </row>
    <row r="599" spans="1:4" x14ac:dyDescent="0.35">
      <c r="A599" s="160"/>
      <c r="B599" s="160"/>
      <c r="C599" s="191"/>
      <c r="D599" s="160"/>
    </row>
    <row r="600" spans="1:4" x14ac:dyDescent="0.35">
      <c r="A600" s="160"/>
      <c r="B600" s="160"/>
      <c r="C600" s="191"/>
      <c r="D600" s="160"/>
    </row>
    <row r="601" spans="1:4" x14ac:dyDescent="0.35">
      <c r="A601" s="160"/>
      <c r="B601" s="160"/>
      <c r="C601" s="191"/>
      <c r="D601" s="160"/>
    </row>
    <row r="602" spans="1:4" x14ac:dyDescent="0.35">
      <c r="A602" s="160"/>
      <c r="B602" s="160"/>
      <c r="C602" s="191"/>
      <c r="D602" s="160"/>
    </row>
    <row r="603" spans="1:4" x14ac:dyDescent="0.35">
      <c r="A603" s="160"/>
      <c r="B603" s="160"/>
      <c r="C603" s="191"/>
      <c r="D603" s="160"/>
    </row>
    <row r="604" spans="1:4" x14ac:dyDescent="0.35">
      <c r="A604" s="160"/>
      <c r="B604" s="160"/>
      <c r="C604" s="191"/>
      <c r="D604" s="160"/>
    </row>
    <row r="605" spans="1:4" x14ac:dyDescent="0.35">
      <c r="A605" s="160"/>
      <c r="B605" s="160"/>
      <c r="C605" s="191"/>
      <c r="D605" s="160"/>
    </row>
    <row r="606" spans="1:4" x14ac:dyDescent="0.35">
      <c r="A606" s="160"/>
      <c r="B606" s="160"/>
      <c r="C606" s="191"/>
      <c r="D606" s="160"/>
    </row>
    <row r="607" spans="1:4" x14ac:dyDescent="0.35">
      <c r="A607" s="160"/>
      <c r="B607" s="160"/>
      <c r="C607" s="191"/>
      <c r="D607" s="160"/>
    </row>
    <row r="608" spans="1:4" x14ac:dyDescent="0.35">
      <c r="A608" s="160"/>
      <c r="B608" s="160"/>
      <c r="C608" s="191"/>
      <c r="D608" s="160"/>
    </row>
    <row r="609" spans="1:4" x14ac:dyDescent="0.35">
      <c r="A609" s="160"/>
      <c r="B609" s="160"/>
      <c r="C609" s="191"/>
      <c r="D609" s="160"/>
    </row>
    <row r="610" spans="1:4" x14ac:dyDescent="0.35">
      <c r="A610" s="160"/>
      <c r="B610" s="160"/>
      <c r="C610" s="191"/>
      <c r="D610" s="160"/>
    </row>
    <row r="611" spans="1:4" x14ac:dyDescent="0.35">
      <c r="A611" s="160"/>
      <c r="B611" s="160"/>
      <c r="C611" s="191"/>
      <c r="D611" s="160"/>
    </row>
    <row r="612" spans="1:4" x14ac:dyDescent="0.35">
      <c r="A612" s="160"/>
      <c r="B612" s="160"/>
      <c r="C612" s="191"/>
      <c r="D612" s="160"/>
    </row>
    <row r="613" spans="1:4" x14ac:dyDescent="0.35">
      <c r="A613" s="160"/>
      <c r="B613" s="160"/>
      <c r="C613" s="191"/>
      <c r="D613" s="160"/>
    </row>
    <row r="614" spans="1:4" x14ac:dyDescent="0.35">
      <c r="A614" s="160"/>
      <c r="B614" s="160"/>
      <c r="C614" s="191"/>
      <c r="D614" s="160"/>
    </row>
    <row r="615" spans="1:4" x14ac:dyDescent="0.35">
      <c r="A615" s="160"/>
      <c r="B615" s="160"/>
      <c r="C615" s="191"/>
      <c r="D615" s="160"/>
    </row>
    <row r="616" spans="1:4" x14ac:dyDescent="0.35">
      <c r="A616" s="160"/>
      <c r="B616" s="160"/>
      <c r="C616" s="191"/>
      <c r="D616" s="160"/>
    </row>
    <row r="617" spans="1:4" x14ac:dyDescent="0.35">
      <c r="A617" s="160"/>
      <c r="B617" s="160"/>
      <c r="C617" s="191"/>
      <c r="D617" s="160"/>
    </row>
    <row r="618" spans="1:4" x14ac:dyDescent="0.35">
      <c r="A618" s="160"/>
      <c r="B618" s="160"/>
      <c r="C618" s="191"/>
      <c r="D618" s="160"/>
    </row>
    <row r="619" spans="1:4" x14ac:dyDescent="0.35">
      <c r="A619" s="160"/>
      <c r="B619" s="160"/>
      <c r="C619" s="191"/>
      <c r="D619" s="160"/>
    </row>
    <row r="620" spans="1:4" x14ac:dyDescent="0.35">
      <c r="A620" s="160"/>
      <c r="B620" s="160"/>
      <c r="C620" s="191"/>
      <c r="D620" s="160"/>
    </row>
    <row r="621" spans="1:4" x14ac:dyDescent="0.35">
      <c r="A621" s="160"/>
      <c r="B621" s="160"/>
      <c r="C621" s="191"/>
      <c r="D621" s="160"/>
    </row>
    <row r="622" spans="1:4" x14ac:dyDescent="0.35">
      <c r="A622" s="160"/>
      <c r="B622" s="160"/>
      <c r="C622" s="191"/>
      <c r="D622" s="160"/>
    </row>
    <row r="623" spans="1:4" x14ac:dyDescent="0.35">
      <c r="A623" s="160"/>
      <c r="B623" s="160"/>
      <c r="C623" s="191"/>
      <c r="D623" s="160"/>
    </row>
    <row r="624" spans="1:4" x14ac:dyDescent="0.35">
      <c r="A624" s="160"/>
      <c r="B624" s="160"/>
      <c r="C624" s="191"/>
      <c r="D624" s="160"/>
    </row>
    <row r="625" spans="1:4" x14ac:dyDescent="0.35">
      <c r="A625" s="160"/>
      <c r="B625" s="160"/>
      <c r="C625" s="191"/>
      <c r="D625" s="160"/>
    </row>
    <row r="626" spans="1:4" x14ac:dyDescent="0.35">
      <c r="A626" s="160"/>
      <c r="B626" s="160"/>
      <c r="C626" s="191"/>
      <c r="D626" s="160"/>
    </row>
    <row r="627" spans="1:4" x14ac:dyDescent="0.35">
      <c r="A627" s="160"/>
      <c r="B627" s="160"/>
      <c r="C627" s="191"/>
      <c r="D627" s="160"/>
    </row>
    <row r="628" spans="1:4" x14ac:dyDescent="0.35">
      <c r="A628" s="160"/>
      <c r="B628" s="160"/>
      <c r="C628" s="191"/>
      <c r="D628" s="160"/>
    </row>
    <row r="629" spans="1:4" x14ac:dyDescent="0.35">
      <c r="A629" s="160"/>
      <c r="B629" s="160"/>
      <c r="C629" s="191"/>
      <c r="D629" s="160"/>
    </row>
    <row r="630" spans="1:4" x14ac:dyDescent="0.35">
      <c r="A630" s="160"/>
      <c r="B630" s="160"/>
      <c r="C630" s="191"/>
      <c r="D630" s="160"/>
    </row>
    <row r="631" spans="1:4" x14ac:dyDescent="0.35">
      <c r="A631" s="160"/>
      <c r="B631" s="160"/>
      <c r="C631" s="191"/>
      <c r="D631" s="160"/>
    </row>
    <row r="632" spans="1:4" x14ac:dyDescent="0.35">
      <c r="A632" s="160"/>
      <c r="B632" s="160"/>
      <c r="C632" s="191"/>
      <c r="D632" s="160"/>
    </row>
    <row r="633" spans="1:4" x14ac:dyDescent="0.35">
      <c r="A633" s="160"/>
      <c r="B633" s="160"/>
      <c r="C633" s="191"/>
      <c r="D633" s="160"/>
    </row>
    <row r="634" spans="1:4" x14ac:dyDescent="0.35">
      <c r="A634" s="160"/>
      <c r="B634" s="160"/>
      <c r="C634" s="191"/>
      <c r="D634" s="160"/>
    </row>
    <row r="635" spans="1:4" x14ac:dyDescent="0.35">
      <c r="A635" s="160"/>
      <c r="B635" s="160"/>
      <c r="C635" s="191"/>
      <c r="D635" s="160"/>
    </row>
    <row r="636" spans="1:4" x14ac:dyDescent="0.35">
      <c r="A636" s="160"/>
      <c r="B636" s="160"/>
      <c r="C636" s="191"/>
      <c r="D636" s="160"/>
    </row>
    <row r="637" spans="1:4" x14ac:dyDescent="0.35">
      <c r="A637" s="160"/>
      <c r="B637" s="160"/>
      <c r="C637" s="191"/>
      <c r="D637" s="160"/>
    </row>
    <row r="638" spans="1:4" x14ac:dyDescent="0.35">
      <c r="A638" s="160"/>
      <c r="B638" s="160"/>
      <c r="C638" s="191"/>
      <c r="D638" s="160"/>
    </row>
    <row r="639" spans="1:4" x14ac:dyDescent="0.35">
      <c r="A639" s="160"/>
      <c r="B639" s="160"/>
      <c r="C639" s="191"/>
      <c r="D639" s="160"/>
    </row>
    <row r="640" spans="1:4" x14ac:dyDescent="0.35">
      <c r="A640" s="160"/>
      <c r="B640" s="160"/>
      <c r="C640" s="191"/>
      <c r="D640" s="160"/>
    </row>
    <row r="641" spans="1:4" x14ac:dyDescent="0.35">
      <c r="A641" s="160"/>
      <c r="B641" s="160"/>
      <c r="C641" s="191"/>
      <c r="D641" s="160"/>
    </row>
    <row r="642" spans="1:4" x14ac:dyDescent="0.35">
      <c r="A642" s="160"/>
      <c r="B642" s="160"/>
      <c r="C642" s="191"/>
      <c r="D642" s="160"/>
    </row>
    <row r="643" spans="1:4" x14ac:dyDescent="0.35">
      <c r="A643" s="160"/>
      <c r="B643" s="160"/>
      <c r="C643" s="191"/>
      <c r="D643" s="160"/>
    </row>
    <row r="644" spans="1:4" x14ac:dyDescent="0.35">
      <c r="A644" s="160"/>
      <c r="B644" s="160"/>
      <c r="C644" s="191"/>
      <c r="D644" s="160"/>
    </row>
    <row r="645" spans="1:4" x14ac:dyDescent="0.35">
      <c r="A645" s="160"/>
      <c r="B645" s="160"/>
      <c r="C645" s="191"/>
      <c r="D645" s="160"/>
    </row>
    <row r="646" spans="1:4" x14ac:dyDescent="0.35">
      <c r="A646" s="160"/>
      <c r="B646" s="160"/>
      <c r="C646" s="191"/>
      <c r="D646" s="160"/>
    </row>
    <row r="647" spans="1:4" x14ac:dyDescent="0.35">
      <c r="A647" s="160"/>
      <c r="B647" s="160"/>
      <c r="C647" s="191"/>
      <c r="D647" s="160"/>
    </row>
    <row r="648" spans="1:4" x14ac:dyDescent="0.35">
      <c r="A648" s="160"/>
      <c r="B648" s="160"/>
      <c r="C648" s="191"/>
      <c r="D648" s="160"/>
    </row>
    <row r="649" spans="1:4" x14ac:dyDescent="0.35">
      <c r="A649" s="160"/>
      <c r="B649" s="160"/>
      <c r="C649" s="191"/>
      <c r="D649" s="160"/>
    </row>
    <row r="650" spans="1:4" x14ac:dyDescent="0.35">
      <c r="A650" s="160"/>
      <c r="B650" s="160"/>
      <c r="C650" s="191"/>
      <c r="D650" s="160"/>
    </row>
    <row r="651" spans="1:4" x14ac:dyDescent="0.35">
      <c r="A651" s="160"/>
      <c r="B651" s="160"/>
      <c r="C651" s="191"/>
      <c r="D651" s="160"/>
    </row>
    <row r="652" spans="1:4" x14ac:dyDescent="0.35">
      <c r="A652" s="160"/>
      <c r="B652" s="160"/>
      <c r="C652" s="191"/>
      <c r="D652" s="160"/>
    </row>
    <row r="653" spans="1:4" x14ac:dyDescent="0.35">
      <c r="A653" s="160"/>
      <c r="B653" s="160"/>
      <c r="C653" s="191"/>
      <c r="D653" s="160"/>
    </row>
    <row r="654" spans="1:4" x14ac:dyDescent="0.35">
      <c r="A654" s="160"/>
      <c r="B654" s="160"/>
      <c r="C654" s="191"/>
      <c r="D654" s="160"/>
    </row>
    <row r="655" spans="1:4" x14ac:dyDescent="0.35">
      <c r="A655" s="160"/>
      <c r="B655" s="160"/>
      <c r="C655" s="191"/>
      <c r="D655" s="160"/>
    </row>
    <row r="656" spans="1:4" x14ac:dyDescent="0.35">
      <c r="A656" s="160"/>
      <c r="B656" s="160"/>
      <c r="C656" s="191"/>
      <c r="D656" s="160"/>
    </row>
    <row r="657" spans="1:4" x14ac:dyDescent="0.35">
      <c r="A657" s="160"/>
      <c r="B657" s="160"/>
      <c r="C657" s="191"/>
      <c r="D657" s="160"/>
    </row>
    <row r="658" spans="1:4" x14ac:dyDescent="0.35">
      <c r="A658" s="160"/>
      <c r="B658" s="160"/>
      <c r="C658" s="191"/>
      <c r="D658" s="160"/>
    </row>
    <row r="659" spans="1:4" x14ac:dyDescent="0.35">
      <c r="A659" s="160"/>
      <c r="B659" s="160"/>
      <c r="C659" s="191"/>
      <c r="D659" s="160"/>
    </row>
    <row r="660" spans="1:4" x14ac:dyDescent="0.35">
      <c r="A660" s="160"/>
      <c r="B660" s="160"/>
      <c r="C660" s="191"/>
      <c r="D660" s="160"/>
    </row>
    <row r="661" spans="1:4" x14ac:dyDescent="0.35">
      <c r="A661" s="160"/>
      <c r="B661" s="160"/>
      <c r="C661" s="191"/>
      <c r="D661" s="160"/>
    </row>
    <row r="662" spans="1:4" x14ac:dyDescent="0.35">
      <c r="A662" s="160"/>
      <c r="B662" s="160"/>
      <c r="C662" s="191"/>
      <c r="D662" s="160"/>
    </row>
    <row r="663" spans="1:4" x14ac:dyDescent="0.35">
      <c r="A663" s="160"/>
      <c r="B663" s="160"/>
      <c r="C663" s="191"/>
      <c r="D663" s="160"/>
    </row>
    <row r="664" spans="1:4" x14ac:dyDescent="0.35">
      <c r="A664" s="160"/>
      <c r="B664" s="160"/>
      <c r="C664" s="191"/>
      <c r="D664" s="160"/>
    </row>
    <row r="665" spans="1:4" x14ac:dyDescent="0.35">
      <c r="A665" s="160"/>
      <c r="B665" s="160"/>
      <c r="C665" s="191"/>
      <c r="D665" s="160"/>
    </row>
    <row r="666" spans="1:4" x14ac:dyDescent="0.35">
      <c r="A666" s="160"/>
      <c r="B666" s="160"/>
      <c r="C666" s="191"/>
      <c r="D666" s="160"/>
    </row>
    <row r="667" spans="1:4" x14ac:dyDescent="0.35">
      <c r="A667" s="160"/>
      <c r="B667" s="160"/>
      <c r="C667" s="191"/>
      <c r="D667" s="160"/>
    </row>
    <row r="668" spans="1:4" x14ac:dyDescent="0.35">
      <c r="A668" s="160"/>
      <c r="B668" s="160"/>
      <c r="C668" s="191"/>
      <c r="D668" s="160"/>
    </row>
    <row r="669" spans="1:4" x14ac:dyDescent="0.35">
      <c r="A669" s="160"/>
      <c r="B669" s="160"/>
      <c r="C669" s="191"/>
      <c r="D669" s="160"/>
    </row>
    <row r="670" spans="1:4" x14ac:dyDescent="0.35">
      <c r="A670" s="160"/>
      <c r="B670" s="160"/>
      <c r="C670" s="191"/>
      <c r="D670" s="160"/>
    </row>
    <row r="671" spans="1:4" x14ac:dyDescent="0.35">
      <c r="A671" s="160"/>
      <c r="B671" s="160"/>
      <c r="C671" s="191"/>
      <c r="D671" s="160"/>
    </row>
    <row r="672" spans="1:4" x14ac:dyDescent="0.35">
      <c r="A672" s="160"/>
      <c r="B672" s="160"/>
      <c r="C672" s="191"/>
      <c r="D672" s="160"/>
    </row>
    <row r="673" spans="1:4" x14ac:dyDescent="0.35">
      <c r="A673" s="160"/>
      <c r="B673" s="160"/>
      <c r="C673" s="191"/>
      <c r="D673" s="160"/>
    </row>
    <row r="674" spans="1:4" x14ac:dyDescent="0.35">
      <c r="A674" s="160"/>
      <c r="B674" s="160"/>
      <c r="C674" s="191"/>
      <c r="D674" s="160"/>
    </row>
    <row r="675" spans="1:4" x14ac:dyDescent="0.35">
      <c r="A675" s="160"/>
      <c r="B675" s="160"/>
      <c r="C675" s="191"/>
      <c r="D675" s="160"/>
    </row>
    <row r="676" spans="1:4" x14ac:dyDescent="0.35">
      <c r="A676" s="160"/>
      <c r="B676" s="160"/>
      <c r="C676" s="191"/>
      <c r="D676" s="160"/>
    </row>
    <row r="677" spans="1:4" x14ac:dyDescent="0.35">
      <c r="A677" s="160"/>
      <c r="B677" s="160"/>
      <c r="C677" s="191"/>
      <c r="D677" s="160"/>
    </row>
    <row r="678" spans="1:4" x14ac:dyDescent="0.35">
      <c r="A678" s="160"/>
      <c r="B678" s="160"/>
      <c r="C678" s="191"/>
      <c r="D678" s="160"/>
    </row>
    <row r="679" spans="1:4" x14ac:dyDescent="0.35">
      <c r="A679" s="160"/>
      <c r="B679" s="160"/>
      <c r="C679" s="191"/>
      <c r="D679" s="160"/>
    </row>
    <row r="680" spans="1:4" x14ac:dyDescent="0.35">
      <c r="A680" s="160"/>
      <c r="B680" s="160"/>
      <c r="C680" s="191"/>
      <c r="D680" s="160"/>
    </row>
    <row r="681" spans="1:4" x14ac:dyDescent="0.35">
      <c r="A681" s="160"/>
      <c r="B681" s="160"/>
      <c r="C681" s="191"/>
      <c r="D681" s="160"/>
    </row>
    <row r="682" spans="1:4" x14ac:dyDescent="0.35">
      <c r="A682" s="160"/>
      <c r="B682" s="160"/>
      <c r="C682" s="191"/>
      <c r="D682" s="160"/>
    </row>
    <row r="683" spans="1:4" x14ac:dyDescent="0.35">
      <c r="A683" s="160"/>
      <c r="B683" s="160"/>
      <c r="C683" s="191"/>
      <c r="D683" s="160"/>
    </row>
    <row r="684" spans="1:4" x14ac:dyDescent="0.35">
      <c r="A684" s="160"/>
      <c r="B684" s="160"/>
      <c r="C684" s="191"/>
      <c r="D684" s="160"/>
    </row>
    <row r="685" spans="1:4" x14ac:dyDescent="0.35">
      <c r="A685" s="160"/>
      <c r="B685" s="160"/>
      <c r="C685" s="191"/>
      <c r="D685" s="160"/>
    </row>
    <row r="686" spans="1:4" x14ac:dyDescent="0.35">
      <c r="A686" s="160"/>
      <c r="B686" s="160"/>
      <c r="C686" s="191"/>
      <c r="D686" s="160"/>
    </row>
    <row r="687" spans="1:4" x14ac:dyDescent="0.35">
      <c r="A687" s="160"/>
      <c r="B687" s="160"/>
      <c r="C687" s="191"/>
      <c r="D687" s="160"/>
    </row>
    <row r="688" spans="1:4" x14ac:dyDescent="0.35">
      <c r="A688" s="160"/>
      <c r="B688" s="160"/>
      <c r="C688" s="191"/>
      <c r="D688" s="160"/>
    </row>
    <row r="689" spans="1:4" x14ac:dyDescent="0.35">
      <c r="A689" s="160"/>
      <c r="B689" s="160"/>
      <c r="C689" s="191"/>
      <c r="D689" s="160"/>
    </row>
    <row r="690" spans="1:4" x14ac:dyDescent="0.35">
      <c r="A690" s="160"/>
      <c r="B690" s="160"/>
      <c r="C690" s="191"/>
      <c r="D690" s="160"/>
    </row>
    <row r="691" spans="1:4" x14ac:dyDescent="0.35">
      <c r="A691" s="160"/>
      <c r="B691" s="160"/>
      <c r="C691" s="191"/>
      <c r="D691" s="160"/>
    </row>
    <row r="692" spans="1:4" x14ac:dyDescent="0.35">
      <c r="A692" s="160"/>
      <c r="B692" s="160"/>
      <c r="C692" s="191"/>
      <c r="D692" s="160"/>
    </row>
    <row r="693" spans="1:4" x14ac:dyDescent="0.35">
      <c r="A693" s="160"/>
      <c r="B693" s="160"/>
      <c r="C693" s="191"/>
      <c r="D693" s="160"/>
    </row>
    <row r="694" spans="1:4" x14ac:dyDescent="0.35">
      <c r="A694" s="160"/>
      <c r="B694" s="160"/>
      <c r="C694" s="191"/>
      <c r="D694" s="160"/>
    </row>
    <row r="695" spans="1:4" x14ac:dyDescent="0.35">
      <c r="A695" s="160"/>
      <c r="B695" s="160"/>
      <c r="C695" s="191"/>
      <c r="D695" s="160"/>
    </row>
    <row r="696" spans="1:4" x14ac:dyDescent="0.35">
      <c r="A696" s="160"/>
      <c r="B696" s="160"/>
      <c r="C696" s="191"/>
      <c r="D696" s="160"/>
    </row>
    <row r="697" spans="1:4" x14ac:dyDescent="0.35">
      <c r="A697" s="160"/>
      <c r="B697" s="160"/>
      <c r="C697" s="191"/>
      <c r="D697" s="160"/>
    </row>
    <row r="698" spans="1:4" x14ac:dyDescent="0.35">
      <c r="A698" s="160"/>
      <c r="B698" s="160"/>
      <c r="C698" s="191"/>
      <c r="D698" s="160"/>
    </row>
    <row r="699" spans="1:4" x14ac:dyDescent="0.35">
      <c r="A699" s="160"/>
      <c r="B699" s="160"/>
      <c r="C699" s="191"/>
      <c r="D699" s="160"/>
    </row>
    <row r="700" spans="1:4" x14ac:dyDescent="0.35">
      <c r="A700" s="160"/>
      <c r="B700" s="160"/>
      <c r="C700" s="191"/>
      <c r="D700" s="160"/>
    </row>
    <row r="701" spans="1:4" x14ac:dyDescent="0.35">
      <c r="A701" s="160"/>
      <c r="B701" s="160"/>
      <c r="C701" s="191"/>
      <c r="D701" s="160"/>
    </row>
    <row r="702" spans="1:4" x14ac:dyDescent="0.35">
      <c r="A702" s="160"/>
      <c r="B702" s="160"/>
      <c r="C702" s="191"/>
      <c r="D702" s="160"/>
    </row>
    <row r="703" spans="1:4" x14ac:dyDescent="0.35">
      <c r="A703" s="160"/>
      <c r="B703" s="160"/>
      <c r="C703" s="191"/>
      <c r="D703" s="160"/>
    </row>
    <row r="704" spans="1:4" x14ac:dyDescent="0.35">
      <c r="A704" s="160"/>
      <c r="B704" s="160"/>
      <c r="C704" s="191"/>
      <c r="D704" s="160"/>
    </row>
    <row r="705" spans="1:4" x14ac:dyDescent="0.35">
      <c r="A705" s="160"/>
      <c r="B705" s="160"/>
      <c r="C705" s="191"/>
      <c r="D705" s="160"/>
    </row>
    <row r="706" spans="1:4" x14ac:dyDescent="0.35">
      <c r="A706" s="160"/>
      <c r="B706" s="160"/>
      <c r="C706" s="191"/>
      <c r="D706" s="160"/>
    </row>
    <row r="707" spans="1:4" x14ac:dyDescent="0.35">
      <c r="A707" s="160"/>
      <c r="B707" s="160"/>
      <c r="C707" s="191"/>
      <c r="D707" s="160"/>
    </row>
    <row r="708" spans="1:4" x14ac:dyDescent="0.35">
      <c r="A708" s="160"/>
      <c r="B708" s="160"/>
      <c r="C708" s="191"/>
      <c r="D708" s="160"/>
    </row>
    <row r="709" spans="1:4" x14ac:dyDescent="0.35">
      <c r="A709" s="160"/>
      <c r="B709" s="160"/>
      <c r="C709" s="191"/>
      <c r="D709" s="160"/>
    </row>
    <row r="710" spans="1:4" x14ac:dyDescent="0.35">
      <c r="A710" s="160"/>
      <c r="B710" s="160"/>
      <c r="C710" s="191"/>
      <c r="D710" s="160"/>
    </row>
    <row r="711" spans="1:4" x14ac:dyDescent="0.35">
      <c r="A711" s="160"/>
      <c r="B711" s="160"/>
      <c r="C711" s="191"/>
      <c r="D711" s="160"/>
    </row>
    <row r="712" spans="1:4" x14ac:dyDescent="0.35">
      <c r="A712" s="160"/>
      <c r="B712" s="160"/>
      <c r="C712" s="191"/>
      <c r="D712" s="160"/>
    </row>
    <row r="713" spans="1:4" x14ac:dyDescent="0.35">
      <c r="A713" s="160"/>
      <c r="B713" s="160"/>
      <c r="C713" s="191"/>
      <c r="D713" s="160"/>
    </row>
    <row r="714" spans="1:4" x14ac:dyDescent="0.35">
      <c r="A714" s="160"/>
      <c r="B714" s="160"/>
      <c r="C714" s="191"/>
      <c r="D714" s="160"/>
    </row>
    <row r="715" spans="1:4" x14ac:dyDescent="0.35">
      <c r="A715" s="160"/>
      <c r="B715" s="160"/>
      <c r="C715" s="191"/>
      <c r="D715" s="160"/>
    </row>
    <row r="716" spans="1:4" x14ac:dyDescent="0.35">
      <c r="A716" s="160"/>
      <c r="B716" s="160"/>
      <c r="C716" s="191"/>
      <c r="D716" s="160"/>
    </row>
    <row r="717" spans="1:4" x14ac:dyDescent="0.35">
      <c r="A717" s="160"/>
      <c r="B717" s="160"/>
      <c r="C717" s="191"/>
      <c r="D717" s="160"/>
    </row>
    <row r="718" spans="1:4" x14ac:dyDescent="0.35">
      <c r="A718" s="160"/>
      <c r="B718" s="160"/>
      <c r="C718" s="191"/>
      <c r="D718" s="160"/>
    </row>
    <row r="719" spans="1:4" x14ac:dyDescent="0.35">
      <c r="A719" s="160"/>
      <c r="B719" s="160"/>
      <c r="C719" s="191"/>
      <c r="D719" s="160"/>
    </row>
    <row r="720" spans="1:4" x14ac:dyDescent="0.35">
      <c r="A720" s="160"/>
      <c r="B720" s="160"/>
      <c r="C720" s="191"/>
      <c r="D720" s="160"/>
    </row>
    <row r="721" spans="1:4" x14ac:dyDescent="0.35">
      <c r="A721" s="160"/>
      <c r="B721" s="160"/>
      <c r="C721" s="191"/>
      <c r="D721" s="160"/>
    </row>
    <row r="722" spans="1:4" x14ac:dyDescent="0.35">
      <c r="A722" s="160"/>
      <c r="B722" s="160"/>
      <c r="C722" s="191"/>
      <c r="D722" s="160"/>
    </row>
    <row r="723" spans="1:4" x14ac:dyDescent="0.35">
      <c r="A723" s="160"/>
      <c r="B723" s="160"/>
      <c r="C723" s="191"/>
      <c r="D723" s="160"/>
    </row>
    <row r="724" spans="1:4" x14ac:dyDescent="0.35">
      <c r="A724" s="160"/>
      <c r="B724" s="160"/>
      <c r="C724" s="191"/>
      <c r="D724" s="160"/>
    </row>
    <row r="725" spans="1:4" x14ac:dyDescent="0.35">
      <c r="A725" s="160"/>
      <c r="B725" s="160"/>
      <c r="C725" s="191"/>
      <c r="D725" s="160"/>
    </row>
    <row r="726" spans="1:4" x14ac:dyDescent="0.35">
      <c r="A726" s="160"/>
      <c r="B726" s="160"/>
      <c r="C726" s="191"/>
      <c r="D726" s="160"/>
    </row>
    <row r="727" spans="1:4" x14ac:dyDescent="0.35">
      <c r="A727" s="160"/>
      <c r="B727" s="160"/>
      <c r="C727" s="191"/>
      <c r="D727" s="160"/>
    </row>
    <row r="728" spans="1:4" x14ac:dyDescent="0.35">
      <c r="A728" s="160"/>
      <c r="B728" s="160"/>
      <c r="C728" s="191"/>
      <c r="D728" s="160"/>
    </row>
    <row r="729" spans="1:4" x14ac:dyDescent="0.35">
      <c r="A729" s="160"/>
      <c r="B729" s="160"/>
      <c r="C729" s="191"/>
      <c r="D729" s="160"/>
    </row>
    <row r="730" spans="1:4" x14ac:dyDescent="0.35">
      <c r="A730" s="160"/>
      <c r="B730" s="160"/>
      <c r="C730" s="191"/>
      <c r="D730" s="160"/>
    </row>
    <row r="731" spans="1:4" x14ac:dyDescent="0.35">
      <c r="A731" s="160"/>
      <c r="B731" s="160"/>
      <c r="C731" s="191"/>
      <c r="D731" s="160"/>
    </row>
    <row r="732" spans="1:4" x14ac:dyDescent="0.35">
      <c r="A732" s="160"/>
      <c r="B732" s="160"/>
      <c r="C732" s="191"/>
      <c r="D732" s="160"/>
    </row>
    <row r="733" spans="1:4" x14ac:dyDescent="0.35">
      <c r="A733" s="160"/>
      <c r="B733" s="160"/>
      <c r="C733" s="191"/>
      <c r="D733" s="160"/>
    </row>
    <row r="734" spans="1:4" x14ac:dyDescent="0.35">
      <c r="A734" s="160"/>
      <c r="B734" s="160"/>
      <c r="C734" s="191"/>
      <c r="D734" s="160"/>
    </row>
    <row r="735" spans="1:4" x14ac:dyDescent="0.35">
      <c r="A735" s="160"/>
      <c r="B735" s="160"/>
      <c r="C735" s="191"/>
      <c r="D735" s="160"/>
    </row>
    <row r="736" spans="1:4" x14ac:dyDescent="0.35">
      <c r="A736" s="160"/>
      <c r="B736" s="160"/>
      <c r="C736" s="191"/>
      <c r="D736" s="160"/>
    </row>
    <row r="737" spans="1:4" x14ac:dyDescent="0.35">
      <c r="A737" s="160"/>
      <c r="B737" s="160"/>
      <c r="C737" s="191"/>
      <c r="D737" s="160"/>
    </row>
    <row r="738" spans="1:4" x14ac:dyDescent="0.35">
      <c r="A738" s="160"/>
      <c r="B738" s="160"/>
      <c r="C738" s="191"/>
      <c r="D738" s="160"/>
    </row>
    <row r="739" spans="1:4" x14ac:dyDescent="0.35">
      <c r="A739" s="160"/>
      <c r="B739" s="160"/>
      <c r="C739" s="191"/>
      <c r="D739" s="160"/>
    </row>
    <row r="740" spans="1:4" x14ac:dyDescent="0.35">
      <c r="A740" s="160"/>
      <c r="B740" s="160"/>
      <c r="C740" s="191"/>
      <c r="D740" s="160"/>
    </row>
    <row r="741" spans="1:4" x14ac:dyDescent="0.35">
      <c r="A741" s="160"/>
      <c r="B741" s="160"/>
      <c r="C741" s="191"/>
      <c r="D741" s="160"/>
    </row>
    <row r="742" spans="1:4" x14ac:dyDescent="0.35">
      <c r="A742" s="160"/>
      <c r="B742" s="160"/>
      <c r="C742" s="191"/>
      <c r="D742" s="160"/>
    </row>
    <row r="743" spans="1:4" x14ac:dyDescent="0.35">
      <c r="A743" s="160"/>
      <c r="B743" s="160"/>
      <c r="C743" s="191"/>
      <c r="D743" s="160"/>
    </row>
    <row r="744" spans="1:4" x14ac:dyDescent="0.35">
      <c r="A744" s="160"/>
      <c r="B744" s="160"/>
      <c r="C744" s="191"/>
      <c r="D744" s="160"/>
    </row>
    <row r="745" spans="1:4" x14ac:dyDescent="0.35">
      <c r="A745" s="160"/>
      <c r="B745" s="160"/>
      <c r="C745" s="191"/>
      <c r="D745" s="160"/>
    </row>
    <row r="746" spans="1:4" x14ac:dyDescent="0.35">
      <c r="A746" s="160"/>
      <c r="B746" s="160"/>
      <c r="C746" s="191"/>
      <c r="D746" s="160"/>
    </row>
    <row r="747" spans="1:4" x14ac:dyDescent="0.35">
      <c r="A747" s="160"/>
      <c r="B747" s="160"/>
      <c r="C747" s="191"/>
      <c r="D747" s="160"/>
    </row>
    <row r="748" spans="1:4" x14ac:dyDescent="0.35">
      <c r="A748" s="160"/>
      <c r="B748" s="160"/>
      <c r="C748" s="191"/>
      <c r="D748" s="160"/>
    </row>
    <row r="749" spans="1:4" x14ac:dyDescent="0.35">
      <c r="A749" s="160"/>
      <c r="B749" s="160"/>
      <c r="C749" s="191"/>
      <c r="D749" s="160"/>
    </row>
    <row r="750" spans="1:4" x14ac:dyDescent="0.35">
      <c r="A750" s="160"/>
      <c r="B750" s="160"/>
      <c r="C750" s="191"/>
      <c r="D750" s="160"/>
    </row>
    <row r="751" spans="1:4" x14ac:dyDescent="0.35">
      <c r="A751" s="160"/>
      <c r="B751" s="160"/>
      <c r="C751" s="191"/>
      <c r="D751" s="160"/>
    </row>
    <row r="752" spans="1:4" x14ac:dyDescent="0.35">
      <c r="A752" s="160"/>
      <c r="B752" s="160"/>
      <c r="C752" s="191"/>
      <c r="D752" s="160"/>
    </row>
    <row r="753" spans="1:4" x14ac:dyDescent="0.35">
      <c r="A753" s="160"/>
      <c r="B753" s="160"/>
      <c r="C753" s="191"/>
      <c r="D753" s="160"/>
    </row>
    <row r="754" spans="1:4" x14ac:dyDescent="0.35">
      <c r="A754" s="160"/>
      <c r="B754" s="160"/>
      <c r="C754" s="191"/>
      <c r="D754" s="160"/>
    </row>
    <row r="755" spans="1:4" x14ac:dyDescent="0.35">
      <c r="A755" s="160"/>
      <c r="B755" s="160"/>
      <c r="C755" s="191"/>
      <c r="D755" s="160"/>
    </row>
    <row r="756" spans="1:4" x14ac:dyDescent="0.35">
      <c r="A756" s="160"/>
      <c r="B756" s="160"/>
      <c r="C756" s="191"/>
      <c r="D756" s="160"/>
    </row>
    <row r="757" spans="1:4" x14ac:dyDescent="0.35">
      <c r="A757" s="160"/>
      <c r="B757" s="160"/>
      <c r="C757" s="191"/>
      <c r="D757" s="160"/>
    </row>
    <row r="758" spans="1:4" x14ac:dyDescent="0.35">
      <c r="A758" s="160"/>
      <c r="B758" s="160"/>
      <c r="C758" s="191"/>
      <c r="D758" s="160"/>
    </row>
    <row r="759" spans="1:4" x14ac:dyDescent="0.35">
      <c r="A759" s="160"/>
      <c r="B759" s="160"/>
      <c r="C759" s="191"/>
      <c r="D759" s="160"/>
    </row>
    <row r="760" spans="1:4" x14ac:dyDescent="0.35">
      <c r="A760" s="160"/>
      <c r="B760" s="160"/>
      <c r="C760" s="191"/>
      <c r="D760" s="160"/>
    </row>
    <row r="761" spans="1:4" x14ac:dyDescent="0.35">
      <c r="A761" s="160"/>
      <c r="B761" s="160"/>
      <c r="C761" s="191"/>
      <c r="D761" s="160"/>
    </row>
    <row r="762" spans="1:4" x14ac:dyDescent="0.35">
      <c r="A762" s="160"/>
      <c r="B762" s="160"/>
      <c r="C762" s="191"/>
      <c r="D762" s="160"/>
    </row>
    <row r="763" spans="1:4" x14ac:dyDescent="0.35">
      <c r="A763" s="160"/>
      <c r="B763" s="160"/>
      <c r="C763" s="191"/>
      <c r="D763" s="160"/>
    </row>
    <row r="764" spans="1:4" x14ac:dyDescent="0.35">
      <c r="A764" s="160"/>
      <c r="B764" s="160"/>
      <c r="C764" s="191"/>
      <c r="D764" s="160"/>
    </row>
    <row r="765" spans="1:4" x14ac:dyDescent="0.35">
      <c r="A765" s="160"/>
      <c r="B765" s="160"/>
      <c r="C765" s="191"/>
      <c r="D765" s="160"/>
    </row>
    <row r="766" spans="1:4" x14ac:dyDescent="0.35">
      <c r="A766" s="160"/>
      <c r="B766" s="160"/>
      <c r="C766" s="191"/>
      <c r="D766" s="160"/>
    </row>
    <row r="767" spans="1:4" x14ac:dyDescent="0.35">
      <c r="A767" s="160"/>
      <c r="B767" s="160"/>
      <c r="C767" s="191"/>
      <c r="D767" s="160"/>
    </row>
    <row r="768" spans="1:4" x14ac:dyDescent="0.35">
      <c r="A768" s="160"/>
      <c r="B768" s="160"/>
      <c r="C768" s="191"/>
      <c r="D768" s="160"/>
    </row>
    <row r="769" spans="1:4" x14ac:dyDescent="0.35">
      <c r="A769" s="160"/>
      <c r="B769" s="160"/>
      <c r="C769" s="191"/>
      <c r="D769" s="160"/>
    </row>
    <row r="770" spans="1:4" x14ac:dyDescent="0.35">
      <c r="A770" s="160"/>
      <c r="B770" s="160"/>
      <c r="C770" s="191"/>
      <c r="D770" s="160"/>
    </row>
    <row r="771" spans="1:4" x14ac:dyDescent="0.35">
      <c r="A771" s="160"/>
      <c r="B771" s="160"/>
      <c r="C771" s="191"/>
      <c r="D771" s="160"/>
    </row>
    <row r="772" spans="1:4" x14ac:dyDescent="0.35">
      <c r="A772" s="160"/>
      <c r="B772" s="160"/>
      <c r="C772" s="191"/>
      <c r="D772" s="160"/>
    </row>
    <row r="773" spans="1:4" x14ac:dyDescent="0.35">
      <c r="A773" s="160"/>
      <c r="B773" s="160"/>
      <c r="C773" s="191"/>
      <c r="D773" s="160"/>
    </row>
    <row r="774" spans="1:4" x14ac:dyDescent="0.35">
      <c r="A774" s="160"/>
      <c r="B774" s="160"/>
      <c r="C774" s="191"/>
      <c r="D774" s="160"/>
    </row>
    <row r="775" spans="1:4" x14ac:dyDescent="0.35">
      <c r="A775" s="160"/>
      <c r="B775" s="160"/>
      <c r="C775" s="191"/>
      <c r="D775" s="160"/>
    </row>
    <row r="776" spans="1:4" x14ac:dyDescent="0.35">
      <c r="A776" s="160"/>
      <c r="B776" s="160"/>
      <c r="C776" s="191"/>
      <c r="D776" s="160"/>
    </row>
    <row r="777" spans="1:4" x14ac:dyDescent="0.35">
      <c r="A777" s="160"/>
      <c r="B777" s="160"/>
      <c r="C777" s="191"/>
      <c r="D777" s="160"/>
    </row>
    <row r="778" spans="1:4" x14ac:dyDescent="0.35">
      <c r="A778" s="160"/>
      <c r="B778" s="160"/>
      <c r="C778" s="191"/>
      <c r="D778" s="160"/>
    </row>
    <row r="779" spans="1:4" x14ac:dyDescent="0.35">
      <c r="A779" s="160"/>
      <c r="B779" s="160"/>
      <c r="C779" s="191"/>
      <c r="D779" s="160"/>
    </row>
    <row r="780" spans="1:4" x14ac:dyDescent="0.35">
      <c r="A780" s="160"/>
      <c r="B780" s="160"/>
      <c r="C780" s="191"/>
      <c r="D780" s="160"/>
    </row>
    <row r="781" spans="1:4" x14ac:dyDescent="0.35">
      <c r="A781" s="160"/>
      <c r="B781" s="160"/>
      <c r="C781" s="191"/>
      <c r="D781" s="160"/>
    </row>
    <row r="782" spans="1:4" x14ac:dyDescent="0.35">
      <c r="A782" s="160"/>
      <c r="B782" s="160"/>
      <c r="C782" s="191"/>
      <c r="D782" s="160"/>
    </row>
    <row r="783" spans="1:4" x14ac:dyDescent="0.35">
      <c r="A783" s="160"/>
      <c r="B783" s="160"/>
      <c r="C783" s="191"/>
      <c r="D783" s="160"/>
    </row>
    <row r="784" spans="1:4" x14ac:dyDescent="0.35">
      <c r="A784" s="160"/>
      <c r="B784" s="160"/>
      <c r="C784" s="191"/>
      <c r="D784" s="160"/>
    </row>
    <row r="785" spans="1:4" x14ac:dyDescent="0.35">
      <c r="A785" s="160"/>
      <c r="B785" s="160"/>
      <c r="C785" s="191"/>
      <c r="D785" s="160"/>
    </row>
    <row r="786" spans="1:4" x14ac:dyDescent="0.35">
      <c r="A786" s="160"/>
      <c r="B786" s="160"/>
      <c r="C786" s="191"/>
      <c r="D786" s="160"/>
    </row>
    <row r="787" spans="1:4" x14ac:dyDescent="0.35">
      <c r="A787" s="160"/>
      <c r="B787" s="160"/>
      <c r="C787" s="191"/>
      <c r="D787" s="160"/>
    </row>
    <row r="788" spans="1:4" x14ac:dyDescent="0.35">
      <c r="A788" s="160"/>
      <c r="B788" s="160"/>
      <c r="C788" s="191"/>
      <c r="D788" s="160"/>
    </row>
    <row r="789" spans="1:4" x14ac:dyDescent="0.35">
      <c r="A789" s="160"/>
      <c r="B789" s="160"/>
      <c r="C789" s="191"/>
      <c r="D789" s="160"/>
    </row>
    <row r="790" spans="1:4" x14ac:dyDescent="0.35">
      <c r="A790" s="160"/>
      <c r="B790" s="160"/>
      <c r="C790" s="191"/>
      <c r="D790" s="160"/>
    </row>
    <row r="791" spans="1:4" x14ac:dyDescent="0.35">
      <c r="A791" s="160"/>
      <c r="B791" s="160"/>
      <c r="C791" s="191"/>
      <c r="D791" s="160"/>
    </row>
    <row r="792" spans="1:4" x14ac:dyDescent="0.35">
      <c r="A792" s="160"/>
      <c r="B792" s="160"/>
      <c r="C792" s="191"/>
      <c r="D792" s="160"/>
    </row>
    <row r="793" spans="1:4" x14ac:dyDescent="0.35">
      <c r="A793" s="160"/>
      <c r="B793" s="160"/>
      <c r="C793" s="191"/>
      <c r="D793" s="160"/>
    </row>
    <row r="794" spans="1:4" x14ac:dyDescent="0.35">
      <c r="A794" s="160"/>
      <c r="B794" s="160"/>
      <c r="C794" s="191"/>
      <c r="D794" s="160"/>
    </row>
    <row r="795" spans="1:4" x14ac:dyDescent="0.35">
      <c r="A795" s="160"/>
      <c r="B795" s="160"/>
      <c r="C795" s="191"/>
      <c r="D795" s="160"/>
    </row>
    <row r="796" spans="1:4" x14ac:dyDescent="0.35">
      <c r="A796" s="160"/>
      <c r="B796" s="160"/>
      <c r="C796" s="191"/>
      <c r="D796" s="160"/>
    </row>
    <row r="797" spans="1:4" x14ac:dyDescent="0.35">
      <c r="A797" s="160"/>
      <c r="B797" s="160"/>
      <c r="C797" s="191"/>
      <c r="D797" s="160"/>
    </row>
    <row r="798" spans="1:4" x14ac:dyDescent="0.35">
      <c r="A798" s="160"/>
      <c r="B798" s="160"/>
      <c r="C798" s="191"/>
      <c r="D798" s="160"/>
    </row>
    <row r="799" spans="1:4" x14ac:dyDescent="0.35">
      <c r="A799" s="160"/>
      <c r="B799" s="160"/>
      <c r="C799" s="191"/>
      <c r="D799" s="160"/>
    </row>
    <row r="800" spans="1:4" x14ac:dyDescent="0.35">
      <c r="A800" s="160"/>
      <c r="B800" s="160"/>
      <c r="C800" s="191"/>
      <c r="D800" s="160"/>
    </row>
    <row r="801" spans="1:4" x14ac:dyDescent="0.35">
      <c r="A801" s="160"/>
      <c r="B801" s="160"/>
      <c r="C801" s="191"/>
      <c r="D801" s="160"/>
    </row>
    <row r="802" spans="1:4" x14ac:dyDescent="0.35">
      <c r="A802" s="160"/>
      <c r="B802" s="160"/>
      <c r="C802" s="191"/>
      <c r="D802" s="160"/>
    </row>
    <row r="803" spans="1:4" x14ac:dyDescent="0.35">
      <c r="A803" s="160"/>
      <c r="B803" s="160"/>
      <c r="C803" s="191"/>
      <c r="D803" s="160"/>
    </row>
    <row r="804" spans="1:4" x14ac:dyDescent="0.35">
      <c r="A804" s="160"/>
      <c r="B804" s="160"/>
      <c r="C804" s="191"/>
      <c r="D804" s="160"/>
    </row>
    <row r="805" spans="1:4" x14ac:dyDescent="0.35">
      <c r="A805" s="160"/>
      <c r="B805" s="160"/>
      <c r="C805" s="191"/>
      <c r="D805" s="160"/>
    </row>
    <row r="806" spans="1:4" x14ac:dyDescent="0.35">
      <c r="A806" s="160"/>
      <c r="B806" s="160"/>
      <c r="C806" s="191"/>
      <c r="D806" s="160"/>
    </row>
    <row r="807" spans="1:4" x14ac:dyDescent="0.35">
      <c r="A807" s="160"/>
      <c r="B807" s="160"/>
      <c r="C807" s="191"/>
      <c r="D807" s="160"/>
    </row>
    <row r="808" spans="1:4" x14ac:dyDescent="0.35">
      <c r="A808" s="160"/>
      <c r="B808" s="160"/>
      <c r="C808" s="191"/>
      <c r="D808" s="160"/>
    </row>
    <row r="809" spans="1:4" x14ac:dyDescent="0.35">
      <c r="A809" s="160"/>
      <c r="B809" s="160"/>
      <c r="C809" s="191"/>
      <c r="D809" s="160"/>
    </row>
    <row r="810" spans="1:4" x14ac:dyDescent="0.35">
      <c r="A810" s="160"/>
      <c r="B810" s="160"/>
      <c r="C810" s="191"/>
      <c r="D810" s="160"/>
    </row>
    <row r="811" spans="1:4" x14ac:dyDescent="0.35">
      <c r="A811" s="160"/>
      <c r="B811" s="160"/>
      <c r="C811" s="191"/>
      <c r="D811" s="160"/>
    </row>
    <row r="812" spans="1:4" x14ac:dyDescent="0.35">
      <c r="A812" s="160"/>
      <c r="B812" s="160"/>
      <c r="C812" s="191"/>
      <c r="D812" s="160"/>
    </row>
    <row r="813" spans="1:4" x14ac:dyDescent="0.35">
      <c r="A813" s="160"/>
      <c r="B813" s="160"/>
      <c r="C813" s="191"/>
      <c r="D813" s="160"/>
    </row>
    <row r="814" spans="1:4" x14ac:dyDescent="0.35">
      <c r="A814" s="160"/>
      <c r="B814" s="160"/>
      <c r="C814" s="191"/>
      <c r="D814" s="160"/>
    </row>
    <row r="815" spans="1:4" x14ac:dyDescent="0.35">
      <c r="A815" s="160"/>
      <c r="B815" s="160"/>
      <c r="C815" s="191"/>
      <c r="D815" s="160"/>
    </row>
    <row r="816" spans="1:4" x14ac:dyDescent="0.35">
      <c r="A816" s="160"/>
      <c r="B816" s="160"/>
      <c r="C816" s="191"/>
      <c r="D816" s="160"/>
    </row>
    <row r="817" spans="1:4" x14ac:dyDescent="0.35">
      <c r="A817" s="160"/>
      <c r="B817" s="160"/>
      <c r="C817" s="191"/>
      <c r="D817" s="160"/>
    </row>
    <row r="818" spans="1:4" x14ac:dyDescent="0.35">
      <c r="A818" s="160"/>
      <c r="B818" s="160"/>
      <c r="C818" s="191"/>
      <c r="D818" s="160"/>
    </row>
    <row r="819" spans="1:4" x14ac:dyDescent="0.35">
      <c r="A819" s="160"/>
      <c r="B819" s="160"/>
      <c r="C819" s="191"/>
      <c r="D819" s="160"/>
    </row>
    <row r="820" spans="1:4" x14ac:dyDescent="0.35">
      <c r="A820" s="160"/>
      <c r="B820" s="160"/>
      <c r="C820" s="191"/>
      <c r="D820" s="160"/>
    </row>
    <row r="821" spans="1:4" x14ac:dyDescent="0.35">
      <c r="A821" s="160"/>
      <c r="B821" s="160"/>
      <c r="C821" s="191"/>
      <c r="D821" s="160"/>
    </row>
    <row r="822" spans="1:4" x14ac:dyDescent="0.35">
      <c r="A822" s="160"/>
      <c r="B822" s="160"/>
      <c r="C822" s="191"/>
      <c r="D822" s="160"/>
    </row>
    <row r="823" spans="1:4" x14ac:dyDescent="0.35">
      <c r="A823" s="160"/>
      <c r="B823" s="160"/>
      <c r="C823" s="191"/>
      <c r="D823" s="160"/>
    </row>
    <row r="824" spans="1:4" x14ac:dyDescent="0.35">
      <c r="A824" s="160"/>
      <c r="B824" s="160"/>
      <c r="C824" s="191"/>
      <c r="D824" s="160"/>
    </row>
    <row r="825" spans="1:4" x14ac:dyDescent="0.35">
      <c r="A825" s="160"/>
      <c r="B825" s="160"/>
      <c r="C825" s="191"/>
      <c r="D825" s="160"/>
    </row>
    <row r="826" spans="1:4" x14ac:dyDescent="0.35">
      <c r="A826" s="160"/>
      <c r="B826" s="160"/>
      <c r="C826" s="191"/>
      <c r="D826" s="160"/>
    </row>
    <row r="827" spans="1:4" x14ac:dyDescent="0.35">
      <c r="A827" s="160"/>
      <c r="B827" s="160"/>
      <c r="C827" s="191"/>
      <c r="D827" s="160"/>
    </row>
    <row r="828" spans="1:4" x14ac:dyDescent="0.35">
      <c r="A828" s="160"/>
      <c r="B828" s="160"/>
      <c r="C828" s="191"/>
      <c r="D828" s="160"/>
    </row>
    <row r="829" spans="1:4" x14ac:dyDescent="0.35">
      <c r="A829" s="160"/>
      <c r="B829" s="160"/>
      <c r="C829" s="191"/>
      <c r="D829" s="160"/>
    </row>
    <row r="830" spans="1:4" x14ac:dyDescent="0.35">
      <c r="A830" s="160"/>
      <c r="B830" s="160"/>
      <c r="C830" s="191"/>
      <c r="D830" s="160"/>
    </row>
    <row r="831" spans="1:4" x14ac:dyDescent="0.35">
      <c r="A831" s="160"/>
      <c r="B831" s="160"/>
      <c r="C831" s="191"/>
      <c r="D831" s="160"/>
    </row>
    <row r="832" spans="1:4" x14ac:dyDescent="0.35">
      <c r="A832" s="160"/>
      <c r="B832" s="160"/>
      <c r="C832" s="191"/>
      <c r="D832" s="160"/>
    </row>
    <row r="833" spans="1:4" x14ac:dyDescent="0.35">
      <c r="A833" s="160"/>
      <c r="B833" s="160"/>
      <c r="C833" s="191"/>
      <c r="D833" s="160"/>
    </row>
    <row r="834" spans="1:4" x14ac:dyDescent="0.35">
      <c r="A834" s="160"/>
      <c r="B834" s="160"/>
      <c r="C834" s="191"/>
      <c r="D834" s="160"/>
    </row>
    <row r="835" spans="1:4" x14ac:dyDescent="0.35">
      <c r="A835" s="160"/>
      <c r="B835" s="160"/>
      <c r="C835" s="191"/>
      <c r="D835" s="160"/>
    </row>
    <row r="836" spans="1:4" x14ac:dyDescent="0.35">
      <c r="A836" s="160"/>
      <c r="B836" s="160"/>
      <c r="C836" s="191"/>
      <c r="D836" s="160"/>
    </row>
    <row r="837" spans="1:4" x14ac:dyDescent="0.35">
      <c r="A837" s="160"/>
      <c r="B837" s="160"/>
      <c r="C837" s="191"/>
      <c r="D837" s="160"/>
    </row>
    <row r="838" spans="1:4" x14ac:dyDescent="0.35">
      <c r="A838" s="160"/>
      <c r="B838" s="160"/>
      <c r="C838" s="191"/>
      <c r="D838" s="160"/>
    </row>
    <row r="839" spans="1:4" x14ac:dyDescent="0.35">
      <c r="A839" s="160"/>
      <c r="B839" s="160"/>
      <c r="C839" s="191"/>
      <c r="D839" s="160"/>
    </row>
    <row r="840" spans="1:4" x14ac:dyDescent="0.35">
      <c r="A840" s="160"/>
      <c r="B840" s="160"/>
      <c r="C840" s="191"/>
      <c r="D840" s="160"/>
    </row>
    <row r="841" spans="1:4" x14ac:dyDescent="0.35">
      <c r="A841" s="160"/>
      <c r="B841" s="160"/>
      <c r="C841" s="191"/>
      <c r="D841" s="160"/>
    </row>
    <row r="842" spans="1:4" x14ac:dyDescent="0.35">
      <c r="A842" s="160"/>
      <c r="B842" s="160"/>
      <c r="C842" s="191"/>
      <c r="D842" s="160"/>
    </row>
    <row r="843" spans="1:4" x14ac:dyDescent="0.35">
      <c r="A843" s="160"/>
      <c r="B843" s="160"/>
      <c r="C843" s="191"/>
      <c r="D843" s="160"/>
    </row>
    <row r="844" spans="1:4" x14ac:dyDescent="0.35">
      <c r="A844" s="160"/>
      <c r="B844" s="160"/>
      <c r="C844" s="191"/>
      <c r="D844" s="160"/>
    </row>
    <row r="845" spans="1:4" x14ac:dyDescent="0.35">
      <c r="A845" s="160"/>
      <c r="B845" s="160"/>
      <c r="C845" s="191"/>
      <c r="D845" s="160"/>
    </row>
    <row r="846" spans="1:4" x14ac:dyDescent="0.35">
      <c r="A846" s="160"/>
      <c r="B846" s="160"/>
      <c r="C846" s="191"/>
      <c r="D846" s="160"/>
    </row>
    <row r="847" spans="1:4" x14ac:dyDescent="0.35">
      <c r="A847" s="160"/>
      <c r="B847" s="160"/>
      <c r="C847" s="191"/>
      <c r="D847" s="160"/>
    </row>
    <row r="848" spans="1:4" x14ac:dyDescent="0.35">
      <c r="A848" s="160"/>
      <c r="B848" s="160"/>
      <c r="C848" s="191"/>
      <c r="D848" s="160"/>
    </row>
    <row r="849" spans="1:4" x14ac:dyDescent="0.35">
      <c r="A849" s="160"/>
      <c r="B849" s="160"/>
      <c r="C849" s="191"/>
      <c r="D849" s="160"/>
    </row>
    <row r="850" spans="1:4" x14ac:dyDescent="0.35">
      <c r="A850" s="160"/>
      <c r="B850" s="160"/>
      <c r="C850" s="191"/>
      <c r="D850" s="160"/>
    </row>
    <row r="851" spans="1:4" x14ac:dyDescent="0.35">
      <c r="A851" s="160"/>
      <c r="B851" s="160"/>
      <c r="C851" s="191"/>
      <c r="D851" s="160"/>
    </row>
    <row r="852" spans="1:4" x14ac:dyDescent="0.35">
      <c r="A852" s="160"/>
      <c r="B852" s="160"/>
      <c r="C852" s="191"/>
      <c r="D852" s="160"/>
    </row>
    <row r="853" spans="1:4" x14ac:dyDescent="0.35">
      <c r="A853" s="160"/>
      <c r="B853" s="160"/>
      <c r="C853" s="191"/>
      <c r="D853" s="160"/>
    </row>
    <row r="854" spans="1:4" x14ac:dyDescent="0.35">
      <c r="A854" s="160"/>
      <c r="B854" s="160"/>
      <c r="C854" s="191"/>
      <c r="D854" s="160"/>
    </row>
    <row r="855" spans="1:4" x14ac:dyDescent="0.35">
      <c r="A855" s="160"/>
      <c r="B855" s="160"/>
      <c r="C855" s="191"/>
      <c r="D855" s="160"/>
    </row>
    <row r="856" spans="1:4" x14ac:dyDescent="0.35">
      <c r="A856" s="160"/>
      <c r="B856" s="160"/>
      <c r="C856" s="191"/>
      <c r="D856" s="160"/>
    </row>
    <row r="857" spans="1:4" x14ac:dyDescent="0.35">
      <c r="A857" s="160"/>
      <c r="B857" s="160"/>
      <c r="C857" s="191"/>
      <c r="D857" s="160"/>
    </row>
    <row r="858" spans="1:4" x14ac:dyDescent="0.35">
      <c r="A858" s="160"/>
      <c r="B858" s="160"/>
      <c r="C858" s="191"/>
      <c r="D858" s="160"/>
    </row>
    <row r="859" spans="1:4" x14ac:dyDescent="0.35">
      <c r="A859" s="160"/>
      <c r="B859" s="160"/>
      <c r="C859" s="191"/>
      <c r="D859" s="160"/>
    </row>
    <row r="860" spans="1:4" x14ac:dyDescent="0.35">
      <c r="A860" s="160"/>
      <c r="B860" s="160"/>
      <c r="C860" s="191"/>
      <c r="D860" s="160"/>
    </row>
    <row r="861" spans="1:4" x14ac:dyDescent="0.35">
      <c r="A861" s="160"/>
      <c r="B861" s="160"/>
      <c r="C861" s="191"/>
      <c r="D861" s="160"/>
    </row>
    <row r="862" spans="1:4" x14ac:dyDescent="0.35">
      <c r="A862" s="160"/>
      <c r="B862" s="160"/>
      <c r="C862" s="191"/>
      <c r="D862" s="160"/>
    </row>
    <row r="863" spans="1:4" x14ac:dyDescent="0.35">
      <c r="A863" s="160"/>
      <c r="B863" s="160"/>
      <c r="C863" s="191"/>
      <c r="D863" s="160"/>
    </row>
    <row r="864" spans="1:4" x14ac:dyDescent="0.35">
      <c r="A864" s="160"/>
      <c r="B864" s="160"/>
      <c r="C864" s="191"/>
      <c r="D864" s="160"/>
    </row>
    <row r="865" spans="1:4" x14ac:dyDescent="0.35">
      <c r="A865" s="160"/>
      <c r="B865" s="160"/>
      <c r="C865" s="191"/>
      <c r="D865" s="160"/>
    </row>
    <row r="866" spans="1:4" x14ac:dyDescent="0.35">
      <c r="A866" s="160"/>
      <c r="B866" s="160"/>
      <c r="C866" s="191"/>
      <c r="D866" s="160"/>
    </row>
    <row r="867" spans="1:4" x14ac:dyDescent="0.35">
      <c r="A867" s="160"/>
      <c r="B867" s="160"/>
      <c r="C867" s="191"/>
      <c r="D867" s="160"/>
    </row>
    <row r="868" spans="1:4" x14ac:dyDescent="0.35">
      <c r="A868" s="160"/>
      <c r="B868" s="160"/>
      <c r="C868" s="191"/>
      <c r="D868" s="160"/>
    </row>
    <row r="869" spans="1:4" x14ac:dyDescent="0.35">
      <c r="A869" s="160"/>
      <c r="B869" s="160"/>
      <c r="C869" s="191"/>
      <c r="D869" s="160"/>
    </row>
    <row r="870" spans="1:4" x14ac:dyDescent="0.35">
      <c r="A870" s="160"/>
      <c r="B870" s="160"/>
      <c r="C870" s="191"/>
      <c r="D870" s="160"/>
    </row>
    <row r="871" spans="1:4" x14ac:dyDescent="0.35">
      <c r="A871" s="160"/>
      <c r="B871" s="160"/>
      <c r="C871" s="191"/>
      <c r="D871" s="160"/>
    </row>
    <row r="872" spans="1:4" x14ac:dyDescent="0.35">
      <c r="A872" s="160"/>
      <c r="B872" s="160"/>
      <c r="C872" s="191"/>
      <c r="D872" s="160"/>
    </row>
    <row r="873" spans="1:4" x14ac:dyDescent="0.35">
      <c r="A873" s="160"/>
      <c r="B873" s="160"/>
      <c r="C873" s="191"/>
      <c r="D873" s="160"/>
    </row>
    <row r="874" spans="1:4" x14ac:dyDescent="0.35">
      <c r="A874" s="160"/>
      <c r="B874" s="160"/>
      <c r="C874" s="191"/>
      <c r="D874" s="160"/>
    </row>
    <row r="875" spans="1:4" x14ac:dyDescent="0.35">
      <c r="A875" s="160"/>
      <c r="B875" s="160"/>
      <c r="C875" s="191"/>
      <c r="D875" s="160"/>
    </row>
    <row r="876" spans="1:4" x14ac:dyDescent="0.35">
      <c r="A876" s="160"/>
      <c r="B876" s="160"/>
      <c r="C876" s="191"/>
      <c r="D876" s="160"/>
    </row>
    <row r="877" spans="1:4" x14ac:dyDescent="0.35">
      <c r="A877" s="160"/>
      <c r="B877" s="160"/>
      <c r="C877" s="191"/>
      <c r="D877" s="160"/>
    </row>
    <row r="878" spans="1:4" x14ac:dyDescent="0.35">
      <c r="A878" s="160"/>
      <c r="B878" s="160"/>
      <c r="C878" s="191"/>
      <c r="D878" s="160"/>
    </row>
    <row r="879" spans="1:4" x14ac:dyDescent="0.35">
      <c r="A879" s="160"/>
      <c r="B879" s="160"/>
      <c r="C879" s="191"/>
      <c r="D879" s="160"/>
    </row>
    <row r="880" spans="1:4" x14ac:dyDescent="0.35">
      <c r="A880" s="160"/>
      <c r="B880" s="160"/>
      <c r="C880" s="191"/>
      <c r="D880" s="160"/>
    </row>
    <row r="881" spans="1:4" x14ac:dyDescent="0.35">
      <c r="A881" s="160"/>
      <c r="B881" s="160"/>
      <c r="C881" s="191"/>
      <c r="D881" s="160"/>
    </row>
    <row r="882" spans="1:4" x14ac:dyDescent="0.35">
      <c r="A882" s="160"/>
      <c r="B882" s="160"/>
      <c r="C882" s="191"/>
      <c r="D882" s="160"/>
    </row>
    <row r="883" spans="1:4" x14ac:dyDescent="0.35">
      <c r="A883" s="160"/>
      <c r="B883" s="160"/>
      <c r="C883" s="191"/>
      <c r="D883" s="160"/>
    </row>
    <row r="884" spans="1:4" x14ac:dyDescent="0.35">
      <c r="A884" s="160"/>
      <c r="B884" s="160"/>
      <c r="C884" s="191"/>
      <c r="D884" s="160"/>
    </row>
    <row r="885" spans="1:4" x14ac:dyDescent="0.35">
      <c r="A885" s="160"/>
      <c r="B885" s="160"/>
      <c r="C885" s="191"/>
      <c r="D885" s="160"/>
    </row>
    <row r="886" spans="1:4" x14ac:dyDescent="0.35">
      <c r="A886" s="160"/>
      <c r="B886" s="160"/>
      <c r="C886" s="191"/>
      <c r="D886" s="160"/>
    </row>
    <row r="887" spans="1:4" x14ac:dyDescent="0.35">
      <c r="A887" s="160"/>
      <c r="B887" s="160"/>
      <c r="C887" s="191"/>
      <c r="D887" s="160"/>
    </row>
    <row r="888" spans="1:4" x14ac:dyDescent="0.35">
      <c r="A888" s="160"/>
      <c r="B888" s="160"/>
      <c r="C888" s="191"/>
      <c r="D888" s="160"/>
    </row>
    <row r="889" spans="1:4" x14ac:dyDescent="0.35">
      <c r="A889" s="160"/>
      <c r="B889" s="160"/>
      <c r="C889" s="191"/>
      <c r="D889" s="160"/>
    </row>
    <row r="890" spans="1:4" x14ac:dyDescent="0.35">
      <c r="A890" s="160"/>
      <c r="B890" s="160"/>
      <c r="C890" s="191"/>
      <c r="D890" s="160"/>
    </row>
    <row r="891" spans="1:4" x14ac:dyDescent="0.35">
      <c r="A891" s="160"/>
      <c r="B891" s="160"/>
      <c r="C891" s="191"/>
      <c r="D891" s="160"/>
    </row>
    <row r="892" spans="1:4" x14ac:dyDescent="0.35">
      <c r="A892" s="160"/>
      <c r="B892" s="160"/>
      <c r="C892" s="191"/>
      <c r="D892" s="160"/>
    </row>
    <row r="893" spans="1:4" x14ac:dyDescent="0.35">
      <c r="A893" s="160"/>
      <c r="B893" s="160"/>
      <c r="C893" s="191"/>
      <c r="D893" s="160"/>
    </row>
    <row r="894" spans="1:4" x14ac:dyDescent="0.35">
      <c r="A894" s="160"/>
      <c r="B894" s="160"/>
      <c r="C894" s="191"/>
      <c r="D894" s="160"/>
    </row>
    <row r="895" spans="1:4" x14ac:dyDescent="0.35">
      <c r="A895" s="160"/>
      <c r="B895" s="160"/>
      <c r="C895" s="191"/>
      <c r="D895" s="160"/>
    </row>
    <row r="896" spans="1:4" x14ac:dyDescent="0.35">
      <c r="A896" s="160"/>
      <c r="B896" s="160"/>
      <c r="C896" s="191"/>
      <c r="D896" s="160"/>
    </row>
    <row r="897" spans="1:4" x14ac:dyDescent="0.35">
      <c r="A897" s="160"/>
      <c r="B897" s="160"/>
      <c r="C897" s="191"/>
      <c r="D897" s="160"/>
    </row>
    <row r="898" spans="1:4" x14ac:dyDescent="0.35">
      <c r="A898" s="160"/>
      <c r="B898" s="160"/>
      <c r="C898" s="191"/>
      <c r="D898" s="160"/>
    </row>
    <row r="899" spans="1:4" x14ac:dyDescent="0.35">
      <c r="A899" s="160"/>
      <c r="B899" s="160"/>
      <c r="C899" s="191"/>
      <c r="D899" s="160"/>
    </row>
    <row r="900" spans="1:4" x14ac:dyDescent="0.35">
      <c r="A900" s="160"/>
      <c r="B900" s="160"/>
      <c r="C900" s="191"/>
      <c r="D900" s="160"/>
    </row>
    <row r="901" spans="1:4" x14ac:dyDescent="0.35">
      <c r="A901" s="160"/>
      <c r="B901" s="160"/>
      <c r="C901" s="191"/>
      <c r="D901" s="160"/>
    </row>
    <row r="902" spans="1:4" x14ac:dyDescent="0.35">
      <c r="A902" s="160"/>
      <c r="B902" s="160"/>
      <c r="C902" s="191"/>
      <c r="D902" s="160"/>
    </row>
    <row r="903" spans="1:4" x14ac:dyDescent="0.35">
      <c r="A903" s="160"/>
      <c r="B903" s="160"/>
      <c r="C903" s="191"/>
      <c r="D903" s="160"/>
    </row>
    <row r="904" spans="1:4" x14ac:dyDescent="0.35">
      <c r="A904" s="160"/>
      <c r="B904" s="160"/>
      <c r="C904" s="191"/>
      <c r="D904" s="160"/>
    </row>
    <row r="905" spans="1:4" x14ac:dyDescent="0.35">
      <c r="A905" s="160"/>
      <c r="B905" s="160"/>
      <c r="C905" s="191"/>
      <c r="D905" s="160"/>
    </row>
    <row r="906" spans="1:4" x14ac:dyDescent="0.35">
      <c r="A906" s="160"/>
      <c r="B906" s="160"/>
      <c r="C906" s="191"/>
      <c r="D906" s="160"/>
    </row>
    <row r="907" spans="1:4" x14ac:dyDescent="0.35">
      <c r="A907" s="160"/>
      <c r="B907" s="160"/>
      <c r="C907" s="191"/>
      <c r="D907" s="160"/>
    </row>
    <row r="908" spans="1:4" x14ac:dyDescent="0.35">
      <c r="A908" s="160"/>
      <c r="B908" s="160"/>
      <c r="C908" s="191"/>
      <c r="D908" s="160"/>
    </row>
    <row r="909" spans="1:4" x14ac:dyDescent="0.35">
      <c r="A909" s="160"/>
      <c r="B909" s="160"/>
      <c r="C909" s="191"/>
      <c r="D909" s="160"/>
    </row>
    <row r="910" spans="1:4" x14ac:dyDescent="0.35">
      <c r="A910" s="160"/>
      <c r="B910" s="160"/>
      <c r="C910" s="191"/>
      <c r="D910" s="160"/>
    </row>
    <row r="911" spans="1:4" x14ac:dyDescent="0.35">
      <c r="A911" s="160"/>
      <c r="B911" s="160"/>
      <c r="C911" s="191"/>
      <c r="D911" s="160"/>
    </row>
    <row r="912" spans="1:4" x14ac:dyDescent="0.35">
      <c r="A912" s="160"/>
      <c r="B912" s="160"/>
      <c r="C912" s="191"/>
      <c r="D912" s="160"/>
    </row>
    <row r="913" spans="1:4" x14ac:dyDescent="0.35">
      <c r="A913" s="160"/>
      <c r="B913" s="160"/>
      <c r="C913" s="191"/>
      <c r="D913" s="160"/>
    </row>
    <row r="914" spans="1:4" x14ac:dyDescent="0.35">
      <c r="A914" s="160"/>
      <c r="B914" s="160"/>
      <c r="C914" s="191"/>
      <c r="D914" s="160"/>
    </row>
    <row r="915" spans="1:4" x14ac:dyDescent="0.35">
      <c r="A915" s="160"/>
      <c r="B915" s="160"/>
      <c r="C915" s="191"/>
      <c r="D915" s="160"/>
    </row>
    <row r="916" spans="1:4" x14ac:dyDescent="0.35">
      <c r="A916" s="160"/>
      <c r="B916" s="160"/>
      <c r="C916" s="191"/>
      <c r="D916" s="160"/>
    </row>
    <row r="917" spans="1:4" x14ac:dyDescent="0.35">
      <c r="A917" s="160"/>
      <c r="B917" s="160"/>
      <c r="C917" s="191"/>
      <c r="D917" s="160"/>
    </row>
    <row r="918" spans="1:4" x14ac:dyDescent="0.35">
      <c r="A918" s="160"/>
      <c r="B918" s="160"/>
      <c r="C918" s="191"/>
      <c r="D918" s="160"/>
    </row>
    <row r="919" spans="1:4" x14ac:dyDescent="0.35">
      <c r="A919" s="160"/>
      <c r="B919" s="160"/>
      <c r="C919" s="191"/>
      <c r="D919" s="160"/>
    </row>
    <row r="920" spans="1:4" x14ac:dyDescent="0.35">
      <c r="A920" s="160"/>
      <c r="B920" s="160"/>
      <c r="C920" s="191"/>
      <c r="D920" s="160"/>
    </row>
    <row r="921" spans="1:4" x14ac:dyDescent="0.35">
      <c r="A921" s="160"/>
      <c r="B921" s="160"/>
      <c r="C921" s="191"/>
      <c r="D921" s="160"/>
    </row>
    <row r="922" spans="1:4" x14ac:dyDescent="0.35">
      <c r="A922" s="160"/>
      <c r="B922" s="160"/>
      <c r="C922" s="191"/>
      <c r="D922" s="160"/>
    </row>
    <row r="923" spans="1:4" x14ac:dyDescent="0.35">
      <c r="A923" s="160"/>
      <c r="B923" s="160"/>
      <c r="C923" s="191"/>
      <c r="D923" s="160"/>
    </row>
    <row r="924" spans="1:4" x14ac:dyDescent="0.35">
      <c r="A924" s="160"/>
      <c r="B924" s="160"/>
      <c r="C924" s="191"/>
      <c r="D924" s="160"/>
    </row>
    <row r="925" spans="1:4" x14ac:dyDescent="0.35">
      <c r="A925" s="160"/>
      <c r="B925" s="160"/>
      <c r="C925" s="191"/>
      <c r="D925" s="160"/>
    </row>
    <row r="926" spans="1:4" x14ac:dyDescent="0.35">
      <c r="A926" s="160"/>
      <c r="B926" s="160"/>
      <c r="C926" s="191"/>
      <c r="D926" s="160"/>
    </row>
    <row r="927" spans="1:4" x14ac:dyDescent="0.35">
      <c r="A927" s="160"/>
      <c r="B927" s="160"/>
      <c r="C927" s="191"/>
      <c r="D927" s="160"/>
    </row>
    <row r="928" spans="1:4" x14ac:dyDescent="0.35">
      <c r="A928" s="160"/>
      <c r="B928" s="160"/>
      <c r="C928" s="191"/>
      <c r="D928" s="160"/>
    </row>
    <row r="929" spans="1:4" x14ac:dyDescent="0.35">
      <c r="A929" s="160"/>
      <c r="B929" s="160"/>
      <c r="C929" s="191"/>
      <c r="D929" s="160"/>
    </row>
    <row r="930" spans="1:4" x14ac:dyDescent="0.35">
      <c r="A930" s="160"/>
      <c r="B930" s="160"/>
      <c r="C930" s="191"/>
      <c r="D930" s="160"/>
    </row>
    <row r="931" spans="1:4" x14ac:dyDescent="0.35">
      <c r="A931" s="160"/>
      <c r="B931" s="160"/>
      <c r="C931" s="191"/>
      <c r="D931" s="160"/>
    </row>
    <row r="932" spans="1:4" x14ac:dyDescent="0.35">
      <c r="A932" s="160"/>
      <c r="B932" s="160"/>
      <c r="C932" s="191"/>
      <c r="D932" s="160"/>
    </row>
    <row r="933" spans="1:4" x14ac:dyDescent="0.35">
      <c r="A933" s="160"/>
      <c r="B933" s="160"/>
      <c r="C933" s="191"/>
      <c r="D933" s="160"/>
    </row>
    <row r="934" spans="1:4" x14ac:dyDescent="0.35">
      <c r="A934" s="160"/>
      <c r="B934" s="160"/>
      <c r="C934" s="191"/>
      <c r="D934" s="160"/>
    </row>
    <row r="935" spans="1:4" x14ac:dyDescent="0.35">
      <c r="A935" s="160"/>
      <c r="B935" s="160"/>
      <c r="C935" s="191"/>
      <c r="D935" s="160"/>
    </row>
    <row r="936" spans="1:4" x14ac:dyDescent="0.35">
      <c r="A936" s="160"/>
      <c r="B936" s="160"/>
      <c r="C936" s="191"/>
      <c r="D936" s="160"/>
    </row>
    <row r="937" spans="1:4" x14ac:dyDescent="0.35">
      <c r="A937" s="160"/>
      <c r="B937" s="160"/>
      <c r="C937" s="191"/>
      <c r="D937" s="160"/>
    </row>
    <row r="938" spans="1:4" x14ac:dyDescent="0.35">
      <c r="A938" s="160"/>
      <c r="B938" s="160"/>
      <c r="C938" s="191"/>
      <c r="D938" s="160"/>
    </row>
    <row r="939" spans="1:4" x14ac:dyDescent="0.35">
      <c r="A939" s="160"/>
      <c r="B939" s="160"/>
      <c r="C939" s="191"/>
      <c r="D939" s="160"/>
    </row>
    <row r="940" spans="1:4" x14ac:dyDescent="0.35">
      <c r="A940" s="160"/>
      <c r="B940" s="160"/>
      <c r="C940" s="191"/>
      <c r="D940" s="160"/>
    </row>
    <row r="941" spans="1:4" x14ac:dyDescent="0.35">
      <c r="A941" s="160"/>
      <c r="B941" s="160"/>
      <c r="C941" s="191"/>
      <c r="D941" s="160"/>
    </row>
    <row r="942" spans="1:4" x14ac:dyDescent="0.35">
      <c r="A942" s="160"/>
      <c r="B942" s="160"/>
      <c r="C942" s="191"/>
      <c r="D942" s="160"/>
    </row>
    <row r="943" spans="1:4" x14ac:dyDescent="0.35">
      <c r="A943" s="160"/>
      <c r="B943" s="160"/>
      <c r="C943" s="191"/>
      <c r="D943" s="160"/>
    </row>
    <row r="944" spans="1:4" x14ac:dyDescent="0.35">
      <c r="A944" s="160"/>
      <c r="B944" s="160"/>
      <c r="C944" s="191"/>
      <c r="D944" s="160"/>
    </row>
    <row r="945" spans="1:4" x14ac:dyDescent="0.35">
      <c r="A945" s="160"/>
      <c r="B945" s="160"/>
      <c r="C945" s="191"/>
      <c r="D945" s="160"/>
    </row>
    <row r="946" spans="1:4" x14ac:dyDescent="0.35">
      <c r="A946" s="160"/>
      <c r="B946" s="160"/>
      <c r="C946" s="191"/>
      <c r="D946" s="160"/>
    </row>
    <row r="947" spans="1:4" x14ac:dyDescent="0.35">
      <c r="A947" s="160"/>
      <c r="B947" s="160"/>
      <c r="C947" s="191"/>
      <c r="D947" s="160"/>
    </row>
    <row r="948" spans="1:4" x14ac:dyDescent="0.35">
      <c r="A948" s="160"/>
      <c r="B948" s="160"/>
      <c r="C948" s="191"/>
      <c r="D948" s="160"/>
    </row>
    <row r="949" spans="1:4" x14ac:dyDescent="0.35">
      <c r="A949" s="160"/>
      <c r="B949" s="160"/>
      <c r="C949" s="191"/>
      <c r="D949" s="160"/>
    </row>
    <row r="950" spans="1:4" x14ac:dyDescent="0.35">
      <c r="A950" s="160"/>
      <c r="B950" s="160"/>
      <c r="C950" s="191"/>
      <c r="D950" s="160"/>
    </row>
    <row r="951" spans="1:4" x14ac:dyDescent="0.35">
      <c r="A951" s="160"/>
      <c r="B951" s="160"/>
      <c r="C951" s="191"/>
      <c r="D951" s="160"/>
    </row>
    <row r="952" spans="1:4" x14ac:dyDescent="0.35">
      <c r="A952" s="160"/>
      <c r="B952" s="160"/>
      <c r="C952" s="191"/>
      <c r="D952" s="160"/>
    </row>
    <row r="953" spans="1:4" x14ac:dyDescent="0.35">
      <c r="A953" s="160"/>
      <c r="B953" s="160"/>
      <c r="C953" s="191"/>
      <c r="D953" s="160"/>
    </row>
    <row r="954" spans="1:4" x14ac:dyDescent="0.35">
      <c r="A954" s="160"/>
      <c r="B954" s="160"/>
      <c r="C954" s="191"/>
      <c r="D954" s="160"/>
    </row>
    <row r="955" spans="1:4" x14ac:dyDescent="0.35">
      <c r="A955" s="160"/>
      <c r="B955" s="160"/>
      <c r="C955" s="191"/>
      <c r="D955" s="160"/>
    </row>
    <row r="956" spans="1:4" x14ac:dyDescent="0.35">
      <c r="A956" s="160"/>
      <c r="B956" s="160"/>
      <c r="C956" s="191"/>
      <c r="D956" s="160"/>
    </row>
    <row r="957" spans="1:4" x14ac:dyDescent="0.35">
      <c r="A957" s="160"/>
      <c r="B957" s="160"/>
      <c r="C957" s="191"/>
      <c r="D957" s="160"/>
    </row>
    <row r="958" spans="1:4" x14ac:dyDescent="0.35">
      <c r="A958" s="160"/>
      <c r="B958" s="160"/>
      <c r="C958" s="191"/>
      <c r="D958" s="160"/>
    </row>
    <row r="959" spans="1:4" x14ac:dyDescent="0.35">
      <c r="A959" s="160"/>
      <c r="B959" s="160"/>
      <c r="C959" s="191"/>
      <c r="D959" s="160"/>
    </row>
    <row r="960" spans="1:4" x14ac:dyDescent="0.35">
      <c r="A960" s="160"/>
      <c r="B960" s="160"/>
      <c r="C960" s="191"/>
      <c r="D960" s="160"/>
    </row>
    <row r="961" spans="1:4" x14ac:dyDescent="0.35">
      <c r="A961" s="160"/>
      <c r="B961" s="160"/>
      <c r="C961" s="191"/>
      <c r="D961" s="160"/>
    </row>
    <row r="962" spans="1:4" x14ac:dyDescent="0.35">
      <c r="A962" s="160"/>
      <c r="B962" s="160"/>
      <c r="C962" s="191"/>
      <c r="D962" s="160"/>
    </row>
    <row r="963" spans="1:4" x14ac:dyDescent="0.35">
      <c r="A963" s="160"/>
      <c r="B963" s="160"/>
      <c r="C963" s="191"/>
      <c r="D963" s="160"/>
    </row>
    <row r="964" spans="1:4" x14ac:dyDescent="0.35">
      <c r="A964" s="160"/>
      <c r="B964" s="160"/>
      <c r="C964" s="191"/>
      <c r="D964" s="160"/>
    </row>
    <row r="965" spans="1:4" x14ac:dyDescent="0.35">
      <c r="A965" s="160"/>
      <c r="B965" s="160"/>
      <c r="C965" s="191"/>
      <c r="D965" s="160"/>
    </row>
    <row r="966" spans="1:4" x14ac:dyDescent="0.35">
      <c r="A966" s="160"/>
      <c r="B966" s="160"/>
      <c r="C966" s="191"/>
      <c r="D966" s="160"/>
    </row>
    <row r="967" spans="1:4" x14ac:dyDescent="0.35">
      <c r="A967" s="160"/>
      <c r="B967" s="160"/>
      <c r="C967" s="191"/>
      <c r="D967" s="160"/>
    </row>
    <row r="968" spans="1:4" x14ac:dyDescent="0.35">
      <c r="A968" s="160"/>
      <c r="B968" s="160"/>
      <c r="C968" s="191"/>
      <c r="D968" s="160"/>
    </row>
    <row r="969" spans="1:4" x14ac:dyDescent="0.35">
      <c r="A969" s="160"/>
      <c r="B969" s="160"/>
      <c r="C969" s="191"/>
      <c r="D969" s="160"/>
    </row>
    <row r="970" spans="1:4" x14ac:dyDescent="0.35">
      <c r="A970" s="160"/>
      <c r="B970" s="160"/>
      <c r="C970" s="191"/>
      <c r="D970" s="160"/>
    </row>
    <row r="971" spans="1:4" x14ac:dyDescent="0.35">
      <c r="A971" s="160"/>
      <c r="B971" s="160"/>
      <c r="C971" s="191"/>
      <c r="D971" s="160"/>
    </row>
    <row r="972" spans="1:4" x14ac:dyDescent="0.35">
      <c r="A972" s="160"/>
      <c r="B972" s="160"/>
      <c r="C972" s="191"/>
      <c r="D972" s="160"/>
    </row>
    <row r="973" spans="1:4" x14ac:dyDescent="0.35">
      <c r="A973" s="160"/>
      <c r="B973" s="160"/>
      <c r="C973" s="191"/>
      <c r="D973" s="160"/>
    </row>
    <row r="974" spans="1:4" x14ac:dyDescent="0.35">
      <c r="A974" s="160"/>
      <c r="B974" s="160"/>
      <c r="C974" s="191"/>
      <c r="D974" s="160"/>
    </row>
    <row r="975" spans="1:4" x14ac:dyDescent="0.35">
      <c r="A975" s="160"/>
      <c r="B975" s="160"/>
      <c r="C975" s="191"/>
      <c r="D975" s="160"/>
    </row>
    <row r="976" spans="1:4" x14ac:dyDescent="0.35">
      <c r="A976" s="160"/>
      <c r="B976" s="160"/>
      <c r="C976" s="191"/>
      <c r="D976" s="160"/>
    </row>
    <row r="977" spans="1:4" x14ac:dyDescent="0.35">
      <c r="A977" s="160"/>
      <c r="B977" s="160"/>
      <c r="C977" s="191"/>
      <c r="D977" s="160"/>
    </row>
    <row r="978" spans="1:4" x14ac:dyDescent="0.35">
      <c r="A978" s="160"/>
      <c r="B978" s="160"/>
      <c r="C978" s="191"/>
      <c r="D978" s="160"/>
    </row>
    <row r="979" spans="1:4" x14ac:dyDescent="0.35">
      <c r="A979" s="160"/>
      <c r="B979" s="160"/>
      <c r="C979" s="191"/>
      <c r="D979" s="160"/>
    </row>
    <row r="980" spans="1:4" x14ac:dyDescent="0.35">
      <c r="A980" s="160"/>
      <c r="B980" s="160"/>
      <c r="C980" s="191"/>
      <c r="D980" s="160"/>
    </row>
    <row r="981" spans="1:4" x14ac:dyDescent="0.35">
      <c r="A981" s="160"/>
      <c r="B981" s="160"/>
      <c r="C981" s="191"/>
      <c r="D981" s="160"/>
    </row>
    <row r="982" spans="1:4" x14ac:dyDescent="0.35">
      <c r="A982" s="160"/>
      <c r="B982" s="160"/>
      <c r="C982" s="191"/>
      <c r="D982" s="160"/>
    </row>
    <row r="983" spans="1:4" x14ac:dyDescent="0.35">
      <c r="A983" s="160"/>
      <c r="B983" s="160"/>
      <c r="C983" s="191"/>
      <c r="D983" s="160"/>
    </row>
    <row r="984" spans="1:4" x14ac:dyDescent="0.35">
      <c r="A984" s="160"/>
      <c r="B984" s="160"/>
      <c r="C984" s="191"/>
      <c r="D984" s="160"/>
    </row>
    <row r="985" spans="1:4" x14ac:dyDescent="0.35">
      <c r="A985" s="160"/>
      <c r="B985" s="160"/>
      <c r="C985" s="191"/>
      <c r="D985" s="160"/>
    </row>
    <row r="986" spans="1:4" x14ac:dyDescent="0.35">
      <c r="A986" s="160"/>
      <c r="B986" s="160"/>
      <c r="C986" s="191"/>
      <c r="D986" s="160"/>
    </row>
    <row r="987" spans="1:4" x14ac:dyDescent="0.35">
      <c r="A987" s="160"/>
      <c r="B987" s="160"/>
      <c r="C987" s="191"/>
      <c r="D987" s="160"/>
    </row>
    <row r="988" spans="1:4" x14ac:dyDescent="0.35">
      <c r="A988" s="160"/>
      <c r="B988" s="160"/>
      <c r="C988" s="191"/>
      <c r="D988" s="160"/>
    </row>
    <row r="989" spans="1:4" x14ac:dyDescent="0.35">
      <c r="A989" s="160"/>
      <c r="B989" s="160"/>
      <c r="C989" s="191"/>
      <c r="D989" s="160"/>
    </row>
    <row r="990" spans="1:4" x14ac:dyDescent="0.35">
      <c r="A990" s="160"/>
      <c r="B990" s="160"/>
      <c r="C990" s="191"/>
      <c r="D990" s="160"/>
    </row>
    <row r="991" spans="1:4" x14ac:dyDescent="0.35">
      <c r="A991" s="160"/>
      <c r="B991" s="160"/>
      <c r="C991" s="191"/>
      <c r="D991" s="160"/>
    </row>
    <row r="992" spans="1:4" x14ac:dyDescent="0.35">
      <c r="A992" s="160"/>
      <c r="B992" s="160"/>
      <c r="C992" s="191"/>
      <c r="D992" s="160"/>
    </row>
    <row r="993" spans="1:4" x14ac:dyDescent="0.35">
      <c r="A993" s="160"/>
      <c r="B993" s="160"/>
      <c r="C993" s="191"/>
      <c r="D993" s="160"/>
    </row>
    <row r="994" spans="1:4" x14ac:dyDescent="0.35">
      <c r="A994" s="160"/>
      <c r="B994" s="160"/>
      <c r="C994" s="191"/>
      <c r="D994" s="160"/>
    </row>
    <row r="995" spans="1:4" x14ac:dyDescent="0.35">
      <c r="A995" s="160"/>
      <c r="B995" s="160"/>
      <c r="C995" s="191"/>
      <c r="D995" s="160"/>
    </row>
    <row r="996" spans="1:4" x14ac:dyDescent="0.35">
      <c r="A996" s="160"/>
      <c r="B996" s="160"/>
      <c r="C996" s="191"/>
      <c r="D996" s="160"/>
    </row>
    <row r="997" spans="1:4" x14ac:dyDescent="0.35">
      <c r="A997" s="160"/>
      <c r="B997" s="160"/>
      <c r="C997" s="191"/>
      <c r="D997" s="160"/>
    </row>
    <row r="998" spans="1:4" x14ac:dyDescent="0.35">
      <c r="A998" s="160"/>
      <c r="B998" s="160"/>
      <c r="C998" s="191"/>
      <c r="D998" s="160"/>
    </row>
    <row r="999" spans="1:4" x14ac:dyDescent="0.35">
      <c r="A999" s="160"/>
      <c r="B999" s="160"/>
      <c r="C999" s="191"/>
      <c r="D999" s="160"/>
    </row>
    <row r="1000" spans="1:4" x14ac:dyDescent="0.35">
      <c r="A1000" s="160"/>
      <c r="B1000" s="160"/>
      <c r="C1000" s="191"/>
      <c r="D1000" s="160"/>
    </row>
    <row r="1001" spans="1:4" x14ac:dyDescent="0.35">
      <c r="A1001" s="160"/>
      <c r="B1001" s="160"/>
      <c r="C1001" s="191"/>
      <c r="D1001" s="160"/>
    </row>
    <row r="1002" spans="1:4" x14ac:dyDescent="0.35">
      <c r="A1002" s="160"/>
      <c r="B1002" s="160"/>
      <c r="C1002" s="191"/>
      <c r="D1002" s="160"/>
    </row>
    <row r="1003" spans="1:4" x14ac:dyDescent="0.35">
      <c r="A1003" s="160"/>
      <c r="B1003" s="160"/>
      <c r="C1003" s="191"/>
      <c r="D1003" s="160"/>
    </row>
    <row r="1004" spans="1:4" x14ac:dyDescent="0.35">
      <c r="A1004" s="160"/>
      <c r="B1004" s="160"/>
      <c r="C1004" s="191"/>
      <c r="D1004" s="160"/>
    </row>
    <row r="1005" spans="1:4" x14ac:dyDescent="0.35">
      <c r="A1005" s="160"/>
      <c r="B1005" s="160"/>
      <c r="C1005" s="191"/>
      <c r="D1005" s="160"/>
    </row>
    <row r="1006" spans="1:4" x14ac:dyDescent="0.35">
      <c r="A1006" s="160"/>
      <c r="B1006" s="160"/>
      <c r="C1006" s="191"/>
      <c r="D1006" s="160"/>
    </row>
    <row r="1007" spans="1:4" x14ac:dyDescent="0.35">
      <c r="A1007" s="160"/>
      <c r="B1007" s="160"/>
      <c r="C1007" s="191"/>
      <c r="D1007" s="160"/>
    </row>
    <row r="1008" spans="1:4" x14ac:dyDescent="0.35">
      <c r="A1008" s="160"/>
      <c r="B1008" s="160"/>
      <c r="C1008" s="191"/>
      <c r="D1008" s="160"/>
    </row>
    <row r="1009" spans="1:4" x14ac:dyDescent="0.35">
      <c r="A1009" s="160"/>
      <c r="B1009" s="160"/>
      <c r="C1009" s="191"/>
      <c r="D1009" s="160"/>
    </row>
    <row r="1010" spans="1:4" x14ac:dyDescent="0.35">
      <c r="A1010" s="160"/>
      <c r="B1010" s="160"/>
      <c r="C1010" s="191"/>
      <c r="D1010" s="160"/>
    </row>
    <row r="1011" spans="1:4" x14ac:dyDescent="0.35">
      <c r="A1011" s="160"/>
      <c r="B1011" s="160"/>
      <c r="C1011" s="191"/>
      <c r="D1011" s="160"/>
    </row>
    <row r="1012" spans="1:4" x14ac:dyDescent="0.35">
      <c r="A1012" s="160"/>
      <c r="B1012" s="160"/>
      <c r="C1012" s="191"/>
      <c r="D1012" s="160"/>
    </row>
    <row r="1013" spans="1:4" x14ac:dyDescent="0.35">
      <c r="A1013" s="160"/>
      <c r="B1013" s="160"/>
      <c r="C1013" s="191"/>
      <c r="D1013" s="160"/>
    </row>
    <row r="1014" spans="1:4" x14ac:dyDescent="0.35">
      <c r="A1014" s="160"/>
      <c r="B1014" s="160"/>
      <c r="C1014" s="191"/>
      <c r="D1014" s="160"/>
    </row>
    <row r="1015" spans="1:4" x14ac:dyDescent="0.35">
      <c r="A1015" s="160"/>
      <c r="B1015" s="160"/>
      <c r="C1015" s="191"/>
      <c r="D1015" s="160"/>
    </row>
    <row r="1016" spans="1:4" x14ac:dyDescent="0.35">
      <c r="A1016" s="160"/>
      <c r="B1016" s="160"/>
      <c r="C1016" s="191"/>
      <c r="D1016" s="160"/>
    </row>
    <row r="1017" spans="1:4" x14ac:dyDescent="0.35">
      <c r="A1017" s="160"/>
      <c r="B1017" s="160"/>
      <c r="C1017" s="191"/>
      <c r="D1017" s="160"/>
    </row>
    <row r="1018" spans="1:4" x14ac:dyDescent="0.35">
      <c r="A1018" s="160"/>
      <c r="B1018" s="160"/>
      <c r="C1018" s="191"/>
      <c r="D1018" s="160"/>
    </row>
    <row r="1019" spans="1:4" x14ac:dyDescent="0.35">
      <c r="A1019" s="160"/>
      <c r="B1019" s="160"/>
      <c r="C1019" s="191"/>
      <c r="D1019" s="160"/>
    </row>
    <row r="1020" spans="1:4" x14ac:dyDescent="0.35">
      <c r="A1020" s="160"/>
      <c r="B1020" s="160"/>
      <c r="C1020" s="191"/>
      <c r="D1020" s="160"/>
    </row>
    <row r="1021" spans="1:4" x14ac:dyDescent="0.35">
      <c r="A1021" s="160"/>
      <c r="B1021" s="160"/>
      <c r="C1021" s="191"/>
      <c r="D1021" s="160"/>
    </row>
    <row r="1022" spans="1:4" x14ac:dyDescent="0.35">
      <c r="A1022" s="160"/>
      <c r="B1022" s="160"/>
      <c r="C1022" s="191"/>
      <c r="D1022" s="160"/>
    </row>
    <row r="1023" spans="1:4" x14ac:dyDescent="0.35">
      <c r="A1023" s="160"/>
      <c r="B1023" s="160"/>
      <c r="C1023" s="191"/>
      <c r="D1023" s="160"/>
    </row>
    <row r="1024" spans="1:4" x14ac:dyDescent="0.35">
      <c r="A1024" s="160"/>
      <c r="B1024" s="160"/>
      <c r="C1024" s="191"/>
      <c r="D1024" s="160"/>
    </row>
    <row r="1025" spans="1:4" x14ac:dyDescent="0.35">
      <c r="A1025" s="160"/>
      <c r="B1025" s="160"/>
      <c r="C1025" s="191"/>
      <c r="D1025" s="160"/>
    </row>
    <row r="1026" spans="1:4" x14ac:dyDescent="0.35">
      <c r="A1026" s="160"/>
      <c r="B1026" s="160"/>
      <c r="C1026" s="191"/>
      <c r="D1026" s="160"/>
    </row>
    <row r="1027" spans="1:4" x14ac:dyDescent="0.35">
      <c r="A1027" s="160"/>
      <c r="B1027" s="160"/>
      <c r="C1027" s="191"/>
      <c r="D1027" s="160"/>
    </row>
    <row r="1028" spans="1:4" x14ac:dyDescent="0.35">
      <c r="A1028" s="160"/>
      <c r="B1028" s="160"/>
      <c r="C1028" s="191"/>
      <c r="D1028" s="160"/>
    </row>
    <row r="1029" spans="1:4" x14ac:dyDescent="0.35">
      <c r="A1029" s="160"/>
      <c r="B1029" s="160"/>
      <c r="C1029" s="191"/>
      <c r="D1029" s="160"/>
    </row>
    <row r="1030" spans="1:4" x14ac:dyDescent="0.35">
      <c r="A1030" s="160"/>
      <c r="B1030" s="160"/>
      <c r="C1030" s="191"/>
      <c r="D1030" s="160"/>
    </row>
    <row r="1031" spans="1:4" x14ac:dyDescent="0.35">
      <c r="A1031" s="160"/>
      <c r="B1031" s="160"/>
      <c r="C1031" s="191"/>
      <c r="D1031" s="160"/>
    </row>
    <row r="1032" spans="1:4" x14ac:dyDescent="0.35">
      <c r="A1032" s="160"/>
      <c r="B1032" s="160"/>
      <c r="C1032" s="191"/>
      <c r="D1032" s="160"/>
    </row>
    <row r="1033" spans="1:4" x14ac:dyDescent="0.35">
      <c r="A1033" s="160"/>
      <c r="B1033" s="160"/>
      <c r="C1033" s="191"/>
      <c r="D1033" s="160"/>
    </row>
    <row r="1034" spans="1:4" x14ac:dyDescent="0.35">
      <c r="A1034" s="160"/>
      <c r="B1034" s="160"/>
      <c r="C1034" s="191"/>
      <c r="D1034" s="160"/>
    </row>
    <row r="1035" spans="1:4" x14ac:dyDescent="0.35">
      <c r="A1035" s="160"/>
      <c r="B1035" s="160"/>
      <c r="C1035" s="191"/>
      <c r="D1035" s="160"/>
    </row>
    <row r="1036" spans="1:4" x14ac:dyDescent="0.35">
      <c r="A1036" s="160"/>
      <c r="B1036" s="160"/>
      <c r="C1036" s="191"/>
      <c r="D1036" s="160"/>
    </row>
    <row r="1037" spans="1:4" x14ac:dyDescent="0.35">
      <c r="A1037" s="160"/>
      <c r="B1037" s="160"/>
      <c r="C1037" s="191"/>
      <c r="D1037" s="160"/>
    </row>
    <row r="1038" spans="1:4" x14ac:dyDescent="0.35">
      <c r="A1038" s="160"/>
      <c r="B1038" s="160"/>
      <c r="C1038" s="191"/>
      <c r="D1038" s="160"/>
    </row>
    <row r="1039" spans="1:4" x14ac:dyDescent="0.35">
      <c r="A1039" s="160"/>
      <c r="B1039" s="160"/>
      <c r="C1039" s="191"/>
      <c r="D1039" s="160"/>
    </row>
    <row r="1040" spans="1:4" x14ac:dyDescent="0.35">
      <c r="A1040" s="160"/>
      <c r="B1040" s="160"/>
      <c r="C1040" s="191"/>
      <c r="D1040" s="160"/>
    </row>
    <row r="1041" spans="1:4" x14ac:dyDescent="0.35">
      <c r="A1041" s="160"/>
      <c r="B1041" s="160"/>
      <c r="C1041" s="191"/>
      <c r="D1041" s="160"/>
    </row>
    <row r="1042" spans="1:4" x14ac:dyDescent="0.35">
      <c r="A1042" s="160"/>
      <c r="B1042" s="160"/>
      <c r="C1042" s="191"/>
      <c r="D1042" s="160"/>
    </row>
    <row r="1043" spans="1:4" x14ac:dyDescent="0.35">
      <c r="A1043" s="160"/>
      <c r="B1043" s="160"/>
      <c r="C1043" s="191"/>
      <c r="D1043" s="160"/>
    </row>
    <row r="1044" spans="1:4" x14ac:dyDescent="0.35">
      <c r="A1044" s="160"/>
      <c r="B1044" s="160"/>
      <c r="C1044" s="191"/>
      <c r="D1044" s="160"/>
    </row>
    <row r="1045" spans="1:4" x14ac:dyDescent="0.35">
      <c r="A1045" s="160"/>
      <c r="B1045" s="160"/>
      <c r="C1045" s="191"/>
      <c r="D1045" s="160"/>
    </row>
    <row r="1046" spans="1:4" x14ac:dyDescent="0.35">
      <c r="A1046" s="160"/>
      <c r="B1046" s="160"/>
      <c r="C1046" s="191"/>
      <c r="D1046" s="160"/>
    </row>
    <row r="1047" spans="1:4" x14ac:dyDescent="0.35">
      <c r="A1047" s="160"/>
      <c r="B1047" s="160"/>
      <c r="C1047" s="191"/>
      <c r="D1047" s="160"/>
    </row>
    <row r="1048" spans="1:4" x14ac:dyDescent="0.35">
      <c r="A1048" s="160"/>
      <c r="B1048" s="160"/>
      <c r="C1048" s="191"/>
      <c r="D1048" s="160"/>
    </row>
    <row r="1049" spans="1:4" x14ac:dyDescent="0.35">
      <c r="A1049" s="160"/>
      <c r="B1049" s="160"/>
      <c r="C1049" s="191"/>
      <c r="D1049" s="160"/>
    </row>
    <row r="1050" spans="1:4" x14ac:dyDescent="0.35">
      <c r="A1050" s="160"/>
      <c r="B1050" s="160"/>
      <c r="C1050" s="191"/>
      <c r="D1050" s="160"/>
    </row>
    <row r="1051" spans="1:4" x14ac:dyDescent="0.35">
      <c r="A1051" s="160"/>
      <c r="B1051" s="160"/>
      <c r="C1051" s="191"/>
      <c r="D1051" s="160"/>
    </row>
    <row r="1052" spans="1:4" x14ac:dyDescent="0.35">
      <c r="A1052" s="160"/>
      <c r="B1052" s="160"/>
      <c r="C1052" s="191"/>
      <c r="D1052" s="160"/>
    </row>
    <row r="1053" spans="1:4" x14ac:dyDescent="0.35">
      <c r="A1053" s="160"/>
      <c r="B1053" s="160"/>
      <c r="C1053" s="191"/>
      <c r="D1053" s="160"/>
    </row>
    <row r="1054" spans="1:4" x14ac:dyDescent="0.35">
      <c r="A1054" s="160"/>
      <c r="B1054" s="160"/>
      <c r="C1054" s="191"/>
      <c r="D1054" s="160"/>
    </row>
    <row r="1055" spans="1:4" x14ac:dyDescent="0.35">
      <c r="A1055" s="160"/>
      <c r="B1055" s="160"/>
      <c r="C1055" s="191"/>
      <c r="D1055" s="160"/>
    </row>
    <row r="1056" spans="1:4" x14ac:dyDescent="0.35">
      <c r="A1056" s="160"/>
      <c r="B1056" s="160"/>
      <c r="C1056" s="191"/>
      <c r="D1056" s="160"/>
    </row>
    <row r="1057" spans="1:4" x14ac:dyDescent="0.35">
      <c r="A1057" s="160"/>
      <c r="B1057" s="160"/>
      <c r="C1057" s="191"/>
      <c r="D1057" s="160"/>
    </row>
    <row r="1058" spans="1:4" x14ac:dyDescent="0.35">
      <c r="A1058" s="160"/>
      <c r="B1058" s="160"/>
      <c r="C1058" s="191"/>
      <c r="D1058" s="160"/>
    </row>
    <row r="1059" spans="1:4" x14ac:dyDescent="0.35">
      <c r="A1059" s="160"/>
      <c r="B1059" s="160"/>
      <c r="C1059" s="191"/>
      <c r="D1059" s="160"/>
    </row>
    <row r="1060" spans="1:4" x14ac:dyDescent="0.35">
      <c r="A1060" s="160"/>
      <c r="B1060" s="160"/>
      <c r="C1060" s="191"/>
      <c r="D1060" s="160"/>
    </row>
    <row r="1061" spans="1:4" x14ac:dyDescent="0.35">
      <c r="A1061" s="160"/>
      <c r="B1061" s="160"/>
      <c r="C1061" s="191"/>
      <c r="D1061" s="160"/>
    </row>
    <row r="1062" spans="1:4" x14ac:dyDescent="0.35">
      <c r="A1062" s="160"/>
      <c r="B1062" s="160"/>
      <c r="C1062" s="191"/>
      <c r="D1062" s="160"/>
    </row>
    <row r="1063" spans="1:4" x14ac:dyDescent="0.35">
      <c r="A1063" s="160"/>
      <c r="B1063" s="160"/>
      <c r="C1063" s="191"/>
      <c r="D1063" s="160"/>
    </row>
    <row r="1064" spans="1:4" x14ac:dyDescent="0.35">
      <c r="A1064" s="160"/>
      <c r="B1064" s="160"/>
      <c r="C1064" s="191"/>
      <c r="D1064" s="160"/>
    </row>
    <row r="1065" spans="1:4" x14ac:dyDescent="0.35">
      <c r="A1065" s="160"/>
      <c r="B1065" s="160"/>
      <c r="C1065" s="191"/>
      <c r="D1065" s="160"/>
    </row>
    <row r="1066" spans="1:4" x14ac:dyDescent="0.35">
      <c r="A1066" s="160"/>
      <c r="B1066" s="160"/>
      <c r="C1066" s="191"/>
      <c r="D1066" s="160"/>
    </row>
    <row r="1067" spans="1:4" x14ac:dyDescent="0.35">
      <c r="A1067" s="160"/>
      <c r="B1067" s="160"/>
      <c r="C1067" s="191"/>
      <c r="D1067" s="160"/>
    </row>
    <row r="1068" spans="1:4" x14ac:dyDescent="0.35">
      <c r="A1068" s="160"/>
      <c r="B1068" s="160"/>
      <c r="C1068" s="191"/>
      <c r="D1068" s="160"/>
    </row>
    <row r="1069" spans="1:4" x14ac:dyDescent="0.35">
      <c r="A1069" s="160"/>
      <c r="B1069" s="160"/>
      <c r="C1069" s="191"/>
      <c r="D1069" s="160"/>
    </row>
    <row r="1070" spans="1:4" x14ac:dyDescent="0.35">
      <c r="A1070" s="160"/>
      <c r="B1070" s="160"/>
      <c r="C1070" s="191"/>
      <c r="D1070" s="160"/>
    </row>
    <row r="1071" spans="1:4" x14ac:dyDescent="0.35">
      <c r="A1071" s="160"/>
      <c r="B1071" s="160"/>
      <c r="C1071" s="191"/>
      <c r="D1071" s="160"/>
    </row>
    <row r="1072" spans="1:4" x14ac:dyDescent="0.35">
      <c r="A1072" s="160"/>
      <c r="B1072" s="160"/>
      <c r="C1072" s="191"/>
      <c r="D1072" s="160"/>
    </row>
    <row r="1073" spans="1:4" x14ac:dyDescent="0.35">
      <c r="A1073" s="160"/>
      <c r="B1073" s="160"/>
      <c r="C1073" s="191"/>
      <c r="D1073" s="160"/>
    </row>
    <row r="1074" spans="1:4" x14ac:dyDescent="0.35">
      <c r="A1074" s="160"/>
      <c r="B1074" s="160"/>
      <c r="C1074" s="191"/>
      <c r="D1074" s="160"/>
    </row>
    <row r="1075" spans="1:4" x14ac:dyDescent="0.35">
      <c r="A1075" s="160"/>
      <c r="B1075" s="160"/>
      <c r="C1075" s="191"/>
      <c r="D1075" s="160"/>
    </row>
    <row r="1076" spans="1:4" x14ac:dyDescent="0.35">
      <c r="A1076" s="160"/>
      <c r="B1076" s="160"/>
      <c r="C1076" s="191"/>
      <c r="D1076" s="160"/>
    </row>
    <row r="1077" spans="1:4" x14ac:dyDescent="0.35">
      <c r="A1077" s="160"/>
      <c r="B1077" s="160"/>
      <c r="C1077" s="191"/>
      <c r="D1077" s="160"/>
    </row>
    <row r="1078" spans="1:4" x14ac:dyDescent="0.35">
      <c r="A1078" s="160"/>
      <c r="B1078" s="160"/>
      <c r="C1078" s="191"/>
      <c r="D1078" s="160"/>
    </row>
    <row r="1079" spans="1:4" x14ac:dyDescent="0.35">
      <c r="A1079" s="160"/>
      <c r="B1079" s="160"/>
      <c r="C1079" s="191"/>
      <c r="D1079" s="160"/>
    </row>
    <row r="1080" spans="1:4" x14ac:dyDescent="0.35">
      <c r="A1080" s="160"/>
      <c r="B1080" s="160"/>
      <c r="C1080" s="191"/>
      <c r="D1080" s="160"/>
    </row>
    <row r="1081" spans="1:4" x14ac:dyDescent="0.35">
      <c r="A1081" s="160"/>
      <c r="B1081" s="160"/>
      <c r="C1081" s="191"/>
      <c r="D1081" s="160"/>
    </row>
    <row r="1082" spans="1:4" x14ac:dyDescent="0.35">
      <c r="A1082" s="160"/>
      <c r="B1082" s="160"/>
      <c r="C1082" s="191"/>
      <c r="D1082" s="160"/>
    </row>
    <row r="1083" spans="1:4" x14ac:dyDescent="0.35">
      <c r="A1083" s="160"/>
      <c r="B1083" s="160"/>
      <c r="C1083" s="191"/>
      <c r="D1083" s="160"/>
    </row>
    <row r="1084" spans="1:4" x14ac:dyDescent="0.35">
      <c r="A1084" s="160"/>
      <c r="B1084" s="160"/>
      <c r="C1084" s="191"/>
      <c r="D1084" s="160"/>
    </row>
    <row r="1085" spans="1:4" x14ac:dyDescent="0.35">
      <c r="A1085" s="160"/>
      <c r="B1085" s="160"/>
      <c r="C1085" s="191"/>
      <c r="D1085" s="160"/>
    </row>
    <row r="1086" spans="1:4" x14ac:dyDescent="0.35">
      <c r="A1086" s="160"/>
      <c r="B1086" s="160"/>
      <c r="C1086" s="191"/>
      <c r="D1086" s="160"/>
    </row>
    <row r="1087" spans="1:4" x14ac:dyDescent="0.35">
      <c r="A1087" s="160"/>
      <c r="B1087" s="160"/>
      <c r="C1087" s="191"/>
      <c r="D1087" s="160"/>
    </row>
    <row r="1088" spans="1:4" x14ac:dyDescent="0.35">
      <c r="A1088" s="160"/>
      <c r="B1088" s="160"/>
      <c r="C1088" s="191"/>
      <c r="D1088" s="160"/>
    </row>
    <row r="1089" spans="1:4" x14ac:dyDescent="0.35">
      <c r="A1089" s="160"/>
      <c r="B1089" s="160"/>
      <c r="C1089" s="191"/>
      <c r="D1089" s="160"/>
    </row>
    <row r="1090" spans="1:4" x14ac:dyDescent="0.35">
      <c r="A1090" s="160"/>
      <c r="B1090" s="160"/>
      <c r="C1090" s="191"/>
      <c r="D1090" s="160"/>
    </row>
    <row r="1091" spans="1:4" x14ac:dyDescent="0.35">
      <c r="A1091" s="160"/>
      <c r="B1091" s="160"/>
      <c r="C1091" s="191"/>
      <c r="D1091" s="160"/>
    </row>
    <row r="1092" spans="1:4" x14ac:dyDescent="0.35">
      <c r="A1092" s="160"/>
      <c r="B1092" s="160"/>
      <c r="C1092" s="191"/>
      <c r="D1092" s="160"/>
    </row>
    <row r="1093" spans="1:4" x14ac:dyDescent="0.35">
      <c r="A1093" s="160"/>
      <c r="B1093" s="160"/>
      <c r="C1093" s="191"/>
      <c r="D1093" s="160"/>
    </row>
    <row r="1094" spans="1:4" x14ac:dyDescent="0.35">
      <c r="A1094" s="160"/>
      <c r="B1094" s="160"/>
      <c r="C1094" s="191"/>
      <c r="D1094" s="160"/>
    </row>
    <row r="1095" spans="1:4" x14ac:dyDescent="0.35">
      <c r="A1095" s="160"/>
      <c r="B1095" s="160"/>
      <c r="C1095" s="191"/>
      <c r="D1095" s="160"/>
    </row>
    <row r="1096" spans="1:4" x14ac:dyDescent="0.35">
      <c r="A1096" s="160"/>
      <c r="B1096" s="160"/>
      <c r="C1096" s="191"/>
      <c r="D1096" s="160"/>
    </row>
    <row r="1097" spans="1:4" x14ac:dyDescent="0.35">
      <c r="A1097" s="160"/>
      <c r="B1097" s="160"/>
      <c r="C1097" s="191"/>
      <c r="D1097" s="160"/>
    </row>
    <row r="1098" spans="1:4" x14ac:dyDescent="0.35">
      <c r="A1098" s="160"/>
      <c r="B1098" s="160"/>
      <c r="C1098" s="191"/>
      <c r="D1098" s="160"/>
    </row>
    <row r="1099" spans="1:4" x14ac:dyDescent="0.35">
      <c r="A1099" s="160"/>
      <c r="B1099" s="160"/>
      <c r="C1099" s="191"/>
      <c r="D1099" s="160"/>
    </row>
    <row r="1100" spans="1:4" x14ac:dyDescent="0.35">
      <c r="A1100" s="160"/>
      <c r="B1100" s="160"/>
      <c r="C1100" s="191"/>
      <c r="D1100" s="160"/>
    </row>
    <row r="1101" spans="1:4" x14ac:dyDescent="0.35">
      <c r="A1101" s="160"/>
      <c r="B1101" s="160"/>
      <c r="C1101" s="191"/>
      <c r="D1101" s="160"/>
    </row>
    <row r="1102" spans="1:4" x14ac:dyDescent="0.35">
      <c r="A1102" s="160"/>
      <c r="B1102" s="160"/>
      <c r="C1102" s="191"/>
      <c r="D1102" s="160"/>
    </row>
    <row r="1103" spans="1:4" x14ac:dyDescent="0.35">
      <c r="A1103" s="160"/>
      <c r="B1103" s="160"/>
      <c r="C1103" s="191"/>
      <c r="D1103" s="160"/>
    </row>
    <row r="1104" spans="1:4" x14ac:dyDescent="0.35">
      <c r="A1104" s="160"/>
      <c r="B1104" s="160"/>
      <c r="C1104" s="191"/>
      <c r="D1104" s="160"/>
    </row>
    <row r="1105" spans="1:4" x14ac:dyDescent="0.35">
      <c r="A1105" s="160"/>
      <c r="B1105" s="160"/>
      <c r="C1105" s="191"/>
      <c r="D1105" s="160"/>
    </row>
    <row r="1106" spans="1:4" x14ac:dyDescent="0.35">
      <c r="A1106" s="160"/>
      <c r="B1106" s="160"/>
      <c r="C1106" s="191"/>
      <c r="D1106" s="160"/>
    </row>
    <row r="1107" spans="1:4" x14ac:dyDescent="0.35">
      <c r="A1107" s="160"/>
      <c r="B1107" s="160"/>
      <c r="C1107" s="191"/>
      <c r="D1107" s="160"/>
    </row>
    <row r="1108" spans="1:4" x14ac:dyDescent="0.35">
      <c r="A1108" s="160"/>
      <c r="B1108" s="160"/>
      <c r="C1108" s="191"/>
      <c r="D1108" s="160"/>
    </row>
    <row r="1109" spans="1:4" x14ac:dyDescent="0.35">
      <c r="A1109" s="160"/>
      <c r="B1109" s="160"/>
      <c r="C1109" s="191"/>
      <c r="D1109" s="160"/>
    </row>
    <row r="1110" spans="1:4" x14ac:dyDescent="0.35">
      <c r="A1110" s="160"/>
      <c r="B1110" s="160"/>
      <c r="C1110" s="191"/>
      <c r="D1110" s="160"/>
    </row>
    <row r="1111" spans="1:4" x14ac:dyDescent="0.35">
      <c r="A1111" s="160"/>
      <c r="B1111" s="160"/>
      <c r="C1111" s="191"/>
      <c r="D1111" s="160"/>
    </row>
    <row r="1112" spans="1:4" x14ac:dyDescent="0.35">
      <c r="A1112" s="160"/>
      <c r="B1112" s="160"/>
      <c r="C1112" s="191"/>
      <c r="D1112" s="160"/>
    </row>
    <row r="1113" spans="1:4" x14ac:dyDescent="0.35">
      <c r="A1113" s="160"/>
      <c r="B1113" s="160"/>
      <c r="C1113" s="191"/>
      <c r="D1113" s="160"/>
    </row>
    <row r="1114" spans="1:4" x14ac:dyDescent="0.35">
      <c r="A1114" s="160"/>
      <c r="B1114" s="160"/>
      <c r="C1114" s="191"/>
      <c r="D1114" s="160"/>
    </row>
    <row r="1115" spans="1:4" x14ac:dyDescent="0.35">
      <c r="A1115" s="160"/>
      <c r="B1115" s="160"/>
      <c r="C1115" s="191"/>
      <c r="D1115" s="160"/>
    </row>
    <row r="1116" spans="1:4" x14ac:dyDescent="0.35">
      <c r="A1116" s="160"/>
      <c r="B1116" s="160"/>
      <c r="C1116" s="191"/>
      <c r="D1116" s="160"/>
    </row>
    <row r="1117" spans="1:4" x14ac:dyDescent="0.35">
      <c r="A1117" s="160"/>
      <c r="B1117" s="160"/>
      <c r="C1117" s="191"/>
      <c r="D1117" s="160"/>
    </row>
    <row r="1118" spans="1:4" x14ac:dyDescent="0.35">
      <c r="A1118" s="160"/>
      <c r="B1118" s="160"/>
      <c r="C1118" s="191"/>
      <c r="D1118" s="160"/>
    </row>
    <row r="1119" spans="1:4" x14ac:dyDescent="0.35">
      <c r="A1119" s="160"/>
      <c r="B1119" s="160"/>
      <c r="C1119" s="191"/>
      <c r="D1119" s="160"/>
    </row>
    <row r="1120" spans="1:4" x14ac:dyDescent="0.35">
      <c r="A1120" s="160"/>
      <c r="B1120" s="160"/>
      <c r="C1120" s="191"/>
      <c r="D1120" s="160"/>
    </row>
    <row r="1121" spans="1:4" x14ac:dyDescent="0.35">
      <c r="A1121" s="160"/>
      <c r="B1121" s="160"/>
      <c r="C1121" s="191"/>
      <c r="D1121" s="160"/>
    </row>
    <row r="1122" spans="1:4" x14ac:dyDescent="0.35">
      <c r="A1122" s="160"/>
      <c r="B1122" s="160"/>
      <c r="C1122" s="191"/>
      <c r="D1122" s="160"/>
    </row>
    <row r="1123" spans="1:4" x14ac:dyDescent="0.35">
      <c r="A1123" s="160"/>
      <c r="B1123" s="160"/>
      <c r="C1123" s="191"/>
      <c r="D1123" s="160"/>
    </row>
    <row r="1124" spans="1:4" x14ac:dyDescent="0.35">
      <c r="A1124" s="160"/>
      <c r="B1124" s="160"/>
      <c r="C1124" s="191"/>
      <c r="D1124" s="160"/>
    </row>
    <row r="1125" spans="1:4" x14ac:dyDescent="0.35">
      <c r="A1125" s="160"/>
      <c r="B1125" s="160"/>
      <c r="C1125" s="191"/>
      <c r="D1125" s="160"/>
    </row>
    <row r="1126" spans="1:4" x14ac:dyDescent="0.35">
      <c r="A1126" s="160"/>
      <c r="B1126" s="160"/>
      <c r="C1126" s="191"/>
      <c r="D1126" s="160"/>
    </row>
    <row r="1127" spans="1:4" x14ac:dyDescent="0.35">
      <c r="A1127" s="160"/>
      <c r="B1127" s="160"/>
      <c r="C1127" s="191"/>
      <c r="D1127" s="160"/>
    </row>
    <row r="1128" spans="1:4" x14ac:dyDescent="0.35">
      <c r="A1128" s="160"/>
      <c r="B1128" s="160"/>
      <c r="C1128" s="191"/>
      <c r="D1128" s="160"/>
    </row>
    <row r="1129" spans="1:4" x14ac:dyDescent="0.35">
      <c r="A1129" s="160"/>
      <c r="B1129" s="160"/>
      <c r="C1129" s="191"/>
      <c r="D1129" s="160"/>
    </row>
    <row r="1130" spans="1:4" x14ac:dyDescent="0.35">
      <c r="A1130" s="160"/>
      <c r="B1130" s="160"/>
      <c r="C1130" s="191"/>
      <c r="D1130" s="160"/>
    </row>
    <row r="1131" spans="1:4" x14ac:dyDescent="0.35">
      <c r="A1131" s="160"/>
      <c r="B1131" s="160"/>
      <c r="C1131" s="191"/>
      <c r="D1131" s="160"/>
    </row>
    <row r="1132" spans="1:4" x14ac:dyDescent="0.35">
      <c r="A1132" s="160"/>
      <c r="B1132" s="160"/>
      <c r="C1132" s="191"/>
      <c r="D1132" s="160"/>
    </row>
    <row r="1133" spans="1:4" x14ac:dyDescent="0.35">
      <c r="A1133" s="160"/>
      <c r="B1133" s="160"/>
      <c r="C1133" s="191"/>
      <c r="D1133" s="160"/>
    </row>
    <row r="1134" spans="1:4" x14ac:dyDescent="0.35">
      <c r="A1134" s="160"/>
      <c r="B1134" s="160"/>
      <c r="C1134" s="191"/>
      <c r="D1134" s="160"/>
    </row>
    <row r="1135" spans="1:4" x14ac:dyDescent="0.35">
      <c r="A1135" s="160"/>
      <c r="B1135" s="160"/>
      <c r="C1135" s="191"/>
      <c r="D1135" s="160"/>
    </row>
    <row r="1136" spans="1:4" x14ac:dyDescent="0.35">
      <c r="A1136" s="160"/>
      <c r="B1136" s="160"/>
      <c r="C1136" s="191"/>
      <c r="D1136" s="160"/>
    </row>
    <row r="1137" spans="1:4" x14ac:dyDescent="0.35">
      <c r="A1137" s="160"/>
      <c r="B1137" s="160"/>
      <c r="C1137" s="191"/>
      <c r="D1137" s="160"/>
    </row>
    <row r="1138" spans="1:4" x14ac:dyDescent="0.35">
      <c r="A1138" s="160"/>
      <c r="B1138" s="160"/>
      <c r="C1138" s="191"/>
      <c r="D1138" s="160"/>
    </row>
    <row r="1139" spans="1:4" x14ac:dyDescent="0.35">
      <c r="A1139" s="160"/>
      <c r="B1139" s="160"/>
      <c r="C1139" s="191"/>
      <c r="D1139" s="160"/>
    </row>
    <row r="1140" spans="1:4" x14ac:dyDescent="0.35">
      <c r="A1140" s="160"/>
      <c r="B1140" s="160"/>
      <c r="C1140" s="191"/>
      <c r="D1140" s="160"/>
    </row>
    <row r="1141" spans="1:4" x14ac:dyDescent="0.35">
      <c r="A1141" s="160"/>
      <c r="B1141" s="160"/>
      <c r="C1141" s="191"/>
      <c r="D1141" s="160"/>
    </row>
    <row r="1142" spans="1:4" x14ac:dyDescent="0.35">
      <c r="A1142" s="160"/>
      <c r="B1142" s="160"/>
      <c r="C1142" s="191"/>
      <c r="D1142" s="160"/>
    </row>
    <row r="1143" spans="1:4" x14ac:dyDescent="0.35">
      <c r="A1143" s="160"/>
      <c r="B1143" s="160"/>
      <c r="C1143" s="191"/>
      <c r="D1143" s="160"/>
    </row>
    <row r="1144" spans="1:4" x14ac:dyDescent="0.35">
      <c r="A1144" s="160"/>
      <c r="B1144" s="160"/>
      <c r="C1144" s="191"/>
      <c r="D1144" s="160"/>
    </row>
    <row r="1145" spans="1:4" x14ac:dyDescent="0.35">
      <c r="A1145" s="160"/>
      <c r="B1145" s="160"/>
      <c r="C1145" s="191"/>
      <c r="D1145" s="160"/>
    </row>
    <row r="1146" spans="1:4" x14ac:dyDescent="0.35">
      <c r="A1146" s="160"/>
      <c r="B1146" s="160"/>
      <c r="C1146" s="191"/>
      <c r="D1146" s="160"/>
    </row>
    <row r="1147" spans="1:4" x14ac:dyDescent="0.35">
      <c r="A1147" s="160"/>
      <c r="B1147" s="160"/>
      <c r="C1147" s="191"/>
      <c r="D1147" s="160"/>
    </row>
    <row r="1148" spans="1:4" x14ac:dyDescent="0.35">
      <c r="A1148" s="160"/>
      <c r="B1148" s="160"/>
      <c r="C1148" s="191"/>
      <c r="D1148" s="160"/>
    </row>
    <row r="1149" spans="1:4" x14ac:dyDescent="0.35">
      <c r="A1149" s="160"/>
      <c r="B1149" s="160"/>
      <c r="C1149" s="191"/>
      <c r="D1149" s="160"/>
    </row>
    <row r="1150" spans="1:4" x14ac:dyDescent="0.35">
      <c r="A1150" s="160"/>
      <c r="B1150" s="160"/>
      <c r="C1150" s="191"/>
      <c r="D1150" s="160"/>
    </row>
    <row r="1151" spans="1:4" x14ac:dyDescent="0.35">
      <c r="A1151" s="160"/>
      <c r="B1151" s="160"/>
      <c r="C1151" s="191"/>
      <c r="D1151" s="160"/>
    </row>
    <row r="1152" spans="1:4" x14ac:dyDescent="0.35">
      <c r="A1152" s="160"/>
      <c r="B1152" s="160"/>
      <c r="C1152" s="191"/>
      <c r="D1152" s="160"/>
    </row>
    <row r="1153" spans="1:4" x14ac:dyDescent="0.35">
      <c r="A1153" s="160"/>
      <c r="B1153" s="160"/>
      <c r="C1153" s="191"/>
      <c r="D1153" s="160"/>
    </row>
    <row r="1154" spans="1:4" x14ac:dyDescent="0.35">
      <c r="A1154" s="160"/>
      <c r="B1154" s="160"/>
      <c r="C1154" s="191"/>
      <c r="D1154" s="160"/>
    </row>
    <row r="1155" spans="1:4" x14ac:dyDescent="0.35">
      <c r="A1155" s="160"/>
      <c r="B1155" s="160"/>
      <c r="C1155" s="191"/>
      <c r="D1155" s="160"/>
    </row>
    <row r="1156" spans="1:4" x14ac:dyDescent="0.35">
      <c r="A1156" s="160"/>
      <c r="B1156" s="160"/>
      <c r="C1156" s="191"/>
      <c r="D1156" s="160"/>
    </row>
    <row r="1157" spans="1:4" x14ac:dyDescent="0.35">
      <c r="A1157" s="160"/>
      <c r="B1157" s="160"/>
      <c r="C1157" s="191"/>
      <c r="D1157" s="160"/>
    </row>
    <row r="1158" spans="1:4" x14ac:dyDescent="0.35">
      <c r="A1158" s="160"/>
      <c r="B1158" s="160"/>
      <c r="C1158" s="191"/>
      <c r="D1158" s="160"/>
    </row>
    <row r="1159" spans="1:4" x14ac:dyDescent="0.35">
      <c r="A1159" s="160"/>
      <c r="B1159" s="160"/>
      <c r="C1159" s="191"/>
      <c r="D1159" s="160"/>
    </row>
    <row r="1160" spans="1:4" x14ac:dyDescent="0.35">
      <c r="A1160" s="160"/>
      <c r="B1160" s="160"/>
      <c r="C1160" s="191"/>
      <c r="D1160" s="160"/>
    </row>
    <row r="1161" spans="1:4" x14ac:dyDescent="0.35">
      <c r="A1161" s="160"/>
      <c r="B1161" s="160"/>
      <c r="C1161" s="191"/>
      <c r="D1161" s="160"/>
    </row>
    <row r="1162" spans="1:4" x14ac:dyDescent="0.35">
      <c r="A1162" s="160"/>
      <c r="B1162" s="160"/>
      <c r="C1162" s="191"/>
      <c r="D1162" s="160"/>
    </row>
    <row r="1163" spans="1:4" x14ac:dyDescent="0.35">
      <c r="A1163" s="160"/>
      <c r="B1163" s="160"/>
      <c r="C1163" s="191"/>
      <c r="D1163" s="160"/>
    </row>
    <row r="1164" spans="1:4" x14ac:dyDescent="0.35">
      <c r="A1164" s="160"/>
      <c r="B1164" s="160"/>
      <c r="C1164" s="191"/>
      <c r="D1164" s="160"/>
    </row>
    <row r="1165" spans="1:4" x14ac:dyDescent="0.35">
      <c r="A1165" s="160"/>
      <c r="B1165" s="160"/>
      <c r="C1165" s="191"/>
      <c r="D1165" s="160"/>
    </row>
    <row r="1166" spans="1:4" x14ac:dyDescent="0.35">
      <c r="A1166" s="160"/>
      <c r="B1166" s="160"/>
      <c r="C1166" s="191"/>
      <c r="D1166" s="160"/>
    </row>
    <row r="1167" spans="1:4" x14ac:dyDescent="0.35">
      <c r="A1167" s="160"/>
      <c r="B1167" s="160"/>
      <c r="C1167" s="191"/>
      <c r="D1167" s="160"/>
    </row>
    <row r="1168" spans="1:4" x14ac:dyDescent="0.35">
      <c r="A1168" s="160"/>
      <c r="B1168" s="160"/>
      <c r="C1168" s="191"/>
      <c r="D1168" s="160"/>
    </row>
    <row r="1169" spans="1:4" x14ac:dyDescent="0.35">
      <c r="A1169" s="160"/>
      <c r="B1169" s="160"/>
      <c r="C1169" s="191"/>
      <c r="D1169" s="160"/>
    </row>
    <row r="1170" spans="1:4" x14ac:dyDescent="0.35">
      <c r="A1170" s="160"/>
      <c r="B1170" s="160"/>
      <c r="C1170" s="191"/>
      <c r="D1170" s="160"/>
    </row>
    <row r="1171" spans="1:4" x14ac:dyDescent="0.35">
      <c r="A1171" s="160"/>
      <c r="B1171" s="160"/>
      <c r="C1171" s="191"/>
      <c r="D1171" s="160"/>
    </row>
    <row r="1172" spans="1:4" x14ac:dyDescent="0.35">
      <c r="A1172" s="160"/>
      <c r="B1172" s="160"/>
      <c r="C1172" s="191"/>
      <c r="D1172" s="160"/>
    </row>
    <row r="1173" spans="1:4" x14ac:dyDescent="0.35">
      <c r="A1173" s="160"/>
      <c r="B1173" s="160"/>
      <c r="C1173" s="191"/>
      <c r="D1173" s="160"/>
    </row>
    <row r="1174" spans="1:4" x14ac:dyDescent="0.35">
      <c r="A1174" s="160"/>
      <c r="B1174" s="160"/>
      <c r="C1174" s="191"/>
      <c r="D1174" s="160"/>
    </row>
    <row r="1175" spans="1:4" x14ac:dyDescent="0.35">
      <c r="A1175" s="160"/>
      <c r="B1175" s="160"/>
      <c r="C1175" s="191"/>
      <c r="D1175" s="160"/>
    </row>
    <row r="1176" spans="1:4" x14ac:dyDescent="0.35">
      <c r="A1176" s="160"/>
      <c r="B1176" s="160"/>
      <c r="C1176" s="191"/>
      <c r="D1176" s="160"/>
    </row>
    <row r="1177" spans="1:4" x14ac:dyDescent="0.35">
      <c r="A1177" s="160"/>
      <c r="B1177" s="160"/>
      <c r="C1177" s="191"/>
      <c r="D1177" s="160"/>
    </row>
    <row r="1178" spans="1:4" x14ac:dyDescent="0.35">
      <c r="A1178" s="160"/>
      <c r="B1178" s="160"/>
      <c r="C1178" s="191"/>
      <c r="D1178" s="160"/>
    </row>
    <row r="1179" spans="1:4" x14ac:dyDescent="0.35">
      <c r="A1179" s="160"/>
      <c r="B1179" s="160"/>
      <c r="C1179" s="191"/>
      <c r="D1179" s="160"/>
    </row>
    <row r="1180" spans="1:4" x14ac:dyDescent="0.35">
      <c r="A1180" s="160"/>
      <c r="B1180" s="160"/>
      <c r="C1180" s="191"/>
      <c r="D1180" s="160"/>
    </row>
    <row r="1181" spans="1:4" x14ac:dyDescent="0.35">
      <c r="A1181" s="160"/>
      <c r="B1181" s="160"/>
      <c r="C1181" s="191"/>
      <c r="D1181" s="160"/>
    </row>
    <row r="1182" spans="1:4" x14ac:dyDescent="0.35">
      <c r="A1182" s="160"/>
      <c r="B1182" s="160"/>
      <c r="C1182" s="191"/>
      <c r="D1182" s="160"/>
    </row>
    <row r="1183" spans="1:4" x14ac:dyDescent="0.35">
      <c r="A1183" s="160"/>
      <c r="B1183" s="160"/>
      <c r="C1183" s="191"/>
      <c r="D1183" s="160"/>
    </row>
    <row r="1184" spans="1:4" x14ac:dyDescent="0.35">
      <c r="A1184" s="160"/>
      <c r="B1184" s="160"/>
      <c r="C1184" s="191"/>
      <c r="D1184" s="160"/>
    </row>
    <row r="1185" spans="1:4" x14ac:dyDescent="0.35">
      <c r="A1185" s="160"/>
      <c r="B1185" s="160"/>
      <c r="C1185" s="191"/>
      <c r="D1185" s="160"/>
    </row>
    <row r="1186" spans="1:4" x14ac:dyDescent="0.35">
      <c r="A1186" s="160"/>
      <c r="B1186" s="160"/>
      <c r="C1186" s="191"/>
      <c r="D1186" s="160"/>
    </row>
    <row r="1187" spans="1:4" x14ac:dyDescent="0.35">
      <c r="A1187" s="160"/>
      <c r="B1187" s="160"/>
      <c r="C1187" s="191"/>
      <c r="D1187" s="160"/>
    </row>
    <row r="1188" spans="1:4" x14ac:dyDescent="0.35">
      <c r="A1188" s="160"/>
      <c r="B1188" s="160"/>
      <c r="C1188" s="191"/>
      <c r="D1188" s="160"/>
    </row>
    <row r="1189" spans="1:4" x14ac:dyDescent="0.35">
      <c r="A1189" s="160"/>
      <c r="B1189" s="160"/>
      <c r="C1189" s="191"/>
      <c r="D1189" s="160"/>
    </row>
    <row r="1190" spans="1:4" x14ac:dyDescent="0.35">
      <c r="A1190" s="160"/>
      <c r="B1190" s="160"/>
      <c r="C1190" s="191"/>
      <c r="D1190" s="160"/>
    </row>
    <row r="1191" spans="1:4" x14ac:dyDescent="0.35">
      <c r="A1191" s="160"/>
      <c r="B1191" s="160"/>
      <c r="C1191" s="191"/>
      <c r="D1191" s="160"/>
    </row>
    <row r="1192" spans="1:4" x14ac:dyDescent="0.35">
      <c r="A1192" s="160"/>
      <c r="B1192" s="160"/>
      <c r="C1192" s="191"/>
      <c r="D1192" s="160"/>
    </row>
    <row r="1193" spans="1:4" x14ac:dyDescent="0.35">
      <c r="A1193" s="160"/>
      <c r="B1193" s="160"/>
      <c r="C1193" s="191"/>
      <c r="D1193" s="160"/>
    </row>
    <row r="1194" spans="1:4" x14ac:dyDescent="0.35">
      <c r="A1194" s="160"/>
      <c r="B1194" s="160"/>
      <c r="C1194" s="191"/>
      <c r="D1194" s="160"/>
    </row>
    <row r="1195" spans="1:4" x14ac:dyDescent="0.35">
      <c r="A1195" s="160"/>
      <c r="B1195" s="160"/>
      <c r="C1195" s="191"/>
      <c r="D1195" s="160"/>
    </row>
    <row r="1196" spans="1:4" x14ac:dyDescent="0.35">
      <c r="A1196" s="160"/>
      <c r="B1196" s="160"/>
      <c r="C1196" s="191"/>
      <c r="D1196" s="160"/>
    </row>
    <row r="1197" spans="1:4" x14ac:dyDescent="0.35">
      <c r="A1197" s="160"/>
      <c r="B1197" s="160"/>
      <c r="C1197" s="191"/>
      <c r="D1197" s="160"/>
    </row>
    <row r="1198" spans="1:4" x14ac:dyDescent="0.35">
      <c r="A1198" s="160"/>
      <c r="B1198" s="160"/>
      <c r="C1198" s="191"/>
      <c r="D1198" s="160"/>
    </row>
    <row r="1199" spans="1:4" x14ac:dyDescent="0.35">
      <c r="A1199" s="160"/>
      <c r="B1199" s="160"/>
      <c r="C1199" s="191"/>
      <c r="D1199" s="160"/>
    </row>
    <row r="1200" spans="1:4" x14ac:dyDescent="0.35">
      <c r="A1200" s="160"/>
      <c r="B1200" s="160"/>
      <c r="C1200" s="191"/>
      <c r="D1200" s="160"/>
    </row>
    <row r="1201" spans="1:4" x14ac:dyDescent="0.35">
      <c r="A1201" s="160"/>
      <c r="B1201" s="160"/>
      <c r="C1201" s="191"/>
      <c r="D1201" s="160"/>
    </row>
    <row r="1202" spans="1:4" x14ac:dyDescent="0.35">
      <c r="A1202" s="160"/>
      <c r="B1202" s="160"/>
      <c r="C1202" s="191"/>
      <c r="D1202" s="160"/>
    </row>
    <row r="1203" spans="1:4" x14ac:dyDescent="0.35">
      <c r="A1203" s="160"/>
      <c r="B1203" s="160"/>
      <c r="C1203" s="191"/>
      <c r="D1203" s="160"/>
    </row>
    <row r="1204" spans="1:4" x14ac:dyDescent="0.35">
      <c r="A1204" s="160"/>
      <c r="B1204" s="160"/>
      <c r="C1204" s="191"/>
      <c r="D1204" s="160"/>
    </row>
    <row r="1205" spans="1:4" x14ac:dyDescent="0.35">
      <c r="A1205" s="160"/>
      <c r="B1205" s="160"/>
      <c r="C1205" s="191"/>
      <c r="D1205" s="160"/>
    </row>
    <row r="1206" spans="1:4" x14ac:dyDescent="0.35">
      <c r="A1206" s="160"/>
      <c r="B1206" s="160"/>
      <c r="C1206" s="191"/>
      <c r="D1206" s="160"/>
    </row>
    <row r="1207" spans="1:4" x14ac:dyDescent="0.35">
      <c r="A1207" s="160"/>
      <c r="B1207" s="160"/>
      <c r="C1207" s="191"/>
      <c r="D1207" s="160"/>
    </row>
    <row r="1208" spans="1:4" x14ac:dyDescent="0.35">
      <c r="A1208" s="160"/>
      <c r="B1208" s="160"/>
      <c r="C1208" s="191"/>
      <c r="D1208" s="160"/>
    </row>
    <row r="1209" spans="1:4" x14ac:dyDescent="0.35">
      <c r="A1209" s="160"/>
      <c r="B1209" s="160"/>
      <c r="C1209" s="191"/>
      <c r="D1209" s="160"/>
    </row>
    <row r="1210" spans="1:4" x14ac:dyDescent="0.35">
      <c r="A1210" s="160"/>
      <c r="B1210" s="160"/>
      <c r="C1210" s="191"/>
      <c r="D1210" s="160"/>
    </row>
    <row r="1211" spans="1:4" x14ac:dyDescent="0.35">
      <c r="A1211" s="160"/>
      <c r="B1211" s="160"/>
      <c r="C1211" s="191"/>
      <c r="D1211" s="160"/>
    </row>
    <row r="1212" spans="1:4" x14ac:dyDescent="0.35">
      <c r="A1212" s="160"/>
      <c r="B1212" s="160"/>
      <c r="C1212" s="191"/>
      <c r="D1212" s="160"/>
    </row>
    <row r="1213" spans="1:4" x14ac:dyDescent="0.35">
      <c r="A1213" s="160"/>
      <c r="B1213" s="160"/>
      <c r="C1213" s="191"/>
      <c r="D1213" s="160"/>
    </row>
    <row r="1214" spans="1:4" x14ac:dyDescent="0.35">
      <c r="A1214" s="160"/>
      <c r="B1214" s="160"/>
      <c r="C1214" s="191"/>
      <c r="D1214" s="160"/>
    </row>
    <row r="1215" spans="1:4" x14ac:dyDescent="0.35">
      <c r="A1215" s="160"/>
      <c r="B1215" s="160"/>
      <c r="C1215" s="191"/>
      <c r="D1215" s="160"/>
    </row>
    <row r="1216" spans="1:4" x14ac:dyDescent="0.35">
      <c r="A1216" s="160"/>
      <c r="B1216" s="160"/>
      <c r="C1216" s="191"/>
      <c r="D1216" s="160"/>
    </row>
    <row r="1217" spans="1:4" x14ac:dyDescent="0.35">
      <c r="A1217" s="160"/>
      <c r="B1217" s="160"/>
      <c r="C1217" s="191"/>
      <c r="D1217" s="160"/>
    </row>
    <row r="1218" spans="1:4" x14ac:dyDescent="0.35">
      <c r="A1218" s="160"/>
      <c r="B1218" s="160"/>
      <c r="C1218" s="191"/>
      <c r="D1218" s="160"/>
    </row>
    <row r="1219" spans="1:4" x14ac:dyDescent="0.35">
      <c r="A1219" s="160"/>
      <c r="B1219" s="160"/>
      <c r="C1219" s="191"/>
      <c r="D1219" s="160"/>
    </row>
    <row r="1220" spans="1:4" x14ac:dyDescent="0.35">
      <c r="A1220" s="160"/>
      <c r="B1220" s="160"/>
      <c r="C1220" s="191"/>
      <c r="D1220" s="160"/>
    </row>
    <row r="1221" spans="1:4" x14ac:dyDescent="0.35">
      <c r="A1221" s="160"/>
      <c r="B1221" s="160"/>
      <c r="C1221" s="191"/>
      <c r="D1221" s="160"/>
    </row>
    <row r="1222" spans="1:4" x14ac:dyDescent="0.35">
      <c r="A1222" s="160"/>
      <c r="B1222" s="160"/>
      <c r="C1222" s="191"/>
      <c r="D1222" s="160"/>
    </row>
    <row r="1223" spans="1:4" x14ac:dyDescent="0.35">
      <c r="A1223" s="160"/>
      <c r="B1223" s="160"/>
      <c r="C1223" s="191"/>
      <c r="D1223" s="160"/>
    </row>
    <row r="1224" spans="1:4" x14ac:dyDescent="0.35">
      <c r="A1224" s="160"/>
      <c r="B1224" s="160"/>
      <c r="C1224" s="191"/>
      <c r="D1224" s="160"/>
    </row>
    <row r="1225" spans="1:4" x14ac:dyDescent="0.35">
      <c r="A1225" s="160"/>
      <c r="B1225" s="160"/>
      <c r="C1225" s="191"/>
      <c r="D1225" s="160"/>
    </row>
    <row r="1226" spans="1:4" x14ac:dyDescent="0.35">
      <c r="A1226" s="160"/>
      <c r="B1226" s="160"/>
      <c r="C1226" s="191"/>
      <c r="D1226" s="160"/>
    </row>
    <row r="1227" spans="1:4" x14ac:dyDescent="0.35">
      <c r="A1227" s="160"/>
      <c r="B1227" s="160"/>
      <c r="C1227" s="191"/>
      <c r="D1227" s="160"/>
    </row>
    <row r="1228" spans="1:4" x14ac:dyDescent="0.35">
      <c r="A1228" s="160"/>
      <c r="B1228" s="160"/>
      <c r="C1228" s="191"/>
      <c r="D1228" s="160"/>
    </row>
    <row r="1229" spans="1:4" x14ac:dyDescent="0.35">
      <c r="A1229" s="160"/>
      <c r="B1229" s="160"/>
      <c r="C1229" s="191"/>
      <c r="D1229" s="160"/>
    </row>
    <row r="1230" spans="1:4" x14ac:dyDescent="0.35">
      <c r="A1230" s="160"/>
      <c r="B1230" s="160"/>
      <c r="C1230" s="191"/>
      <c r="D1230" s="160"/>
    </row>
    <row r="1231" spans="1:4" x14ac:dyDescent="0.35">
      <c r="A1231" s="160"/>
      <c r="B1231" s="160"/>
      <c r="C1231" s="191"/>
      <c r="D1231" s="160"/>
    </row>
    <row r="1232" spans="1:4" x14ac:dyDescent="0.35">
      <c r="A1232" s="160"/>
      <c r="B1232" s="160"/>
      <c r="C1232" s="191"/>
      <c r="D1232" s="160"/>
    </row>
    <row r="1233" spans="1:4" x14ac:dyDescent="0.35">
      <c r="A1233" s="160"/>
      <c r="B1233" s="160"/>
      <c r="C1233" s="191"/>
      <c r="D1233" s="160"/>
    </row>
    <row r="1234" spans="1:4" x14ac:dyDescent="0.35">
      <c r="A1234" s="160"/>
      <c r="B1234" s="160"/>
      <c r="C1234" s="191"/>
      <c r="D1234" s="160"/>
    </row>
    <row r="1235" spans="1:4" x14ac:dyDescent="0.35">
      <c r="A1235" s="160"/>
      <c r="B1235" s="160"/>
      <c r="C1235" s="191"/>
      <c r="D1235" s="160"/>
    </row>
    <row r="1236" spans="1:4" x14ac:dyDescent="0.35">
      <c r="A1236" s="160"/>
      <c r="B1236" s="160"/>
      <c r="C1236" s="191"/>
      <c r="D1236" s="160"/>
    </row>
    <row r="1237" spans="1:4" x14ac:dyDescent="0.35">
      <c r="A1237" s="160"/>
      <c r="B1237" s="160"/>
      <c r="C1237" s="191"/>
      <c r="D1237" s="160"/>
    </row>
    <row r="1238" spans="1:4" x14ac:dyDescent="0.35">
      <c r="A1238" s="160"/>
      <c r="B1238" s="160"/>
      <c r="C1238" s="191"/>
      <c r="D1238" s="160"/>
    </row>
    <row r="1239" spans="1:4" x14ac:dyDescent="0.35">
      <c r="A1239" s="160"/>
      <c r="B1239" s="160"/>
      <c r="C1239" s="191"/>
      <c r="D1239" s="160"/>
    </row>
    <row r="1240" spans="1:4" x14ac:dyDescent="0.35">
      <c r="A1240" s="160"/>
      <c r="B1240" s="160"/>
      <c r="C1240" s="191"/>
      <c r="D1240" s="160"/>
    </row>
    <row r="1241" spans="1:4" x14ac:dyDescent="0.35">
      <c r="A1241" s="160"/>
      <c r="B1241" s="160"/>
      <c r="C1241" s="191"/>
      <c r="D1241" s="160"/>
    </row>
    <row r="1242" spans="1:4" x14ac:dyDescent="0.35">
      <c r="A1242" s="160"/>
      <c r="B1242" s="160"/>
      <c r="C1242" s="191"/>
      <c r="D1242" s="160"/>
    </row>
    <row r="1243" spans="1:4" x14ac:dyDescent="0.35">
      <c r="A1243" s="160"/>
      <c r="B1243" s="160"/>
      <c r="C1243" s="191"/>
      <c r="D1243" s="160"/>
    </row>
    <row r="1244" spans="1:4" x14ac:dyDescent="0.35">
      <c r="A1244" s="160"/>
      <c r="B1244" s="160"/>
      <c r="C1244" s="191"/>
      <c r="D1244" s="160"/>
    </row>
    <row r="1245" spans="1:4" x14ac:dyDescent="0.35">
      <c r="A1245" s="160"/>
      <c r="B1245" s="160"/>
      <c r="C1245" s="191"/>
      <c r="D1245" s="160"/>
    </row>
    <row r="1246" spans="1:4" x14ac:dyDescent="0.35">
      <c r="A1246" s="160"/>
      <c r="B1246" s="160"/>
      <c r="C1246" s="191"/>
      <c r="D1246" s="160"/>
    </row>
    <row r="1247" spans="1:4" x14ac:dyDescent="0.35">
      <c r="A1247" s="160"/>
      <c r="B1247" s="160"/>
      <c r="C1247" s="191"/>
      <c r="D1247" s="160"/>
    </row>
    <row r="1248" spans="1:4" x14ac:dyDescent="0.35">
      <c r="A1248" s="160"/>
      <c r="B1248" s="160"/>
      <c r="C1248" s="191"/>
      <c r="D1248" s="160"/>
    </row>
    <row r="1249" spans="1:4" x14ac:dyDescent="0.35">
      <c r="A1249" s="160"/>
      <c r="B1249" s="160"/>
      <c r="C1249" s="191"/>
      <c r="D1249" s="160"/>
    </row>
    <row r="1250" spans="1:4" x14ac:dyDescent="0.35">
      <c r="A1250" s="160"/>
      <c r="B1250" s="160"/>
      <c r="C1250" s="191"/>
      <c r="D1250" s="160"/>
    </row>
    <row r="1251" spans="1:4" x14ac:dyDescent="0.35">
      <c r="A1251" s="160"/>
      <c r="B1251" s="160"/>
      <c r="C1251" s="191"/>
      <c r="D1251" s="160"/>
    </row>
    <row r="1252" spans="1:4" x14ac:dyDescent="0.35">
      <c r="A1252" s="160"/>
      <c r="B1252" s="160"/>
      <c r="C1252" s="191"/>
      <c r="D1252" s="160"/>
    </row>
    <row r="1253" spans="1:4" x14ac:dyDescent="0.35">
      <c r="A1253" s="160"/>
      <c r="B1253" s="160"/>
      <c r="C1253" s="191"/>
      <c r="D1253" s="160"/>
    </row>
    <row r="1254" spans="1:4" x14ac:dyDescent="0.35">
      <c r="A1254" s="160"/>
      <c r="B1254" s="160"/>
      <c r="C1254" s="191"/>
      <c r="D1254" s="160"/>
    </row>
    <row r="1255" spans="1:4" x14ac:dyDescent="0.35">
      <c r="A1255" s="160"/>
      <c r="B1255" s="160"/>
      <c r="C1255" s="191"/>
      <c r="D1255" s="160"/>
    </row>
    <row r="1256" spans="1:4" x14ac:dyDescent="0.35">
      <c r="A1256" s="160"/>
      <c r="B1256" s="160"/>
      <c r="C1256" s="191"/>
      <c r="D1256" s="160"/>
    </row>
    <row r="1257" spans="1:4" x14ac:dyDescent="0.35">
      <c r="A1257" s="160"/>
      <c r="B1257" s="160"/>
      <c r="C1257" s="191"/>
      <c r="D1257" s="160"/>
    </row>
    <row r="1258" spans="1:4" x14ac:dyDescent="0.35">
      <c r="A1258" s="160"/>
      <c r="B1258" s="160"/>
      <c r="C1258" s="191"/>
      <c r="D1258" s="160"/>
    </row>
    <row r="1259" spans="1:4" x14ac:dyDescent="0.35">
      <c r="A1259" s="160"/>
      <c r="B1259" s="160"/>
      <c r="C1259" s="191"/>
      <c r="D1259" s="160"/>
    </row>
    <row r="1260" spans="1:4" x14ac:dyDescent="0.35">
      <c r="A1260" s="160"/>
      <c r="B1260" s="160"/>
      <c r="C1260" s="191"/>
      <c r="D1260" s="160"/>
    </row>
    <row r="1261" spans="1:4" x14ac:dyDescent="0.35">
      <c r="A1261" s="160"/>
      <c r="B1261" s="160"/>
      <c r="C1261" s="191"/>
      <c r="D1261" s="160"/>
    </row>
    <row r="1262" spans="1:4" x14ac:dyDescent="0.35">
      <c r="A1262" s="160"/>
      <c r="B1262" s="160"/>
      <c r="C1262" s="191"/>
      <c r="D1262" s="160"/>
    </row>
    <row r="1263" spans="1:4" x14ac:dyDescent="0.35">
      <c r="A1263" s="160"/>
      <c r="B1263" s="160"/>
      <c r="C1263" s="191"/>
      <c r="D1263" s="160"/>
    </row>
    <row r="1264" spans="1:4" x14ac:dyDescent="0.35">
      <c r="A1264" s="160"/>
      <c r="B1264" s="160"/>
      <c r="C1264" s="191"/>
      <c r="D1264" s="160"/>
    </row>
    <row r="1265" spans="1:4" x14ac:dyDescent="0.35">
      <c r="A1265" s="160"/>
      <c r="B1265" s="160"/>
      <c r="C1265" s="191"/>
      <c r="D1265" s="160"/>
    </row>
    <row r="1266" spans="1:4" x14ac:dyDescent="0.35">
      <c r="A1266" s="160"/>
      <c r="B1266" s="160"/>
      <c r="C1266" s="191"/>
      <c r="D1266" s="160"/>
    </row>
    <row r="1267" spans="1:4" x14ac:dyDescent="0.35">
      <c r="A1267" s="160"/>
      <c r="B1267" s="160"/>
      <c r="C1267" s="191"/>
      <c r="D1267" s="160"/>
    </row>
    <row r="1268" spans="1:4" x14ac:dyDescent="0.35">
      <c r="A1268" s="160"/>
      <c r="B1268" s="160"/>
      <c r="C1268" s="191"/>
      <c r="D1268" s="160"/>
    </row>
    <row r="1269" spans="1:4" x14ac:dyDescent="0.35">
      <c r="A1269" s="160"/>
      <c r="B1269" s="160"/>
      <c r="C1269" s="191"/>
      <c r="D1269" s="160"/>
    </row>
  </sheetData>
  <mergeCells count="7">
    <mergeCell ref="A55:P55"/>
    <mergeCell ref="C1:P1"/>
    <mergeCell ref="R1:AA1"/>
    <mergeCell ref="R11:AA11"/>
    <mergeCell ref="D2:E2"/>
    <mergeCell ref="I2:K2"/>
    <mergeCell ref="N2:P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940F-4156-4D93-BD28-E26F86D72D17}">
  <sheetPr>
    <tabColor rgb="FFFF0000"/>
  </sheetPr>
  <dimension ref="A1:C29"/>
  <sheetViews>
    <sheetView workbookViewId="0">
      <selection activeCell="A4" sqref="A4:H4"/>
    </sheetView>
  </sheetViews>
  <sheetFormatPr defaultRowHeight="14.5" x14ac:dyDescent="0.35"/>
  <cols>
    <col min="1" max="1" width="26.26953125" bestFit="1" customWidth="1"/>
    <col min="2" max="2" width="70.54296875" bestFit="1" customWidth="1"/>
  </cols>
  <sheetData>
    <row r="1" spans="1:3" x14ac:dyDescent="0.35">
      <c r="A1" s="366" t="s">
        <v>760</v>
      </c>
      <c r="B1" s="366" t="s">
        <v>761</v>
      </c>
      <c r="C1" t="s">
        <v>769</v>
      </c>
    </row>
    <row r="2" spans="1:3" x14ac:dyDescent="0.35">
      <c r="A2" s="366" t="s">
        <v>743</v>
      </c>
      <c r="B2" s="366" t="s">
        <v>744</v>
      </c>
      <c r="C2" t="s">
        <v>769</v>
      </c>
    </row>
    <row r="3" spans="1:3" x14ac:dyDescent="0.35">
      <c r="A3" s="366" t="s">
        <v>759</v>
      </c>
      <c r="B3" s="366" t="s">
        <v>744</v>
      </c>
      <c r="C3" t="s">
        <v>769</v>
      </c>
    </row>
    <row r="4" spans="1:3" x14ac:dyDescent="0.35">
      <c r="A4" s="366" t="s">
        <v>739</v>
      </c>
      <c r="B4" s="366" t="s">
        <v>740</v>
      </c>
      <c r="C4" t="s">
        <v>769</v>
      </c>
    </row>
    <row r="5" spans="1:3" x14ac:dyDescent="0.35">
      <c r="A5" s="366" t="s">
        <v>741</v>
      </c>
      <c r="B5" s="366" t="s">
        <v>742</v>
      </c>
      <c r="C5" t="s">
        <v>770</v>
      </c>
    </row>
    <row r="6" spans="1:3" x14ac:dyDescent="0.35">
      <c r="A6" s="366" t="s">
        <v>745</v>
      </c>
      <c r="B6" s="366" t="s">
        <v>742</v>
      </c>
      <c r="C6" t="s">
        <v>770</v>
      </c>
    </row>
    <row r="7" spans="1:3" x14ac:dyDescent="0.35">
      <c r="A7" s="366" t="s">
        <v>746</v>
      </c>
      <c r="B7" s="366" t="s">
        <v>742</v>
      </c>
      <c r="C7" t="s">
        <v>770</v>
      </c>
    </row>
    <row r="8" spans="1:3" x14ac:dyDescent="0.35">
      <c r="A8" s="366" t="s">
        <v>747</v>
      </c>
      <c r="B8" s="366" t="s">
        <v>742</v>
      </c>
      <c r="C8" t="s">
        <v>770</v>
      </c>
    </row>
    <row r="9" spans="1:3" x14ac:dyDescent="0.35">
      <c r="A9" s="366" t="s">
        <v>748</v>
      </c>
      <c r="B9" s="366" t="s">
        <v>742</v>
      </c>
      <c r="C9" t="s">
        <v>770</v>
      </c>
    </row>
    <row r="10" spans="1:3" x14ac:dyDescent="0.35">
      <c r="A10" s="366" t="s">
        <v>749</v>
      </c>
      <c r="B10" s="366" t="s">
        <v>742</v>
      </c>
      <c r="C10" t="s">
        <v>770</v>
      </c>
    </row>
    <row r="11" spans="1:3" x14ac:dyDescent="0.35">
      <c r="A11" s="366" t="s">
        <v>750</v>
      </c>
      <c r="B11" s="366" t="s">
        <v>742</v>
      </c>
      <c r="C11" t="s">
        <v>770</v>
      </c>
    </row>
    <row r="12" spans="1:3" x14ac:dyDescent="0.35">
      <c r="A12" s="366" t="s">
        <v>753</v>
      </c>
      <c r="B12" s="366" t="s">
        <v>742</v>
      </c>
      <c r="C12" t="s">
        <v>770</v>
      </c>
    </row>
    <row r="13" spans="1:3" x14ac:dyDescent="0.35">
      <c r="A13" s="366" t="s">
        <v>754</v>
      </c>
      <c r="B13" s="366" t="s">
        <v>742</v>
      </c>
      <c r="C13" t="s">
        <v>770</v>
      </c>
    </row>
    <row r="14" spans="1:3" x14ac:dyDescent="0.35">
      <c r="A14" s="366" t="s">
        <v>755</v>
      </c>
      <c r="B14" s="366" t="s">
        <v>742</v>
      </c>
      <c r="C14" t="s">
        <v>770</v>
      </c>
    </row>
    <row r="15" spans="1:3" x14ac:dyDescent="0.35">
      <c r="A15" s="366" t="s">
        <v>756</v>
      </c>
      <c r="B15" s="366" t="s">
        <v>742</v>
      </c>
      <c r="C15" t="s">
        <v>770</v>
      </c>
    </row>
    <row r="16" spans="1:3" x14ac:dyDescent="0.35">
      <c r="A16" s="366" t="s">
        <v>757</v>
      </c>
      <c r="B16" s="366" t="s">
        <v>742</v>
      </c>
      <c r="C16" t="s">
        <v>770</v>
      </c>
    </row>
    <row r="17" spans="1:3" x14ac:dyDescent="0.35">
      <c r="A17" s="366" t="s">
        <v>762</v>
      </c>
      <c r="B17" s="366" t="s">
        <v>742</v>
      </c>
      <c r="C17" t="s">
        <v>770</v>
      </c>
    </row>
    <row r="18" spans="1:3" x14ac:dyDescent="0.35">
      <c r="A18" s="366" t="s">
        <v>763</v>
      </c>
      <c r="B18" s="366" t="s">
        <v>742</v>
      </c>
      <c r="C18" t="s">
        <v>770</v>
      </c>
    </row>
    <row r="19" spans="1:3" x14ac:dyDescent="0.35">
      <c r="A19" s="366" t="s">
        <v>764</v>
      </c>
      <c r="B19" s="366" t="s">
        <v>742</v>
      </c>
      <c r="C19" t="s">
        <v>770</v>
      </c>
    </row>
    <row r="20" spans="1:3" x14ac:dyDescent="0.35">
      <c r="A20" s="366" t="s">
        <v>765</v>
      </c>
      <c r="B20" s="366" t="s">
        <v>742</v>
      </c>
      <c r="C20" t="s">
        <v>770</v>
      </c>
    </row>
    <row r="21" spans="1:3" x14ac:dyDescent="0.35">
      <c r="A21" s="366" t="s">
        <v>766</v>
      </c>
      <c r="B21" s="366" t="s">
        <v>742</v>
      </c>
      <c r="C21" t="s">
        <v>770</v>
      </c>
    </row>
    <row r="22" spans="1:3" x14ac:dyDescent="0.35">
      <c r="A22" s="366" t="s">
        <v>767</v>
      </c>
      <c r="B22" s="366" t="s">
        <v>742</v>
      </c>
      <c r="C22" t="s">
        <v>770</v>
      </c>
    </row>
    <row r="23" spans="1:3" x14ac:dyDescent="0.35">
      <c r="A23" s="366" t="s">
        <v>768</v>
      </c>
      <c r="B23" s="366" t="s">
        <v>742</v>
      </c>
      <c r="C23" t="s">
        <v>770</v>
      </c>
    </row>
    <row r="24" spans="1:3" x14ac:dyDescent="0.35">
      <c r="A24" s="366" t="s">
        <v>751</v>
      </c>
      <c r="B24" s="366" t="s">
        <v>752</v>
      </c>
      <c r="C24" t="s">
        <v>769</v>
      </c>
    </row>
    <row r="25" spans="1:3" x14ac:dyDescent="0.35">
      <c r="A25" s="366" t="s">
        <v>758</v>
      </c>
      <c r="B25" s="366" t="s">
        <v>752</v>
      </c>
      <c r="C25" t="s">
        <v>769</v>
      </c>
    </row>
    <row r="27" spans="1:3" x14ac:dyDescent="0.35">
      <c r="B27" t="s">
        <v>770</v>
      </c>
      <c r="C27">
        <f>(COUNTIF(C1:C25,"on-call"))</f>
        <v>19</v>
      </c>
    </row>
    <row r="28" spans="1:3" x14ac:dyDescent="0.35">
      <c r="B28" t="s">
        <v>769</v>
      </c>
      <c r="C28">
        <f>(COUNTIF(C2:C26,"mix"))</f>
        <v>5</v>
      </c>
    </row>
    <row r="29" spans="1:3" x14ac:dyDescent="0.35">
      <c r="A29" t="s">
        <v>771</v>
      </c>
    </row>
  </sheetData>
  <sortState xmlns:xlrd2="http://schemas.microsoft.com/office/spreadsheetml/2017/richdata2" ref="A1:B50">
    <sortCondition ref="B1:B5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2"/>
    <pageSetUpPr fitToPage="1"/>
  </sheetPr>
  <dimension ref="A1:X3712"/>
  <sheetViews>
    <sheetView showGridLines="0" zoomScaleNormal="100" workbookViewId="0">
      <pane xSplit="2" ySplit="3" topLeftCell="C12" activePane="bottomRight" state="frozen"/>
      <selection activeCell="D17" sqref="D17"/>
      <selection pane="topRight" activeCell="D17" sqref="D17"/>
      <selection pane="bottomLeft" activeCell="D17" sqref="D17"/>
      <selection pane="bottomRight" activeCell="D17" sqref="D17"/>
    </sheetView>
  </sheetViews>
  <sheetFormatPr defaultColWidth="9.1796875" defaultRowHeight="15.5" x14ac:dyDescent="0.35"/>
  <cols>
    <col min="1" max="1" width="10.81640625" style="145" hidden="1" customWidth="1"/>
    <col min="2" max="2" width="22.54296875" style="103" customWidth="1"/>
    <col min="3" max="3" width="2.45312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6384" width="9.1796875" style="103"/>
  </cols>
  <sheetData>
    <row r="1" spans="1:24" s="52" customFormat="1" ht="24.75" customHeight="1" x14ac:dyDescent="0.35">
      <c r="A1" s="145"/>
      <c r="B1" s="49" t="s">
        <v>329</v>
      </c>
      <c r="C1" s="50"/>
      <c r="D1" s="50"/>
      <c r="E1" s="51"/>
      <c r="F1" s="51"/>
      <c r="G1" s="51"/>
      <c r="H1" s="50"/>
      <c r="I1" s="50"/>
      <c r="J1" s="50"/>
      <c r="K1" s="50"/>
      <c r="L1" s="50"/>
      <c r="M1" s="50"/>
      <c r="N1" s="50"/>
      <c r="O1" s="50"/>
      <c r="P1" s="50"/>
    </row>
    <row r="2" spans="1:24" s="57" customFormat="1" ht="34.5" customHeight="1" x14ac:dyDescent="0.35">
      <c r="A2" s="145"/>
      <c r="B2" s="54"/>
      <c r="C2" s="55"/>
      <c r="D2" s="378" t="s">
        <v>166</v>
      </c>
      <c r="E2" s="378"/>
      <c r="F2" s="378"/>
      <c r="G2" s="378"/>
      <c r="H2" s="378" t="s">
        <v>167</v>
      </c>
      <c r="I2" s="378"/>
      <c r="J2" s="107"/>
      <c r="K2" s="376" t="s">
        <v>168</v>
      </c>
      <c r="L2" s="376"/>
      <c r="M2" s="376"/>
      <c r="N2" s="376" t="s">
        <v>169</v>
      </c>
      <c r="O2" s="376"/>
      <c r="P2" s="376"/>
    </row>
    <row r="3" spans="1:24" s="57" customFormat="1" ht="30.5" x14ac:dyDescent="0.35">
      <c r="A3" s="145"/>
      <c r="B3" s="54"/>
      <c r="C3" s="59"/>
      <c r="D3" s="60" t="s">
        <v>170</v>
      </c>
      <c r="E3" s="60" t="s">
        <v>303</v>
      </c>
      <c r="F3" s="60" t="s">
        <v>172</v>
      </c>
      <c r="G3" s="60" t="s">
        <v>173</v>
      </c>
      <c r="H3" s="60" t="s">
        <v>302</v>
      </c>
      <c r="I3" s="60" t="s">
        <v>171</v>
      </c>
      <c r="J3" s="60"/>
      <c r="K3" s="61" t="s">
        <v>175</v>
      </c>
      <c r="L3" s="61" t="s">
        <v>234</v>
      </c>
      <c r="M3" s="60" t="s">
        <v>301</v>
      </c>
      <c r="N3" s="60" t="s">
        <v>300</v>
      </c>
      <c r="O3" s="60" t="s">
        <v>179</v>
      </c>
      <c r="P3" s="60" t="s">
        <v>180</v>
      </c>
    </row>
    <row r="4" spans="1:24" s="67" customFormat="1" ht="25.5" customHeight="1" x14ac:dyDescent="0.35">
      <c r="A4" s="145"/>
      <c r="B4" s="62" t="s">
        <v>181</v>
      </c>
      <c r="C4" s="63"/>
      <c r="D4" s="64">
        <v>29178</v>
      </c>
      <c r="E4" s="64">
        <v>14224</v>
      </c>
      <c r="F4" s="64">
        <v>1555</v>
      </c>
      <c r="G4" s="64">
        <v>9357</v>
      </c>
      <c r="H4" s="64">
        <v>663</v>
      </c>
      <c r="I4" s="64">
        <v>772</v>
      </c>
      <c r="J4" s="75" t="s">
        <v>3</v>
      </c>
      <c r="K4" s="64">
        <v>2087</v>
      </c>
      <c r="L4" s="64">
        <v>141</v>
      </c>
      <c r="M4" s="64">
        <v>1095</v>
      </c>
      <c r="N4" s="64">
        <v>5380</v>
      </c>
      <c r="O4" s="64">
        <v>322</v>
      </c>
      <c r="P4" s="64">
        <v>257</v>
      </c>
      <c r="Q4" s="62"/>
      <c r="R4" s="65"/>
      <c r="S4" s="65"/>
      <c r="T4" s="65"/>
      <c r="U4" s="81"/>
      <c r="V4" s="65"/>
      <c r="W4" s="65"/>
      <c r="X4" s="65"/>
    </row>
    <row r="5" spans="1:24" s="71" customFormat="1" ht="25.5" customHeight="1" x14ac:dyDescent="0.35">
      <c r="A5" s="147"/>
      <c r="B5" s="62" t="s">
        <v>182</v>
      </c>
      <c r="C5" s="69"/>
      <c r="D5" s="70">
        <v>15857</v>
      </c>
      <c r="E5" s="70">
        <v>13647</v>
      </c>
      <c r="F5" s="70">
        <v>1120</v>
      </c>
      <c r="G5" s="70">
        <v>5812</v>
      </c>
      <c r="H5" s="70">
        <v>377</v>
      </c>
      <c r="I5" s="70">
        <v>751</v>
      </c>
      <c r="J5" s="75" t="s">
        <v>3</v>
      </c>
      <c r="K5" s="70">
        <v>1615</v>
      </c>
      <c r="L5" s="70">
        <v>101</v>
      </c>
      <c r="M5" s="70">
        <v>905</v>
      </c>
      <c r="N5" s="70">
        <v>4015</v>
      </c>
      <c r="O5" s="70">
        <v>256</v>
      </c>
      <c r="P5" s="70">
        <v>172</v>
      </c>
      <c r="U5" s="81"/>
      <c r="V5" s="81"/>
      <c r="W5" s="81"/>
    </row>
    <row r="6" spans="1:24" s="81" customFormat="1" ht="14.25" customHeight="1" x14ac:dyDescent="0.35">
      <c r="A6" s="145">
        <v>51</v>
      </c>
      <c r="B6" s="82" t="s">
        <v>77</v>
      </c>
      <c r="C6" s="74"/>
      <c r="D6" s="75">
        <v>664</v>
      </c>
      <c r="E6" s="75">
        <v>251</v>
      </c>
      <c r="F6" s="75">
        <v>35</v>
      </c>
      <c r="G6" s="75">
        <v>156</v>
      </c>
      <c r="H6" s="75">
        <v>11</v>
      </c>
      <c r="I6" s="75">
        <v>12</v>
      </c>
      <c r="J6" s="75" t="s">
        <v>3</v>
      </c>
      <c r="K6" s="75">
        <v>37</v>
      </c>
      <c r="L6" s="75">
        <v>4</v>
      </c>
      <c r="M6" s="75">
        <v>32</v>
      </c>
      <c r="N6" s="75">
        <v>114</v>
      </c>
      <c r="O6" s="75">
        <v>8</v>
      </c>
      <c r="P6" s="75">
        <v>2</v>
      </c>
    </row>
    <row r="7" spans="1:24" s="81" customFormat="1" ht="14.25" customHeight="1" x14ac:dyDescent="0.35">
      <c r="A7" s="145">
        <v>52</v>
      </c>
      <c r="B7" s="82" t="s">
        <v>75</v>
      </c>
      <c r="C7" s="74"/>
      <c r="D7" s="75">
        <v>316</v>
      </c>
      <c r="E7" s="75">
        <v>159</v>
      </c>
      <c r="F7" s="75">
        <v>29</v>
      </c>
      <c r="G7" s="75">
        <v>145</v>
      </c>
      <c r="H7" s="75">
        <v>7</v>
      </c>
      <c r="I7" s="75">
        <v>7</v>
      </c>
      <c r="J7" s="75" t="s">
        <v>3</v>
      </c>
      <c r="K7" s="75">
        <v>22</v>
      </c>
      <c r="L7" s="75">
        <v>2</v>
      </c>
      <c r="M7" s="75">
        <v>14</v>
      </c>
      <c r="N7" s="75">
        <v>48</v>
      </c>
      <c r="O7" s="75">
        <v>2</v>
      </c>
      <c r="P7" s="75">
        <v>2</v>
      </c>
    </row>
    <row r="8" spans="1:24" s="81" customFormat="1" ht="14.25" customHeight="1" x14ac:dyDescent="0.35">
      <c r="A8" s="145">
        <v>86</v>
      </c>
      <c r="B8" s="82" t="s">
        <v>73</v>
      </c>
      <c r="C8" s="74"/>
      <c r="D8" s="75">
        <v>427</v>
      </c>
      <c r="E8" s="75">
        <v>107</v>
      </c>
      <c r="F8" s="75">
        <v>34</v>
      </c>
      <c r="G8" s="75">
        <v>143</v>
      </c>
      <c r="H8" s="75">
        <v>11</v>
      </c>
      <c r="I8" s="75">
        <v>7</v>
      </c>
      <c r="J8" s="75" t="s">
        <v>3</v>
      </c>
      <c r="K8" s="75">
        <v>22</v>
      </c>
      <c r="L8" s="75">
        <v>2</v>
      </c>
      <c r="M8" s="75">
        <v>14</v>
      </c>
      <c r="N8" s="75">
        <v>65</v>
      </c>
      <c r="O8" s="75">
        <v>7</v>
      </c>
      <c r="P8" s="75">
        <v>4</v>
      </c>
    </row>
    <row r="9" spans="1:24" s="81" customFormat="1" ht="14.25" customHeight="1" x14ac:dyDescent="0.35">
      <c r="A9" s="145">
        <v>53</v>
      </c>
      <c r="B9" s="82" t="s">
        <v>71</v>
      </c>
      <c r="C9" s="74"/>
      <c r="D9" s="75">
        <v>348</v>
      </c>
      <c r="E9" s="75">
        <v>207</v>
      </c>
      <c r="F9" s="75">
        <v>27</v>
      </c>
      <c r="G9" s="75">
        <v>127</v>
      </c>
      <c r="H9" s="75">
        <v>10</v>
      </c>
      <c r="I9" s="75">
        <v>10</v>
      </c>
      <c r="J9" s="75" t="s">
        <v>3</v>
      </c>
      <c r="K9" s="75">
        <v>30</v>
      </c>
      <c r="L9" s="75">
        <v>2</v>
      </c>
      <c r="M9" s="75">
        <v>15</v>
      </c>
      <c r="N9" s="75">
        <v>116</v>
      </c>
      <c r="O9" s="75">
        <v>4</v>
      </c>
      <c r="P9" s="75">
        <v>3</v>
      </c>
    </row>
    <row r="10" spans="1:24" s="81" customFormat="1" ht="14.25" customHeight="1" x14ac:dyDescent="0.35">
      <c r="A10" s="145">
        <v>54</v>
      </c>
      <c r="B10" s="82" t="s">
        <v>69</v>
      </c>
      <c r="C10" s="74"/>
      <c r="D10" s="75">
        <v>272</v>
      </c>
      <c r="E10" s="75">
        <v>339</v>
      </c>
      <c r="F10" s="75">
        <v>33</v>
      </c>
      <c r="G10" s="75">
        <v>154</v>
      </c>
      <c r="H10" s="75">
        <v>7</v>
      </c>
      <c r="I10" s="75">
        <v>20</v>
      </c>
      <c r="J10" s="75" t="s">
        <v>3</v>
      </c>
      <c r="K10" s="75">
        <v>37</v>
      </c>
      <c r="L10" s="75">
        <v>2</v>
      </c>
      <c r="M10" s="75">
        <v>16</v>
      </c>
      <c r="N10" s="75">
        <v>98</v>
      </c>
      <c r="O10" s="75">
        <v>6</v>
      </c>
      <c r="P10" s="75">
        <v>2</v>
      </c>
    </row>
    <row r="11" spans="1:24" s="81" customFormat="1" ht="14.25" customHeight="1" x14ac:dyDescent="0.35">
      <c r="A11" s="145">
        <v>55</v>
      </c>
      <c r="B11" s="82" t="s">
        <v>67</v>
      </c>
      <c r="C11" s="74"/>
      <c r="D11" s="75">
        <v>526</v>
      </c>
      <c r="E11" s="75">
        <v>212</v>
      </c>
      <c r="F11" s="75">
        <v>25</v>
      </c>
      <c r="G11" s="75">
        <v>247</v>
      </c>
      <c r="H11" s="75">
        <v>14</v>
      </c>
      <c r="I11" s="75">
        <v>10</v>
      </c>
      <c r="J11" s="75" t="s">
        <v>3</v>
      </c>
      <c r="K11" s="75">
        <v>37</v>
      </c>
      <c r="L11" s="75">
        <v>3</v>
      </c>
      <c r="M11" s="75">
        <v>28</v>
      </c>
      <c r="N11" s="75">
        <v>127</v>
      </c>
      <c r="O11" s="75">
        <v>5</v>
      </c>
      <c r="P11" s="75">
        <v>3</v>
      </c>
    </row>
    <row r="12" spans="1:24" s="81" customFormat="1" ht="14.25" customHeight="1" x14ac:dyDescent="0.35">
      <c r="A12" s="145">
        <v>56</v>
      </c>
      <c r="B12" s="82" t="s">
        <v>65</v>
      </c>
      <c r="C12" s="74"/>
      <c r="D12" s="75">
        <v>461</v>
      </c>
      <c r="E12" s="75">
        <v>83</v>
      </c>
      <c r="F12" s="75">
        <v>28</v>
      </c>
      <c r="G12" s="75">
        <v>129</v>
      </c>
      <c r="H12" s="75">
        <v>9</v>
      </c>
      <c r="I12" s="75">
        <v>6</v>
      </c>
      <c r="J12" s="75" t="s">
        <v>3</v>
      </c>
      <c r="K12" s="75">
        <v>21</v>
      </c>
      <c r="L12" s="75">
        <v>2</v>
      </c>
      <c r="M12" s="75">
        <v>13</v>
      </c>
      <c r="N12" s="75">
        <v>84</v>
      </c>
      <c r="O12" s="75">
        <v>6</v>
      </c>
      <c r="P12" s="75">
        <v>3</v>
      </c>
    </row>
    <row r="13" spans="1:24" s="81" customFormat="1" ht="14.25" customHeight="1" x14ac:dyDescent="0.35">
      <c r="A13" s="145">
        <v>57</v>
      </c>
      <c r="B13" s="82" t="s">
        <v>108</v>
      </c>
      <c r="C13" s="74"/>
      <c r="D13" s="75">
        <v>207</v>
      </c>
      <c r="E13" s="75">
        <v>429</v>
      </c>
      <c r="F13" s="75">
        <v>17</v>
      </c>
      <c r="G13" s="75">
        <v>85</v>
      </c>
      <c r="H13" s="75">
        <v>7</v>
      </c>
      <c r="I13" s="75">
        <v>24</v>
      </c>
      <c r="J13" s="75" t="s">
        <v>3</v>
      </c>
      <c r="K13" s="75">
        <v>66</v>
      </c>
      <c r="L13" s="75">
        <v>3</v>
      </c>
      <c r="M13" s="75">
        <v>47</v>
      </c>
      <c r="N13" s="75">
        <v>103</v>
      </c>
      <c r="O13" s="75">
        <v>6</v>
      </c>
      <c r="P13" s="75">
        <v>4</v>
      </c>
    </row>
    <row r="14" spans="1:24" s="81" customFormat="1" ht="14.25" customHeight="1" x14ac:dyDescent="0.35">
      <c r="A14" s="145">
        <v>59</v>
      </c>
      <c r="B14" s="82" t="s">
        <v>328</v>
      </c>
      <c r="C14" s="74"/>
      <c r="D14" s="75">
        <v>236</v>
      </c>
      <c r="E14" s="75">
        <v>439</v>
      </c>
      <c r="F14" s="75">
        <v>16</v>
      </c>
      <c r="G14" s="75">
        <v>96</v>
      </c>
      <c r="H14" s="75">
        <v>5</v>
      </c>
      <c r="I14" s="75">
        <v>33</v>
      </c>
      <c r="J14" s="75" t="s">
        <v>3</v>
      </c>
      <c r="K14" s="75">
        <v>55</v>
      </c>
      <c r="L14" s="75">
        <v>0</v>
      </c>
      <c r="M14" s="75">
        <v>19</v>
      </c>
      <c r="N14" s="75">
        <v>106</v>
      </c>
      <c r="O14" s="75">
        <v>7</v>
      </c>
      <c r="P14" s="75">
        <v>4</v>
      </c>
    </row>
    <row r="15" spans="1:24" s="81" customFormat="1" ht="14.25" customHeight="1" x14ac:dyDescent="0.35">
      <c r="A15" s="145">
        <v>60</v>
      </c>
      <c r="B15" s="82" t="s">
        <v>63</v>
      </c>
      <c r="C15" s="74"/>
      <c r="D15" s="75">
        <v>429</v>
      </c>
      <c r="E15" s="75">
        <v>298</v>
      </c>
      <c r="F15" s="75">
        <v>38</v>
      </c>
      <c r="G15" s="75">
        <v>191</v>
      </c>
      <c r="H15" s="75">
        <v>12</v>
      </c>
      <c r="I15" s="75">
        <v>19</v>
      </c>
      <c r="J15" s="75" t="s">
        <v>3</v>
      </c>
      <c r="K15" s="75">
        <v>42</v>
      </c>
      <c r="L15" s="75">
        <v>3</v>
      </c>
      <c r="M15" s="75">
        <v>17</v>
      </c>
      <c r="N15" s="75">
        <v>119</v>
      </c>
      <c r="O15" s="75">
        <v>6</v>
      </c>
      <c r="P15" s="75">
        <v>4</v>
      </c>
    </row>
    <row r="16" spans="1:24" s="81" customFormat="1" ht="14.25" customHeight="1" x14ac:dyDescent="0.35">
      <c r="A16" s="145">
        <v>61</v>
      </c>
      <c r="B16" s="82" t="s">
        <v>183</v>
      </c>
      <c r="C16" s="74"/>
      <c r="D16" s="75">
        <v>727</v>
      </c>
      <c r="E16" s="75">
        <v>1255</v>
      </c>
      <c r="F16" s="75">
        <v>56</v>
      </c>
      <c r="G16" s="75">
        <v>290</v>
      </c>
      <c r="H16" s="75">
        <v>15</v>
      </c>
      <c r="I16" s="75">
        <v>67</v>
      </c>
      <c r="J16" s="75" t="s">
        <v>3</v>
      </c>
      <c r="K16" s="75">
        <v>122</v>
      </c>
      <c r="L16" s="75">
        <v>8</v>
      </c>
      <c r="M16" s="75">
        <v>55</v>
      </c>
      <c r="N16" s="75">
        <v>317</v>
      </c>
      <c r="O16" s="75">
        <v>18</v>
      </c>
      <c r="P16" s="75">
        <v>15</v>
      </c>
    </row>
    <row r="17" spans="1:16" s="81" customFormat="1" ht="14.25" customHeight="1" x14ac:dyDescent="0.35">
      <c r="A17" s="145">
        <v>62</v>
      </c>
      <c r="B17" s="265" t="s">
        <v>399</v>
      </c>
      <c r="C17" s="266"/>
      <c r="D17" s="267">
        <f>D68+D69</f>
        <v>500</v>
      </c>
      <c r="E17" s="267">
        <f t="shared" ref="E17:P17" si="0">E68+E69</f>
        <v>690</v>
      </c>
      <c r="F17" s="267">
        <f t="shared" si="0"/>
        <v>50</v>
      </c>
      <c r="G17" s="267">
        <f t="shared" si="0"/>
        <v>260</v>
      </c>
      <c r="H17" s="267">
        <f t="shared" si="0"/>
        <v>13</v>
      </c>
      <c r="I17" s="267">
        <f t="shared" si="0"/>
        <v>37</v>
      </c>
      <c r="J17" s="267" t="s">
        <v>3</v>
      </c>
      <c r="K17" s="267">
        <f t="shared" si="0"/>
        <v>74</v>
      </c>
      <c r="L17" s="267">
        <f t="shared" si="0"/>
        <v>4</v>
      </c>
      <c r="M17" s="267">
        <f t="shared" si="0"/>
        <v>64</v>
      </c>
      <c r="N17" s="267">
        <f t="shared" si="0"/>
        <v>147</v>
      </c>
      <c r="O17" s="267">
        <f t="shared" si="0"/>
        <v>10</v>
      </c>
      <c r="P17" s="267">
        <f t="shared" si="0"/>
        <v>8</v>
      </c>
    </row>
    <row r="18" spans="1:16" s="81" customFormat="1" ht="14.25" customHeight="1" x14ac:dyDescent="0.35">
      <c r="A18" s="145">
        <v>58</v>
      </c>
      <c r="B18" s="82" t="s">
        <v>285</v>
      </c>
      <c r="C18" s="74"/>
      <c r="D18" s="75">
        <v>381</v>
      </c>
      <c r="E18" s="75">
        <v>171</v>
      </c>
      <c r="F18" s="75">
        <v>27</v>
      </c>
      <c r="G18" s="75">
        <v>89</v>
      </c>
      <c r="H18" s="75">
        <v>9</v>
      </c>
      <c r="I18" s="75">
        <v>6</v>
      </c>
      <c r="J18" s="75" t="s">
        <v>3</v>
      </c>
      <c r="K18" s="75">
        <v>27</v>
      </c>
      <c r="L18" s="75">
        <v>2</v>
      </c>
      <c r="M18" s="75">
        <v>12</v>
      </c>
      <c r="N18" s="75">
        <v>106</v>
      </c>
      <c r="O18" s="75">
        <v>5</v>
      </c>
      <c r="P18" s="75">
        <v>2</v>
      </c>
    </row>
    <row r="19" spans="1:16" s="81" customFormat="1" ht="14.25" customHeight="1" x14ac:dyDescent="0.35">
      <c r="A19" s="145">
        <v>63</v>
      </c>
      <c r="B19" s="82" t="s">
        <v>55</v>
      </c>
      <c r="C19" s="74"/>
      <c r="D19" s="75">
        <v>431</v>
      </c>
      <c r="E19" s="75">
        <v>274</v>
      </c>
      <c r="F19" s="75">
        <v>28</v>
      </c>
      <c r="G19" s="75">
        <v>190</v>
      </c>
      <c r="H19" s="75">
        <v>12</v>
      </c>
      <c r="I19" s="75">
        <v>12</v>
      </c>
      <c r="J19" s="75" t="s">
        <v>3</v>
      </c>
      <c r="K19" s="75">
        <v>37</v>
      </c>
      <c r="L19" s="75">
        <v>3</v>
      </c>
      <c r="M19" s="75">
        <v>38</v>
      </c>
      <c r="N19" s="75">
        <v>92</v>
      </c>
      <c r="O19" s="75">
        <v>5</v>
      </c>
      <c r="P19" s="75">
        <v>3</v>
      </c>
    </row>
    <row r="20" spans="1:16" s="81" customFormat="1" ht="14.25" customHeight="1" x14ac:dyDescent="0.35">
      <c r="A20" s="145">
        <v>64</v>
      </c>
      <c r="B20" s="82" t="s">
        <v>282</v>
      </c>
      <c r="C20" s="74"/>
      <c r="D20" s="75">
        <v>874</v>
      </c>
      <c r="E20" s="75">
        <v>485</v>
      </c>
      <c r="F20" s="75">
        <v>44</v>
      </c>
      <c r="G20" s="75">
        <v>268</v>
      </c>
      <c r="H20" s="75">
        <v>17</v>
      </c>
      <c r="I20" s="75">
        <v>33</v>
      </c>
      <c r="J20" s="75" t="s">
        <v>3</v>
      </c>
      <c r="K20" s="75">
        <v>74</v>
      </c>
      <c r="L20" s="75">
        <v>5</v>
      </c>
      <c r="M20" s="75">
        <v>31</v>
      </c>
      <c r="N20" s="75">
        <v>193</v>
      </c>
      <c r="O20" s="75">
        <v>16</v>
      </c>
      <c r="P20" s="75">
        <v>14</v>
      </c>
    </row>
    <row r="21" spans="1:16" s="81" customFormat="1" ht="14.25" customHeight="1" x14ac:dyDescent="0.35">
      <c r="A21" s="145">
        <v>65</v>
      </c>
      <c r="B21" s="82" t="s">
        <v>104</v>
      </c>
      <c r="C21" s="74"/>
      <c r="D21" s="75">
        <v>217</v>
      </c>
      <c r="E21" s="75">
        <v>281</v>
      </c>
      <c r="F21" s="75">
        <v>23</v>
      </c>
      <c r="G21" s="75">
        <v>79</v>
      </c>
      <c r="H21" s="75">
        <v>4</v>
      </c>
      <c r="I21" s="75">
        <v>16</v>
      </c>
      <c r="J21" s="75" t="s">
        <v>3</v>
      </c>
      <c r="K21" s="75">
        <v>33</v>
      </c>
      <c r="L21" s="75">
        <v>2</v>
      </c>
      <c r="M21" s="75">
        <v>22</v>
      </c>
      <c r="N21" s="75">
        <v>50</v>
      </c>
      <c r="O21" s="75">
        <v>6</v>
      </c>
      <c r="P21" s="75">
        <v>2</v>
      </c>
    </row>
    <row r="22" spans="1:16" s="81" customFormat="1" ht="14.25" customHeight="1" x14ac:dyDescent="0.35">
      <c r="A22" s="145">
        <v>67</v>
      </c>
      <c r="B22" s="82" t="s">
        <v>51</v>
      </c>
      <c r="C22" s="74"/>
      <c r="D22" s="75">
        <v>784</v>
      </c>
      <c r="E22" s="75">
        <v>730</v>
      </c>
      <c r="F22" s="75">
        <v>45</v>
      </c>
      <c r="G22" s="75">
        <v>377</v>
      </c>
      <c r="H22" s="75">
        <v>13</v>
      </c>
      <c r="I22" s="75">
        <v>38</v>
      </c>
      <c r="J22" s="75" t="s">
        <v>3</v>
      </c>
      <c r="K22" s="75">
        <v>76</v>
      </c>
      <c r="L22" s="75">
        <v>3</v>
      </c>
      <c r="M22" s="75">
        <v>50</v>
      </c>
      <c r="N22" s="75">
        <v>122</v>
      </c>
      <c r="O22" s="75">
        <v>16</v>
      </c>
      <c r="P22" s="75">
        <v>11</v>
      </c>
    </row>
    <row r="23" spans="1:16" s="81" customFormat="1" ht="14.25" customHeight="1" x14ac:dyDescent="0.35">
      <c r="A23" s="145">
        <v>68</v>
      </c>
      <c r="B23" s="82" t="s">
        <v>230</v>
      </c>
      <c r="C23" s="74"/>
      <c r="D23" s="75">
        <v>313</v>
      </c>
      <c r="E23" s="75">
        <v>380</v>
      </c>
      <c r="F23" s="75">
        <v>25</v>
      </c>
      <c r="G23" s="75">
        <v>137</v>
      </c>
      <c r="H23" s="75">
        <v>8</v>
      </c>
      <c r="I23" s="75">
        <v>19</v>
      </c>
      <c r="J23" s="75" t="s">
        <v>3</v>
      </c>
      <c r="K23" s="75">
        <v>43</v>
      </c>
      <c r="L23" s="75">
        <v>4</v>
      </c>
      <c r="M23" s="75">
        <v>20</v>
      </c>
      <c r="N23" s="75">
        <v>99</v>
      </c>
      <c r="O23" s="75">
        <v>5</v>
      </c>
      <c r="P23" s="75">
        <v>2</v>
      </c>
    </row>
    <row r="24" spans="1:16" s="81" customFormat="1" ht="14.25" customHeight="1" x14ac:dyDescent="0.35">
      <c r="A24" s="145">
        <v>69</v>
      </c>
      <c r="B24" s="82" t="s">
        <v>102</v>
      </c>
      <c r="C24" s="74"/>
      <c r="D24" s="75">
        <v>570</v>
      </c>
      <c r="E24" s="75">
        <v>252</v>
      </c>
      <c r="F24" s="75">
        <v>29</v>
      </c>
      <c r="G24" s="75">
        <v>148</v>
      </c>
      <c r="H24" s="75">
        <v>16</v>
      </c>
      <c r="I24" s="75">
        <v>14</v>
      </c>
      <c r="J24" s="75" t="s">
        <v>3</v>
      </c>
      <c r="K24" s="75">
        <v>41</v>
      </c>
      <c r="L24" s="75">
        <v>2</v>
      </c>
      <c r="M24" s="75">
        <v>8</v>
      </c>
      <c r="N24" s="75">
        <v>120</v>
      </c>
      <c r="O24" s="75">
        <v>6</v>
      </c>
      <c r="P24" s="75">
        <v>9</v>
      </c>
    </row>
    <row r="25" spans="1:16" s="81" customFormat="1" ht="14.25" customHeight="1" x14ac:dyDescent="0.35">
      <c r="A25" s="145">
        <v>70</v>
      </c>
      <c r="B25" s="82" t="s">
        <v>47</v>
      </c>
      <c r="C25" s="74"/>
      <c r="D25" s="75">
        <v>632</v>
      </c>
      <c r="E25" s="75">
        <v>379</v>
      </c>
      <c r="F25" s="75">
        <v>33</v>
      </c>
      <c r="G25" s="75">
        <v>254</v>
      </c>
      <c r="H25" s="75">
        <v>12</v>
      </c>
      <c r="I25" s="75">
        <v>18</v>
      </c>
      <c r="J25" s="75" t="s">
        <v>3</v>
      </c>
      <c r="K25" s="75">
        <v>48</v>
      </c>
      <c r="L25" s="75">
        <v>4</v>
      </c>
      <c r="M25" s="75">
        <v>17</v>
      </c>
      <c r="N25" s="75">
        <v>150</v>
      </c>
      <c r="O25" s="75">
        <v>13</v>
      </c>
      <c r="P25" s="75">
        <v>6</v>
      </c>
    </row>
    <row r="26" spans="1:16" s="81" customFormat="1" ht="14.25" customHeight="1" x14ac:dyDescent="0.35">
      <c r="A26" s="145">
        <v>71</v>
      </c>
      <c r="B26" s="148" t="s">
        <v>100</v>
      </c>
      <c r="C26" s="74"/>
      <c r="D26" s="75">
        <v>76</v>
      </c>
      <c r="E26" s="75">
        <v>125</v>
      </c>
      <c r="F26" s="75">
        <v>13</v>
      </c>
      <c r="G26" s="75">
        <v>20</v>
      </c>
      <c r="H26" s="75">
        <v>2</v>
      </c>
      <c r="I26" s="75">
        <v>8</v>
      </c>
      <c r="J26" s="75" t="s">
        <v>3</v>
      </c>
      <c r="K26" s="75">
        <v>15</v>
      </c>
      <c r="L26" s="75">
        <v>2</v>
      </c>
      <c r="M26" s="75">
        <v>10</v>
      </c>
      <c r="N26" s="75">
        <v>11</v>
      </c>
      <c r="O26" s="75">
        <v>1</v>
      </c>
      <c r="P26" s="75">
        <v>1</v>
      </c>
    </row>
    <row r="27" spans="1:16" s="81" customFormat="1" ht="14.25" customHeight="1" x14ac:dyDescent="0.35">
      <c r="A27" s="145">
        <v>73</v>
      </c>
      <c r="B27" s="82" t="s">
        <v>45</v>
      </c>
      <c r="C27" s="74"/>
      <c r="D27" s="75">
        <v>838</v>
      </c>
      <c r="E27" s="75">
        <v>714</v>
      </c>
      <c r="F27" s="75">
        <v>38</v>
      </c>
      <c r="G27" s="75">
        <v>275</v>
      </c>
      <c r="H27" s="75">
        <v>23</v>
      </c>
      <c r="I27" s="75">
        <v>43</v>
      </c>
      <c r="J27" s="75" t="s">
        <v>3</v>
      </c>
      <c r="K27" s="75">
        <v>87</v>
      </c>
      <c r="L27" s="75">
        <v>5</v>
      </c>
      <c r="M27" s="75">
        <v>23</v>
      </c>
      <c r="N27" s="75">
        <v>220</v>
      </c>
      <c r="O27" s="75">
        <v>13</v>
      </c>
      <c r="P27" s="75">
        <v>5</v>
      </c>
    </row>
    <row r="28" spans="1:16" s="81" customFormat="1" ht="14.25" customHeight="1" x14ac:dyDescent="0.35">
      <c r="A28" s="145">
        <v>74</v>
      </c>
      <c r="B28" s="82" t="s">
        <v>327</v>
      </c>
      <c r="C28" s="74"/>
      <c r="D28" s="75">
        <v>829</v>
      </c>
      <c r="E28" s="75">
        <v>444</v>
      </c>
      <c r="F28" s="75">
        <v>46</v>
      </c>
      <c r="G28" s="75">
        <v>299</v>
      </c>
      <c r="H28" s="75">
        <v>22</v>
      </c>
      <c r="I28" s="75">
        <v>17</v>
      </c>
      <c r="J28" s="75" t="s">
        <v>3</v>
      </c>
      <c r="K28" s="75">
        <v>60</v>
      </c>
      <c r="L28" s="75">
        <v>4</v>
      </c>
      <c r="M28" s="75">
        <v>34</v>
      </c>
      <c r="N28" s="75">
        <v>91</v>
      </c>
      <c r="O28" s="75">
        <v>7</v>
      </c>
      <c r="P28" s="75">
        <v>15</v>
      </c>
    </row>
    <row r="29" spans="1:16" s="81" customFormat="1" ht="14.25" customHeight="1" x14ac:dyDescent="0.35">
      <c r="A29" s="145">
        <v>75</v>
      </c>
      <c r="B29" s="82" t="s">
        <v>41</v>
      </c>
      <c r="C29" s="74"/>
      <c r="D29" s="75">
        <v>462</v>
      </c>
      <c r="E29" s="75">
        <v>258</v>
      </c>
      <c r="F29" s="75">
        <v>38</v>
      </c>
      <c r="G29" s="75">
        <v>174</v>
      </c>
      <c r="H29" s="75">
        <v>9</v>
      </c>
      <c r="I29" s="75">
        <v>11</v>
      </c>
      <c r="J29" s="75" t="s">
        <v>3</v>
      </c>
      <c r="K29" s="75">
        <v>30</v>
      </c>
      <c r="L29" s="75">
        <v>2</v>
      </c>
      <c r="M29" s="75">
        <v>17</v>
      </c>
      <c r="N29" s="75">
        <v>130</v>
      </c>
      <c r="O29" s="75">
        <v>3</v>
      </c>
      <c r="P29" s="75">
        <v>5</v>
      </c>
    </row>
    <row r="30" spans="1:16" s="81" customFormat="1" ht="14.25" customHeight="1" x14ac:dyDescent="0.35">
      <c r="A30" s="145">
        <v>76</v>
      </c>
      <c r="B30" s="82" t="s">
        <v>98</v>
      </c>
      <c r="C30" s="74"/>
      <c r="D30" s="75">
        <v>225</v>
      </c>
      <c r="E30" s="75">
        <v>529</v>
      </c>
      <c r="F30" s="75">
        <v>24</v>
      </c>
      <c r="G30" s="75">
        <v>101</v>
      </c>
      <c r="H30" s="75">
        <v>6</v>
      </c>
      <c r="I30" s="75">
        <v>32</v>
      </c>
      <c r="J30" s="75" t="s">
        <v>3</v>
      </c>
      <c r="K30" s="75">
        <v>48</v>
      </c>
      <c r="L30" s="75">
        <v>3</v>
      </c>
      <c r="M30" s="75">
        <v>11</v>
      </c>
      <c r="N30" s="75">
        <v>122</v>
      </c>
      <c r="O30" s="75">
        <v>6</v>
      </c>
      <c r="P30" s="75">
        <v>2</v>
      </c>
    </row>
    <row r="31" spans="1:16" s="81" customFormat="1" ht="14.25" customHeight="1" x14ac:dyDescent="0.35">
      <c r="A31" s="145">
        <v>79</v>
      </c>
      <c r="B31" s="82" t="s">
        <v>96</v>
      </c>
      <c r="C31" s="74"/>
      <c r="D31" s="75">
        <v>289</v>
      </c>
      <c r="E31" s="75">
        <v>513</v>
      </c>
      <c r="F31" s="75">
        <v>30</v>
      </c>
      <c r="G31" s="75">
        <v>139</v>
      </c>
      <c r="H31" s="75">
        <v>6</v>
      </c>
      <c r="I31" s="75">
        <v>35</v>
      </c>
      <c r="J31" s="75" t="s">
        <v>3</v>
      </c>
      <c r="K31" s="75">
        <v>34</v>
      </c>
      <c r="L31" s="75">
        <v>4</v>
      </c>
      <c r="M31" s="75">
        <v>46</v>
      </c>
      <c r="N31" s="75">
        <v>106</v>
      </c>
      <c r="O31" s="75">
        <v>7</v>
      </c>
      <c r="P31" s="75">
        <v>3</v>
      </c>
    </row>
    <row r="32" spans="1:16" s="81" customFormat="1" ht="14.25" customHeight="1" x14ac:dyDescent="0.35">
      <c r="A32" s="145">
        <v>80</v>
      </c>
      <c r="B32" s="82" t="s">
        <v>39</v>
      </c>
      <c r="C32" s="74"/>
      <c r="D32" s="75">
        <v>344</v>
      </c>
      <c r="E32" s="75">
        <v>407</v>
      </c>
      <c r="F32" s="75">
        <v>26</v>
      </c>
      <c r="G32" s="75">
        <v>113</v>
      </c>
      <c r="H32" s="75">
        <v>11</v>
      </c>
      <c r="I32" s="75">
        <v>26</v>
      </c>
      <c r="J32" s="75" t="s">
        <v>3</v>
      </c>
      <c r="K32" s="75">
        <v>47</v>
      </c>
      <c r="L32" s="75">
        <v>3</v>
      </c>
      <c r="M32" s="75">
        <v>21</v>
      </c>
      <c r="N32" s="75">
        <v>109</v>
      </c>
      <c r="O32" s="75">
        <v>4</v>
      </c>
      <c r="P32" s="75">
        <v>6</v>
      </c>
    </row>
    <row r="33" spans="1:20" s="81" customFormat="1" ht="14.25" customHeight="1" x14ac:dyDescent="0.35">
      <c r="A33" s="145">
        <v>81</v>
      </c>
      <c r="B33" s="82" t="s">
        <v>94</v>
      </c>
      <c r="C33" s="74"/>
      <c r="D33" s="75">
        <v>302</v>
      </c>
      <c r="E33" s="75">
        <v>270</v>
      </c>
      <c r="F33" s="75">
        <v>24</v>
      </c>
      <c r="G33" s="75">
        <v>91</v>
      </c>
      <c r="H33" s="75">
        <v>8</v>
      </c>
      <c r="I33" s="75">
        <v>14</v>
      </c>
      <c r="J33" s="75" t="s">
        <v>3</v>
      </c>
      <c r="K33" s="75">
        <v>28</v>
      </c>
      <c r="L33" s="75">
        <v>2</v>
      </c>
      <c r="M33" s="75">
        <v>12</v>
      </c>
      <c r="N33" s="75">
        <v>86</v>
      </c>
      <c r="O33" s="75">
        <v>5</v>
      </c>
      <c r="P33" s="75">
        <v>1</v>
      </c>
    </row>
    <row r="34" spans="1:20" s="81" customFormat="1" ht="14.25" customHeight="1" x14ac:dyDescent="0.35">
      <c r="A34" s="145">
        <v>83</v>
      </c>
      <c r="B34" s="82" t="s">
        <v>92</v>
      </c>
      <c r="C34" s="74"/>
      <c r="D34" s="75">
        <v>167</v>
      </c>
      <c r="E34" s="75">
        <v>202</v>
      </c>
      <c r="F34" s="75">
        <v>19</v>
      </c>
      <c r="G34" s="75">
        <v>54</v>
      </c>
      <c r="H34" s="75">
        <v>4</v>
      </c>
      <c r="I34" s="75">
        <v>15</v>
      </c>
      <c r="J34" s="75" t="s">
        <v>3</v>
      </c>
      <c r="K34" s="75">
        <v>24</v>
      </c>
      <c r="L34" s="75">
        <v>0</v>
      </c>
      <c r="M34" s="75">
        <v>18</v>
      </c>
      <c r="N34" s="75">
        <v>42</v>
      </c>
      <c r="O34" s="75">
        <v>3</v>
      </c>
      <c r="P34" s="75">
        <v>2</v>
      </c>
    </row>
    <row r="35" spans="1:20" s="81" customFormat="1" ht="14.25" customHeight="1" x14ac:dyDescent="0.35">
      <c r="A35" s="145">
        <v>84</v>
      </c>
      <c r="B35" s="82" t="s">
        <v>37</v>
      </c>
      <c r="C35" s="74"/>
      <c r="D35" s="75">
        <v>551</v>
      </c>
      <c r="E35" s="75">
        <v>356</v>
      </c>
      <c r="F35" s="75">
        <v>36</v>
      </c>
      <c r="G35" s="75">
        <v>185</v>
      </c>
      <c r="H35" s="75">
        <v>11</v>
      </c>
      <c r="I35" s="75">
        <v>13</v>
      </c>
      <c r="J35" s="75" t="s">
        <v>3</v>
      </c>
      <c r="K35" s="75">
        <v>37</v>
      </c>
      <c r="L35" s="75">
        <v>2</v>
      </c>
      <c r="M35" s="75">
        <v>16</v>
      </c>
      <c r="N35" s="75">
        <v>97</v>
      </c>
      <c r="O35" s="75">
        <v>8</v>
      </c>
      <c r="P35" s="75">
        <v>3</v>
      </c>
    </row>
    <row r="36" spans="1:20" s="81" customFormat="1" ht="14.25" customHeight="1" x14ac:dyDescent="0.35">
      <c r="A36" s="145">
        <v>85</v>
      </c>
      <c r="B36" s="82" t="s">
        <v>90</v>
      </c>
      <c r="C36" s="74"/>
      <c r="D36" s="75">
        <v>249</v>
      </c>
      <c r="E36" s="75">
        <v>360</v>
      </c>
      <c r="F36" s="75">
        <v>27</v>
      </c>
      <c r="G36" s="75">
        <v>66</v>
      </c>
      <c r="H36" s="75">
        <v>6</v>
      </c>
      <c r="I36" s="75">
        <v>18</v>
      </c>
      <c r="J36" s="75" t="s">
        <v>3</v>
      </c>
      <c r="K36" s="75">
        <v>35</v>
      </c>
      <c r="L36" s="75">
        <v>1</v>
      </c>
      <c r="M36" s="75">
        <v>16</v>
      </c>
      <c r="N36" s="75">
        <v>88</v>
      </c>
      <c r="O36" s="75">
        <v>6</v>
      </c>
      <c r="P36" s="75">
        <v>4</v>
      </c>
    </row>
    <row r="37" spans="1:20" s="81" customFormat="1" ht="14.25" customHeight="1" x14ac:dyDescent="0.35">
      <c r="A37" s="145">
        <v>87</v>
      </c>
      <c r="B37" s="82" t="s">
        <v>35</v>
      </c>
      <c r="C37" s="74"/>
      <c r="D37" s="75">
        <v>206</v>
      </c>
      <c r="E37" s="75">
        <v>339</v>
      </c>
      <c r="F37" s="75">
        <v>17</v>
      </c>
      <c r="G37" s="75">
        <v>81</v>
      </c>
      <c r="H37" s="75">
        <v>4</v>
      </c>
      <c r="I37" s="75">
        <v>22</v>
      </c>
      <c r="J37" s="75" t="s">
        <v>3</v>
      </c>
      <c r="K37" s="75">
        <v>27</v>
      </c>
      <c r="L37" s="75">
        <v>2</v>
      </c>
      <c r="M37" s="75">
        <v>21</v>
      </c>
      <c r="N37" s="75">
        <v>61</v>
      </c>
      <c r="O37" s="75">
        <v>5</v>
      </c>
      <c r="P37" s="75">
        <v>2</v>
      </c>
      <c r="R37" s="67"/>
      <c r="S37" s="67"/>
      <c r="T37" s="67"/>
    </row>
    <row r="38" spans="1:20" s="81" customFormat="1" ht="14.25" customHeight="1" x14ac:dyDescent="0.35">
      <c r="A38" s="145">
        <v>90</v>
      </c>
      <c r="B38" s="82" t="s">
        <v>33</v>
      </c>
      <c r="C38" s="74"/>
      <c r="D38" s="75">
        <v>447</v>
      </c>
      <c r="E38" s="75">
        <v>483</v>
      </c>
      <c r="F38" s="75">
        <v>28</v>
      </c>
      <c r="G38" s="75">
        <v>203</v>
      </c>
      <c r="H38" s="75">
        <v>10</v>
      </c>
      <c r="I38" s="75">
        <v>23</v>
      </c>
      <c r="J38" s="75" t="s">
        <v>3</v>
      </c>
      <c r="K38" s="75">
        <v>47</v>
      </c>
      <c r="L38" s="75">
        <v>3</v>
      </c>
      <c r="M38" s="75">
        <v>19</v>
      </c>
      <c r="N38" s="75">
        <v>131</v>
      </c>
      <c r="O38" s="75">
        <v>7</v>
      </c>
      <c r="P38" s="75">
        <v>5</v>
      </c>
      <c r="R38" s="65"/>
      <c r="S38" s="65"/>
      <c r="T38" s="65"/>
    </row>
    <row r="39" spans="1:20" s="81" customFormat="1" ht="14.25" customHeight="1" x14ac:dyDescent="0.35">
      <c r="A39" s="145">
        <v>91</v>
      </c>
      <c r="B39" s="82" t="s">
        <v>88</v>
      </c>
      <c r="C39" s="74"/>
      <c r="D39" s="75">
        <v>246</v>
      </c>
      <c r="E39" s="75">
        <v>481</v>
      </c>
      <c r="F39" s="75">
        <v>23</v>
      </c>
      <c r="G39" s="75">
        <v>131</v>
      </c>
      <c r="H39" s="75">
        <v>7</v>
      </c>
      <c r="I39" s="75">
        <v>28</v>
      </c>
      <c r="J39" s="75" t="s">
        <v>3</v>
      </c>
      <c r="K39" s="75">
        <v>44</v>
      </c>
      <c r="L39" s="75">
        <v>2</v>
      </c>
      <c r="M39" s="75">
        <v>19</v>
      </c>
      <c r="N39" s="75">
        <v>91</v>
      </c>
      <c r="O39" s="75">
        <v>4</v>
      </c>
      <c r="P39" s="75">
        <v>3</v>
      </c>
    </row>
    <row r="40" spans="1:20" s="81" customFormat="1" ht="14.25" customHeight="1" x14ac:dyDescent="0.35">
      <c r="A40" s="145">
        <v>92</v>
      </c>
      <c r="B40" s="82" t="s">
        <v>86</v>
      </c>
      <c r="C40" s="74"/>
      <c r="D40" s="75">
        <v>641</v>
      </c>
      <c r="E40" s="75">
        <v>128</v>
      </c>
      <c r="F40" s="75">
        <v>30</v>
      </c>
      <c r="G40" s="75">
        <v>76</v>
      </c>
      <c r="H40" s="75">
        <v>17</v>
      </c>
      <c r="I40" s="75">
        <v>7</v>
      </c>
      <c r="J40" s="75" t="s">
        <v>3</v>
      </c>
      <c r="K40" s="75">
        <v>40</v>
      </c>
      <c r="L40" s="75">
        <v>2</v>
      </c>
      <c r="M40" s="75">
        <v>20</v>
      </c>
      <c r="N40" s="75">
        <v>102</v>
      </c>
      <c r="O40" s="75">
        <v>8</v>
      </c>
      <c r="P40" s="75">
        <v>3</v>
      </c>
    </row>
    <row r="41" spans="1:20" s="81" customFormat="1" ht="14.25" customHeight="1" x14ac:dyDescent="0.35">
      <c r="A41" s="145">
        <v>94</v>
      </c>
      <c r="B41" s="82" t="s">
        <v>84</v>
      </c>
      <c r="C41" s="74"/>
      <c r="D41" s="75">
        <v>275</v>
      </c>
      <c r="E41" s="75">
        <v>183</v>
      </c>
      <c r="F41" s="75">
        <v>21</v>
      </c>
      <c r="G41" s="75">
        <v>98</v>
      </c>
      <c r="H41" s="75">
        <v>7</v>
      </c>
      <c r="I41" s="75">
        <v>12</v>
      </c>
      <c r="J41" s="75" t="s">
        <v>3</v>
      </c>
      <c r="K41" s="75">
        <v>25</v>
      </c>
      <c r="L41" s="75">
        <v>2</v>
      </c>
      <c r="M41" s="75">
        <v>14</v>
      </c>
      <c r="N41" s="75">
        <v>32</v>
      </c>
      <c r="O41" s="75">
        <v>4</v>
      </c>
      <c r="P41" s="75">
        <v>3</v>
      </c>
      <c r="R41" s="65"/>
      <c r="S41" s="65"/>
      <c r="T41" s="65"/>
    </row>
    <row r="42" spans="1:20" s="81" customFormat="1" ht="14.25" customHeight="1" x14ac:dyDescent="0.35">
      <c r="A42" s="145">
        <v>96</v>
      </c>
      <c r="B42" s="82" t="s">
        <v>82</v>
      </c>
      <c r="C42" s="74"/>
      <c r="D42" s="75">
        <v>383</v>
      </c>
      <c r="E42" s="75">
        <v>395</v>
      </c>
      <c r="F42" s="75">
        <v>38</v>
      </c>
      <c r="G42" s="75">
        <v>139</v>
      </c>
      <c r="H42" s="75">
        <v>11</v>
      </c>
      <c r="I42" s="75">
        <v>14</v>
      </c>
      <c r="J42" s="75" t="s">
        <v>3</v>
      </c>
      <c r="K42" s="75">
        <v>40</v>
      </c>
      <c r="L42" s="75">
        <v>2</v>
      </c>
      <c r="M42" s="75">
        <v>57</v>
      </c>
      <c r="N42" s="75">
        <v>116</v>
      </c>
      <c r="O42" s="75">
        <v>6</v>
      </c>
      <c r="P42" s="75">
        <v>6</v>
      </c>
      <c r="Q42" s="82"/>
      <c r="R42" s="65"/>
      <c r="S42" s="65"/>
      <c r="T42" s="65"/>
    </row>
    <row r="43" spans="1:20" s="81" customFormat="1" ht="14.25" customHeight="1" x14ac:dyDescent="0.35">
      <c r="A43" s="145">
        <v>72</v>
      </c>
      <c r="B43" s="148" t="s">
        <v>326</v>
      </c>
      <c r="C43" s="74"/>
      <c r="D43" s="75">
        <v>12</v>
      </c>
      <c r="E43" s="75">
        <v>39</v>
      </c>
      <c r="F43" s="75">
        <v>0</v>
      </c>
      <c r="G43" s="75">
        <v>2</v>
      </c>
      <c r="H43" s="75">
        <v>1</v>
      </c>
      <c r="I43" s="75">
        <v>5</v>
      </c>
      <c r="J43" s="75" t="s">
        <v>3</v>
      </c>
      <c r="K43" s="75">
        <v>3</v>
      </c>
      <c r="L43" s="75">
        <v>0</v>
      </c>
      <c r="M43" s="75">
        <v>4</v>
      </c>
      <c r="N43" s="75">
        <v>2</v>
      </c>
      <c r="O43" s="75">
        <v>2</v>
      </c>
      <c r="P43" s="75">
        <v>0</v>
      </c>
    </row>
    <row r="44" spans="1:20" s="67" customFormat="1" ht="14.25" customHeight="1" x14ac:dyDescent="0.35">
      <c r="A44" s="147"/>
      <c r="B44" s="62" t="s">
        <v>188</v>
      </c>
      <c r="C44" s="70"/>
      <c r="D44" s="70">
        <v>13321</v>
      </c>
      <c r="E44" s="70">
        <v>577</v>
      </c>
      <c r="F44" s="70">
        <v>435</v>
      </c>
      <c r="G44" s="70">
        <v>3545</v>
      </c>
      <c r="H44" s="70">
        <v>286</v>
      </c>
      <c r="I44" s="70">
        <v>21</v>
      </c>
      <c r="J44" s="75" t="s">
        <v>3</v>
      </c>
      <c r="K44" s="70">
        <v>472</v>
      </c>
      <c r="L44" s="70">
        <v>40</v>
      </c>
      <c r="M44" s="70">
        <v>190</v>
      </c>
      <c r="N44" s="70">
        <v>1365</v>
      </c>
      <c r="O44" s="70">
        <v>66</v>
      </c>
      <c r="P44" s="70">
        <v>85</v>
      </c>
    </row>
    <row r="45" spans="1:20" s="81" customFormat="1" ht="14.25" customHeight="1" x14ac:dyDescent="0.35">
      <c r="A45" s="145">
        <v>66</v>
      </c>
      <c r="B45" s="73" t="s">
        <v>28</v>
      </c>
      <c r="C45" s="74"/>
      <c r="D45" s="87">
        <v>1815</v>
      </c>
      <c r="E45" s="87">
        <v>40</v>
      </c>
      <c r="F45" s="87">
        <v>65</v>
      </c>
      <c r="G45" s="75">
        <v>542</v>
      </c>
      <c r="H45" s="75">
        <v>40</v>
      </c>
      <c r="I45" s="75">
        <v>1</v>
      </c>
      <c r="J45" s="75" t="s">
        <v>3</v>
      </c>
      <c r="K45" s="75">
        <v>66</v>
      </c>
      <c r="L45" s="75">
        <v>6</v>
      </c>
      <c r="M45" s="75">
        <v>21</v>
      </c>
      <c r="N45" s="75">
        <v>160</v>
      </c>
      <c r="O45" s="75">
        <v>14</v>
      </c>
      <c r="P45" s="75">
        <v>7</v>
      </c>
    </row>
    <row r="46" spans="1:20" s="81" customFormat="1" ht="14.25" customHeight="1" x14ac:dyDescent="0.35">
      <c r="A46" s="145">
        <v>78</v>
      </c>
      <c r="B46" s="73" t="s">
        <v>26</v>
      </c>
      <c r="C46" s="74"/>
      <c r="D46" s="87">
        <v>901</v>
      </c>
      <c r="E46" s="87">
        <v>242</v>
      </c>
      <c r="F46" s="87">
        <v>49</v>
      </c>
      <c r="G46" s="75">
        <v>452</v>
      </c>
      <c r="H46" s="75">
        <v>26</v>
      </c>
      <c r="I46" s="75">
        <v>0</v>
      </c>
      <c r="J46" s="75" t="s">
        <v>3</v>
      </c>
      <c r="K46" s="75">
        <v>42</v>
      </c>
      <c r="L46" s="75">
        <v>5</v>
      </c>
      <c r="M46" s="75">
        <v>18</v>
      </c>
      <c r="N46" s="75">
        <v>142</v>
      </c>
      <c r="O46" s="75">
        <v>11</v>
      </c>
      <c r="P46" s="75">
        <v>5</v>
      </c>
    </row>
    <row r="47" spans="1:20" s="81" customFormat="1" ht="14.25" customHeight="1" x14ac:dyDescent="0.35">
      <c r="A47" s="145">
        <v>89</v>
      </c>
      <c r="B47" s="73" t="s">
        <v>24</v>
      </c>
      <c r="C47" s="74"/>
      <c r="D47" s="75">
        <v>755</v>
      </c>
      <c r="E47" s="75">
        <v>107</v>
      </c>
      <c r="F47" s="75">
        <v>42</v>
      </c>
      <c r="G47" s="75">
        <v>242</v>
      </c>
      <c r="H47" s="75">
        <v>17</v>
      </c>
      <c r="I47" s="75">
        <v>6</v>
      </c>
      <c r="J47" s="75" t="s">
        <v>3</v>
      </c>
      <c r="K47" s="75">
        <v>29</v>
      </c>
      <c r="L47" s="75">
        <v>3</v>
      </c>
      <c r="M47" s="75">
        <v>8</v>
      </c>
      <c r="N47" s="75">
        <v>145</v>
      </c>
      <c r="O47" s="75">
        <v>7</v>
      </c>
      <c r="P47" s="75">
        <v>4</v>
      </c>
    </row>
    <row r="48" spans="1:20" s="81" customFormat="1" ht="14.25" customHeight="1" x14ac:dyDescent="0.35">
      <c r="A48" s="145">
        <v>93</v>
      </c>
      <c r="B48" s="73" t="s">
        <v>189</v>
      </c>
      <c r="C48" s="74"/>
      <c r="D48" s="75">
        <v>858</v>
      </c>
      <c r="E48" s="75">
        <v>20</v>
      </c>
      <c r="F48" s="75">
        <v>39</v>
      </c>
      <c r="G48" s="75">
        <v>290</v>
      </c>
      <c r="H48" s="75">
        <v>16</v>
      </c>
      <c r="I48" s="75">
        <v>1</v>
      </c>
      <c r="J48" s="75" t="s">
        <v>3</v>
      </c>
      <c r="K48" s="75">
        <v>30</v>
      </c>
      <c r="L48" s="75">
        <v>3</v>
      </c>
      <c r="M48" s="75">
        <v>15</v>
      </c>
      <c r="N48" s="75">
        <v>97</v>
      </c>
      <c r="O48" s="75">
        <v>6</v>
      </c>
      <c r="P48" s="75">
        <v>2</v>
      </c>
    </row>
    <row r="49" spans="1:24" s="81" customFormat="1" ht="14.25" customHeight="1" x14ac:dyDescent="0.35">
      <c r="A49" s="145">
        <v>95</v>
      </c>
      <c r="B49" s="73" t="s">
        <v>20</v>
      </c>
      <c r="C49" s="74"/>
      <c r="D49" s="75">
        <v>1788</v>
      </c>
      <c r="E49" s="75">
        <v>0</v>
      </c>
      <c r="F49" s="75">
        <v>64</v>
      </c>
      <c r="G49" s="75">
        <v>601</v>
      </c>
      <c r="H49" s="75">
        <v>39</v>
      </c>
      <c r="I49" s="75">
        <v>0</v>
      </c>
      <c r="J49" s="75" t="s">
        <v>3</v>
      </c>
      <c r="K49" s="75">
        <v>60</v>
      </c>
      <c r="L49" s="75">
        <v>4</v>
      </c>
      <c r="M49" s="75">
        <v>22</v>
      </c>
      <c r="N49" s="75">
        <v>106</v>
      </c>
      <c r="O49" s="75">
        <v>17</v>
      </c>
      <c r="P49" s="75">
        <v>10</v>
      </c>
    </row>
    <row r="50" spans="1:24" s="81" customFormat="1" ht="14.25" customHeight="1" x14ac:dyDescent="0.35">
      <c r="A50" s="145">
        <v>97</v>
      </c>
      <c r="B50" s="82" t="s">
        <v>18</v>
      </c>
      <c r="C50" s="74"/>
      <c r="D50" s="75">
        <v>1415</v>
      </c>
      <c r="E50" s="75">
        <v>168</v>
      </c>
      <c r="F50" s="75">
        <v>56</v>
      </c>
      <c r="G50" s="75">
        <v>383</v>
      </c>
      <c r="H50" s="75">
        <v>35</v>
      </c>
      <c r="I50" s="75">
        <v>13</v>
      </c>
      <c r="J50" s="75" t="s">
        <v>3</v>
      </c>
      <c r="K50" s="75">
        <v>76</v>
      </c>
      <c r="L50" s="75">
        <v>8</v>
      </c>
      <c r="M50" s="75">
        <v>22</v>
      </c>
      <c r="N50" s="75">
        <v>297</v>
      </c>
      <c r="O50" s="75">
        <v>11</v>
      </c>
      <c r="P50" s="75">
        <v>19</v>
      </c>
    </row>
    <row r="51" spans="1:24" s="81" customFormat="1" ht="14.25" customHeight="1" x14ac:dyDescent="0.35">
      <c r="A51" s="146">
        <v>77</v>
      </c>
      <c r="B51" s="89" t="s">
        <v>190</v>
      </c>
      <c r="C51" s="90"/>
      <c r="D51" s="91">
        <v>5789</v>
      </c>
      <c r="E51" s="91">
        <v>0</v>
      </c>
      <c r="F51" s="91">
        <v>120</v>
      </c>
      <c r="G51" s="92">
        <v>1035</v>
      </c>
      <c r="H51" s="92">
        <v>113</v>
      </c>
      <c r="I51" s="92">
        <v>0</v>
      </c>
      <c r="J51" s="75" t="s">
        <v>3</v>
      </c>
      <c r="K51" s="92">
        <v>169</v>
      </c>
      <c r="L51" s="92">
        <v>11</v>
      </c>
      <c r="M51" s="92">
        <v>84</v>
      </c>
      <c r="N51" s="92">
        <v>418</v>
      </c>
      <c r="O51" s="92">
        <v>0</v>
      </c>
      <c r="P51" s="92">
        <v>38</v>
      </c>
    </row>
    <row r="52" spans="1:24" s="65" customFormat="1" ht="6" customHeight="1" x14ac:dyDescent="0.35">
      <c r="A52" s="145"/>
      <c r="B52" s="93"/>
      <c r="C52" s="93"/>
      <c r="D52" s="94"/>
      <c r="E52" s="95"/>
      <c r="F52" s="95"/>
      <c r="G52" s="95"/>
      <c r="H52" s="96"/>
      <c r="I52" s="93"/>
      <c r="J52" s="93"/>
      <c r="K52" s="93"/>
      <c r="L52" s="93"/>
      <c r="M52" s="93"/>
      <c r="N52" s="93"/>
      <c r="O52" s="93"/>
      <c r="P52" s="93"/>
      <c r="Q52" s="93"/>
      <c r="U52" s="81"/>
      <c r="V52" s="81"/>
      <c r="W52" s="81"/>
      <c r="X52" s="81"/>
    </row>
    <row r="53" spans="1:24" s="81" customFormat="1" ht="14" x14ac:dyDescent="0.35">
      <c r="A53" s="145"/>
      <c r="B53" s="82" t="s">
        <v>249</v>
      </c>
      <c r="C53" s="82"/>
      <c r="D53" s="98"/>
      <c r="E53" s="98"/>
      <c r="F53" s="87"/>
      <c r="G53" s="87"/>
      <c r="H53" s="73"/>
      <c r="I53" s="82"/>
      <c r="J53" s="82"/>
      <c r="K53" s="82"/>
      <c r="L53" s="82"/>
      <c r="M53" s="82"/>
      <c r="N53" s="82"/>
      <c r="O53" s="82"/>
      <c r="P53" s="82"/>
      <c r="Q53" s="82"/>
      <c r="R53" s="65"/>
      <c r="S53" s="65"/>
      <c r="T53" s="65"/>
      <c r="U53" s="65"/>
    </row>
    <row r="54" spans="1:24" s="81" customFormat="1" ht="14" x14ac:dyDescent="0.35">
      <c r="A54" s="145"/>
      <c r="B54" s="82" t="s">
        <v>248</v>
      </c>
      <c r="C54" s="82"/>
      <c r="D54" s="98"/>
      <c r="E54" s="98"/>
      <c r="F54" s="87"/>
      <c r="G54" s="87"/>
      <c r="H54" s="73"/>
      <c r="I54" s="82"/>
      <c r="J54" s="82"/>
      <c r="K54" s="82"/>
      <c r="L54" s="82"/>
      <c r="M54" s="82"/>
      <c r="N54" s="82"/>
      <c r="O54" s="82"/>
      <c r="P54" s="82"/>
      <c r="Q54" s="82"/>
      <c r="R54" s="65"/>
      <c r="S54" s="65"/>
      <c r="T54" s="65"/>
      <c r="U54" s="65"/>
    </row>
    <row r="55" spans="1:24" s="81" customFormat="1" ht="15" customHeight="1" x14ac:dyDescent="0.35">
      <c r="A55" s="145"/>
      <c r="B55" s="100" t="s">
        <v>247</v>
      </c>
      <c r="C55" s="82"/>
      <c r="D55" s="98"/>
      <c r="E55" s="98"/>
      <c r="F55" s="87"/>
      <c r="G55" s="87"/>
      <c r="H55" s="73"/>
      <c r="I55" s="82"/>
      <c r="J55" s="82"/>
      <c r="K55" s="82"/>
      <c r="L55" s="82"/>
      <c r="M55" s="82"/>
      <c r="N55" s="82"/>
      <c r="O55" s="82"/>
      <c r="P55" s="82"/>
      <c r="Q55" s="82"/>
      <c r="R55" s="65"/>
      <c r="S55" s="65"/>
      <c r="T55" s="65"/>
      <c r="U55" s="65"/>
    </row>
    <row r="56" spans="1:24" s="81" customFormat="1" ht="14" x14ac:dyDescent="0.35">
      <c r="A56" s="145"/>
      <c r="B56" s="82" t="s">
        <v>246</v>
      </c>
      <c r="C56" s="82"/>
      <c r="D56" s="98"/>
      <c r="E56" s="98"/>
      <c r="F56" s="87"/>
      <c r="G56" s="87"/>
      <c r="H56" s="73"/>
      <c r="I56" s="82"/>
      <c r="J56" s="82"/>
      <c r="K56" s="82"/>
      <c r="L56" s="82"/>
      <c r="M56" s="82"/>
      <c r="N56" s="82"/>
      <c r="O56" s="82"/>
      <c r="P56" s="82"/>
      <c r="Q56" s="82"/>
      <c r="R56" s="65"/>
      <c r="S56" s="65"/>
      <c r="T56" s="65"/>
      <c r="U56" s="65"/>
    </row>
    <row r="57" spans="1:24" s="81" customFormat="1" ht="24" customHeight="1" x14ac:dyDescent="0.35">
      <c r="A57" s="145"/>
      <c r="B57" s="375" t="s">
        <v>325</v>
      </c>
      <c r="C57" s="375"/>
      <c r="D57" s="375"/>
      <c r="E57" s="375"/>
      <c r="F57" s="375"/>
      <c r="G57" s="375"/>
      <c r="H57" s="375"/>
      <c r="I57" s="375"/>
      <c r="J57" s="375"/>
      <c r="K57" s="375"/>
      <c r="L57" s="375"/>
      <c r="M57" s="375"/>
      <c r="N57" s="375"/>
      <c r="O57" s="375"/>
      <c r="P57" s="375"/>
      <c r="Q57" s="82"/>
      <c r="R57" s="65"/>
      <c r="S57" s="65"/>
      <c r="T57" s="65"/>
      <c r="U57" s="65"/>
    </row>
    <row r="58" spans="1:24" s="81" customFormat="1" ht="14" x14ac:dyDescent="0.35">
      <c r="A58" s="145"/>
      <c r="B58" s="82" t="s">
        <v>244</v>
      </c>
      <c r="C58" s="82"/>
      <c r="D58" s="98"/>
      <c r="E58" s="98"/>
      <c r="F58" s="87"/>
      <c r="G58" s="87"/>
      <c r="H58" s="73"/>
      <c r="I58" s="82"/>
      <c r="J58" s="82"/>
      <c r="K58" s="82"/>
      <c r="L58" s="82"/>
      <c r="M58" s="82"/>
      <c r="N58" s="82"/>
      <c r="O58" s="82"/>
      <c r="P58" s="82"/>
      <c r="Q58" s="82"/>
      <c r="R58" s="65"/>
      <c r="S58" s="65"/>
      <c r="T58" s="65"/>
      <c r="U58" s="65"/>
    </row>
    <row r="59" spans="1:24" s="81" customFormat="1" ht="14" x14ac:dyDescent="0.35">
      <c r="A59" s="145"/>
      <c r="B59" s="82" t="s">
        <v>324</v>
      </c>
      <c r="C59" s="82"/>
      <c r="D59" s="98"/>
      <c r="E59" s="98"/>
      <c r="F59" s="87"/>
      <c r="G59" s="87"/>
      <c r="H59" s="73"/>
      <c r="I59" s="82"/>
      <c r="J59" s="82"/>
      <c r="K59" s="82"/>
      <c r="L59" s="82"/>
      <c r="M59" s="82"/>
      <c r="N59" s="82"/>
      <c r="O59" s="82"/>
      <c r="P59" s="82"/>
      <c r="Q59" s="82"/>
      <c r="R59" s="65"/>
      <c r="S59" s="65"/>
      <c r="T59" s="65"/>
      <c r="U59" s="65"/>
    </row>
    <row r="60" spans="1:24" s="81" customFormat="1" ht="14" x14ac:dyDescent="0.35">
      <c r="A60" s="145"/>
      <c r="B60" s="82" t="s">
        <v>242</v>
      </c>
      <c r="C60" s="82"/>
      <c r="D60" s="98"/>
      <c r="E60" s="98"/>
      <c r="F60" s="87"/>
      <c r="G60" s="87"/>
      <c r="H60" s="73"/>
      <c r="I60" s="82"/>
      <c r="J60" s="82"/>
      <c r="K60" s="82"/>
      <c r="L60" s="82"/>
      <c r="M60" s="82"/>
      <c r="N60" s="82"/>
      <c r="O60" s="82"/>
      <c r="P60" s="82"/>
      <c r="Q60" s="82"/>
      <c r="R60" s="65"/>
      <c r="S60" s="65"/>
      <c r="T60" s="65"/>
      <c r="U60" s="65"/>
    </row>
    <row r="61" spans="1:24" s="81" customFormat="1" ht="14" x14ac:dyDescent="0.35">
      <c r="A61" s="145"/>
      <c r="B61" s="82" t="s">
        <v>241</v>
      </c>
      <c r="C61" s="82"/>
      <c r="D61" s="98"/>
      <c r="E61" s="98"/>
      <c r="F61" s="87"/>
      <c r="G61" s="87"/>
      <c r="H61" s="73"/>
      <c r="I61" s="82"/>
      <c r="J61" s="93"/>
      <c r="K61" s="82"/>
      <c r="L61" s="82"/>
      <c r="M61" s="82"/>
      <c r="N61" s="82"/>
      <c r="O61" s="82"/>
      <c r="P61" s="82"/>
      <c r="Q61" s="82"/>
      <c r="R61" s="65"/>
      <c r="S61" s="65"/>
      <c r="T61" s="65"/>
      <c r="U61" s="65"/>
    </row>
    <row r="62" spans="1:24" s="81" customFormat="1" ht="14" x14ac:dyDescent="0.35">
      <c r="A62" s="145"/>
      <c r="B62" s="100" t="s">
        <v>240</v>
      </c>
      <c r="C62" s="82"/>
      <c r="D62" s="98"/>
      <c r="E62" s="98"/>
      <c r="F62" s="87"/>
      <c r="G62" s="87"/>
      <c r="H62" s="73"/>
      <c r="I62" s="82"/>
      <c r="J62" s="93"/>
      <c r="K62" s="82"/>
      <c r="L62" s="82"/>
      <c r="M62" s="82"/>
      <c r="N62" s="82"/>
      <c r="O62" s="82"/>
      <c r="P62" s="82"/>
      <c r="Q62" s="82"/>
      <c r="R62" s="65"/>
      <c r="S62" s="65"/>
      <c r="T62" s="65"/>
      <c r="U62" s="65"/>
    </row>
    <row r="63" spans="1:24" s="81" customFormat="1" ht="15" customHeight="1" x14ac:dyDescent="0.35">
      <c r="A63" s="145">
        <v>11</v>
      </c>
      <c r="B63" s="100"/>
      <c r="C63" s="82"/>
      <c r="D63" s="98"/>
      <c r="E63" s="98"/>
      <c r="F63" s="87"/>
      <c r="G63" s="87"/>
      <c r="H63" s="73"/>
      <c r="I63" s="82"/>
      <c r="J63" s="93"/>
      <c r="K63" s="82"/>
      <c r="L63" s="82"/>
      <c r="M63" s="82"/>
      <c r="N63" s="82"/>
      <c r="O63" s="82"/>
      <c r="P63" s="82"/>
      <c r="Q63" s="82"/>
      <c r="R63" s="65"/>
      <c r="S63" s="65"/>
      <c r="T63" s="65"/>
      <c r="U63" s="65"/>
    </row>
    <row r="64" spans="1:24" s="81" customFormat="1" ht="14" x14ac:dyDescent="0.35">
      <c r="A64" s="145"/>
      <c r="B64" s="82" t="s">
        <v>223</v>
      </c>
      <c r="C64" s="82"/>
      <c r="D64" s="98"/>
      <c r="E64" s="87"/>
      <c r="F64" s="87"/>
      <c r="G64" s="87"/>
      <c r="H64" s="73"/>
      <c r="I64" s="82"/>
      <c r="J64" s="93"/>
      <c r="K64" s="82"/>
      <c r="L64" s="82"/>
      <c r="M64" s="82"/>
      <c r="N64" s="82"/>
      <c r="O64" s="82"/>
      <c r="P64" s="82"/>
      <c r="Q64" s="82"/>
      <c r="R64" s="65"/>
      <c r="S64" s="65"/>
      <c r="T64" s="65"/>
      <c r="U64" s="65"/>
      <c r="V64" s="65"/>
      <c r="W64" s="65"/>
      <c r="X64" s="65"/>
    </row>
    <row r="65" spans="1:16" s="65" customFormat="1" ht="14" x14ac:dyDescent="0.35">
      <c r="A65" s="145"/>
      <c r="C65" s="93"/>
      <c r="D65" s="101"/>
      <c r="E65" s="95"/>
      <c r="F65" s="95"/>
      <c r="G65" s="95"/>
      <c r="H65" s="93"/>
      <c r="I65" s="93"/>
      <c r="J65" s="93"/>
    </row>
    <row r="66" spans="1:16" s="65" customFormat="1" ht="14" x14ac:dyDescent="0.35">
      <c r="A66" s="145"/>
      <c r="B66" s="93"/>
      <c r="C66" s="93"/>
      <c r="D66" s="94"/>
      <c r="E66" s="95"/>
      <c r="F66" s="95"/>
      <c r="G66" s="95"/>
      <c r="H66" s="93"/>
      <c r="I66" s="93"/>
      <c r="J66" s="93"/>
    </row>
    <row r="67" spans="1:16" s="65" customFormat="1" ht="14" x14ac:dyDescent="0.35">
      <c r="A67" s="145"/>
      <c r="B67" s="93"/>
      <c r="C67" s="93"/>
      <c r="D67" s="94"/>
      <c r="E67" s="95"/>
      <c r="F67" s="95"/>
      <c r="G67" s="95"/>
      <c r="H67" s="93"/>
      <c r="I67" s="93"/>
      <c r="J67" s="93"/>
    </row>
    <row r="68" spans="1:16" s="65" customFormat="1" ht="14" x14ac:dyDescent="0.35">
      <c r="A68" s="145"/>
      <c r="B68" s="265" t="s">
        <v>59</v>
      </c>
      <c r="C68" s="266"/>
      <c r="D68" s="267">
        <v>285</v>
      </c>
      <c r="E68" s="267">
        <v>362</v>
      </c>
      <c r="F68" s="267">
        <v>25</v>
      </c>
      <c r="G68" s="267">
        <v>138</v>
      </c>
      <c r="H68" s="267">
        <v>7</v>
      </c>
      <c r="I68" s="267">
        <v>19</v>
      </c>
      <c r="J68" s="267" t="s">
        <v>3</v>
      </c>
      <c r="K68" s="267">
        <v>40</v>
      </c>
      <c r="L68" s="267">
        <v>2</v>
      </c>
      <c r="M68" s="267">
        <v>39</v>
      </c>
      <c r="N68" s="267">
        <v>77</v>
      </c>
      <c r="O68" s="267">
        <v>5</v>
      </c>
      <c r="P68" s="267">
        <v>6</v>
      </c>
    </row>
    <row r="69" spans="1:16" s="65" customFormat="1" ht="14" x14ac:dyDescent="0.35">
      <c r="A69" s="145"/>
      <c r="B69" s="265" t="s">
        <v>30</v>
      </c>
      <c r="C69" s="266"/>
      <c r="D69" s="267">
        <v>215</v>
      </c>
      <c r="E69" s="267">
        <v>328</v>
      </c>
      <c r="F69" s="267">
        <v>25</v>
      </c>
      <c r="G69" s="267">
        <v>122</v>
      </c>
      <c r="H69" s="267">
        <v>6</v>
      </c>
      <c r="I69" s="267">
        <v>18</v>
      </c>
      <c r="J69" s="267" t="s">
        <v>3</v>
      </c>
      <c r="K69" s="267">
        <v>34</v>
      </c>
      <c r="L69" s="267">
        <v>2</v>
      </c>
      <c r="M69" s="267">
        <v>25</v>
      </c>
      <c r="N69" s="267">
        <v>70</v>
      </c>
      <c r="O69" s="267">
        <v>5</v>
      </c>
      <c r="P69" s="267">
        <v>2</v>
      </c>
    </row>
    <row r="70" spans="1:16" s="65" customFormat="1" ht="14" x14ac:dyDescent="0.35">
      <c r="A70" s="145"/>
      <c r="B70" s="93"/>
      <c r="C70" s="93"/>
      <c r="D70" s="94"/>
      <c r="E70" s="95"/>
      <c r="F70" s="95"/>
      <c r="G70" s="95"/>
      <c r="H70" s="93"/>
      <c r="I70" s="93"/>
      <c r="J70" s="93"/>
    </row>
    <row r="71" spans="1:16" s="65" customFormat="1" ht="14" x14ac:dyDescent="0.35">
      <c r="A71" s="145"/>
      <c r="B71" s="93"/>
      <c r="C71" s="93"/>
      <c r="D71" s="94"/>
      <c r="E71" s="95"/>
      <c r="F71" s="95"/>
      <c r="G71" s="95"/>
      <c r="H71" s="93"/>
      <c r="I71" s="93"/>
      <c r="J71" s="93"/>
    </row>
    <row r="72" spans="1:16" s="65" customFormat="1" ht="14" x14ac:dyDescent="0.35">
      <c r="A72" s="145"/>
      <c r="B72" s="93"/>
      <c r="C72" s="93"/>
      <c r="D72" s="93"/>
      <c r="E72" s="95"/>
      <c r="F72" s="95"/>
      <c r="G72" s="95"/>
      <c r="H72" s="93"/>
      <c r="I72" s="93"/>
      <c r="J72" s="93"/>
    </row>
    <row r="73" spans="1:16" s="65" customFormat="1" ht="14" x14ac:dyDescent="0.35">
      <c r="A73" s="145"/>
      <c r="B73" s="93"/>
      <c r="C73" s="93"/>
      <c r="D73" s="93"/>
      <c r="E73" s="95"/>
      <c r="F73" s="95"/>
      <c r="G73" s="95"/>
      <c r="H73" s="93"/>
      <c r="I73" s="93"/>
      <c r="J73" s="93"/>
    </row>
    <row r="74" spans="1:16" s="65" customFormat="1" ht="14" x14ac:dyDescent="0.35">
      <c r="A74" s="145"/>
      <c r="B74" s="93"/>
      <c r="C74" s="93"/>
      <c r="D74" s="93"/>
      <c r="E74" s="95"/>
      <c r="F74" s="95"/>
      <c r="G74" s="95"/>
      <c r="H74" s="93"/>
      <c r="I74" s="93"/>
      <c r="J74" s="93"/>
    </row>
    <row r="75" spans="1:16" s="65" customFormat="1" ht="14" x14ac:dyDescent="0.35">
      <c r="A75" s="145"/>
      <c r="B75" s="93"/>
      <c r="C75" s="93"/>
      <c r="D75" s="93"/>
      <c r="E75" s="95"/>
      <c r="F75" s="95"/>
      <c r="G75" s="95"/>
      <c r="H75" s="93"/>
      <c r="I75" s="93"/>
      <c r="J75" s="93"/>
    </row>
    <row r="76" spans="1:16" s="65" customFormat="1" ht="14" x14ac:dyDescent="0.35">
      <c r="A76" s="145"/>
      <c r="B76" s="93"/>
      <c r="C76" s="93"/>
      <c r="D76" s="93"/>
      <c r="E76" s="95"/>
      <c r="F76" s="95"/>
      <c r="G76" s="95"/>
      <c r="H76" s="93"/>
      <c r="I76" s="93"/>
      <c r="J76" s="93"/>
    </row>
    <row r="77" spans="1:16" s="65" customFormat="1" ht="14" x14ac:dyDescent="0.35">
      <c r="A77" s="145"/>
      <c r="B77" s="93"/>
      <c r="C77" s="93"/>
      <c r="D77" s="93"/>
      <c r="E77" s="95"/>
      <c r="F77" s="95"/>
      <c r="G77" s="95"/>
      <c r="H77" s="93"/>
      <c r="I77" s="93"/>
      <c r="J77" s="93"/>
    </row>
    <row r="78" spans="1:16" s="65" customFormat="1" ht="14" x14ac:dyDescent="0.35">
      <c r="A78" s="145"/>
      <c r="B78" s="93"/>
      <c r="C78" s="93"/>
      <c r="D78" s="93"/>
      <c r="E78" s="95"/>
      <c r="F78" s="95"/>
      <c r="G78" s="95"/>
      <c r="H78" s="93"/>
      <c r="I78" s="93"/>
      <c r="J78" s="93"/>
    </row>
    <row r="79" spans="1:16" s="65" customFormat="1" ht="14" x14ac:dyDescent="0.35">
      <c r="A79" s="145"/>
      <c r="B79" s="93"/>
      <c r="C79" s="93"/>
      <c r="D79" s="93"/>
      <c r="E79" s="95"/>
      <c r="F79" s="95"/>
      <c r="G79" s="95"/>
      <c r="H79" s="93"/>
      <c r="I79" s="93"/>
      <c r="J79" s="93"/>
    </row>
    <row r="80" spans="1:16" s="65" customFormat="1" ht="14" x14ac:dyDescent="0.35">
      <c r="A80" s="145"/>
      <c r="B80" s="93"/>
      <c r="C80" s="93"/>
      <c r="D80" s="93"/>
      <c r="E80" s="95"/>
      <c r="F80" s="95"/>
      <c r="G80" s="95"/>
      <c r="H80" s="93"/>
      <c r="I80" s="93"/>
      <c r="J80" s="93"/>
    </row>
    <row r="81" spans="1:10" s="65" customFormat="1" ht="14" x14ac:dyDescent="0.35">
      <c r="A81" s="145"/>
      <c r="B81" s="93"/>
      <c r="C81" s="93"/>
      <c r="D81" s="93"/>
      <c r="E81" s="95"/>
      <c r="F81" s="95"/>
      <c r="G81" s="95"/>
      <c r="H81" s="93"/>
      <c r="I81" s="93"/>
      <c r="J81" s="93"/>
    </row>
    <row r="82" spans="1:10" s="65" customFormat="1" ht="14" x14ac:dyDescent="0.35">
      <c r="A82" s="145"/>
      <c r="B82" s="93"/>
      <c r="C82" s="93"/>
      <c r="D82" s="93"/>
      <c r="E82" s="95"/>
      <c r="F82" s="95"/>
      <c r="G82" s="95"/>
      <c r="H82" s="93"/>
      <c r="I82" s="93"/>
      <c r="J82" s="93"/>
    </row>
    <row r="83" spans="1:10" s="65" customFormat="1" ht="14" x14ac:dyDescent="0.35">
      <c r="A83" s="145"/>
      <c r="B83" s="93"/>
      <c r="C83" s="93"/>
      <c r="D83" s="93"/>
      <c r="E83" s="95"/>
      <c r="F83" s="95"/>
      <c r="G83" s="95"/>
      <c r="H83" s="93"/>
      <c r="I83" s="93"/>
      <c r="J83" s="93"/>
    </row>
    <row r="84" spans="1:10" s="65" customFormat="1" ht="14" x14ac:dyDescent="0.35">
      <c r="A84" s="145"/>
      <c r="B84" s="93"/>
      <c r="C84" s="93"/>
      <c r="D84" s="93"/>
      <c r="E84" s="95"/>
      <c r="F84" s="95"/>
      <c r="G84" s="95"/>
      <c r="H84" s="93"/>
      <c r="I84" s="93"/>
      <c r="J84" s="93"/>
    </row>
    <row r="85" spans="1:10" s="65" customFormat="1" ht="14" x14ac:dyDescent="0.35">
      <c r="A85" s="145"/>
      <c r="B85" s="93"/>
      <c r="C85" s="93"/>
      <c r="D85" s="93"/>
      <c r="E85" s="95"/>
      <c r="F85" s="95"/>
      <c r="G85" s="95"/>
      <c r="H85" s="93"/>
      <c r="I85" s="93"/>
      <c r="J85" s="93"/>
    </row>
    <row r="86" spans="1:10" s="65" customFormat="1" ht="14" x14ac:dyDescent="0.35">
      <c r="A86" s="145"/>
      <c r="B86" s="93"/>
      <c r="C86" s="93"/>
      <c r="D86" s="93"/>
      <c r="E86" s="95"/>
      <c r="F86" s="95"/>
      <c r="G86" s="95"/>
      <c r="H86" s="93"/>
      <c r="I86" s="93"/>
      <c r="J86" s="93"/>
    </row>
    <row r="87" spans="1:10" s="65" customFormat="1" ht="14" x14ac:dyDescent="0.35">
      <c r="A87" s="145"/>
      <c r="B87" s="93"/>
      <c r="C87" s="93"/>
      <c r="D87" s="93"/>
      <c r="E87" s="95"/>
      <c r="F87" s="95"/>
      <c r="G87" s="95"/>
      <c r="H87" s="93"/>
      <c r="I87" s="93"/>
      <c r="J87" s="93"/>
    </row>
    <row r="88" spans="1:10" s="65" customFormat="1" ht="14" x14ac:dyDescent="0.35">
      <c r="A88" s="145"/>
      <c r="B88" s="93"/>
      <c r="C88" s="93"/>
      <c r="D88" s="93"/>
      <c r="E88" s="95"/>
      <c r="F88" s="95"/>
      <c r="G88" s="95"/>
      <c r="H88" s="93"/>
      <c r="I88" s="93"/>
      <c r="J88" s="93"/>
    </row>
    <row r="89" spans="1:10" s="65" customFormat="1" ht="14" x14ac:dyDescent="0.35">
      <c r="A89" s="145"/>
      <c r="B89" s="93"/>
      <c r="C89" s="93"/>
      <c r="D89" s="93"/>
      <c r="E89" s="95"/>
      <c r="F89" s="95"/>
      <c r="G89" s="95"/>
      <c r="H89" s="93"/>
      <c r="I89" s="93"/>
      <c r="J89" s="93"/>
    </row>
    <row r="90" spans="1:10" s="65" customFormat="1" ht="14" x14ac:dyDescent="0.35">
      <c r="A90" s="145"/>
      <c r="B90" s="93"/>
      <c r="C90" s="93"/>
      <c r="D90" s="93"/>
      <c r="E90" s="95"/>
      <c r="F90" s="95"/>
      <c r="G90" s="95"/>
      <c r="H90" s="93"/>
      <c r="I90" s="93"/>
      <c r="J90" s="93"/>
    </row>
    <row r="91" spans="1:10" s="65" customFormat="1" ht="14" x14ac:dyDescent="0.35">
      <c r="A91" s="145"/>
      <c r="B91" s="93"/>
      <c r="C91" s="93"/>
      <c r="D91" s="93"/>
      <c r="E91" s="95"/>
      <c r="F91" s="95"/>
      <c r="G91" s="95"/>
      <c r="H91" s="93"/>
      <c r="I91" s="93"/>
      <c r="J91" s="93"/>
    </row>
    <row r="92" spans="1:10" s="65" customFormat="1" ht="14" x14ac:dyDescent="0.35">
      <c r="A92" s="145"/>
      <c r="B92" s="93"/>
      <c r="C92" s="93"/>
      <c r="D92" s="93"/>
      <c r="E92" s="95"/>
      <c r="F92" s="95"/>
      <c r="G92" s="95"/>
      <c r="H92" s="93"/>
      <c r="I92" s="93"/>
      <c r="J92" s="93"/>
    </row>
    <row r="93" spans="1:10" s="65" customFormat="1" ht="14" x14ac:dyDescent="0.35">
      <c r="A93" s="145"/>
      <c r="B93" s="93"/>
      <c r="C93" s="93"/>
      <c r="D93" s="93"/>
      <c r="E93" s="95"/>
      <c r="F93" s="95"/>
      <c r="G93" s="95"/>
      <c r="H93" s="93"/>
      <c r="I93" s="93"/>
      <c r="J93" s="93"/>
    </row>
    <row r="94" spans="1:10" s="65" customFormat="1" ht="14" x14ac:dyDescent="0.35">
      <c r="A94" s="145"/>
      <c r="B94" s="93"/>
      <c r="C94" s="93"/>
      <c r="D94" s="93"/>
      <c r="E94" s="95"/>
      <c r="F94" s="95"/>
      <c r="G94" s="95"/>
      <c r="H94" s="93"/>
      <c r="I94" s="93"/>
      <c r="J94" s="93"/>
    </row>
    <row r="95" spans="1:10" s="65" customFormat="1" ht="14" x14ac:dyDescent="0.35">
      <c r="A95" s="145"/>
      <c r="B95" s="93"/>
      <c r="C95" s="93"/>
      <c r="D95" s="93"/>
      <c r="E95" s="95"/>
      <c r="F95" s="95"/>
      <c r="G95" s="95"/>
      <c r="H95" s="93"/>
      <c r="I95" s="93"/>
      <c r="J95" s="93"/>
    </row>
    <row r="96" spans="1:10" s="65" customFormat="1" ht="14" x14ac:dyDescent="0.35">
      <c r="A96" s="145"/>
      <c r="B96" s="93"/>
      <c r="C96" s="93"/>
      <c r="D96" s="93"/>
      <c r="E96" s="95"/>
      <c r="F96" s="95"/>
      <c r="G96" s="95"/>
      <c r="H96" s="93"/>
      <c r="I96" s="93"/>
      <c r="J96" s="93"/>
    </row>
    <row r="97" spans="1:10" s="65" customFormat="1" ht="14" x14ac:dyDescent="0.35">
      <c r="A97" s="145"/>
      <c r="B97" s="93"/>
      <c r="C97" s="93"/>
      <c r="D97" s="93"/>
      <c r="E97" s="95"/>
      <c r="F97" s="95"/>
      <c r="G97" s="95"/>
      <c r="H97" s="93"/>
      <c r="I97" s="93"/>
      <c r="J97" s="93"/>
    </row>
    <row r="98" spans="1:10" s="65" customFormat="1" ht="14" x14ac:dyDescent="0.35">
      <c r="A98" s="145"/>
      <c r="B98" s="93"/>
      <c r="C98" s="93"/>
      <c r="D98" s="93"/>
      <c r="E98" s="95"/>
      <c r="F98" s="95"/>
      <c r="G98" s="95"/>
      <c r="H98" s="93"/>
      <c r="I98" s="93"/>
      <c r="J98" s="93"/>
    </row>
    <row r="99" spans="1:10" s="65" customFormat="1" ht="14" x14ac:dyDescent="0.35">
      <c r="A99" s="145"/>
      <c r="B99" s="93"/>
      <c r="C99" s="93"/>
      <c r="D99" s="93"/>
      <c r="E99" s="95"/>
      <c r="F99" s="95"/>
      <c r="G99" s="95"/>
      <c r="H99" s="93"/>
      <c r="I99" s="93"/>
      <c r="J99" s="93"/>
    </row>
    <row r="100" spans="1:10" s="65" customFormat="1" ht="14" x14ac:dyDescent="0.35">
      <c r="A100" s="145"/>
      <c r="B100" s="93"/>
      <c r="C100" s="93"/>
      <c r="D100" s="93"/>
      <c r="E100" s="95"/>
      <c r="F100" s="95"/>
      <c r="G100" s="95"/>
      <c r="H100" s="93"/>
      <c r="I100" s="93"/>
      <c r="J100" s="93"/>
    </row>
    <row r="101" spans="1:10" s="65" customFormat="1" ht="14" x14ac:dyDescent="0.35">
      <c r="A101" s="145"/>
      <c r="B101" s="93"/>
      <c r="C101" s="93"/>
      <c r="D101" s="93"/>
      <c r="E101" s="95"/>
      <c r="F101" s="95"/>
      <c r="G101" s="95"/>
      <c r="H101" s="93"/>
      <c r="I101" s="93"/>
      <c r="J101" s="93"/>
    </row>
    <row r="102" spans="1:10" s="65" customFormat="1" ht="14" x14ac:dyDescent="0.35">
      <c r="A102" s="145"/>
      <c r="B102" s="93"/>
      <c r="C102" s="93"/>
      <c r="D102" s="93"/>
      <c r="E102" s="95"/>
      <c r="F102" s="95"/>
      <c r="G102" s="95"/>
      <c r="H102" s="93"/>
      <c r="I102" s="93"/>
      <c r="J102" s="93"/>
    </row>
    <row r="103" spans="1:10" s="65" customFormat="1" ht="14" x14ac:dyDescent="0.35">
      <c r="A103" s="145"/>
      <c r="B103" s="93"/>
      <c r="C103" s="93"/>
      <c r="D103" s="93"/>
      <c r="E103" s="95"/>
      <c r="F103" s="95"/>
      <c r="G103" s="95"/>
      <c r="H103" s="93"/>
      <c r="I103" s="93"/>
      <c r="J103" s="93"/>
    </row>
    <row r="104" spans="1:10" s="65" customFormat="1" ht="14" x14ac:dyDescent="0.35">
      <c r="A104" s="145"/>
      <c r="B104" s="93"/>
      <c r="C104" s="93"/>
      <c r="D104" s="93"/>
      <c r="E104" s="95"/>
      <c r="F104" s="95"/>
      <c r="G104" s="95"/>
      <c r="H104" s="93"/>
      <c r="I104" s="93"/>
      <c r="J104" s="93"/>
    </row>
    <row r="105" spans="1:10" s="65" customFormat="1" ht="14" x14ac:dyDescent="0.35">
      <c r="A105" s="145"/>
      <c r="B105" s="93"/>
      <c r="C105" s="93"/>
      <c r="D105" s="93"/>
      <c r="E105" s="95"/>
      <c r="F105" s="95"/>
      <c r="G105" s="95"/>
      <c r="H105" s="93"/>
      <c r="I105" s="93"/>
      <c r="J105" s="93"/>
    </row>
    <row r="106" spans="1:10" s="65" customFormat="1" ht="14" x14ac:dyDescent="0.35">
      <c r="A106" s="145"/>
      <c r="B106" s="93"/>
      <c r="C106" s="93"/>
      <c r="D106" s="93"/>
      <c r="E106" s="95"/>
      <c r="F106" s="95"/>
      <c r="G106" s="95"/>
      <c r="H106" s="93"/>
      <c r="I106" s="93"/>
      <c r="J106" s="93"/>
    </row>
    <row r="107" spans="1:10" s="65" customFormat="1" ht="14" x14ac:dyDescent="0.35">
      <c r="A107" s="145"/>
      <c r="B107" s="93"/>
      <c r="C107" s="93"/>
      <c r="D107" s="93"/>
      <c r="E107" s="95"/>
      <c r="F107" s="95"/>
      <c r="G107" s="95"/>
      <c r="H107" s="93"/>
      <c r="I107" s="93"/>
      <c r="J107" s="93"/>
    </row>
    <row r="108" spans="1:10" s="65" customFormat="1" ht="14" x14ac:dyDescent="0.35">
      <c r="A108" s="145"/>
      <c r="B108" s="93"/>
      <c r="C108" s="93"/>
      <c r="D108" s="93"/>
      <c r="E108" s="95"/>
      <c r="F108" s="95"/>
      <c r="G108" s="95"/>
      <c r="H108" s="93"/>
      <c r="I108" s="93"/>
      <c r="J108" s="93"/>
    </row>
    <row r="109" spans="1:10" s="65" customFormat="1" ht="14" x14ac:dyDescent="0.35">
      <c r="A109" s="145"/>
      <c r="B109" s="93"/>
      <c r="C109" s="93"/>
      <c r="D109" s="93"/>
      <c r="E109" s="95"/>
      <c r="F109" s="95"/>
      <c r="G109" s="95"/>
      <c r="H109" s="93"/>
      <c r="I109" s="93"/>
      <c r="J109" s="93"/>
    </row>
    <row r="110" spans="1:10" s="65" customFormat="1" ht="14" x14ac:dyDescent="0.35">
      <c r="A110" s="145"/>
      <c r="B110" s="93"/>
      <c r="C110" s="93"/>
      <c r="D110" s="93"/>
      <c r="E110" s="95"/>
      <c r="F110" s="95"/>
      <c r="G110" s="95"/>
      <c r="H110" s="93"/>
      <c r="I110" s="93"/>
      <c r="J110" s="93"/>
    </row>
    <row r="111" spans="1:10" s="65" customFormat="1" ht="14" x14ac:dyDescent="0.35">
      <c r="A111" s="145"/>
      <c r="B111" s="93"/>
      <c r="C111" s="93"/>
      <c r="D111" s="93"/>
      <c r="E111" s="95"/>
      <c r="F111" s="95"/>
      <c r="G111" s="95"/>
      <c r="H111" s="93"/>
      <c r="I111" s="93"/>
      <c r="J111" s="93"/>
    </row>
    <row r="112" spans="1:10" s="65" customFormat="1" ht="14" x14ac:dyDescent="0.35">
      <c r="A112" s="145"/>
      <c r="B112" s="93"/>
      <c r="C112" s="93"/>
      <c r="D112" s="93"/>
      <c r="E112" s="95"/>
      <c r="F112" s="95"/>
      <c r="G112" s="95"/>
      <c r="H112" s="93"/>
      <c r="I112" s="93"/>
      <c r="J112" s="93"/>
    </row>
    <row r="113" spans="1:10" s="65" customFormat="1" ht="14" x14ac:dyDescent="0.35">
      <c r="A113" s="145"/>
      <c r="B113" s="93"/>
      <c r="C113" s="93"/>
      <c r="D113" s="93"/>
      <c r="E113" s="95"/>
      <c r="F113" s="95"/>
      <c r="G113" s="95"/>
      <c r="H113" s="93"/>
      <c r="I113" s="93"/>
      <c r="J113" s="93"/>
    </row>
    <row r="114" spans="1:10" s="65" customFormat="1" ht="14" x14ac:dyDescent="0.35">
      <c r="A114" s="145"/>
      <c r="B114" s="93"/>
      <c r="C114" s="93"/>
      <c r="D114" s="93"/>
      <c r="E114" s="95"/>
      <c r="F114" s="95"/>
      <c r="G114" s="95"/>
      <c r="H114" s="93"/>
      <c r="I114" s="93"/>
      <c r="J114" s="93"/>
    </row>
    <row r="115" spans="1:10" s="65" customFormat="1" ht="14" x14ac:dyDescent="0.35">
      <c r="A115" s="145"/>
      <c r="B115" s="93"/>
      <c r="C115" s="93"/>
      <c r="D115" s="93"/>
      <c r="E115" s="95"/>
      <c r="F115" s="95"/>
      <c r="G115" s="95"/>
      <c r="H115" s="93"/>
      <c r="I115" s="93"/>
      <c r="J115" s="93"/>
    </row>
    <row r="116" spans="1:10" s="65" customFormat="1" ht="14" x14ac:dyDescent="0.35">
      <c r="A116" s="145"/>
      <c r="B116" s="93"/>
      <c r="C116" s="93"/>
      <c r="D116" s="93"/>
      <c r="E116" s="95"/>
      <c r="F116" s="95"/>
      <c r="G116" s="95"/>
      <c r="H116" s="93"/>
      <c r="I116" s="93"/>
      <c r="J116" s="93"/>
    </row>
    <row r="117" spans="1:10" s="65" customFormat="1" ht="14" x14ac:dyDescent="0.35">
      <c r="A117" s="145"/>
      <c r="B117" s="93"/>
      <c r="C117" s="93"/>
      <c r="D117" s="93"/>
      <c r="E117" s="95"/>
      <c r="F117" s="95"/>
      <c r="G117" s="95"/>
      <c r="H117" s="93"/>
      <c r="I117" s="93"/>
      <c r="J117" s="93"/>
    </row>
    <row r="118" spans="1:10" s="65" customFormat="1" ht="14" x14ac:dyDescent="0.35">
      <c r="A118" s="145"/>
      <c r="B118" s="93"/>
      <c r="C118" s="93"/>
      <c r="D118" s="93"/>
      <c r="E118" s="95"/>
      <c r="F118" s="95"/>
      <c r="G118" s="95"/>
      <c r="H118" s="93"/>
      <c r="I118" s="93"/>
      <c r="J118" s="93"/>
    </row>
    <row r="119" spans="1:10" s="65" customFormat="1" ht="14" x14ac:dyDescent="0.35">
      <c r="A119" s="145"/>
      <c r="B119" s="93"/>
      <c r="C119" s="93"/>
      <c r="D119" s="93"/>
      <c r="E119" s="95"/>
      <c r="F119" s="95"/>
      <c r="G119" s="95"/>
      <c r="H119" s="93"/>
      <c r="I119" s="93"/>
      <c r="J119" s="93"/>
    </row>
    <row r="120" spans="1:10" s="65" customFormat="1" ht="14" x14ac:dyDescent="0.35">
      <c r="A120" s="145"/>
      <c r="B120" s="93"/>
      <c r="C120" s="93"/>
      <c r="D120" s="93"/>
      <c r="E120" s="95"/>
      <c r="F120" s="95"/>
      <c r="G120" s="95"/>
      <c r="H120" s="93"/>
      <c r="I120" s="93"/>
      <c r="J120" s="93"/>
    </row>
    <row r="121" spans="1:10" s="65" customFormat="1" ht="14" x14ac:dyDescent="0.35">
      <c r="A121" s="145"/>
      <c r="B121" s="93"/>
      <c r="C121" s="93"/>
      <c r="D121" s="93"/>
      <c r="E121" s="95"/>
      <c r="F121" s="95"/>
      <c r="G121" s="95"/>
      <c r="H121" s="93"/>
      <c r="I121" s="93"/>
      <c r="J121" s="93"/>
    </row>
    <row r="122" spans="1:10" s="65" customFormat="1" ht="14" x14ac:dyDescent="0.35">
      <c r="A122" s="145"/>
      <c r="B122" s="93"/>
      <c r="C122" s="93"/>
      <c r="D122" s="93"/>
      <c r="E122" s="95"/>
      <c r="F122" s="95"/>
      <c r="G122" s="95"/>
      <c r="H122" s="93"/>
      <c r="I122" s="93"/>
      <c r="J122" s="93"/>
    </row>
    <row r="123" spans="1:10" s="65" customFormat="1" ht="14" x14ac:dyDescent="0.35">
      <c r="A123" s="145"/>
      <c r="B123" s="93"/>
      <c r="C123" s="93"/>
      <c r="D123" s="93"/>
      <c r="E123" s="95"/>
      <c r="F123" s="95"/>
      <c r="G123" s="95"/>
      <c r="H123" s="93"/>
      <c r="I123" s="93"/>
      <c r="J123" s="93"/>
    </row>
    <row r="124" spans="1:10" s="65" customFormat="1" ht="14" x14ac:dyDescent="0.35">
      <c r="A124" s="145"/>
      <c r="B124" s="93"/>
      <c r="C124" s="93"/>
      <c r="D124" s="93"/>
      <c r="E124" s="95"/>
      <c r="F124" s="95"/>
      <c r="G124" s="95"/>
      <c r="H124" s="93"/>
      <c r="I124" s="93"/>
      <c r="J124" s="93"/>
    </row>
    <row r="125" spans="1:10" s="65" customFormat="1" ht="14" x14ac:dyDescent="0.35">
      <c r="A125" s="145"/>
      <c r="B125" s="93"/>
      <c r="C125" s="93"/>
      <c r="D125" s="93"/>
      <c r="E125" s="95"/>
      <c r="F125" s="95"/>
      <c r="G125" s="95"/>
      <c r="H125" s="93"/>
      <c r="I125" s="93"/>
      <c r="J125" s="93"/>
    </row>
    <row r="126" spans="1:10" s="65" customFormat="1" ht="14" x14ac:dyDescent="0.35">
      <c r="A126" s="145"/>
      <c r="B126" s="93"/>
      <c r="C126" s="93"/>
      <c r="D126" s="93"/>
      <c r="E126" s="95"/>
      <c r="F126" s="95"/>
      <c r="G126" s="95"/>
      <c r="H126" s="93"/>
      <c r="I126" s="93"/>
      <c r="J126" s="93"/>
    </row>
    <row r="127" spans="1:10" s="65" customFormat="1" ht="14" x14ac:dyDescent="0.35">
      <c r="A127" s="145"/>
      <c r="B127" s="93"/>
      <c r="C127" s="93"/>
      <c r="D127" s="93"/>
      <c r="E127" s="95"/>
      <c r="F127" s="95"/>
      <c r="G127" s="95"/>
      <c r="H127" s="93"/>
      <c r="I127" s="93"/>
      <c r="J127" s="93"/>
    </row>
    <row r="128" spans="1:10" s="65" customFormat="1" ht="14" x14ac:dyDescent="0.35">
      <c r="A128" s="145"/>
      <c r="B128" s="93"/>
      <c r="C128" s="93"/>
      <c r="D128" s="93"/>
      <c r="E128" s="95"/>
      <c r="F128" s="95"/>
      <c r="G128" s="95"/>
      <c r="H128" s="93"/>
      <c r="I128" s="93"/>
      <c r="J128" s="93"/>
    </row>
    <row r="129" spans="1:10" s="65" customFormat="1" ht="14" x14ac:dyDescent="0.35">
      <c r="A129" s="145"/>
      <c r="B129" s="93"/>
      <c r="C129" s="93"/>
      <c r="D129" s="93"/>
      <c r="E129" s="95"/>
      <c r="F129" s="95"/>
      <c r="G129" s="95"/>
      <c r="H129" s="93"/>
      <c r="I129" s="93"/>
      <c r="J129" s="93"/>
    </row>
    <row r="130" spans="1:10" s="65" customFormat="1" ht="14" x14ac:dyDescent="0.35">
      <c r="A130" s="145"/>
      <c r="B130" s="93"/>
      <c r="C130" s="93"/>
      <c r="D130" s="93"/>
      <c r="E130" s="95"/>
      <c r="F130" s="95"/>
      <c r="G130" s="95"/>
      <c r="H130" s="93"/>
      <c r="I130" s="93"/>
      <c r="J130" s="93"/>
    </row>
    <row r="131" spans="1:10" s="65" customFormat="1" ht="14" x14ac:dyDescent="0.35">
      <c r="A131" s="145"/>
      <c r="B131" s="93"/>
      <c r="C131" s="93"/>
      <c r="D131" s="93"/>
      <c r="E131" s="95"/>
      <c r="F131" s="95"/>
      <c r="G131" s="95"/>
      <c r="H131" s="93"/>
      <c r="I131" s="93"/>
      <c r="J131" s="93"/>
    </row>
    <row r="132" spans="1:10" s="65" customFormat="1" ht="14" x14ac:dyDescent="0.35">
      <c r="A132" s="145"/>
      <c r="B132" s="93"/>
      <c r="C132" s="93"/>
      <c r="D132" s="93"/>
      <c r="E132" s="95"/>
      <c r="F132" s="95"/>
      <c r="G132" s="95"/>
      <c r="H132" s="93"/>
      <c r="I132" s="93"/>
      <c r="J132" s="93"/>
    </row>
    <row r="133" spans="1:10" s="65" customFormat="1" ht="14" x14ac:dyDescent="0.35">
      <c r="A133" s="145"/>
      <c r="B133" s="93"/>
      <c r="C133" s="93"/>
      <c r="D133" s="93"/>
      <c r="E133" s="95"/>
      <c r="F133" s="95"/>
      <c r="G133" s="95"/>
      <c r="H133" s="93"/>
      <c r="I133" s="93"/>
      <c r="J133" s="93"/>
    </row>
    <row r="134" spans="1:10" s="65" customFormat="1" ht="14" x14ac:dyDescent="0.35">
      <c r="A134" s="145"/>
      <c r="B134" s="93"/>
      <c r="C134" s="93"/>
      <c r="D134" s="93"/>
      <c r="E134" s="95"/>
      <c r="F134" s="95"/>
      <c r="G134" s="95"/>
      <c r="H134" s="93"/>
      <c r="I134" s="93"/>
      <c r="J134" s="93"/>
    </row>
    <row r="135" spans="1:10" s="65" customFormat="1" ht="14" x14ac:dyDescent="0.35">
      <c r="A135" s="145"/>
      <c r="B135" s="93"/>
      <c r="C135" s="93"/>
      <c r="D135" s="93"/>
      <c r="E135" s="95"/>
      <c r="F135" s="95"/>
      <c r="G135" s="95"/>
      <c r="H135" s="93"/>
      <c r="I135" s="93"/>
      <c r="J135" s="93"/>
    </row>
    <row r="136" spans="1:10" s="65" customFormat="1" ht="14" x14ac:dyDescent="0.35">
      <c r="A136" s="145"/>
      <c r="B136" s="93"/>
      <c r="C136" s="93"/>
      <c r="D136" s="93"/>
      <c r="E136" s="95"/>
      <c r="F136" s="95"/>
      <c r="G136" s="95"/>
      <c r="H136" s="93"/>
      <c r="I136" s="93"/>
      <c r="J136" s="93"/>
    </row>
    <row r="137" spans="1:10" s="65" customFormat="1" ht="14" x14ac:dyDescent="0.35">
      <c r="A137" s="145"/>
      <c r="B137" s="93"/>
      <c r="C137" s="93"/>
      <c r="D137" s="93"/>
      <c r="E137" s="95"/>
      <c r="F137" s="95"/>
      <c r="G137" s="95"/>
      <c r="H137" s="93"/>
      <c r="I137" s="93"/>
      <c r="J137" s="93"/>
    </row>
    <row r="138" spans="1:10" s="65" customFormat="1" ht="14" x14ac:dyDescent="0.35">
      <c r="A138" s="145"/>
      <c r="B138" s="93"/>
      <c r="C138" s="93"/>
      <c r="D138" s="93"/>
      <c r="E138" s="95"/>
      <c r="F138" s="95"/>
      <c r="G138" s="95"/>
      <c r="H138" s="93"/>
      <c r="I138" s="93"/>
      <c r="J138" s="93"/>
    </row>
    <row r="139" spans="1:10" s="65" customFormat="1" ht="14" x14ac:dyDescent="0.35">
      <c r="A139" s="145"/>
      <c r="B139" s="93"/>
      <c r="C139" s="93"/>
      <c r="D139" s="93"/>
      <c r="E139" s="95"/>
      <c r="F139" s="95"/>
      <c r="G139" s="95"/>
      <c r="H139" s="93"/>
      <c r="I139" s="93"/>
      <c r="J139" s="93"/>
    </row>
    <row r="140" spans="1:10" s="65" customFormat="1" ht="14" x14ac:dyDescent="0.35">
      <c r="A140" s="145"/>
      <c r="B140" s="93"/>
      <c r="C140" s="93"/>
      <c r="D140" s="93"/>
      <c r="E140" s="95"/>
      <c r="F140" s="95"/>
      <c r="G140" s="95"/>
      <c r="H140" s="93"/>
      <c r="I140" s="93"/>
      <c r="J140" s="93"/>
    </row>
    <row r="141" spans="1:10" s="65" customFormat="1" ht="14" x14ac:dyDescent="0.35">
      <c r="A141" s="145"/>
      <c r="B141" s="93"/>
      <c r="C141" s="93"/>
      <c r="D141" s="93"/>
      <c r="E141" s="95"/>
      <c r="F141" s="95"/>
      <c r="G141" s="95"/>
      <c r="H141" s="93"/>
      <c r="I141" s="93"/>
      <c r="J141" s="93"/>
    </row>
    <row r="142" spans="1:10" s="65" customFormat="1" ht="14" x14ac:dyDescent="0.35">
      <c r="A142" s="145"/>
      <c r="B142" s="93"/>
      <c r="C142" s="93"/>
      <c r="D142" s="93"/>
      <c r="E142" s="95"/>
      <c r="F142" s="95"/>
      <c r="G142" s="95"/>
      <c r="H142" s="93"/>
      <c r="I142" s="93"/>
      <c r="J142" s="93"/>
    </row>
    <row r="143" spans="1:10" s="65" customFormat="1" ht="14" x14ac:dyDescent="0.35">
      <c r="A143" s="145"/>
      <c r="B143" s="93"/>
      <c r="C143" s="93"/>
      <c r="D143" s="93"/>
      <c r="E143" s="95"/>
      <c r="F143" s="95"/>
      <c r="G143" s="95"/>
      <c r="H143" s="93"/>
      <c r="I143" s="93"/>
      <c r="J143" s="93"/>
    </row>
    <row r="144" spans="1:10" s="65" customFormat="1" ht="14" x14ac:dyDescent="0.35">
      <c r="A144" s="145"/>
      <c r="B144" s="93"/>
      <c r="C144" s="93"/>
      <c r="D144" s="93"/>
      <c r="E144" s="95"/>
      <c r="F144" s="95"/>
      <c r="G144" s="95"/>
      <c r="H144" s="93"/>
      <c r="I144" s="93"/>
      <c r="J144" s="93"/>
    </row>
    <row r="145" spans="1:10" s="65" customFormat="1" ht="14" x14ac:dyDescent="0.35">
      <c r="A145" s="145"/>
      <c r="B145" s="93"/>
      <c r="C145" s="93"/>
      <c r="D145" s="93"/>
      <c r="E145" s="95"/>
      <c r="F145" s="95"/>
      <c r="G145" s="95"/>
      <c r="H145" s="93"/>
      <c r="I145" s="93"/>
      <c r="J145" s="93"/>
    </row>
    <row r="146" spans="1:10" s="65" customFormat="1" ht="14" x14ac:dyDescent="0.35">
      <c r="A146" s="145"/>
      <c r="B146" s="93"/>
      <c r="C146" s="93"/>
      <c r="D146" s="93"/>
      <c r="E146" s="95"/>
      <c r="F146" s="95"/>
      <c r="G146" s="95"/>
      <c r="H146" s="93"/>
      <c r="I146" s="93"/>
      <c r="J146" s="93"/>
    </row>
    <row r="147" spans="1:10" s="65" customFormat="1" ht="14" x14ac:dyDescent="0.35">
      <c r="A147" s="145"/>
      <c r="B147" s="93"/>
      <c r="C147" s="93"/>
      <c r="D147" s="93"/>
      <c r="E147" s="95"/>
      <c r="F147" s="95"/>
      <c r="G147" s="95"/>
      <c r="H147" s="93"/>
      <c r="I147" s="93"/>
      <c r="J147" s="93"/>
    </row>
    <row r="148" spans="1:10" s="65" customFormat="1" ht="14" x14ac:dyDescent="0.35">
      <c r="A148" s="145"/>
      <c r="B148" s="93"/>
      <c r="C148" s="93"/>
      <c r="D148" s="93"/>
      <c r="E148" s="95"/>
      <c r="F148" s="95"/>
      <c r="G148" s="95"/>
      <c r="H148" s="93"/>
      <c r="I148" s="93"/>
      <c r="J148" s="93"/>
    </row>
    <row r="149" spans="1:10" s="65" customFormat="1" ht="14" x14ac:dyDescent="0.35">
      <c r="A149" s="145"/>
      <c r="B149" s="93"/>
      <c r="C149" s="93"/>
      <c r="D149" s="93"/>
      <c r="E149" s="95"/>
      <c r="F149" s="95"/>
      <c r="G149" s="95"/>
      <c r="H149" s="93"/>
      <c r="I149" s="93"/>
      <c r="J149" s="93"/>
    </row>
    <row r="150" spans="1:10" s="65" customFormat="1" ht="14" x14ac:dyDescent="0.35">
      <c r="A150" s="145"/>
      <c r="B150" s="93"/>
      <c r="C150" s="93"/>
      <c r="D150" s="93"/>
      <c r="E150" s="95"/>
      <c r="F150" s="95"/>
      <c r="G150" s="95"/>
      <c r="H150" s="93"/>
      <c r="I150" s="93"/>
      <c r="J150" s="93"/>
    </row>
    <row r="151" spans="1:10" s="65" customFormat="1" ht="14" x14ac:dyDescent="0.35">
      <c r="A151" s="145"/>
      <c r="B151" s="93"/>
      <c r="C151" s="93"/>
      <c r="D151" s="93"/>
      <c r="E151" s="95"/>
      <c r="F151" s="95"/>
      <c r="G151" s="95"/>
      <c r="H151" s="93"/>
      <c r="I151" s="93"/>
      <c r="J151" s="93"/>
    </row>
    <row r="152" spans="1:10" s="65" customFormat="1" ht="14" x14ac:dyDescent="0.35">
      <c r="A152" s="145"/>
      <c r="B152" s="93"/>
      <c r="C152" s="93"/>
      <c r="D152" s="93"/>
      <c r="E152" s="95"/>
      <c r="F152" s="95"/>
      <c r="G152" s="95"/>
      <c r="H152" s="93"/>
      <c r="I152" s="93"/>
      <c r="J152" s="93"/>
    </row>
    <row r="153" spans="1:10" s="65" customFormat="1" ht="14" x14ac:dyDescent="0.35">
      <c r="A153" s="145"/>
      <c r="B153" s="93"/>
      <c r="C153" s="93"/>
      <c r="D153" s="93"/>
      <c r="E153" s="95"/>
      <c r="F153" s="95"/>
      <c r="G153" s="95"/>
      <c r="H153" s="93"/>
      <c r="I153" s="93"/>
      <c r="J153" s="93"/>
    </row>
    <row r="154" spans="1:10" s="65" customFormat="1" ht="14" x14ac:dyDescent="0.35">
      <c r="A154" s="145"/>
      <c r="B154" s="93"/>
      <c r="C154" s="93"/>
      <c r="D154" s="93"/>
      <c r="E154" s="95"/>
      <c r="F154" s="95"/>
      <c r="G154" s="95"/>
      <c r="H154" s="93"/>
      <c r="I154" s="93"/>
      <c r="J154" s="93"/>
    </row>
    <row r="155" spans="1:10" s="65" customFormat="1" ht="14" x14ac:dyDescent="0.35">
      <c r="A155" s="145"/>
      <c r="B155" s="93"/>
      <c r="C155" s="93"/>
      <c r="D155" s="93"/>
      <c r="E155" s="95"/>
      <c r="F155" s="95"/>
      <c r="G155" s="95"/>
      <c r="H155" s="93"/>
      <c r="I155" s="93"/>
      <c r="J155" s="93"/>
    </row>
    <row r="156" spans="1:10" s="65" customFormat="1" ht="14" x14ac:dyDescent="0.35">
      <c r="A156" s="145"/>
      <c r="B156" s="93"/>
      <c r="C156" s="93"/>
      <c r="D156" s="93"/>
      <c r="E156" s="95"/>
      <c r="F156" s="95"/>
      <c r="G156" s="95"/>
      <c r="H156" s="93"/>
      <c r="I156" s="93"/>
      <c r="J156" s="93"/>
    </row>
    <row r="157" spans="1:10" s="65" customFormat="1" ht="14" x14ac:dyDescent="0.35">
      <c r="A157" s="145"/>
      <c r="B157" s="93"/>
      <c r="C157" s="93"/>
      <c r="D157" s="93"/>
      <c r="E157" s="95"/>
      <c r="F157" s="95"/>
      <c r="G157" s="95"/>
      <c r="H157" s="93"/>
      <c r="I157" s="93"/>
      <c r="J157" s="93"/>
    </row>
    <row r="158" spans="1:10" s="65" customFormat="1" ht="14" x14ac:dyDescent="0.35">
      <c r="A158" s="145"/>
      <c r="B158" s="93"/>
      <c r="C158" s="93"/>
      <c r="D158" s="93"/>
      <c r="E158" s="95"/>
      <c r="F158" s="95"/>
      <c r="G158" s="95"/>
      <c r="H158" s="93"/>
      <c r="I158" s="93"/>
      <c r="J158" s="93"/>
    </row>
    <row r="159" spans="1:10" s="65" customFormat="1" ht="14" x14ac:dyDescent="0.35">
      <c r="A159" s="145"/>
      <c r="B159" s="93"/>
      <c r="C159" s="93"/>
      <c r="D159" s="93"/>
      <c r="E159" s="95"/>
      <c r="F159" s="95"/>
      <c r="G159" s="95"/>
      <c r="H159" s="93"/>
      <c r="I159" s="93"/>
      <c r="J159" s="93"/>
    </row>
    <row r="160" spans="1:10" s="65" customFormat="1" ht="14" x14ac:dyDescent="0.35">
      <c r="A160" s="145"/>
      <c r="B160" s="93"/>
      <c r="C160" s="93"/>
      <c r="D160" s="93"/>
      <c r="E160" s="95"/>
      <c r="F160" s="95"/>
      <c r="G160" s="95"/>
      <c r="H160" s="93"/>
      <c r="I160" s="93"/>
      <c r="J160" s="93"/>
    </row>
    <row r="161" spans="1:10" s="65" customFormat="1" ht="14" x14ac:dyDescent="0.35">
      <c r="A161" s="145"/>
      <c r="B161" s="93"/>
      <c r="C161" s="93"/>
      <c r="D161" s="93"/>
      <c r="E161" s="95"/>
      <c r="F161" s="95"/>
      <c r="G161" s="95"/>
      <c r="H161" s="93"/>
      <c r="I161" s="93"/>
      <c r="J161" s="93"/>
    </row>
    <row r="162" spans="1:10" s="65" customFormat="1" ht="14" x14ac:dyDescent="0.35">
      <c r="A162" s="145"/>
      <c r="B162" s="93"/>
      <c r="C162" s="93"/>
      <c r="D162" s="93"/>
      <c r="E162" s="95"/>
      <c r="F162" s="95"/>
      <c r="G162" s="95"/>
      <c r="H162" s="93"/>
      <c r="I162" s="93"/>
      <c r="J162" s="93"/>
    </row>
    <row r="163" spans="1:10" s="65" customFormat="1" ht="14" x14ac:dyDescent="0.35">
      <c r="A163" s="145"/>
      <c r="B163" s="93"/>
      <c r="C163" s="93"/>
      <c r="D163" s="93"/>
      <c r="E163" s="95"/>
      <c r="F163" s="95"/>
      <c r="G163" s="95"/>
      <c r="H163" s="93"/>
      <c r="I163" s="93"/>
      <c r="J163" s="93"/>
    </row>
    <row r="164" spans="1:10" s="65" customFormat="1" ht="14" x14ac:dyDescent="0.35">
      <c r="A164" s="145"/>
      <c r="B164" s="93"/>
      <c r="C164" s="93"/>
      <c r="D164" s="93"/>
      <c r="E164" s="95"/>
      <c r="F164" s="95"/>
      <c r="G164" s="95"/>
      <c r="H164" s="93"/>
      <c r="I164" s="93"/>
      <c r="J164" s="93"/>
    </row>
    <row r="165" spans="1:10" s="65" customFormat="1" ht="14" x14ac:dyDescent="0.35">
      <c r="A165" s="145"/>
      <c r="B165" s="93"/>
      <c r="C165" s="93"/>
      <c r="D165" s="93"/>
      <c r="E165" s="95"/>
      <c r="F165" s="95"/>
      <c r="G165" s="95"/>
      <c r="H165" s="93"/>
      <c r="I165" s="93"/>
      <c r="J165" s="93"/>
    </row>
    <row r="166" spans="1:10" s="65" customFormat="1" ht="14" x14ac:dyDescent="0.35">
      <c r="A166" s="145"/>
      <c r="B166" s="93"/>
      <c r="C166" s="93"/>
      <c r="D166" s="93"/>
      <c r="E166" s="95"/>
      <c r="F166" s="95"/>
      <c r="G166" s="95"/>
      <c r="H166" s="93"/>
      <c r="I166" s="93"/>
      <c r="J166" s="93"/>
    </row>
    <row r="167" spans="1:10" s="65" customFormat="1" ht="14" x14ac:dyDescent="0.35">
      <c r="A167" s="145"/>
      <c r="B167" s="93"/>
      <c r="C167" s="93"/>
      <c r="D167" s="93"/>
      <c r="E167" s="95"/>
      <c r="F167" s="95"/>
      <c r="G167" s="95"/>
      <c r="H167" s="93"/>
      <c r="I167" s="93"/>
      <c r="J167" s="93"/>
    </row>
    <row r="168" spans="1:10" s="65" customFormat="1" ht="14" x14ac:dyDescent="0.35">
      <c r="A168" s="145"/>
      <c r="B168" s="93"/>
      <c r="C168" s="93"/>
      <c r="D168" s="93"/>
      <c r="E168" s="95"/>
      <c r="F168" s="95"/>
      <c r="G168" s="95"/>
      <c r="H168" s="93"/>
      <c r="I168" s="93"/>
      <c r="J168" s="93"/>
    </row>
    <row r="169" spans="1:10" s="65" customFormat="1" ht="14" x14ac:dyDescent="0.35">
      <c r="A169" s="145"/>
      <c r="B169" s="93"/>
      <c r="C169" s="93"/>
      <c r="D169" s="93"/>
      <c r="E169" s="95"/>
      <c r="F169" s="95"/>
      <c r="G169" s="95"/>
      <c r="H169" s="93"/>
      <c r="I169" s="93"/>
      <c r="J169" s="93"/>
    </row>
    <row r="170" spans="1:10" s="65" customFormat="1" ht="14" x14ac:dyDescent="0.35">
      <c r="A170" s="145"/>
      <c r="B170" s="93"/>
      <c r="C170" s="93"/>
      <c r="D170" s="93"/>
      <c r="E170" s="95"/>
      <c r="F170" s="95"/>
      <c r="G170" s="95"/>
      <c r="H170" s="93"/>
      <c r="I170" s="93"/>
      <c r="J170" s="93"/>
    </row>
    <row r="171" spans="1:10" s="65" customFormat="1" ht="14" x14ac:dyDescent="0.35">
      <c r="A171" s="145"/>
      <c r="B171" s="93"/>
      <c r="C171" s="93"/>
      <c r="D171" s="93"/>
      <c r="E171" s="95"/>
      <c r="F171" s="95"/>
      <c r="G171" s="95"/>
      <c r="H171" s="93"/>
      <c r="I171" s="93"/>
      <c r="J171" s="93"/>
    </row>
    <row r="172" spans="1:10" s="65" customFormat="1" ht="14" x14ac:dyDescent="0.35">
      <c r="A172" s="145"/>
      <c r="B172" s="93"/>
      <c r="C172" s="93"/>
      <c r="D172" s="93"/>
      <c r="E172" s="95"/>
      <c r="F172" s="95"/>
      <c r="G172" s="95"/>
      <c r="H172" s="93"/>
      <c r="I172" s="93"/>
      <c r="J172" s="93"/>
    </row>
    <row r="173" spans="1:10" s="65" customFormat="1" ht="14" x14ac:dyDescent="0.35">
      <c r="A173" s="145"/>
      <c r="B173" s="93"/>
      <c r="C173" s="93"/>
      <c r="D173" s="93"/>
      <c r="E173" s="95"/>
      <c r="F173" s="95"/>
      <c r="G173" s="95"/>
      <c r="H173" s="93"/>
      <c r="I173" s="93"/>
      <c r="J173" s="93"/>
    </row>
    <row r="174" spans="1:10" s="65" customFormat="1" ht="14" x14ac:dyDescent="0.35">
      <c r="A174" s="145"/>
      <c r="B174" s="93"/>
      <c r="C174" s="93"/>
      <c r="D174" s="93"/>
      <c r="E174" s="95"/>
      <c r="F174" s="95"/>
      <c r="G174" s="95"/>
      <c r="H174" s="93"/>
      <c r="I174" s="93"/>
      <c r="J174" s="93"/>
    </row>
    <row r="175" spans="1:10" s="65" customFormat="1" ht="14" x14ac:dyDescent="0.35">
      <c r="A175" s="145"/>
      <c r="B175" s="93"/>
      <c r="C175" s="93"/>
      <c r="D175" s="93"/>
      <c r="E175" s="95"/>
      <c r="F175" s="95"/>
      <c r="G175" s="95"/>
      <c r="H175" s="93"/>
      <c r="I175" s="93"/>
      <c r="J175" s="93"/>
    </row>
    <row r="176" spans="1:10" s="65" customFormat="1" ht="14" x14ac:dyDescent="0.35">
      <c r="A176" s="145"/>
      <c r="B176" s="93"/>
      <c r="C176" s="93"/>
      <c r="D176" s="93"/>
      <c r="E176" s="95"/>
      <c r="F176" s="95"/>
      <c r="G176" s="95"/>
      <c r="H176" s="93"/>
      <c r="I176" s="93"/>
      <c r="J176" s="93"/>
    </row>
    <row r="177" spans="1:10" s="65" customFormat="1" ht="14" x14ac:dyDescent="0.35">
      <c r="A177" s="145"/>
      <c r="B177" s="93"/>
      <c r="C177" s="93"/>
      <c r="D177" s="93"/>
      <c r="E177" s="95"/>
      <c r="F177" s="95"/>
      <c r="G177" s="95"/>
      <c r="H177" s="93"/>
      <c r="I177" s="93"/>
      <c r="J177" s="93"/>
    </row>
    <row r="178" spans="1:10" s="65" customFormat="1" ht="14" x14ac:dyDescent="0.35">
      <c r="A178" s="145"/>
      <c r="B178" s="93"/>
      <c r="C178" s="93"/>
      <c r="D178" s="93"/>
      <c r="E178" s="95"/>
      <c r="F178" s="95"/>
      <c r="G178" s="95"/>
      <c r="H178" s="93"/>
      <c r="I178" s="93"/>
      <c r="J178" s="93"/>
    </row>
    <row r="179" spans="1:10" s="65" customFormat="1" ht="14" x14ac:dyDescent="0.35">
      <c r="A179" s="145"/>
      <c r="B179" s="93"/>
      <c r="C179" s="93"/>
      <c r="D179" s="93"/>
      <c r="E179" s="95"/>
      <c r="F179" s="95"/>
      <c r="G179" s="95"/>
      <c r="H179" s="93"/>
      <c r="I179" s="93"/>
      <c r="J179" s="93"/>
    </row>
    <row r="180" spans="1:10" s="65" customFormat="1" ht="14" x14ac:dyDescent="0.35">
      <c r="A180" s="145"/>
      <c r="B180" s="93"/>
      <c r="C180" s="93"/>
      <c r="D180" s="93"/>
      <c r="E180" s="95"/>
      <c r="F180" s="95"/>
      <c r="G180" s="95"/>
      <c r="H180" s="93"/>
      <c r="I180" s="93"/>
      <c r="J180" s="93"/>
    </row>
    <row r="181" spans="1:10" s="65" customFormat="1" ht="14" x14ac:dyDescent="0.35">
      <c r="A181" s="145"/>
      <c r="B181" s="93"/>
      <c r="C181" s="93"/>
      <c r="D181" s="93"/>
      <c r="E181" s="95"/>
      <c r="F181" s="95"/>
      <c r="G181" s="95"/>
      <c r="H181" s="93"/>
      <c r="I181" s="93"/>
      <c r="J181" s="93"/>
    </row>
    <row r="182" spans="1:10" s="65" customFormat="1" ht="14" x14ac:dyDescent="0.35">
      <c r="A182" s="145"/>
      <c r="B182" s="93"/>
      <c r="C182" s="93"/>
      <c r="D182" s="93"/>
      <c r="E182" s="95"/>
      <c r="F182" s="95"/>
      <c r="G182" s="95"/>
      <c r="H182" s="93"/>
      <c r="I182" s="93"/>
      <c r="J182" s="93"/>
    </row>
    <row r="183" spans="1:10" s="65" customFormat="1" ht="14" x14ac:dyDescent="0.35">
      <c r="A183" s="145"/>
      <c r="B183" s="93"/>
      <c r="C183" s="93"/>
      <c r="D183" s="93"/>
      <c r="E183" s="95"/>
      <c r="F183" s="95"/>
      <c r="G183" s="95"/>
      <c r="H183" s="93"/>
      <c r="I183" s="93"/>
      <c r="J183" s="93"/>
    </row>
    <row r="184" spans="1:10" s="65" customFormat="1" ht="14" x14ac:dyDescent="0.35">
      <c r="A184" s="145"/>
      <c r="B184" s="93"/>
      <c r="C184" s="93"/>
      <c r="D184" s="93"/>
      <c r="E184" s="95"/>
      <c r="F184" s="95"/>
      <c r="G184" s="95"/>
      <c r="H184" s="93"/>
      <c r="I184" s="93"/>
      <c r="J184" s="93"/>
    </row>
    <row r="185" spans="1:10" s="65" customFormat="1" ht="14" x14ac:dyDescent="0.35">
      <c r="A185" s="145"/>
      <c r="B185" s="93"/>
      <c r="C185" s="93"/>
      <c r="D185" s="93"/>
      <c r="E185" s="95"/>
      <c r="F185" s="95"/>
      <c r="G185" s="95"/>
      <c r="H185" s="93"/>
      <c r="I185" s="93"/>
      <c r="J185" s="93"/>
    </row>
    <row r="186" spans="1:10" s="65" customFormat="1" ht="14" x14ac:dyDescent="0.35">
      <c r="A186" s="145"/>
      <c r="B186" s="93"/>
      <c r="C186" s="93"/>
      <c r="D186" s="93"/>
      <c r="E186" s="95"/>
      <c r="F186" s="95"/>
      <c r="G186" s="95"/>
      <c r="H186" s="93"/>
      <c r="I186" s="93"/>
      <c r="J186" s="93"/>
    </row>
    <row r="187" spans="1:10" s="65" customFormat="1" ht="14" x14ac:dyDescent="0.35">
      <c r="A187" s="145"/>
      <c r="B187" s="93"/>
      <c r="C187" s="93"/>
      <c r="D187" s="93"/>
      <c r="E187" s="95"/>
      <c r="F187" s="95"/>
      <c r="G187" s="95"/>
      <c r="H187" s="93"/>
      <c r="I187" s="93"/>
      <c r="J187" s="93"/>
    </row>
    <row r="188" spans="1:10" s="65" customFormat="1" ht="14" x14ac:dyDescent="0.35">
      <c r="A188" s="145"/>
      <c r="B188" s="93"/>
      <c r="C188" s="93"/>
      <c r="D188" s="93"/>
      <c r="E188" s="95"/>
      <c r="F188" s="95"/>
      <c r="G188" s="95"/>
      <c r="H188" s="93"/>
      <c r="I188" s="93"/>
      <c r="J188" s="93"/>
    </row>
    <row r="189" spans="1:10" s="65" customFormat="1" ht="14" x14ac:dyDescent="0.35">
      <c r="A189" s="145"/>
      <c r="B189" s="93"/>
      <c r="C189" s="93"/>
      <c r="D189" s="93"/>
      <c r="E189" s="95"/>
      <c r="F189" s="95"/>
      <c r="G189" s="95"/>
      <c r="H189" s="93"/>
      <c r="I189" s="93"/>
      <c r="J189" s="93"/>
    </row>
    <row r="190" spans="1:10" s="65" customFormat="1" ht="14" x14ac:dyDescent="0.35">
      <c r="A190" s="145"/>
      <c r="B190" s="93"/>
      <c r="C190" s="93"/>
      <c r="D190" s="93"/>
      <c r="E190" s="95"/>
      <c r="F190" s="95"/>
      <c r="G190" s="95"/>
      <c r="H190" s="93"/>
      <c r="I190" s="93"/>
      <c r="J190" s="93"/>
    </row>
    <row r="191" spans="1:10" s="65" customFormat="1" ht="14" x14ac:dyDescent="0.35">
      <c r="A191" s="145"/>
      <c r="B191" s="93"/>
      <c r="C191" s="93"/>
      <c r="D191" s="93"/>
      <c r="E191" s="95"/>
      <c r="F191" s="95"/>
      <c r="G191" s="95"/>
      <c r="H191" s="93"/>
      <c r="I191" s="93"/>
      <c r="J191" s="93"/>
    </row>
    <row r="192" spans="1:10" s="65" customFormat="1" ht="14" x14ac:dyDescent="0.35">
      <c r="A192" s="145"/>
      <c r="B192" s="93"/>
      <c r="C192" s="93"/>
      <c r="D192" s="93"/>
      <c r="E192" s="95"/>
      <c r="F192" s="95"/>
      <c r="G192" s="95"/>
      <c r="H192" s="93"/>
      <c r="I192" s="93"/>
      <c r="J192" s="93"/>
    </row>
    <row r="193" spans="1:10" s="65" customFormat="1" ht="14" x14ac:dyDescent="0.35">
      <c r="A193" s="145"/>
      <c r="B193" s="93"/>
      <c r="C193" s="93"/>
      <c r="D193" s="93"/>
      <c r="E193" s="95"/>
      <c r="F193" s="95"/>
      <c r="G193" s="95"/>
      <c r="H193" s="93"/>
      <c r="I193" s="93"/>
      <c r="J193" s="93"/>
    </row>
    <row r="194" spans="1:10" s="65" customFormat="1" ht="14" x14ac:dyDescent="0.35">
      <c r="A194" s="145"/>
      <c r="B194" s="93"/>
      <c r="C194" s="93"/>
      <c r="D194" s="93"/>
      <c r="E194" s="95"/>
      <c r="F194" s="95"/>
      <c r="G194" s="95"/>
      <c r="H194" s="93"/>
      <c r="I194" s="93"/>
      <c r="J194" s="93"/>
    </row>
    <row r="195" spans="1:10" s="65" customFormat="1" ht="14" x14ac:dyDescent="0.35">
      <c r="A195" s="145"/>
      <c r="B195" s="93"/>
      <c r="C195" s="93"/>
      <c r="D195" s="93"/>
      <c r="E195" s="95"/>
      <c r="F195" s="95"/>
      <c r="G195" s="95"/>
      <c r="H195" s="93"/>
      <c r="I195" s="93"/>
      <c r="J195" s="93"/>
    </row>
    <row r="196" spans="1:10" s="65" customFormat="1" ht="14" x14ac:dyDescent="0.35">
      <c r="A196" s="145"/>
      <c r="B196" s="93"/>
      <c r="C196" s="93"/>
      <c r="D196" s="93"/>
      <c r="E196" s="95"/>
      <c r="F196" s="95"/>
      <c r="G196" s="95"/>
      <c r="H196" s="93"/>
      <c r="I196" s="93"/>
      <c r="J196" s="93"/>
    </row>
    <row r="197" spans="1:10" s="65" customFormat="1" ht="14" x14ac:dyDescent="0.35">
      <c r="A197" s="145"/>
      <c r="B197" s="93"/>
      <c r="C197" s="93"/>
      <c r="D197" s="93"/>
      <c r="E197" s="95"/>
      <c r="F197" s="95"/>
      <c r="G197" s="95"/>
      <c r="H197" s="93"/>
      <c r="I197" s="93"/>
      <c r="J197" s="93"/>
    </row>
    <row r="198" spans="1:10" s="65" customFormat="1" ht="14" x14ac:dyDescent="0.35">
      <c r="A198" s="145"/>
      <c r="B198" s="93"/>
      <c r="C198" s="93"/>
      <c r="D198" s="93"/>
      <c r="E198" s="95"/>
      <c r="F198" s="95"/>
      <c r="G198" s="95"/>
      <c r="H198" s="93"/>
      <c r="I198" s="93"/>
      <c r="J198" s="93"/>
    </row>
    <row r="199" spans="1:10" s="65" customFormat="1" ht="14" x14ac:dyDescent="0.35">
      <c r="A199" s="145"/>
      <c r="B199" s="93"/>
      <c r="C199" s="93"/>
      <c r="D199" s="93"/>
      <c r="E199" s="95"/>
      <c r="F199" s="95"/>
      <c r="G199" s="95"/>
      <c r="H199" s="93"/>
      <c r="I199" s="93"/>
      <c r="J199" s="93"/>
    </row>
    <row r="200" spans="1:10" s="65" customFormat="1" ht="14" x14ac:dyDescent="0.35">
      <c r="A200" s="145"/>
      <c r="B200" s="93"/>
      <c r="C200" s="93"/>
      <c r="D200" s="93"/>
      <c r="E200" s="95"/>
      <c r="F200" s="95"/>
      <c r="G200" s="95"/>
      <c r="H200" s="93"/>
      <c r="I200" s="93"/>
      <c r="J200" s="93"/>
    </row>
    <row r="201" spans="1:10" s="65" customFormat="1" ht="14" x14ac:dyDescent="0.35">
      <c r="A201" s="145"/>
      <c r="B201" s="93"/>
      <c r="C201" s="93"/>
      <c r="D201" s="93"/>
      <c r="E201" s="95"/>
      <c r="F201" s="95"/>
      <c r="G201" s="95"/>
      <c r="H201" s="93"/>
      <c r="I201" s="93"/>
      <c r="J201" s="93"/>
    </row>
    <row r="202" spans="1:10" s="65" customFormat="1" ht="14" x14ac:dyDescent="0.35">
      <c r="A202" s="145"/>
      <c r="B202" s="93"/>
      <c r="C202" s="93"/>
      <c r="D202" s="93"/>
      <c r="E202" s="95"/>
      <c r="F202" s="95"/>
      <c r="G202" s="95"/>
      <c r="H202" s="93"/>
      <c r="I202" s="93"/>
      <c r="J202" s="93"/>
    </row>
    <row r="203" spans="1:10" s="65" customFormat="1" ht="14" x14ac:dyDescent="0.35">
      <c r="A203" s="145"/>
      <c r="B203" s="93"/>
      <c r="C203" s="93"/>
      <c r="D203" s="93"/>
      <c r="E203" s="95"/>
      <c r="F203" s="95"/>
      <c r="G203" s="95"/>
      <c r="H203" s="93"/>
      <c r="I203" s="93"/>
      <c r="J203" s="93"/>
    </row>
    <row r="204" spans="1:10" s="65" customFormat="1" ht="14" x14ac:dyDescent="0.35">
      <c r="A204" s="145"/>
      <c r="B204" s="93"/>
      <c r="C204" s="93"/>
      <c r="D204" s="93"/>
      <c r="E204" s="95"/>
      <c r="F204" s="95"/>
      <c r="G204" s="95"/>
      <c r="H204" s="93"/>
      <c r="I204" s="93"/>
      <c r="J204" s="93"/>
    </row>
    <row r="205" spans="1:10" s="65" customFormat="1" ht="14" x14ac:dyDescent="0.35">
      <c r="A205" s="145"/>
      <c r="B205" s="93"/>
      <c r="C205" s="93"/>
      <c r="D205" s="93"/>
      <c r="E205" s="95"/>
      <c r="F205" s="95"/>
      <c r="G205" s="95"/>
      <c r="H205" s="93"/>
      <c r="I205" s="93"/>
      <c r="J205" s="93"/>
    </row>
    <row r="206" spans="1:10" s="65" customFormat="1" ht="14" x14ac:dyDescent="0.35">
      <c r="A206" s="145"/>
      <c r="B206" s="93"/>
      <c r="C206" s="93"/>
      <c r="D206" s="93"/>
      <c r="E206" s="95"/>
      <c r="F206" s="95"/>
      <c r="G206" s="95"/>
      <c r="H206" s="93"/>
      <c r="I206" s="93"/>
      <c r="J206" s="93"/>
    </row>
    <row r="207" spans="1:10" s="65" customFormat="1" ht="14" x14ac:dyDescent="0.35">
      <c r="A207" s="145"/>
      <c r="B207" s="93"/>
      <c r="C207" s="93"/>
      <c r="D207" s="93"/>
      <c r="E207" s="95"/>
      <c r="F207" s="95"/>
      <c r="G207" s="95"/>
      <c r="H207" s="93"/>
      <c r="I207" s="93"/>
      <c r="J207" s="93"/>
    </row>
    <row r="208" spans="1:10" s="65" customFormat="1" ht="14" x14ac:dyDescent="0.35">
      <c r="A208" s="145"/>
      <c r="B208" s="93"/>
      <c r="C208" s="93"/>
      <c r="D208" s="93"/>
      <c r="E208" s="95"/>
      <c r="F208" s="95"/>
      <c r="G208" s="95"/>
      <c r="H208" s="93"/>
      <c r="I208" s="93"/>
      <c r="J208" s="93"/>
    </row>
    <row r="209" spans="1:10" s="65" customFormat="1" ht="14" x14ac:dyDescent="0.35">
      <c r="A209" s="145"/>
      <c r="B209" s="93"/>
      <c r="C209" s="93"/>
      <c r="D209" s="93"/>
      <c r="E209" s="95"/>
      <c r="F209" s="95"/>
      <c r="G209" s="95"/>
      <c r="H209" s="93"/>
      <c r="I209" s="93"/>
      <c r="J209" s="93"/>
    </row>
    <row r="210" spans="1:10" s="65" customFormat="1" ht="14" x14ac:dyDescent="0.35">
      <c r="A210" s="145"/>
      <c r="B210" s="93"/>
      <c r="C210" s="93"/>
      <c r="D210" s="93"/>
      <c r="E210" s="95"/>
      <c r="F210" s="95"/>
      <c r="G210" s="95"/>
      <c r="H210" s="93"/>
      <c r="I210" s="93"/>
      <c r="J210" s="93"/>
    </row>
    <row r="211" spans="1:10" s="65" customFormat="1" ht="14" x14ac:dyDescent="0.35">
      <c r="A211" s="145"/>
      <c r="B211" s="93"/>
      <c r="C211" s="93"/>
      <c r="D211" s="93"/>
      <c r="E211" s="95"/>
      <c r="F211" s="95"/>
      <c r="G211" s="95"/>
      <c r="H211" s="93"/>
      <c r="I211" s="93"/>
      <c r="J211" s="93"/>
    </row>
    <row r="212" spans="1:10" s="65" customFormat="1" ht="14" x14ac:dyDescent="0.35">
      <c r="A212" s="145"/>
      <c r="B212" s="93"/>
      <c r="C212" s="93"/>
      <c r="D212" s="93"/>
      <c r="E212" s="95"/>
      <c r="F212" s="95"/>
      <c r="G212" s="95"/>
      <c r="H212" s="93"/>
      <c r="I212" s="93"/>
      <c r="J212" s="93"/>
    </row>
    <row r="213" spans="1:10" s="65" customFormat="1" ht="14" x14ac:dyDescent="0.35">
      <c r="A213" s="145"/>
      <c r="B213" s="93"/>
      <c r="C213" s="93"/>
      <c r="D213" s="93"/>
      <c r="E213" s="95"/>
      <c r="F213" s="95"/>
      <c r="G213" s="95"/>
      <c r="H213" s="93"/>
      <c r="I213" s="93"/>
      <c r="J213" s="93"/>
    </row>
    <row r="214" spans="1:10" s="65" customFormat="1" ht="14" x14ac:dyDescent="0.35">
      <c r="A214" s="145"/>
      <c r="B214" s="93"/>
      <c r="C214" s="93"/>
      <c r="D214" s="93"/>
      <c r="E214" s="95"/>
      <c r="F214" s="95"/>
      <c r="G214" s="95"/>
      <c r="H214" s="93"/>
      <c r="I214" s="93"/>
      <c r="J214" s="93"/>
    </row>
    <row r="215" spans="1:10" s="65" customFormat="1" ht="14" x14ac:dyDescent="0.35">
      <c r="A215" s="145"/>
      <c r="B215" s="93"/>
      <c r="C215" s="93"/>
      <c r="D215" s="93"/>
      <c r="E215" s="95"/>
      <c r="F215" s="95"/>
      <c r="G215" s="95"/>
      <c r="H215" s="93"/>
      <c r="I215" s="93"/>
      <c r="J215" s="93"/>
    </row>
    <row r="216" spans="1:10" s="65" customFormat="1" ht="14" x14ac:dyDescent="0.35">
      <c r="A216" s="145"/>
      <c r="B216" s="93"/>
      <c r="C216" s="93"/>
      <c r="D216" s="93"/>
      <c r="E216" s="95"/>
      <c r="F216" s="95"/>
      <c r="G216" s="95"/>
      <c r="H216" s="93"/>
      <c r="I216" s="93"/>
      <c r="J216" s="93"/>
    </row>
    <row r="217" spans="1:10" s="65" customFormat="1" ht="14" x14ac:dyDescent="0.35">
      <c r="A217" s="145"/>
      <c r="B217" s="93"/>
      <c r="C217" s="93"/>
      <c r="D217" s="93"/>
      <c r="E217" s="95"/>
      <c r="F217" s="95"/>
      <c r="G217" s="95"/>
      <c r="H217" s="93"/>
      <c r="I217" s="93"/>
      <c r="J217" s="93"/>
    </row>
    <row r="218" spans="1:10" s="65" customFormat="1" ht="14" x14ac:dyDescent="0.35">
      <c r="A218" s="145"/>
      <c r="B218" s="93"/>
      <c r="C218" s="93"/>
      <c r="D218" s="93"/>
      <c r="E218" s="95"/>
      <c r="F218" s="95"/>
      <c r="G218" s="95"/>
      <c r="H218" s="93"/>
      <c r="I218" s="93"/>
      <c r="J218" s="93"/>
    </row>
    <row r="219" spans="1:10" s="65" customFormat="1" ht="14" x14ac:dyDescent="0.35">
      <c r="A219" s="145"/>
      <c r="B219" s="93"/>
      <c r="C219" s="93"/>
      <c r="D219" s="93"/>
      <c r="E219" s="95"/>
      <c r="F219" s="95"/>
      <c r="G219" s="95"/>
      <c r="H219" s="93"/>
      <c r="I219" s="93"/>
      <c r="J219" s="93"/>
    </row>
    <row r="220" spans="1:10" s="65" customFormat="1" ht="14" x14ac:dyDescent="0.35">
      <c r="A220" s="145"/>
      <c r="B220" s="93"/>
      <c r="C220" s="93"/>
      <c r="D220" s="93"/>
      <c r="E220" s="95"/>
      <c r="F220" s="95"/>
      <c r="G220" s="95"/>
      <c r="H220" s="93"/>
      <c r="I220" s="93"/>
      <c r="J220" s="93"/>
    </row>
    <row r="221" spans="1:10" s="65" customFormat="1" ht="14" x14ac:dyDescent="0.35">
      <c r="A221" s="145"/>
      <c r="B221" s="93"/>
      <c r="C221" s="93"/>
      <c r="D221" s="93"/>
      <c r="E221" s="95"/>
      <c r="F221" s="95"/>
      <c r="G221" s="95"/>
      <c r="H221" s="93"/>
      <c r="I221" s="93"/>
      <c r="J221" s="93"/>
    </row>
    <row r="222" spans="1:10" s="65" customFormat="1" ht="14" x14ac:dyDescent="0.35">
      <c r="A222" s="145"/>
      <c r="B222" s="93"/>
      <c r="C222" s="93"/>
      <c r="D222" s="93"/>
      <c r="E222" s="95"/>
      <c r="F222" s="95"/>
      <c r="G222" s="95"/>
      <c r="H222" s="93"/>
      <c r="I222" s="93"/>
      <c r="J222" s="93"/>
    </row>
    <row r="223" spans="1:10" s="65" customFormat="1" ht="14" x14ac:dyDescent="0.35">
      <c r="A223" s="145"/>
      <c r="B223" s="93"/>
      <c r="C223" s="93"/>
      <c r="D223" s="93"/>
      <c r="E223" s="95"/>
      <c r="F223" s="95"/>
      <c r="G223" s="95"/>
      <c r="H223" s="93"/>
      <c r="I223" s="93"/>
      <c r="J223" s="93"/>
    </row>
    <row r="224" spans="1:10" s="65" customFormat="1" ht="14" x14ac:dyDescent="0.35">
      <c r="A224" s="145"/>
      <c r="B224" s="93"/>
      <c r="C224" s="93"/>
      <c r="D224" s="93"/>
      <c r="E224" s="95"/>
      <c r="F224" s="95"/>
      <c r="G224" s="95"/>
      <c r="H224" s="93"/>
      <c r="I224" s="93"/>
      <c r="J224" s="93"/>
    </row>
    <row r="225" spans="1:10" s="65" customFormat="1" ht="14" x14ac:dyDescent="0.35">
      <c r="A225" s="145"/>
      <c r="B225" s="93"/>
      <c r="C225" s="93"/>
      <c r="D225" s="93"/>
      <c r="E225" s="95"/>
      <c r="F225" s="95"/>
      <c r="G225" s="95"/>
      <c r="H225" s="93"/>
      <c r="I225" s="93"/>
      <c r="J225" s="93"/>
    </row>
    <row r="226" spans="1:10" s="65" customFormat="1" ht="14" x14ac:dyDescent="0.35">
      <c r="A226" s="145"/>
      <c r="B226" s="93"/>
      <c r="C226" s="93"/>
      <c r="D226" s="93"/>
      <c r="E226" s="95"/>
      <c r="F226" s="95"/>
      <c r="G226" s="95"/>
      <c r="H226" s="93"/>
      <c r="I226" s="93"/>
      <c r="J226" s="93"/>
    </row>
    <row r="227" spans="1:10" s="65" customFormat="1" ht="14" x14ac:dyDescent="0.35">
      <c r="A227" s="145"/>
      <c r="B227" s="93"/>
      <c r="C227" s="93"/>
      <c r="D227" s="93"/>
      <c r="E227" s="95"/>
      <c r="F227" s="95"/>
      <c r="G227" s="95"/>
      <c r="H227" s="93"/>
      <c r="I227" s="93"/>
      <c r="J227" s="93"/>
    </row>
    <row r="228" spans="1:10" s="65" customFormat="1" ht="14" x14ac:dyDescent="0.35">
      <c r="A228" s="145"/>
      <c r="B228" s="93"/>
      <c r="C228" s="93"/>
      <c r="D228" s="93"/>
      <c r="E228" s="95"/>
      <c r="F228" s="95"/>
      <c r="G228" s="95"/>
      <c r="H228" s="93"/>
      <c r="I228" s="93"/>
      <c r="J228" s="93"/>
    </row>
    <row r="229" spans="1:10" s="65" customFormat="1" ht="14" x14ac:dyDescent="0.35">
      <c r="A229" s="145"/>
      <c r="B229" s="93"/>
      <c r="C229" s="93"/>
      <c r="D229" s="93"/>
      <c r="E229" s="95"/>
      <c r="F229" s="95"/>
      <c r="G229" s="95"/>
      <c r="H229" s="93"/>
      <c r="I229" s="93"/>
      <c r="J229" s="93"/>
    </row>
    <row r="230" spans="1:10" s="65" customFormat="1" ht="14" x14ac:dyDescent="0.35">
      <c r="A230" s="145"/>
      <c r="B230" s="93"/>
      <c r="C230" s="93"/>
      <c r="D230" s="93"/>
      <c r="E230" s="95"/>
      <c r="F230" s="95"/>
      <c r="G230" s="95"/>
      <c r="H230" s="93"/>
      <c r="I230" s="93"/>
      <c r="J230" s="93"/>
    </row>
    <row r="231" spans="1:10" s="65" customFormat="1" ht="14" x14ac:dyDescent="0.35">
      <c r="A231" s="145"/>
      <c r="B231" s="93"/>
      <c r="C231" s="93"/>
      <c r="D231" s="93"/>
      <c r="E231" s="95"/>
      <c r="F231" s="95"/>
      <c r="G231" s="95"/>
      <c r="H231" s="93"/>
      <c r="I231" s="93"/>
      <c r="J231" s="93"/>
    </row>
    <row r="232" spans="1:10" s="65" customFormat="1" ht="14" x14ac:dyDescent="0.35">
      <c r="A232" s="145"/>
      <c r="B232" s="93"/>
      <c r="C232" s="93"/>
      <c r="D232" s="93"/>
      <c r="E232" s="95"/>
      <c r="F232" s="95"/>
      <c r="G232" s="95"/>
      <c r="H232" s="93"/>
      <c r="I232" s="93"/>
      <c r="J232" s="93"/>
    </row>
    <row r="233" spans="1:10" s="65" customFormat="1" ht="14" x14ac:dyDescent="0.35">
      <c r="A233" s="145"/>
      <c r="B233" s="93"/>
      <c r="C233" s="93"/>
      <c r="D233" s="93"/>
      <c r="E233" s="95"/>
      <c r="F233" s="95"/>
      <c r="G233" s="95"/>
      <c r="H233" s="93"/>
      <c r="I233" s="93"/>
      <c r="J233" s="93"/>
    </row>
    <row r="234" spans="1:10" s="65" customFormat="1" ht="14" x14ac:dyDescent="0.35">
      <c r="A234" s="145"/>
      <c r="B234" s="93"/>
      <c r="C234" s="93"/>
      <c r="D234" s="93"/>
      <c r="E234" s="95"/>
      <c r="F234" s="95"/>
      <c r="G234" s="95"/>
      <c r="H234" s="93"/>
      <c r="I234" s="93"/>
      <c r="J234" s="93"/>
    </row>
    <row r="235" spans="1:10" s="65" customFormat="1" ht="14" x14ac:dyDescent="0.35">
      <c r="A235" s="145"/>
      <c r="B235" s="93"/>
      <c r="C235" s="93"/>
      <c r="D235" s="93"/>
      <c r="E235" s="95"/>
      <c r="F235" s="95"/>
      <c r="G235" s="95"/>
      <c r="H235" s="93"/>
      <c r="I235" s="93"/>
      <c r="J235" s="93"/>
    </row>
    <row r="236" spans="1:10" s="65" customFormat="1" ht="14" x14ac:dyDescent="0.35">
      <c r="A236" s="145"/>
      <c r="B236" s="93"/>
      <c r="C236" s="93"/>
      <c r="D236" s="93"/>
      <c r="E236" s="95"/>
      <c r="F236" s="95"/>
      <c r="G236" s="95"/>
      <c r="H236" s="93"/>
      <c r="I236" s="93"/>
      <c r="J236" s="93"/>
    </row>
    <row r="237" spans="1:10" s="65" customFormat="1" ht="14" x14ac:dyDescent="0.35">
      <c r="A237" s="145"/>
      <c r="B237" s="93"/>
      <c r="C237" s="93"/>
      <c r="D237" s="93"/>
      <c r="E237" s="95"/>
      <c r="F237" s="95"/>
      <c r="G237" s="95"/>
      <c r="H237" s="93"/>
      <c r="I237" s="93"/>
      <c r="J237" s="93"/>
    </row>
    <row r="238" spans="1:10" s="65" customFormat="1" ht="14" x14ac:dyDescent="0.35">
      <c r="A238" s="145"/>
      <c r="B238" s="93"/>
      <c r="C238" s="93"/>
      <c r="D238" s="93"/>
      <c r="E238" s="95"/>
      <c r="F238" s="95"/>
      <c r="G238" s="95"/>
      <c r="H238" s="93"/>
      <c r="I238" s="93"/>
      <c r="J238" s="93"/>
    </row>
    <row r="239" spans="1:10" s="65" customFormat="1" ht="14" x14ac:dyDescent="0.35">
      <c r="A239" s="145"/>
      <c r="B239" s="93"/>
      <c r="C239" s="93"/>
      <c r="D239" s="93"/>
      <c r="E239" s="95"/>
      <c r="F239" s="95"/>
      <c r="G239" s="95"/>
      <c r="H239" s="93"/>
      <c r="I239" s="93"/>
      <c r="J239" s="93"/>
    </row>
    <row r="240" spans="1:10" s="65" customFormat="1" ht="14" x14ac:dyDescent="0.35">
      <c r="A240" s="145"/>
      <c r="B240" s="93"/>
      <c r="C240" s="93"/>
      <c r="D240" s="93"/>
      <c r="E240" s="95"/>
      <c r="F240" s="95"/>
      <c r="G240" s="95"/>
      <c r="H240" s="93"/>
      <c r="I240" s="93"/>
      <c r="J240" s="93"/>
    </row>
    <row r="241" spans="1:10" s="65" customFormat="1" ht="14" x14ac:dyDescent="0.35">
      <c r="A241" s="145"/>
      <c r="B241" s="93"/>
      <c r="C241" s="93"/>
      <c r="D241" s="93"/>
      <c r="E241" s="95"/>
      <c r="F241" s="95"/>
      <c r="G241" s="95"/>
      <c r="H241" s="93"/>
      <c r="I241" s="93"/>
      <c r="J241" s="93"/>
    </row>
    <row r="242" spans="1:10" s="65" customFormat="1" ht="14" x14ac:dyDescent="0.35">
      <c r="A242" s="145"/>
      <c r="B242" s="93"/>
      <c r="C242" s="93"/>
      <c r="D242" s="93"/>
      <c r="E242" s="95"/>
      <c r="F242" s="95"/>
      <c r="G242" s="95"/>
      <c r="H242" s="93"/>
      <c r="I242" s="93"/>
      <c r="J242" s="93"/>
    </row>
    <row r="243" spans="1:10" s="65" customFormat="1" ht="14" x14ac:dyDescent="0.35">
      <c r="A243" s="145"/>
      <c r="B243" s="93"/>
      <c r="C243" s="93"/>
      <c r="D243" s="93"/>
      <c r="E243" s="95"/>
      <c r="F243" s="95"/>
      <c r="G243" s="95"/>
      <c r="H243" s="93"/>
      <c r="I243" s="93"/>
      <c r="J243" s="93"/>
    </row>
    <row r="244" spans="1:10" s="65" customFormat="1" ht="14" x14ac:dyDescent="0.35">
      <c r="A244" s="145"/>
      <c r="B244" s="93"/>
      <c r="C244" s="93"/>
      <c r="D244" s="93"/>
      <c r="E244" s="95"/>
      <c r="F244" s="95"/>
      <c r="G244" s="95"/>
      <c r="H244" s="93"/>
      <c r="I244" s="93"/>
      <c r="J244" s="93"/>
    </row>
    <row r="245" spans="1:10" s="65" customFormat="1" ht="14" x14ac:dyDescent="0.35">
      <c r="A245" s="145"/>
      <c r="B245" s="93"/>
      <c r="C245" s="93"/>
      <c r="D245" s="93"/>
      <c r="E245" s="95"/>
      <c r="F245" s="95"/>
      <c r="G245" s="95"/>
      <c r="H245" s="93"/>
      <c r="I245" s="93"/>
      <c r="J245" s="93"/>
    </row>
    <row r="246" spans="1:10" s="65" customFormat="1" ht="14" x14ac:dyDescent="0.35">
      <c r="A246" s="145"/>
      <c r="B246" s="93"/>
      <c r="C246" s="93"/>
      <c r="D246" s="93"/>
      <c r="E246" s="95"/>
      <c r="F246" s="95"/>
      <c r="G246" s="95"/>
      <c r="H246" s="93"/>
      <c r="I246" s="93"/>
      <c r="J246" s="93"/>
    </row>
    <row r="247" spans="1:10" s="65" customFormat="1" ht="14" x14ac:dyDescent="0.35">
      <c r="A247" s="145"/>
      <c r="B247" s="93"/>
      <c r="C247" s="93"/>
      <c r="D247" s="93"/>
      <c r="E247" s="95"/>
      <c r="F247" s="95"/>
      <c r="G247" s="95"/>
      <c r="H247" s="93"/>
      <c r="I247" s="93"/>
      <c r="J247" s="93"/>
    </row>
    <row r="248" spans="1:10" s="65" customFormat="1" ht="14" x14ac:dyDescent="0.35">
      <c r="A248" s="145"/>
      <c r="B248" s="93"/>
      <c r="C248" s="93"/>
      <c r="D248" s="93"/>
      <c r="E248" s="95"/>
      <c r="F248" s="95"/>
      <c r="G248" s="95"/>
      <c r="H248" s="93"/>
      <c r="I248" s="93"/>
      <c r="J248" s="93"/>
    </row>
    <row r="249" spans="1:10" s="65" customFormat="1" ht="14" x14ac:dyDescent="0.35">
      <c r="A249" s="145"/>
      <c r="B249" s="93"/>
      <c r="C249" s="93"/>
      <c r="D249" s="93"/>
      <c r="E249" s="95"/>
      <c r="F249" s="95"/>
      <c r="G249" s="95"/>
      <c r="H249" s="93"/>
      <c r="I249" s="93"/>
      <c r="J249" s="93"/>
    </row>
    <row r="250" spans="1:10" s="65" customFormat="1" ht="14" x14ac:dyDescent="0.35">
      <c r="A250" s="145"/>
      <c r="B250" s="93"/>
      <c r="C250" s="93"/>
      <c r="D250" s="93"/>
      <c r="E250" s="95"/>
      <c r="F250" s="95"/>
      <c r="G250" s="95"/>
      <c r="H250" s="93"/>
      <c r="I250" s="93"/>
      <c r="J250" s="93"/>
    </row>
    <row r="251" spans="1:10" s="65" customFormat="1" ht="14" x14ac:dyDescent="0.35">
      <c r="A251" s="145"/>
      <c r="B251" s="93"/>
      <c r="C251" s="93"/>
      <c r="D251" s="93"/>
      <c r="E251" s="95"/>
      <c r="F251" s="95"/>
      <c r="G251" s="95"/>
      <c r="H251" s="93"/>
      <c r="I251" s="93"/>
      <c r="J251" s="93"/>
    </row>
    <row r="252" spans="1:10" s="65" customFormat="1" ht="14" x14ac:dyDescent="0.35">
      <c r="A252" s="145"/>
      <c r="B252" s="93"/>
      <c r="C252" s="93"/>
      <c r="D252" s="93"/>
      <c r="E252" s="95"/>
      <c r="F252" s="95"/>
      <c r="G252" s="95"/>
      <c r="H252" s="93"/>
      <c r="I252" s="93"/>
      <c r="J252" s="93"/>
    </row>
    <row r="253" spans="1:10" s="65" customFormat="1" ht="14" x14ac:dyDescent="0.35">
      <c r="A253" s="145"/>
      <c r="B253" s="93"/>
      <c r="C253" s="93"/>
      <c r="D253" s="93"/>
      <c r="E253" s="95"/>
      <c r="F253" s="95"/>
      <c r="G253" s="95"/>
      <c r="H253" s="93"/>
      <c r="I253" s="93"/>
      <c r="J253" s="93"/>
    </row>
    <row r="254" spans="1:10" s="65" customFormat="1" ht="14" x14ac:dyDescent="0.35">
      <c r="A254" s="145"/>
      <c r="B254" s="93"/>
      <c r="C254" s="93"/>
      <c r="D254" s="93"/>
      <c r="E254" s="95"/>
      <c r="F254" s="95"/>
      <c r="G254" s="95"/>
      <c r="H254" s="93"/>
      <c r="I254" s="93"/>
      <c r="J254" s="93"/>
    </row>
    <row r="255" spans="1:10" s="65" customFormat="1" ht="14" x14ac:dyDescent="0.35">
      <c r="A255" s="145"/>
      <c r="B255" s="93"/>
      <c r="C255" s="93"/>
      <c r="D255" s="93"/>
      <c r="E255" s="95"/>
      <c r="F255" s="95"/>
      <c r="G255" s="95"/>
      <c r="H255" s="93"/>
      <c r="I255" s="93"/>
      <c r="J255" s="93"/>
    </row>
    <row r="256" spans="1:10" s="65" customFormat="1" ht="14" x14ac:dyDescent="0.35">
      <c r="A256" s="145"/>
      <c r="B256" s="93"/>
      <c r="C256" s="93"/>
      <c r="D256" s="93"/>
      <c r="E256" s="95"/>
      <c r="F256" s="95"/>
      <c r="G256" s="95"/>
      <c r="H256" s="93"/>
      <c r="I256" s="93"/>
      <c r="J256" s="93"/>
    </row>
    <row r="257" spans="1:10" s="65" customFormat="1" ht="14" x14ac:dyDescent="0.35">
      <c r="A257" s="145"/>
      <c r="B257" s="93"/>
      <c r="C257" s="93"/>
      <c r="D257" s="93"/>
      <c r="E257" s="95"/>
      <c r="F257" s="95"/>
      <c r="G257" s="95"/>
      <c r="H257" s="93"/>
      <c r="I257" s="93"/>
      <c r="J257" s="93"/>
    </row>
    <row r="258" spans="1:10" s="65" customFormat="1" ht="14" x14ac:dyDescent="0.35">
      <c r="A258" s="145"/>
      <c r="B258" s="93"/>
      <c r="C258" s="93"/>
      <c r="D258" s="93"/>
      <c r="E258" s="95"/>
      <c r="F258" s="95"/>
      <c r="G258" s="95"/>
      <c r="H258" s="93"/>
      <c r="I258" s="93"/>
      <c r="J258" s="93"/>
    </row>
    <row r="259" spans="1:10" s="65" customFormat="1" ht="14" x14ac:dyDescent="0.35">
      <c r="A259" s="145"/>
      <c r="B259" s="93"/>
      <c r="C259" s="93"/>
      <c r="D259" s="93"/>
      <c r="E259" s="95"/>
      <c r="F259" s="95"/>
      <c r="G259" s="95"/>
      <c r="H259" s="93"/>
      <c r="I259" s="93"/>
      <c r="J259" s="93"/>
    </row>
    <row r="260" spans="1:10" s="65" customFormat="1" ht="14" x14ac:dyDescent="0.35">
      <c r="A260" s="145"/>
      <c r="B260" s="93"/>
      <c r="C260" s="93"/>
      <c r="D260" s="93"/>
      <c r="E260" s="95"/>
      <c r="F260" s="95"/>
      <c r="G260" s="95"/>
      <c r="H260" s="93"/>
      <c r="I260" s="93"/>
      <c r="J260" s="93"/>
    </row>
    <row r="261" spans="1:10" s="65" customFormat="1" ht="14" x14ac:dyDescent="0.35">
      <c r="A261" s="145"/>
      <c r="B261" s="93"/>
      <c r="C261" s="93"/>
      <c r="D261" s="93"/>
      <c r="E261" s="95"/>
      <c r="F261" s="95"/>
      <c r="G261" s="95"/>
      <c r="H261" s="93"/>
      <c r="I261" s="93"/>
      <c r="J261" s="93"/>
    </row>
    <row r="262" spans="1:10" s="65" customFormat="1" ht="14" x14ac:dyDescent="0.35">
      <c r="A262" s="145"/>
      <c r="B262" s="93"/>
      <c r="C262" s="93"/>
      <c r="D262" s="93"/>
      <c r="E262" s="95"/>
      <c r="F262" s="95"/>
      <c r="G262" s="95"/>
      <c r="H262" s="93"/>
      <c r="I262" s="93"/>
      <c r="J262" s="93"/>
    </row>
    <row r="263" spans="1:10" s="65" customFormat="1" ht="14" x14ac:dyDescent="0.35">
      <c r="A263" s="145"/>
      <c r="B263" s="93"/>
      <c r="C263" s="93"/>
      <c r="D263" s="93"/>
      <c r="E263" s="95"/>
      <c r="F263" s="95"/>
      <c r="G263" s="95"/>
      <c r="H263" s="93"/>
      <c r="I263" s="93"/>
      <c r="J263" s="93"/>
    </row>
    <row r="264" spans="1:10" s="65" customFormat="1" ht="14" x14ac:dyDescent="0.35">
      <c r="A264" s="145"/>
      <c r="B264" s="93"/>
      <c r="C264" s="93"/>
      <c r="D264" s="93"/>
      <c r="E264" s="95"/>
      <c r="F264" s="95"/>
      <c r="G264" s="95"/>
      <c r="H264" s="93"/>
      <c r="I264" s="93"/>
      <c r="J264" s="93"/>
    </row>
    <row r="265" spans="1:10" s="65" customFormat="1" ht="14" x14ac:dyDescent="0.35">
      <c r="A265" s="145"/>
      <c r="B265" s="93"/>
      <c r="C265" s="93"/>
      <c r="D265" s="93"/>
      <c r="E265" s="95"/>
      <c r="F265" s="95"/>
      <c r="G265" s="95"/>
      <c r="H265" s="93"/>
      <c r="I265" s="93"/>
      <c r="J265" s="93"/>
    </row>
    <row r="266" spans="1:10" s="65" customFormat="1" ht="14" x14ac:dyDescent="0.35">
      <c r="A266" s="145"/>
      <c r="B266" s="93"/>
      <c r="C266" s="93"/>
      <c r="D266" s="93"/>
      <c r="E266" s="95"/>
      <c r="F266" s="95"/>
      <c r="G266" s="95"/>
      <c r="H266" s="93"/>
      <c r="I266" s="93"/>
      <c r="J266" s="93"/>
    </row>
    <row r="267" spans="1:10" s="65" customFormat="1" ht="14" x14ac:dyDescent="0.35">
      <c r="A267" s="145"/>
      <c r="B267" s="93"/>
      <c r="C267" s="93"/>
      <c r="D267" s="93"/>
      <c r="E267" s="95"/>
      <c r="F267" s="95"/>
      <c r="G267" s="95"/>
      <c r="H267" s="93"/>
      <c r="I267" s="93"/>
      <c r="J267" s="93"/>
    </row>
    <row r="268" spans="1:10" s="65" customFormat="1" ht="14" x14ac:dyDescent="0.35">
      <c r="A268" s="145"/>
      <c r="B268" s="93"/>
      <c r="C268" s="93"/>
      <c r="D268" s="93"/>
      <c r="E268" s="95"/>
      <c r="F268" s="95"/>
      <c r="G268" s="95"/>
      <c r="H268" s="93"/>
      <c r="I268" s="93"/>
      <c r="J268" s="93"/>
    </row>
    <row r="269" spans="1:10" s="65" customFormat="1" ht="14" x14ac:dyDescent="0.35">
      <c r="A269" s="145"/>
      <c r="B269" s="93"/>
      <c r="C269" s="93"/>
      <c r="D269" s="93"/>
      <c r="E269" s="95"/>
      <c r="F269" s="95"/>
      <c r="G269" s="95"/>
      <c r="H269" s="93"/>
      <c r="I269" s="93"/>
      <c r="J269" s="93"/>
    </row>
    <row r="270" spans="1:10" s="65" customFormat="1" ht="14" x14ac:dyDescent="0.35">
      <c r="A270" s="145"/>
      <c r="B270" s="93"/>
      <c r="C270" s="93"/>
      <c r="D270" s="93"/>
      <c r="E270" s="95"/>
      <c r="F270" s="95"/>
      <c r="G270" s="95"/>
      <c r="H270" s="93"/>
      <c r="I270" s="93"/>
      <c r="J270" s="93"/>
    </row>
    <row r="271" spans="1:10" s="65" customFormat="1" ht="14" x14ac:dyDescent="0.35">
      <c r="A271" s="145"/>
      <c r="B271" s="93"/>
      <c r="C271" s="93"/>
      <c r="D271" s="93"/>
      <c r="E271" s="95"/>
      <c r="F271" s="95"/>
      <c r="G271" s="95"/>
      <c r="H271" s="93"/>
      <c r="I271" s="93"/>
      <c r="J271" s="93"/>
    </row>
    <row r="272" spans="1:10" s="65" customFormat="1" ht="14" x14ac:dyDescent="0.35">
      <c r="A272" s="145"/>
      <c r="B272" s="93"/>
      <c r="C272" s="93"/>
      <c r="D272" s="93"/>
      <c r="E272" s="95"/>
      <c r="F272" s="95"/>
      <c r="G272" s="95"/>
      <c r="H272" s="93"/>
      <c r="I272" s="93"/>
      <c r="J272" s="93"/>
    </row>
    <row r="273" spans="1:10" s="65" customFormat="1" ht="14" x14ac:dyDescent="0.35">
      <c r="A273" s="145"/>
      <c r="B273" s="93"/>
      <c r="C273" s="93"/>
      <c r="D273" s="93"/>
      <c r="E273" s="95"/>
      <c r="F273" s="95"/>
      <c r="G273" s="95"/>
      <c r="H273" s="93"/>
      <c r="I273" s="93"/>
      <c r="J273" s="93"/>
    </row>
    <row r="274" spans="1:10" s="65" customFormat="1" ht="14" x14ac:dyDescent="0.35">
      <c r="A274" s="145"/>
      <c r="B274" s="93"/>
      <c r="C274" s="93"/>
      <c r="D274" s="93"/>
      <c r="E274" s="95"/>
      <c r="F274" s="95"/>
      <c r="G274" s="95"/>
      <c r="H274" s="93"/>
      <c r="I274" s="93"/>
      <c r="J274" s="93"/>
    </row>
    <row r="275" spans="1:10" s="65" customFormat="1" ht="14" x14ac:dyDescent="0.35">
      <c r="A275" s="145"/>
      <c r="B275" s="93"/>
      <c r="C275" s="93"/>
      <c r="D275" s="93"/>
      <c r="E275" s="95"/>
      <c r="F275" s="95"/>
      <c r="G275" s="95"/>
      <c r="H275" s="93"/>
      <c r="I275" s="93"/>
      <c r="J275" s="93"/>
    </row>
    <row r="276" spans="1:10" s="65" customFormat="1" ht="14" x14ac:dyDescent="0.35">
      <c r="A276" s="145"/>
      <c r="B276" s="93"/>
      <c r="C276" s="93"/>
      <c r="D276" s="93"/>
      <c r="E276" s="95"/>
      <c r="F276" s="95"/>
      <c r="G276" s="95"/>
      <c r="H276" s="93"/>
      <c r="I276" s="93"/>
      <c r="J276" s="93"/>
    </row>
    <row r="277" spans="1:10" s="65" customFormat="1" ht="14" x14ac:dyDescent="0.35">
      <c r="A277" s="145"/>
      <c r="B277" s="93"/>
      <c r="C277" s="93"/>
      <c r="D277" s="93"/>
      <c r="E277" s="95"/>
      <c r="F277" s="95"/>
      <c r="G277" s="95"/>
      <c r="H277" s="93"/>
      <c r="I277" s="93"/>
      <c r="J277" s="93"/>
    </row>
    <row r="278" spans="1:10" s="65" customFormat="1" ht="14" x14ac:dyDescent="0.35">
      <c r="A278" s="145"/>
      <c r="B278" s="93"/>
      <c r="C278" s="93"/>
      <c r="D278" s="93"/>
      <c r="E278" s="95"/>
      <c r="F278" s="95"/>
      <c r="G278" s="95"/>
      <c r="H278" s="93"/>
      <c r="I278" s="93"/>
      <c r="J278" s="93"/>
    </row>
    <row r="279" spans="1:10" s="65" customFormat="1" ht="14" x14ac:dyDescent="0.35">
      <c r="A279" s="145"/>
      <c r="B279" s="93"/>
      <c r="C279" s="93"/>
      <c r="D279" s="93"/>
      <c r="E279" s="95"/>
      <c r="F279" s="95"/>
      <c r="G279" s="95"/>
      <c r="H279" s="93"/>
      <c r="I279" s="93"/>
      <c r="J279" s="93"/>
    </row>
    <row r="280" spans="1:10" s="65" customFormat="1" ht="14" x14ac:dyDescent="0.35">
      <c r="A280" s="145"/>
      <c r="B280" s="93"/>
      <c r="C280" s="93"/>
      <c r="D280" s="93"/>
      <c r="E280" s="95"/>
      <c r="F280" s="95"/>
      <c r="G280" s="95"/>
      <c r="H280" s="93"/>
      <c r="I280" s="93"/>
      <c r="J280" s="93"/>
    </row>
    <row r="281" spans="1:10" s="65" customFormat="1" ht="14" x14ac:dyDescent="0.35">
      <c r="A281" s="145"/>
      <c r="B281" s="93"/>
      <c r="C281" s="93"/>
      <c r="D281" s="93"/>
      <c r="E281" s="95"/>
      <c r="F281" s="95"/>
      <c r="G281" s="95"/>
      <c r="H281" s="93"/>
      <c r="I281" s="93"/>
      <c r="J281" s="93"/>
    </row>
    <row r="282" spans="1:10" s="65" customFormat="1" ht="14" x14ac:dyDescent="0.35">
      <c r="A282" s="145"/>
      <c r="B282" s="93"/>
      <c r="C282" s="93"/>
      <c r="D282" s="93"/>
      <c r="E282" s="95"/>
      <c r="F282" s="95"/>
      <c r="G282" s="95"/>
      <c r="H282" s="93"/>
      <c r="I282" s="93"/>
      <c r="J282" s="93"/>
    </row>
    <row r="283" spans="1:10" s="65" customFormat="1" ht="14" x14ac:dyDescent="0.35">
      <c r="A283" s="145"/>
      <c r="B283" s="93"/>
      <c r="C283" s="93"/>
      <c r="D283" s="93"/>
      <c r="E283" s="95"/>
      <c r="F283" s="95"/>
      <c r="G283" s="95"/>
      <c r="H283" s="93"/>
      <c r="I283" s="93"/>
      <c r="J283" s="93"/>
    </row>
    <row r="284" spans="1:10" s="65" customFormat="1" ht="14" x14ac:dyDescent="0.35">
      <c r="A284" s="145"/>
      <c r="B284" s="93"/>
      <c r="C284" s="93"/>
      <c r="D284" s="93"/>
      <c r="E284" s="95"/>
      <c r="F284" s="95"/>
      <c r="G284" s="95"/>
      <c r="H284" s="93"/>
      <c r="I284" s="93"/>
      <c r="J284" s="93"/>
    </row>
    <row r="285" spans="1:10" s="65" customFormat="1" ht="14" x14ac:dyDescent="0.35">
      <c r="A285" s="145"/>
      <c r="B285" s="93"/>
      <c r="C285" s="93"/>
      <c r="D285" s="93"/>
      <c r="E285" s="95"/>
      <c r="F285" s="95"/>
      <c r="G285" s="95"/>
      <c r="H285" s="93"/>
      <c r="I285" s="93"/>
      <c r="J285" s="93"/>
    </row>
    <row r="286" spans="1:10" s="65" customFormat="1" ht="14" x14ac:dyDescent="0.35">
      <c r="A286" s="145"/>
      <c r="B286" s="93"/>
      <c r="C286" s="93"/>
      <c r="D286" s="93"/>
      <c r="E286" s="95"/>
      <c r="F286" s="95"/>
      <c r="G286" s="95"/>
      <c r="H286" s="93"/>
      <c r="I286" s="93"/>
      <c r="J286" s="93"/>
    </row>
    <row r="287" spans="1:10" s="65" customFormat="1" ht="14" x14ac:dyDescent="0.35">
      <c r="A287" s="145"/>
      <c r="B287" s="93"/>
      <c r="C287" s="93"/>
      <c r="D287" s="93"/>
      <c r="E287" s="95"/>
      <c r="F287" s="95"/>
      <c r="G287" s="95"/>
      <c r="H287" s="93"/>
      <c r="I287" s="93"/>
      <c r="J287" s="93"/>
    </row>
    <row r="288" spans="1:10" s="65" customFormat="1" ht="14" x14ac:dyDescent="0.35">
      <c r="A288" s="145"/>
      <c r="B288" s="93"/>
      <c r="C288" s="93"/>
      <c r="D288" s="93"/>
      <c r="E288" s="95"/>
      <c r="F288" s="95"/>
      <c r="G288" s="95"/>
      <c r="H288" s="93"/>
      <c r="I288" s="93"/>
      <c r="J288" s="93"/>
    </row>
    <row r="289" spans="1:10" s="65" customFormat="1" ht="14" x14ac:dyDescent="0.35">
      <c r="A289" s="145"/>
      <c r="B289" s="93"/>
      <c r="C289" s="93"/>
      <c r="D289" s="93"/>
      <c r="E289" s="95"/>
      <c r="F289" s="95"/>
      <c r="G289" s="95"/>
      <c r="H289" s="93"/>
      <c r="I289" s="93"/>
      <c r="J289" s="93"/>
    </row>
    <row r="290" spans="1:10" s="65" customFormat="1" ht="14" x14ac:dyDescent="0.35">
      <c r="A290" s="145"/>
      <c r="B290" s="93"/>
      <c r="C290" s="93"/>
      <c r="D290" s="93"/>
      <c r="E290" s="95"/>
      <c r="F290" s="95"/>
      <c r="G290" s="95"/>
      <c r="H290" s="93"/>
      <c r="I290" s="93"/>
      <c r="J290" s="93"/>
    </row>
    <row r="291" spans="1:10" s="65" customFormat="1" ht="14" x14ac:dyDescent="0.35">
      <c r="A291" s="145"/>
      <c r="B291" s="93"/>
      <c r="C291" s="93"/>
      <c r="D291" s="93"/>
      <c r="E291" s="95"/>
      <c r="F291" s="95"/>
      <c r="G291" s="95"/>
      <c r="H291" s="93"/>
      <c r="I291" s="93"/>
      <c r="J291" s="93"/>
    </row>
    <row r="292" spans="1:10" s="65" customFormat="1" ht="14" x14ac:dyDescent="0.35">
      <c r="A292" s="145"/>
      <c r="B292" s="93"/>
      <c r="C292" s="93"/>
      <c r="D292" s="93"/>
      <c r="E292" s="95"/>
      <c r="F292" s="95"/>
      <c r="G292" s="95"/>
      <c r="H292" s="93"/>
      <c r="I292" s="93"/>
      <c r="J292" s="93"/>
    </row>
    <row r="293" spans="1:10" s="65" customFormat="1" ht="14" x14ac:dyDescent="0.35">
      <c r="A293" s="145"/>
      <c r="B293" s="93"/>
      <c r="C293" s="93"/>
      <c r="D293" s="93"/>
      <c r="E293" s="95"/>
      <c r="F293" s="95"/>
      <c r="G293" s="95"/>
      <c r="H293" s="93"/>
      <c r="I293" s="93"/>
      <c r="J293" s="93"/>
    </row>
    <row r="294" spans="1:10" s="65" customFormat="1" ht="14" x14ac:dyDescent="0.35">
      <c r="A294" s="145"/>
      <c r="B294" s="93"/>
      <c r="C294" s="93"/>
      <c r="D294" s="93"/>
      <c r="E294" s="95"/>
      <c r="F294" s="95"/>
      <c r="G294" s="95"/>
      <c r="H294" s="93"/>
      <c r="I294" s="93"/>
      <c r="J294" s="93"/>
    </row>
    <row r="295" spans="1:10" s="65" customFormat="1" ht="14" x14ac:dyDescent="0.35">
      <c r="A295" s="145"/>
      <c r="B295" s="93"/>
      <c r="C295" s="93"/>
      <c r="D295" s="93"/>
      <c r="E295" s="95"/>
      <c r="F295" s="95"/>
      <c r="G295" s="95"/>
      <c r="H295" s="93"/>
      <c r="I295" s="93"/>
      <c r="J295" s="93"/>
    </row>
    <row r="296" spans="1:10" s="65" customFormat="1" ht="14" x14ac:dyDescent="0.35">
      <c r="A296" s="145"/>
      <c r="B296" s="93"/>
      <c r="C296" s="93"/>
      <c r="D296" s="93"/>
      <c r="E296" s="95"/>
      <c r="F296" s="95"/>
      <c r="G296" s="95"/>
      <c r="H296" s="93"/>
      <c r="I296" s="93"/>
      <c r="J296" s="93"/>
    </row>
    <row r="297" spans="1:10" s="65" customFormat="1" ht="14" x14ac:dyDescent="0.35">
      <c r="A297" s="145"/>
      <c r="B297" s="93"/>
      <c r="C297" s="93"/>
      <c r="D297" s="93"/>
      <c r="E297" s="95"/>
      <c r="F297" s="95"/>
      <c r="G297" s="95"/>
      <c r="H297" s="93"/>
      <c r="I297" s="93"/>
      <c r="J297" s="93"/>
    </row>
    <row r="298" spans="1:10" s="65" customFormat="1" ht="14" x14ac:dyDescent="0.35">
      <c r="A298" s="145"/>
      <c r="B298" s="93"/>
      <c r="C298" s="93"/>
      <c r="D298" s="93"/>
      <c r="E298" s="95"/>
      <c r="F298" s="95"/>
      <c r="G298" s="95"/>
      <c r="H298" s="93"/>
      <c r="I298" s="93"/>
      <c r="J298" s="93"/>
    </row>
    <row r="299" spans="1:10" s="65" customFormat="1" ht="14" x14ac:dyDescent="0.35">
      <c r="A299" s="145"/>
      <c r="B299" s="93"/>
      <c r="C299" s="93"/>
      <c r="D299" s="93"/>
      <c r="E299" s="95"/>
      <c r="F299" s="95"/>
      <c r="G299" s="95"/>
      <c r="H299" s="93"/>
      <c r="I299" s="93"/>
      <c r="J299" s="93"/>
    </row>
    <row r="300" spans="1:10" s="65" customFormat="1" ht="14" x14ac:dyDescent="0.35">
      <c r="A300" s="145"/>
      <c r="B300" s="93"/>
      <c r="C300" s="93"/>
      <c r="D300" s="93"/>
      <c r="E300" s="95"/>
      <c r="F300" s="95"/>
      <c r="G300" s="95"/>
      <c r="H300" s="93"/>
      <c r="I300" s="93"/>
      <c r="J300" s="93"/>
    </row>
    <row r="301" spans="1:10" s="65" customFormat="1" ht="14" x14ac:dyDescent="0.35">
      <c r="A301" s="145"/>
      <c r="B301" s="93"/>
      <c r="C301" s="93"/>
      <c r="D301" s="93"/>
      <c r="E301" s="95"/>
      <c r="F301" s="95"/>
      <c r="G301" s="95"/>
      <c r="H301" s="93"/>
      <c r="I301" s="93"/>
      <c r="J301" s="93"/>
    </row>
    <row r="302" spans="1:10" s="65" customFormat="1" ht="14" x14ac:dyDescent="0.35">
      <c r="A302" s="145"/>
      <c r="B302" s="93"/>
      <c r="C302" s="93"/>
      <c r="D302" s="93"/>
      <c r="E302" s="95"/>
      <c r="F302" s="95"/>
      <c r="G302" s="95"/>
      <c r="H302" s="93"/>
      <c r="I302" s="93"/>
      <c r="J302" s="93"/>
    </row>
    <row r="303" spans="1:10" s="65" customFormat="1" ht="14" x14ac:dyDescent="0.35">
      <c r="A303" s="145"/>
      <c r="B303" s="93"/>
      <c r="C303" s="93"/>
      <c r="D303" s="93"/>
      <c r="E303" s="95"/>
      <c r="F303" s="95"/>
      <c r="G303" s="95"/>
      <c r="H303" s="93"/>
      <c r="I303" s="93"/>
      <c r="J303" s="93"/>
    </row>
    <row r="304" spans="1:10" s="65" customFormat="1" ht="14" x14ac:dyDescent="0.35">
      <c r="A304" s="145"/>
      <c r="B304" s="93"/>
      <c r="C304" s="93"/>
      <c r="D304" s="93"/>
      <c r="E304" s="95"/>
      <c r="F304" s="95"/>
      <c r="G304" s="95"/>
      <c r="H304" s="93"/>
      <c r="I304" s="93"/>
      <c r="J304" s="93"/>
    </row>
    <row r="305" spans="1:10" s="65" customFormat="1" ht="14" x14ac:dyDescent="0.35">
      <c r="A305" s="145"/>
      <c r="B305" s="93"/>
      <c r="C305" s="93"/>
      <c r="D305" s="93"/>
      <c r="E305" s="95"/>
      <c r="F305" s="95"/>
      <c r="G305" s="95"/>
      <c r="H305" s="93"/>
      <c r="I305" s="93"/>
      <c r="J305" s="93"/>
    </row>
    <row r="306" spans="1:10" s="65" customFormat="1" ht="14" x14ac:dyDescent="0.35">
      <c r="A306" s="145"/>
      <c r="B306" s="93"/>
      <c r="C306" s="93"/>
      <c r="D306" s="93"/>
      <c r="E306" s="95"/>
      <c r="F306" s="95"/>
      <c r="G306" s="95"/>
      <c r="H306" s="93"/>
      <c r="I306" s="93"/>
      <c r="J306" s="93"/>
    </row>
    <row r="307" spans="1:10" s="65" customFormat="1" ht="14" x14ac:dyDescent="0.35">
      <c r="A307" s="145"/>
      <c r="B307" s="93"/>
      <c r="C307" s="93"/>
      <c r="D307" s="93"/>
      <c r="E307" s="95"/>
      <c r="F307" s="95"/>
      <c r="G307" s="95"/>
      <c r="H307" s="93"/>
      <c r="I307" s="93"/>
      <c r="J307" s="93"/>
    </row>
    <row r="308" spans="1:10" s="65" customFormat="1" ht="14" x14ac:dyDescent="0.35">
      <c r="A308" s="145"/>
      <c r="B308" s="93"/>
      <c r="C308" s="93"/>
      <c r="D308" s="93"/>
      <c r="E308" s="95"/>
      <c r="F308" s="95"/>
      <c r="G308" s="95"/>
      <c r="H308" s="93"/>
      <c r="I308" s="93"/>
      <c r="J308" s="93"/>
    </row>
    <row r="309" spans="1:10" s="65" customFormat="1" ht="14" x14ac:dyDescent="0.35">
      <c r="A309" s="145"/>
      <c r="B309" s="93"/>
      <c r="C309" s="93"/>
      <c r="D309" s="93"/>
      <c r="E309" s="95"/>
      <c r="F309" s="95"/>
      <c r="G309" s="95"/>
      <c r="H309" s="93"/>
      <c r="I309" s="93"/>
      <c r="J309" s="93"/>
    </row>
    <row r="310" spans="1:10" s="65" customFormat="1" ht="14" x14ac:dyDescent="0.35">
      <c r="A310" s="145"/>
      <c r="B310" s="93"/>
      <c r="C310" s="93"/>
      <c r="D310" s="93"/>
      <c r="E310" s="95"/>
      <c r="F310" s="95"/>
      <c r="G310" s="95"/>
      <c r="H310" s="93"/>
      <c r="I310" s="93"/>
      <c r="J310" s="93"/>
    </row>
    <row r="311" spans="1:10" s="65" customFormat="1" ht="14" x14ac:dyDescent="0.35">
      <c r="A311" s="145"/>
      <c r="B311" s="93"/>
      <c r="C311" s="93"/>
      <c r="D311" s="93"/>
      <c r="E311" s="95"/>
      <c r="F311" s="95"/>
      <c r="G311" s="95"/>
      <c r="H311" s="93"/>
      <c r="I311" s="93"/>
      <c r="J311" s="93"/>
    </row>
    <row r="312" spans="1:10" s="65" customFormat="1" ht="14" x14ac:dyDescent="0.35">
      <c r="A312" s="145"/>
      <c r="B312" s="93"/>
      <c r="C312" s="93"/>
      <c r="D312" s="93"/>
      <c r="E312" s="95"/>
      <c r="F312" s="95"/>
      <c r="G312" s="95"/>
      <c r="H312" s="93"/>
      <c r="I312" s="93"/>
      <c r="J312" s="93"/>
    </row>
    <row r="313" spans="1:10" s="65" customFormat="1" ht="14" x14ac:dyDescent="0.35">
      <c r="A313" s="145"/>
      <c r="B313" s="93"/>
      <c r="C313" s="93"/>
      <c r="D313" s="93"/>
      <c r="E313" s="95"/>
      <c r="F313" s="95"/>
      <c r="G313" s="95"/>
      <c r="H313" s="93"/>
      <c r="I313" s="93"/>
      <c r="J313" s="93"/>
    </row>
    <row r="314" spans="1:10" s="65" customFormat="1" ht="14" x14ac:dyDescent="0.35">
      <c r="A314" s="145"/>
      <c r="B314" s="93"/>
      <c r="C314" s="93"/>
      <c r="D314" s="93"/>
      <c r="E314" s="95"/>
      <c r="F314" s="95"/>
      <c r="G314" s="95"/>
      <c r="H314" s="93"/>
      <c r="I314" s="93"/>
      <c r="J314" s="93"/>
    </row>
    <row r="315" spans="1:10" s="65" customFormat="1" ht="14" x14ac:dyDescent="0.35">
      <c r="A315" s="145"/>
      <c r="B315" s="93"/>
      <c r="C315" s="93"/>
      <c r="D315" s="93"/>
      <c r="E315" s="95"/>
      <c r="F315" s="95"/>
      <c r="G315" s="95"/>
      <c r="H315" s="93"/>
      <c r="I315" s="93"/>
      <c r="J315" s="93"/>
    </row>
    <row r="316" spans="1:10" s="65" customFormat="1" ht="14" x14ac:dyDescent="0.35">
      <c r="A316" s="145"/>
      <c r="B316" s="93"/>
      <c r="C316" s="93"/>
      <c r="D316" s="93"/>
      <c r="E316" s="95"/>
      <c r="F316" s="95"/>
      <c r="G316" s="95"/>
      <c r="H316" s="93"/>
      <c r="I316" s="93"/>
      <c r="J316" s="93"/>
    </row>
    <row r="317" spans="1:10" s="65" customFormat="1" ht="14" x14ac:dyDescent="0.35">
      <c r="A317" s="145"/>
      <c r="B317" s="93"/>
      <c r="C317" s="93"/>
      <c r="D317" s="93"/>
      <c r="E317" s="95"/>
      <c r="F317" s="95"/>
      <c r="G317" s="95"/>
      <c r="H317" s="93"/>
      <c r="I317" s="93"/>
      <c r="J317" s="93"/>
    </row>
    <row r="318" spans="1:10" s="65" customFormat="1" ht="14" x14ac:dyDescent="0.35">
      <c r="A318" s="145"/>
      <c r="B318" s="93"/>
      <c r="C318" s="93"/>
      <c r="D318" s="93"/>
      <c r="E318" s="95"/>
      <c r="F318" s="95"/>
      <c r="G318" s="95"/>
      <c r="H318" s="93"/>
      <c r="I318" s="93"/>
      <c r="J318" s="93"/>
    </row>
    <row r="319" spans="1:10" s="65" customFormat="1" ht="14" x14ac:dyDescent="0.35">
      <c r="A319" s="145"/>
      <c r="B319" s="93"/>
      <c r="C319" s="93"/>
      <c r="D319" s="93"/>
      <c r="E319" s="95"/>
      <c r="F319" s="95"/>
      <c r="G319" s="95"/>
      <c r="H319" s="93"/>
      <c r="I319" s="93"/>
      <c r="J319" s="93"/>
    </row>
    <row r="320" spans="1:10" s="65" customFormat="1" ht="14" x14ac:dyDescent="0.35">
      <c r="A320" s="145"/>
      <c r="B320" s="93"/>
      <c r="C320" s="93"/>
      <c r="D320" s="93"/>
      <c r="E320" s="95"/>
      <c r="F320" s="95"/>
      <c r="G320" s="95"/>
      <c r="H320" s="93"/>
      <c r="I320" s="93"/>
      <c r="J320" s="93"/>
    </row>
    <row r="321" spans="1:10" s="65" customFormat="1" ht="14" x14ac:dyDescent="0.35">
      <c r="A321" s="145"/>
      <c r="B321" s="93"/>
      <c r="C321" s="93"/>
      <c r="D321" s="93"/>
      <c r="E321" s="95"/>
      <c r="F321" s="95"/>
      <c r="G321" s="95"/>
      <c r="H321" s="93"/>
      <c r="I321" s="93"/>
      <c r="J321" s="93"/>
    </row>
    <row r="322" spans="1:10" s="65" customFormat="1" ht="14" x14ac:dyDescent="0.35">
      <c r="A322" s="145"/>
      <c r="B322" s="93"/>
      <c r="C322" s="93"/>
      <c r="D322" s="93"/>
      <c r="E322" s="95"/>
      <c r="F322" s="95"/>
      <c r="G322" s="95"/>
      <c r="H322" s="93"/>
      <c r="I322" s="93"/>
      <c r="J322" s="93"/>
    </row>
    <row r="323" spans="1:10" s="65" customFormat="1" ht="14" x14ac:dyDescent="0.35">
      <c r="A323" s="145"/>
      <c r="B323" s="93"/>
      <c r="C323" s="93"/>
      <c r="D323" s="93"/>
      <c r="E323" s="95"/>
      <c r="F323" s="95"/>
      <c r="G323" s="95"/>
      <c r="H323" s="93"/>
      <c r="I323" s="93"/>
      <c r="J323" s="93"/>
    </row>
    <row r="324" spans="1:10" s="65" customFormat="1" ht="14" x14ac:dyDescent="0.35">
      <c r="A324" s="145"/>
      <c r="B324" s="93"/>
      <c r="C324" s="93"/>
      <c r="D324" s="93"/>
      <c r="E324" s="95"/>
      <c r="F324" s="95"/>
      <c r="G324" s="95"/>
      <c r="H324" s="93"/>
      <c r="I324" s="93"/>
      <c r="J324" s="93"/>
    </row>
    <row r="325" spans="1:10" s="65" customFormat="1" ht="14" x14ac:dyDescent="0.35">
      <c r="A325" s="145"/>
      <c r="B325" s="93"/>
      <c r="C325" s="93"/>
      <c r="D325" s="93"/>
      <c r="E325" s="95"/>
      <c r="F325" s="95"/>
      <c r="G325" s="95"/>
      <c r="H325" s="93"/>
      <c r="I325" s="93"/>
      <c r="J325" s="93"/>
    </row>
    <row r="326" spans="1:10" s="65" customFormat="1" ht="14" x14ac:dyDescent="0.35">
      <c r="A326" s="145"/>
      <c r="B326" s="93"/>
      <c r="C326" s="93"/>
      <c r="D326" s="93"/>
      <c r="E326" s="95"/>
      <c r="F326" s="95"/>
      <c r="G326" s="95"/>
      <c r="H326" s="93"/>
      <c r="I326" s="93"/>
      <c r="J326" s="93"/>
    </row>
    <row r="327" spans="1:10" s="65" customFormat="1" ht="14" x14ac:dyDescent="0.35">
      <c r="A327" s="145"/>
      <c r="B327" s="93"/>
      <c r="C327" s="93"/>
      <c r="D327" s="93"/>
      <c r="E327" s="95"/>
      <c r="F327" s="95"/>
      <c r="G327" s="95"/>
      <c r="H327" s="93"/>
      <c r="I327" s="93"/>
      <c r="J327" s="93"/>
    </row>
    <row r="328" spans="1:10" s="65" customFormat="1" ht="14" x14ac:dyDescent="0.35">
      <c r="A328" s="145"/>
      <c r="B328" s="93"/>
      <c r="C328" s="93"/>
      <c r="D328" s="93"/>
      <c r="E328" s="95"/>
      <c r="F328" s="95"/>
      <c r="G328" s="95"/>
      <c r="H328" s="93"/>
      <c r="I328" s="93"/>
      <c r="J328" s="93"/>
    </row>
    <row r="329" spans="1:10" s="65" customFormat="1" ht="14" x14ac:dyDescent="0.35">
      <c r="A329" s="145"/>
      <c r="B329" s="93"/>
      <c r="C329" s="93"/>
      <c r="D329" s="93"/>
      <c r="E329" s="95"/>
      <c r="F329" s="95"/>
      <c r="G329" s="95"/>
      <c r="H329" s="93"/>
      <c r="I329" s="93"/>
      <c r="J329" s="93"/>
    </row>
    <row r="330" spans="1:10" s="65" customFormat="1" ht="14" x14ac:dyDescent="0.35">
      <c r="A330" s="145"/>
      <c r="B330" s="93"/>
      <c r="C330" s="93"/>
      <c r="D330" s="93"/>
      <c r="E330" s="95"/>
      <c r="F330" s="95"/>
      <c r="G330" s="95"/>
      <c r="H330" s="93"/>
      <c r="I330" s="93"/>
      <c r="J330" s="93"/>
    </row>
    <row r="331" spans="1:10" s="65" customFormat="1" ht="14" x14ac:dyDescent="0.35">
      <c r="A331" s="145"/>
      <c r="B331" s="93"/>
      <c r="C331" s="93"/>
      <c r="D331" s="93"/>
      <c r="E331" s="95"/>
      <c r="F331" s="95"/>
      <c r="G331" s="95"/>
      <c r="H331" s="93"/>
      <c r="I331" s="93"/>
      <c r="J331" s="93"/>
    </row>
    <row r="332" spans="1:10" s="65" customFormat="1" ht="14" x14ac:dyDescent="0.35">
      <c r="A332" s="145"/>
      <c r="B332" s="93"/>
      <c r="C332" s="93"/>
      <c r="D332" s="93"/>
      <c r="E332" s="95"/>
      <c r="F332" s="95"/>
      <c r="G332" s="95"/>
      <c r="H332" s="93"/>
      <c r="I332" s="93"/>
      <c r="J332" s="93"/>
    </row>
    <row r="333" spans="1:10" s="65" customFormat="1" ht="14" x14ac:dyDescent="0.35">
      <c r="A333" s="145"/>
      <c r="B333" s="93"/>
      <c r="C333" s="93"/>
      <c r="D333" s="93"/>
      <c r="E333" s="95"/>
      <c r="F333" s="95"/>
      <c r="G333" s="95"/>
      <c r="H333" s="93"/>
      <c r="I333" s="93"/>
      <c r="J333" s="93"/>
    </row>
    <row r="334" spans="1:10" s="65" customFormat="1" ht="14" x14ac:dyDescent="0.35">
      <c r="A334" s="145"/>
      <c r="B334" s="93"/>
      <c r="C334" s="93"/>
      <c r="D334" s="93"/>
      <c r="E334" s="95"/>
      <c r="F334" s="95"/>
      <c r="G334" s="95"/>
      <c r="H334" s="93"/>
      <c r="I334" s="93"/>
      <c r="J334" s="93"/>
    </row>
    <row r="335" spans="1:10" s="65" customFormat="1" ht="14" x14ac:dyDescent="0.35">
      <c r="A335" s="145"/>
      <c r="B335" s="93"/>
      <c r="C335" s="93"/>
      <c r="D335" s="93"/>
      <c r="E335" s="95"/>
      <c r="F335" s="95"/>
      <c r="G335" s="95"/>
      <c r="H335" s="93"/>
      <c r="I335" s="93"/>
      <c r="J335" s="93"/>
    </row>
    <row r="336" spans="1:10" s="65" customFormat="1" ht="14" x14ac:dyDescent="0.35">
      <c r="A336" s="145"/>
      <c r="B336" s="93"/>
      <c r="C336" s="93"/>
      <c r="D336" s="93"/>
      <c r="E336" s="95"/>
      <c r="F336" s="95"/>
      <c r="G336" s="95"/>
      <c r="H336" s="93"/>
      <c r="I336" s="93"/>
      <c r="J336" s="93"/>
    </row>
    <row r="337" spans="1:10" s="65" customFormat="1" ht="14" x14ac:dyDescent="0.35">
      <c r="A337" s="145"/>
      <c r="B337" s="93"/>
      <c r="C337" s="93"/>
      <c r="D337" s="93"/>
      <c r="E337" s="95"/>
      <c r="F337" s="95"/>
      <c r="G337" s="95"/>
      <c r="H337" s="93"/>
      <c r="I337" s="93"/>
      <c r="J337" s="93"/>
    </row>
    <row r="338" spans="1:10" s="65" customFormat="1" ht="14" x14ac:dyDescent="0.35">
      <c r="A338" s="145"/>
      <c r="B338" s="93"/>
      <c r="C338" s="93"/>
      <c r="D338" s="93"/>
      <c r="E338" s="95"/>
      <c r="F338" s="95"/>
      <c r="G338" s="95"/>
      <c r="H338" s="93"/>
      <c r="I338" s="93"/>
      <c r="J338" s="93"/>
    </row>
    <row r="339" spans="1:10" s="65" customFormat="1" ht="14" x14ac:dyDescent="0.35">
      <c r="A339" s="145"/>
      <c r="B339" s="93"/>
      <c r="C339" s="93"/>
      <c r="D339" s="93"/>
      <c r="E339" s="95"/>
      <c r="F339" s="95"/>
      <c r="G339" s="95"/>
      <c r="H339" s="93"/>
      <c r="I339" s="93"/>
      <c r="J339" s="93"/>
    </row>
    <row r="340" spans="1:10" s="65" customFormat="1" ht="14" x14ac:dyDescent="0.35">
      <c r="A340" s="145"/>
      <c r="B340" s="93"/>
      <c r="C340" s="93"/>
      <c r="D340" s="93"/>
      <c r="E340" s="95"/>
      <c r="F340" s="95"/>
      <c r="G340" s="95"/>
      <c r="H340" s="93"/>
      <c r="I340" s="93"/>
      <c r="J340" s="93"/>
    </row>
    <row r="341" spans="1:10" s="65" customFormat="1" ht="14" x14ac:dyDescent="0.35">
      <c r="A341" s="145"/>
      <c r="B341" s="93"/>
      <c r="C341" s="93"/>
      <c r="D341" s="93"/>
      <c r="E341" s="95"/>
      <c r="F341" s="95"/>
      <c r="G341" s="95"/>
      <c r="H341" s="93"/>
      <c r="I341" s="93"/>
      <c r="J341" s="93"/>
    </row>
    <row r="342" spans="1:10" s="65" customFormat="1" ht="14" x14ac:dyDescent="0.35">
      <c r="A342" s="145"/>
      <c r="B342" s="93"/>
      <c r="C342" s="93"/>
      <c r="D342" s="93"/>
      <c r="E342" s="95"/>
      <c r="F342" s="95"/>
      <c r="G342" s="95"/>
      <c r="H342" s="93"/>
      <c r="I342" s="93"/>
      <c r="J342" s="93"/>
    </row>
    <row r="343" spans="1:10" s="65" customFormat="1" ht="14" x14ac:dyDescent="0.35">
      <c r="A343" s="145"/>
      <c r="B343" s="93"/>
      <c r="C343" s="93"/>
      <c r="D343" s="93"/>
      <c r="E343" s="95"/>
      <c r="F343" s="95"/>
      <c r="G343" s="95"/>
      <c r="H343" s="93"/>
      <c r="I343" s="93"/>
      <c r="J343" s="93"/>
    </row>
    <row r="344" spans="1:10" s="65" customFormat="1" ht="14" x14ac:dyDescent="0.35">
      <c r="A344" s="145"/>
      <c r="B344" s="93"/>
      <c r="C344" s="93"/>
      <c r="D344" s="93"/>
      <c r="E344" s="95"/>
      <c r="F344" s="95"/>
      <c r="G344" s="95"/>
      <c r="H344" s="93"/>
      <c r="I344" s="93"/>
      <c r="J344" s="93"/>
    </row>
    <row r="345" spans="1:10" s="65" customFormat="1" ht="14" x14ac:dyDescent="0.35">
      <c r="A345" s="145"/>
      <c r="B345" s="93"/>
      <c r="C345" s="93"/>
      <c r="D345" s="93"/>
      <c r="E345" s="95"/>
      <c r="F345" s="95"/>
      <c r="G345" s="95"/>
      <c r="H345" s="93"/>
      <c r="I345" s="93"/>
      <c r="J345" s="93"/>
    </row>
    <row r="346" spans="1:10" s="65" customFormat="1" ht="14" x14ac:dyDescent="0.35">
      <c r="A346" s="145"/>
      <c r="B346" s="93"/>
      <c r="C346" s="93"/>
      <c r="D346" s="93"/>
      <c r="E346" s="95"/>
      <c r="F346" s="95"/>
      <c r="G346" s="95"/>
      <c r="H346" s="93"/>
      <c r="I346" s="93"/>
      <c r="J346" s="93"/>
    </row>
    <row r="347" spans="1:10" s="65" customFormat="1" ht="14" x14ac:dyDescent="0.35">
      <c r="A347" s="145"/>
      <c r="B347" s="93"/>
      <c r="C347" s="93"/>
      <c r="D347" s="93"/>
      <c r="E347" s="95"/>
      <c r="F347" s="95"/>
      <c r="G347" s="95"/>
      <c r="H347" s="93"/>
      <c r="I347" s="93"/>
      <c r="J347" s="93"/>
    </row>
    <row r="348" spans="1:10" s="65" customFormat="1" ht="14" x14ac:dyDescent="0.35">
      <c r="A348" s="145"/>
      <c r="B348" s="93"/>
      <c r="C348" s="93"/>
      <c r="D348" s="93"/>
      <c r="E348" s="95"/>
      <c r="F348" s="95"/>
      <c r="G348" s="95"/>
      <c r="H348" s="93"/>
      <c r="I348" s="93"/>
      <c r="J348" s="93"/>
    </row>
    <row r="349" spans="1:10" s="65" customFormat="1" ht="14" x14ac:dyDescent="0.35">
      <c r="A349" s="145"/>
      <c r="B349" s="93"/>
      <c r="C349" s="93"/>
      <c r="D349" s="93"/>
      <c r="E349" s="95"/>
      <c r="F349" s="95"/>
      <c r="G349" s="95"/>
      <c r="H349" s="93"/>
      <c r="I349" s="93"/>
      <c r="J349" s="93"/>
    </row>
    <row r="350" spans="1:10" s="65" customFormat="1" ht="14" x14ac:dyDescent="0.35">
      <c r="A350" s="145"/>
      <c r="B350" s="93"/>
      <c r="C350" s="93"/>
      <c r="D350" s="93"/>
      <c r="E350" s="95"/>
      <c r="F350" s="95"/>
      <c r="G350" s="95"/>
      <c r="H350" s="93"/>
      <c r="I350" s="93"/>
      <c r="J350" s="93"/>
    </row>
    <row r="351" spans="1:10" s="65" customFormat="1" ht="14" x14ac:dyDescent="0.35">
      <c r="A351" s="145"/>
      <c r="B351" s="93"/>
      <c r="C351" s="93"/>
      <c r="D351" s="93"/>
      <c r="E351" s="95"/>
      <c r="F351" s="95"/>
      <c r="G351" s="95"/>
      <c r="H351" s="93"/>
      <c r="I351" s="93"/>
      <c r="J351" s="93"/>
    </row>
    <row r="352" spans="1:10" s="65" customFormat="1" ht="14" x14ac:dyDescent="0.35">
      <c r="A352" s="145"/>
      <c r="B352" s="93"/>
      <c r="C352" s="93"/>
      <c r="D352" s="93"/>
      <c r="E352" s="95"/>
      <c r="F352" s="95"/>
      <c r="G352" s="95"/>
      <c r="H352" s="93"/>
      <c r="I352" s="93"/>
      <c r="J352" s="93"/>
    </row>
    <row r="353" spans="1:10" s="65" customFormat="1" ht="14" x14ac:dyDescent="0.35">
      <c r="A353" s="145"/>
      <c r="B353" s="93"/>
      <c r="C353" s="93"/>
      <c r="D353" s="93"/>
      <c r="E353" s="95"/>
      <c r="F353" s="95"/>
      <c r="G353" s="95"/>
      <c r="H353" s="93"/>
      <c r="I353" s="93"/>
      <c r="J353" s="93"/>
    </row>
    <row r="354" spans="1:10" s="65" customFormat="1" ht="14" x14ac:dyDescent="0.35">
      <c r="A354" s="145"/>
      <c r="B354" s="93"/>
      <c r="C354" s="93"/>
      <c r="D354" s="93"/>
      <c r="E354" s="95"/>
      <c r="F354" s="95"/>
      <c r="G354" s="95"/>
      <c r="H354" s="93"/>
      <c r="I354" s="93"/>
      <c r="J354" s="93"/>
    </row>
    <row r="355" spans="1:10" s="65" customFormat="1" ht="14" x14ac:dyDescent="0.35">
      <c r="A355" s="145"/>
      <c r="B355" s="93"/>
      <c r="C355" s="93"/>
      <c r="D355" s="93"/>
      <c r="E355" s="95"/>
      <c r="F355" s="95"/>
      <c r="G355" s="95"/>
      <c r="H355" s="93"/>
      <c r="I355" s="93"/>
      <c r="J355" s="93"/>
    </row>
    <row r="356" spans="1:10" s="65" customFormat="1" ht="14" x14ac:dyDescent="0.35">
      <c r="A356" s="145"/>
      <c r="B356" s="93"/>
      <c r="C356" s="93"/>
      <c r="D356" s="93"/>
      <c r="E356" s="95"/>
      <c r="F356" s="95"/>
      <c r="G356" s="95"/>
      <c r="H356" s="93"/>
      <c r="I356" s="93"/>
      <c r="J356" s="93"/>
    </row>
    <row r="357" spans="1:10" s="65" customFormat="1" ht="14" x14ac:dyDescent="0.35">
      <c r="A357" s="145"/>
      <c r="B357" s="93"/>
      <c r="C357" s="93"/>
      <c r="D357" s="93"/>
      <c r="E357" s="95"/>
      <c r="F357" s="95"/>
      <c r="G357" s="95"/>
      <c r="H357" s="93"/>
      <c r="I357" s="93"/>
      <c r="J357" s="93"/>
    </row>
    <row r="358" spans="1:10" s="65" customFormat="1" ht="14" x14ac:dyDescent="0.35">
      <c r="A358" s="145"/>
      <c r="B358" s="93"/>
      <c r="C358" s="93"/>
      <c r="D358" s="93"/>
      <c r="E358" s="95"/>
      <c r="F358" s="95"/>
      <c r="G358" s="95"/>
      <c r="H358" s="93"/>
      <c r="I358" s="93"/>
      <c r="J358" s="93"/>
    </row>
    <row r="359" spans="1:10" s="65" customFormat="1" ht="14" x14ac:dyDescent="0.35">
      <c r="A359" s="145"/>
      <c r="B359" s="93"/>
      <c r="C359" s="93"/>
      <c r="D359" s="93"/>
      <c r="E359" s="95"/>
      <c r="F359" s="95"/>
      <c r="G359" s="95"/>
      <c r="H359" s="93"/>
      <c r="I359" s="93"/>
      <c r="J359" s="93"/>
    </row>
    <row r="360" spans="1:10" s="65" customFormat="1" ht="14" x14ac:dyDescent="0.35">
      <c r="A360" s="145"/>
      <c r="B360" s="93"/>
      <c r="C360" s="93"/>
      <c r="D360" s="93"/>
      <c r="E360" s="95"/>
      <c r="F360" s="95"/>
      <c r="G360" s="95"/>
      <c r="H360" s="93"/>
      <c r="I360" s="93"/>
      <c r="J360" s="93"/>
    </row>
    <row r="361" spans="1:10" s="65" customFormat="1" ht="14" x14ac:dyDescent="0.35">
      <c r="A361" s="145"/>
      <c r="B361" s="93"/>
      <c r="C361" s="93"/>
      <c r="D361" s="93"/>
      <c r="E361" s="95"/>
      <c r="F361" s="95"/>
      <c r="G361" s="95"/>
      <c r="H361" s="93"/>
      <c r="I361" s="93"/>
      <c r="J361" s="93"/>
    </row>
    <row r="362" spans="1:10" s="65" customFormat="1" ht="14" x14ac:dyDescent="0.35">
      <c r="A362" s="145"/>
      <c r="B362" s="93"/>
      <c r="C362" s="93"/>
      <c r="D362" s="93"/>
      <c r="E362" s="95"/>
      <c r="F362" s="95"/>
      <c r="G362" s="95"/>
      <c r="H362" s="93"/>
      <c r="I362" s="93"/>
      <c r="J362" s="93"/>
    </row>
    <row r="363" spans="1:10" s="65" customFormat="1" ht="14" x14ac:dyDescent="0.35">
      <c r="A363" s="145"/>
      <c r="B363" s="93"/>
      <c r="C363" s="93"/>
      <c r="D363" s="93"/>
      <c r="E363" s="95"/>
      <c r="F363" s="95"/>
      <c r="G363" s="95"/>
      <c r="H363" s="93"/>
      <c r="I363" s="93"/>
      <c r="J363" s="93"/>
    </row>
    <row r="364" spans="1:10" s="65" customFormat="1" ht="14" x14ac:dyDescent="0.35">
      <c r="A364" s="145"/>
      <c r="B364" s="93"/>
      <c r="C364" s="93"/>
      <c r="D364" s="93"/>
      <c r="E364" s="95"/>
      <c r="F364" s="95"/>
      <c r="G364" s="95"/>
      <c r="H364" s="93"/>
      <c r="I364" s="93"/>
      <c r="J364" s="93"/>
    </row>
    <row r="365" spans="1:10" s="65" customFormat="1" ht="14" x14ac:dyDescent="0.35">
      <c r="A365" s="145"/>
      <c r="B365" s="93"/>
      <c r="C365" s="93"/>
      <c r="D365" s="93"/>
      <c r="E365" s="95"/>
      <c r="F365" s="95"/>
      <c r="G365" s="95"/>
      <c r="H365" s="93"/>
      <c r="I365" s="93"/>
      <c r="J365" s="93"/>
    </row>
    <row r="366" spans="1:10" s="65" customFormat="1" ht="14" x14ac:dyDescent="0.35">
      <c r="A366" s="145"/>
      <c r="B366" s="93"/>
      <c r="C366" s="93"/>
      <c r="D366" s="93"/>
      <c r="E366" s="95"/>
      <c r="F366" s="95"/>
      <c r="G366" s="95"/>
      <c r="H366" s="93"/>
      <c r="I366" s="93"/>
      <c r="J366" s="93"/>
    </row>
    <row r="367" spans="1:10" s="65" customFormat="1" ht="14" x14ac:dyDescent="0.35">
      <c r="A367" s="145"/>
      <c r="B367" s="93"/>
      <c r="C367" s="93"/>
      <c r="D367" s="93"/>
      <c r="E367" s="95"/>
      <c r="F367" s="95"/>
      <c r="G367" s="95"/>
      <c r="H367" s="93"/>
      <c r="I367" s="93"/>
      <c r="J367" s="93"/>
    </row>
    <row r="368" spans="1:10" s="65" customFormat="1" ht="14" x14ac:dyDescent="0.35">
      <c r="A368" s="145"/>
      <c r="B368" s="93"/>
      <c r="C368" s="93"/>
      <c r="D368" s="93"/>
      <c r="E368" s="95"/>
      <c r="F368" s="95"/>
      <c r="G368" s="95"/>
      <c r="H368" s="93"/>
      <c r="I368" s="93"/>
      <c r="J368" s="93"/>
    </row>
    <row r="369" spans="1:10" s="65" customFormat="1" ht="14" x14ac:dyDescent="0.35">
      <c r="A369" s="145"/>
      <c r="B369" s="93"/>
      <c r="C369" s="93"/>
      <c r="D369" s="93"/>
      <c r="E369" s="95"/>
      <c r="F369" s="95"/>
      <c r="G369" s="95"/>
      <c r="H369" s="93"/>
      <c r="I369" s="93"/>
      <c r="J369" s="93"/>
    </row>
    <row r="370" spans="1:10" s="65" customFormat="1" ht="14" x14ac:dyDescent="0.35">
      <c r="A370" s="145"/>
      <c r="B370" s="93"/>
      <c r="C370" s="93"/>
      <c r="D370" s="93"/>
      <c r="E370" s="95"/>
      <c r="F370" s="95"/>
      <c r="G370" s="95"/>
      <c r="H370" s="93"/>
      <c r="I370" s="93"/>
      <c r="J370" s="93"/>
    </row>
    <row r="371" spans="1:10" s="65" customFormat="1" ht="14" x14ac:dyDescent="0.35">
      <c r="A371" s="145"/>
      <c r="B371" s="93"/>
      <c r="C371" s="93"/>
      <c r="D371" s="93"/>
      <c r="E371" s="95"/>
      <c r="F371" s="95"/>
      <c r="G371" s="95"/>
      <c r="H371" s="93"/>
      <c r="I371" s="93"/>
      <c r="J371" s="93"/>
    </row>
    <row r="372" spans="1:10" s="65" customFormat="1" ht="14" x14ac:dyDescent="0.35">
      <c r="A372" s="145"/>
      <c r="B372" s="93"/>
      <c r="C372" s="93"/>
      <c r="D372" s="93"/>
      <c r="E372" s="95"/>
      <c r="F372" s="95"/>
      <c r="G372" s="95"/>
      <c r="H372" s="93"/>
      <c r="I372" s="93"/>
      <c r="J372" s="93"/>
    </row>
    <row r="373" spans="1:10" s="65" customFormat="1" ht="14" x14ac:dyDescent="0.35">
      <c r="A373" s="145"/>
      <c r="B373" s="93"/>
      <c r="C373" s="93"/>
      <c r="D373" s="93"/>
      <c r="E373" s="95"/>
      <c r="F373" s="95"/>
      <c r="G373" s="95"/>
      <c r="H373" s="93"/>
      <c r="I373" s="93"/>
      <c r="J373" s="93"/>
    </row>
    <row r="374" spans="1:10" s="65" customFormat="1" ht="14" x14ac:dyDescent="0.35">
      <c r="A374" s="145"/>
      <c r="B374" s="93"/>
      <c r="C374" s="93"/>
      <c r="D374" s="93"/>
      <c r="E374" s="95"/>
      <c r="F374" s="95"/>
      <c r="G374" s="95"/>
      <c r="H374" s="93"/>
      <c r="I374" s="93"/>
      <c r="J374" s="93"/>
    </row>
    <row r="375" spans="1:10" s="65" customFormat="1" ht="14" x14ac:dyDescent="0.35">
      <c r="A375" s="145"/>
      <c r="B375" s="93"/>
      <c r="C375" s="93"/>
      <c r="D375" s="93"/>
      <c r="E375" s="95"/>
      <c r="F375" s="95"/>
      <c r="G375" s="95"/>
      <c r="H375" s="93"/>
      <c r="I375" s="93"/>
      <c r="J375" s="93"/>
    </row>
    <row r="376" spans="1:10" s="65" customFormat="1" ht="14" x14ac:dyDescent="0.35">
      <c r="A376" s="145"/>
      <c r="B376" s="93"/>
      <c r="C376" s="93"/>
      <c r="D376" s="93"/>
      <c r="E376" s="95"/>
      <c r="F376" s="95"/>
      <c r="G376" s="95"/>
      <c r="H376" s="93"/>
      <c r="I376" s="93"/>
      <c r="J376" s="93"/>
    </row>
    <row r="377" spans="1:10" s="65" customFormat="1" ht="14" x14ac:dyDescent="0.35">
      <c r="A377" s="145"/>
      <c r="B377" s="93"/>
      <c r="C377" s="93"/>
      <c r="D377" s="93"/>
      <c r="E377" s="95"/>
      <c r="F377" s="95"/>
      <c r="G377" s="95"/>
      <c r="H377" s="93"/>
      <c r="I377" s="93"/>
      <c r="J377" s="93"/>
    </row>
    <row r="378" spans="1:10" s="65" customFormat="1" ht="14" x14ac:dyDescent="0.35">
      <c r="A378" s="145"/>
      <c r="B378" s="93"/>
      <c r="C378" s="93"/>
      <c r="D378" s="93"/>
      <c r="E378" s="95"/>
      <c r="F378" s="95"/>
      <c r="G378" s="95"/>
      <c r="H378" s="93"/>
      <c r="I378" s="93"/>
      <c r="J378" s="93"/>
    </row>
    <row r="379" spans="1:10" s="65" customFormat="1" ht="14" x14ac:dyDescent="0.35">
      <c r="A379" s="145"/>
      <c r="B379" s="93"/>
      <c r="C379" s="93"/>
      <c r="D379" s="93"/>
      <c r="E379" s="95"/>
      <c r="F379" s="95"/>
      <c r="G379" s="95"/>
      <c r="H379" s="93"/>
      <c r="I379" s="93"/>
      <c r="J379" s="93"/>
    </row>
    <row r="380" spans="1:10" s="65" customFormat="1" ht="14" x14ac:dyDescent="0.35">
      <c r="A380" s="145"/>
      <c r="B380" s="93"/>
      <c r="C380" s="93"/>
      <c r="D380" s="93"/>
      <c r="E380" s="95"/>
      <c r="F380" s="95"/>
      <c r="G380" s="95"/>
      <c r="H380" s="93"/>
      <c r="I380" s="93"/>
      <c r="J380" s="93"/>
    </row>
    <row r="381" spans="1:10" s="65" customFormat="1" ht="14" x14ac:dyDescent="0.35">
      <c r="A381" s="145"/>
      <c r="B381" s="93"/>
      <c r="C381" s="93"/>
      <c r="D381" s="93"/>
      <c r="E381" s="95"/>
      <c r="F381" s="95"/>
      <c r="G381" s="95"/>
      <c r="H381" s="93"/>
      <c r="I381" s="93"/>
      <c r="J381" s="93"/>
    </row>
    <row r="382" spans="1:10" s="65" customFormat="1" ht="14" x14ac:dyDescent="0.35">
      <c r="A382" s="145"/>
      <c r="B382" s="93"/>
      <c r="C382" s="93"/>
      <c r="D382" s="93"/>
      <c r="E382" s="95"/>
      <c r="F382" s="95"/>
      <c r="G382" s="95"/>
      <c r="H382" s="93"/>
      <c r="I382" s="93"/>
      <c r="J382" s="93"/>
    </row>
    <row r="383" spans="1:10" s="65" customFormat="1" ht="14" x14ac:dyDescent="0.35">
      <c r="A383" s="145"/>
      <c r="B383" s="93"/>
      <c r="C383" s="93"/>
      <c r="D383" s="93"/>
      <c r="E383" s="95"/>
      <c r="F383" s="95"/>
      <c r="G383" s="95"/>
      <c r="H383" s="93"/>
      <c r="I383" s="93"/>
      <c r="J383" s="93"/>
    </row>
    <row r="384" spans="1:10" s="65" customFormat="1" ht="14" x14ac:dyDescent="0.35">
      <c r="A384" s="145"/>
      <c r="B384" s="93"/>
      <c r="C384" s="93"/>
      <c r="D384" s="93"/>
      <c r="E384" s="95"/>
      <c r="F384" s="95"/>
      <c r="G384" s="95"/>
      <c r="H384" s="93"/>
      <c r="I384" s="93"/>
      <c r="J384" s="93"/>
    </row>
    <row r="385" spans="1:10" s="65" customFormat="1" ht="14" x14ac:dyDescent="0.35">
      <c r="A385" s="145"/>
      <c r="B385" s="93"/>
      <c r="C385" s="93"/>
      <c r="D385" s="93"/>
      <c r="E385" s="95"/>
      <c r="F385" s="95"/>
      <c r="G385" s="95"/>
      <c r="H385" s="93"/>
      <c r="I385" s="93"/>
      <c r="J385" s="93"/>
    </row>
    <row r="386" spans="1:10" s="65" customFormat="1" ht="14" x14ac:dyDescent="0.35">
      <c r="A386" s="145"/>
      <c r="B386" s="93"/>
      <c r="C386" s="93"/>
      <c r="D386" s="93"/>
      <c r="E386" s="95"/>
      <c r="F386" s="95"/>
      <c r="G386" s="95"/>
      <c r="H386" s="93"/>
      <c r="I386" s="93"/>
      <c r="J386" s="93"/>
    </row>
    <row r="387" spans="1:10" s="65" customFormat="1" ht="14" x14ac:dyDescent="0.35">
      <c r="A387" s="145"/>
      <c r="B387" s="93"/>
      <c r="C387" s="93"/>
      <c r="D387" s="93"/>
      <c r="E387" s="95"/>
      <c r="F387" s="95"/>
      <c r="G387" s="95"/>
      <c r="H387" s="93"/>
      <c r="I387" s="93"/>
      <c r="J387" s="93"/>
    </row>
    <row r="388" spans="1:10" s="65" customFormat="1" ht="14" x14ac:dyDescent="0.35">
      <c r="A388" s="145"/>
      <c r="B388" s="93"/>
      <c r="C388" s="93"/>
      <c r="D388" s="93"/>
      <c r="E388" s="95"/>
      <c r="F388" s="95"/>
      <c r="G388" s="95"/>
      <c r="H388" s="93"/>
      <c r="I388" s="93"/>
      <c r="J388" s="93"/>
    </row>
    <row r="389" spans="1:10" s="65" customFormat="1" ht="14" x14ac:dyDescent="0.35">
      <c r="A389" s="145"/>
      <c r="B389" s="93"/>
      <c r="C389" s="93"/>
      <c r="D389" s="93"/>
      <c r="E389" s="95"/>
      <c r="F389" s="95"/>
      <c r="G389" s="95"/>
      <c r="H389" s="93"/>
      <c r="I389" s="93"/>
      <c r="J389" s="93"/>
    </row>
    <row r="390" spans="1:10" s="65" customFormat="1" ht="14" x14ac:dyDescent="0.35">
      <c r="A390" s="145"/>
      <c r="B390" s="93"/>
      <c r="C390" s="93"/>
      <c r="D390" s="93"/>
      <c r="E390" s="95"/>
      <c r="F390" s="95"/>
      <c r="G390" s="95"/>
      <c r="H390" s="93"/>
      <c r="I390" s="93"/>
      <c r="J390" s="93"/>
    </row>
    <row r="391" spans="1:10" s="65" customFormat="1" ht="14" x14ac:dyDescent="0.35">
      <c r="A391" s="145"/>
      <c r="B391" s="93"/>
      <c r="C391" s="93"/>
      <c r="D391" s="93"/>
      <c r="E391" s="95"/>
      <c r="F391" s="95"/>
      <c r="G391" s="95"/>
      <c r="H391" s="93"/>
      <c r="I391" s="93"/>
      <c r="J391" s="93"/>
    </row>
    <row r="392" spans="1:10" s="65" customFormat="1" ht="14" x14ac:dyDescent="0.35">
      <c r="A392" s="145"/>
      <c r="B392" s="93"/>
      <c r="C392" s="93"/>
      <c r="D392" s="93"/>
      <c r="E392" s="95"/>
      <c r="F392" s="95"/>
      <c r="G392" s="95"/>
      <c r="H392" s="93"/>
      <c r="I392" s="93"/>
      <c r="J392" s="93"/>
    </row>
    <row r="393" spans="1:10" s="65" customFormat="1" ht="14" x14ac:dyDescent="0.35">
      <c r="A393" s="145"/>
      <c r="B393" s="93"/>
      <c r="C393" s="93"/>
      <c r="D393" s="93"/>
      <c r="E393" s="95"/>
      <c r="F393" s="95"/>
      <c r="G393" s="95"/>
      <c r="H393" s="93"/>
      <c r="I393" s="93"/>
      <c r="J393" s="93"/>
    </row>
    <row r="394" spans="1:10" s="65" customFormat="1" ht="14" x14ac:dyDescent="0.35">
      <c r="A394" s="145"/>
      <c r="B394" s="93"/>
      <c r="C394" s="93"/>
      <c r="D394" s="93"/>
      <c r="E394" s="95"/>
      <c r="F394" s="95"/>
      <c r="G394" s="95"/>
      <c r="H394" s="93"/>
      <c r="I394" s="93"/>
      <c r="J394" s="93"/>
    </row>
    <row r="395" spans="1:10" s="65" customFormat="1" ht="14" x14ac:dyDescent="0.35">
      <c r="A395" s="145"/>
      <c r="B395" s="93"/>
      <c r="C395" s="93"/>
      <c r="D395" s="93"/>
      <c r="E395" s="95"/>
      <c r="F395" s="95"/>
      <c r="G395" s="95"/>
      <c r="H395" s="93"/>
      <c r="I395" s="93"/>
      <c r="J395" s="93"/>
    </row>
    <row r="396" spans="1:10" s="65" customFormat="1" ht="14" x14ac:dyDescent="0.35">
      <c r="A396" s="145"/>
      <c r="B396" s="93"/>
      <c r="C396" s="93"/>
      <c r="D396" s="93"/>
      <c r="E396" s="95"/>
      <c r="F396" s="95"/>
      <c r="G396" s="95"/>
      <c r="H396" s="93"/>
      <c r="I396" s="93"/>
      <c r="J396" s="93"/>
    </row>
    <row r="397" spans="1:10" s="65" customFormat="1" ht="14" x14ac:dyDescent="0.35">
      <c r="A397" s="145"/>
      <c r="B397" s="93"/>
      <c r="C397" s="93"/>
      <c r="D397" s="93"/>
      <c r="E397" s="95"/>
      <c r="F397" s="95"/>
      <c r="G397" s="95"/>
      <c r="H397" s="93"/>
      <c r="I397" s="93"/>
      <c r="J397" s="93"/>
    </row>
    <row r="398" spans="1:10" s="65" customFormat="1" ht="14" x14ac:dyDescent="0.35">
      <c r="A398" s="145"/>
      <c r="B398" s="93"/>
      <c r="C398" s="93"/>
      <c r="D398" s="93"/>
      <c r="E398" s="95"/>
      <c r="F398" s="95"/>
      <c r="G398" s="95"/>
      <c r="H398" s="93"/>
      <c r="I398" s="93"/>
      <c r="J398" s="93"/>
    </row>
    <row r="399" spans="1:10" s="65" customFormat="1" ht="14" x14ac:dyDescent="0.35">
      <c r="A399" s="145"/>
      <c r="B399" s="93"/>
      <c r="C399" s="93"/>
      <c r="D399" s="93"/>
      <c r="E399" s="95"/>
      <c r="F399" s="95"/>
      <c r="G399" s="95"/>
      <c r="H399" s="93"/>
      <c r="I399" s="93"/>
      <c r="J399" s="93"/>
    </row>
    <row r="400" spans="1:10" s="65" customFormat="1" ht="14" x14ac:dyDescent="0.35">
      <c r="A400" s="145"/>
      <c r="B400" s="93"/>
      <c r="C400" s="93"/>
      <c r="D400" s="93"/>
      <c r="E400" s="95"/>
      <c r="F400" s="95"/>
      <c r="G400" s="95"/>
      <c r="H400" s="93"/>
      <c r="I400" s="93"/>
      <c r="J400" s="93"/>
    </row>
    <row r="401" spans="1:10" s="65" customFormat="1" ht="14" x14ac:dyDescent="0.35">
      <c r="A401" s="145"/>
      <c r="B401" s="93"/>
      <c r="C401" s="93"/>
      <c r="D401" s="93"/>
      <c r="E401" s="95"/>
      <c r="F401" s="95"/>
      <c r="G401" s="95"/>
      <c r="H401" s="93"/>
      <c r="I401" s="93"/>
      <c r="J401" s="93"/>
    </row>
    <row r="402" spans="1:10" s="65" customFormat="1" ht="14" x14ac:dyDescent="0.35">
      <c r="A402" s="145"/>
      <c r="B402" s="93"/>
      <c r="C402" s="93"/>
      <c r="D402" s="93"/>
      <c r="E402" s="95"/>
      <c r="F402" s="95"/>
      <c r="G402" s="95"/>
      <c r="H402" s="93"/>
      <c r="I402" s="93"/>
      <c r="J402" s="93"/>
    </row>
    <row r="403" spans="1:10" s="65" customFormat="1" ht="14" x14ac:dyDescent="0.35">
      <c r="A403" s="145"/>
      <c r="B403" s="93"/>
      <c r="C403" s="93"/>
      <c r="D403" s="93"/>
      <c r="E403" s="95"/>
      <c r="F403" s="95"/>
      <c r="G403" s="95"/>
      <c r="H403" s="93"/>
      <c r="I403" s="93"/>
      <c r="J403" s="93"/>
    </row>
    <row r="404" spans="1:10" s="65" customFormat="1" ht="14" x14ac:dyDescent="0.35">
      <c r="A404" s="145"/>
      <c r="B404" s="93"/>
      <c r="C404" s="93"/>
      <c r="D404" s="93"/>
      <c r="E404" s="95"/>
      <c r="F404" s="95"/>
      <c r="G404" s="95"/>
      <c r="H404" s="93"/>
      <c r="I404" s="93"/>
      <c r="J404" s="93"/>
    </row>
    <row r="405" spans="1:10" s="65" customFormat="1" ht="14" x14ac:dyDescent="0.35">
      <c r="A405" s="145"/>
      <c r="B405" s="93"/>
      <c r="C405" s="93"/>
      <c r="D405" s="93"/>
      <c r="E405" s="95"/>
      <c r="F405" s="95"/>
      <c r="G405" s="95"/>
      <c r="H405" s="93"/>
      <c r="I405" s="93"/>
      <c r="J405" s="93"/>
    </row>
    <row r="406" spans="1:10" s="65" customFormat="1" ht="14" x14ac:dyDescent="0.35">
      <c r="A406" s="145"/>
      <c r="B406" s="93"/>
      <c r="C406" s="93"/>
      <c r="D406" s="93"/>
      <c r="E406" s="95"/>
      <c r="F406" s="95"/>
      <c r="G406" s="95"/>
      <c r="H406" s="93"/>
      <c r="I406" s="93"/>
      <c r="J406" s="93"/>
    </row>
    <row r="407" spans="1:10" s="65" customFormat="1" ht="14" x14ac:dyDescent="0.35">
      <c r="A407" s="145"/>
      <c r="B407" s="93"/>
      <c r="C407" s="93"/>
      <c r="D407" s="93"/>
      <c r="E407" s="95"/>
      <c r="F407" s="95"/>
      <c r="G407" s="95"/>
      <c r="H407" s="93"/>
      <c r="I407" s="93"/>
      <c r="J407" s="93"/>
    </row>
    <row r="408" spans="1:10" s="65" customFormat="1" ht="14" x14ac:dyDescent="0.35">
      <c r="A408" s="145"/>
      <c r="B408" s="93"/>
      <c r="C408" s="93"/>
      <c r="D408" s="93"/>
      <c r="E408" s="95"/>
      <c r="F408" s="95"/>
      <c r="G408" s="95"/>
      <c r="H408" s="93"/>
      <c r="I408" s="93"/>
      <c r="J408" s="93"/>
    </row>
    <row r="409" spans="1:10" s="65" customFormat="1" ht="14" x14ac:dyDescent="0.35">
      <c r="A409" s="145"/>
      <c r="B409" s="93"/>
      <c r="C409" s="93"/>
      <c r="D409" s="93"/>
      <c r="E409" s="95"/>
      <c r="F409" s="95"/>
      <c r="G409" s="95"/>
      <c r="H409" s="93"/>
      <c r="I409" s="93"/>
      <c r="J409" s="93"/>
    </row>
    <row r="410" spans="1:10" s="65" customFormat="1" ht="14" x14ac:dyDescent="0.35">
      <c r="A410" s="145"/>
      <c r="B410" s="93"/>
      <c r="C410" s="93"/>
      <c r="D410" s="93"/>
      <c r="E410" s="95"/>
      <c r="F410" s="95"/>
      <c r="G410" s="95"/>
      <c r="H410" s="93"/>
      <c r="I410" s="93"/>
      <c r="J410" s="93"/>
    </row>
    <row r="411" spans="1:10" s="65" customFormat="1" ht="14" x14ac:dyDescent="0.35">
      <c r="A411" s="145"/>
      <c r="B411" s="93"/>
      <c r="C411" s="93"/>
      <c r="D411" s="93"/>
      <c r="E411" s="95"/>
      <c r="F411" s="95"/>
      <c r="G411" s="95"/>
      <c r="H411" s="93"/>
      <c r="I411" s="93"/>
      <c r="J411" s="93"/>
    </row>
    <row r="412" spans="1:10" s="65" customFormat="1" ht="14" x14ac:dyDescent="0.35">
      <c r="A412" s="145"/>
      <c r="B412" s="93"/>
      <c r="C412" s="93"/>
      <c r="D412" s="93"/>
      <c r="E412" s="95"/>
      <c r="F412" s="95"/>
      <c r="G412" s="95"/>
      <c r="H412" s="93"/>
      <c r="I412" s="93"/>
      <c r="J412" s="93"/>
    </row>
    <row r="413" spans="1:10" s="65" customFormat="1" ht="14" x14ac:dyDescent="0.35">
      <c r="A413" s="145"/>
      <c r="B413" s="93"/>
      <c r="C413" s="93"/>
      <c r="D413" s="93"/>
      <c r="E413" s="95"/>
      <c r="F413" s="95"/>
      <c r="G413" s="95"/>
      <c r="H413" s="93"/>
      <c r="I413" s="93"/>
      <c r="J413" s="93"/>
    </row>
    <row r="414" spans="1:10" s="65" customFormat="1" ht="14" x14ac:dyDescent="0.35">
      <c r="A414" s="145"/>
      <c r="B414" s="93"/>
      <c r="C414" s="93"/>
      <c r="D414" s="93"/>
      <c r="E414" s="95"/>
      <c r="F414" s="95"/>
      <c r="G414" s="95"/>
      <c r="H414" s="93"/>
      <c r="I414" s="93"/>
      <c r="J414" s="93"/>
    </row>
    <row r="415" spans="1:10" s="65" customFormat="1" ht="14" x14ac:dyDescent="0.35">
      <c r="A415" s="145"/>
      <c r="B415" s="93"/>
      <c r="C415" s="93"/>
      <c r="D415" s="93"/>
      <c r="E415" s="95"/>
      <c r="F415" s="95"/>
      <c r="G415" s="95"/>
      <c r="H415" s="93"/>
      <c r="I415" s="93"/>
      <c r="J415" s="93"/>
    </row>
    <row r="416" spans="1:10" s="65" customFormat="1" ht="14" x14ac:dyDescent="0.35">
      <c r="A416" s="145"/>
      <c r="B416" s="93"/>
      <c r="C416" s="93"/>
      <c r="D416" s="93"/>
      <c r="E416" s="95"/>
      <c r="F416" s="95"/>
      <c r="G416" s="95"/>
      <c r="H416" s="93"/>
      <c r="I416" s="93"/>
      <c r="J416" s="93"/>
    </row>
    <row r="417" spans="1:10" s="65" customFormat="1" ht="14" x14ac:dyDescent="0.35">
      <c r="A417" s="145"/>
      <c r="B417" s="93"/>
      <c r="C417" s="93"/>
      <c r="D417" s="93"/>
      <c r="E417" s="95"/>
      <c r="F417" s="95"/>
      <c r="G417" s="95"/>
      <c r="H417" s="93"/>
      <c r="I417" s="93"/>
      <c r="J417" s="93"/>
    </row>
    <row r="418" spans="1:10" s="65" customFormat="1" ht="14" x14ac:dyDescent="0.35">
      <c r="A418" s="145"/>
      <c r="B418" s="93"/>
      <c r="C418" s="93"/>
      <c r="D418" s="93"/>
      <c r="E418" s="95"/>
      <c r="F418" s="95"/>
      <c r="G418" s="95"/>
      <c r="H418" s="93"/>
      <c r="I418" s="93"/>
      <c r="J418" s="93"/>
    </row>
    <row r="419" spans="1:10" s="65" customFormat="1" ht="14" x14ac:dyDescent="0.35">
      <c r="A419" s="145"/>
      <c r="B419" s="93"/>
      <c r="C419" s="93"/>
      <c r="D419" s="93"/>
      <c r="E419" s="95"/>
      <c r="F419" s="95"/>
      <c r="G419" s="95"/>
      <c r="H419" s="93"/>
      <c r="I419" s="93"/>
      <c r="J419" s="93"/>
    </row>
    <row r="420" spans="1:10" s="65" customFormat="1" ht="14" x14ac:dyDescent="0.35">
      <c r="A420" s="145"/>
      <c r="B420" s="93"/>
      <c r="C420" s="93"/>
      <c r="D420" s="93"/>
      <c r="E420" s="95"/>
      <c r="F420" s="95"/>
      <c r="G420" s="95"/>
      <c r="H420" s="93"/>
      <c r="I420" s="93"/>
      <c r="J420" s="93"/>
    </row>
    <row r="421" spans="1:10" s="65" customFormat="1" ht="14" x14ac:dyDescent="0.35">
      <c r="A421" s="145"/>
      <c r="B421" s="93"/>
      <c r="C421" s="93"/>
      <c r="D421" s="93"/>
      <c r="E421" s="95"/>
      <c r="F421" s="95"/>
      <c r="G421" s="95"/>
      <c r="H421" s="93"/>
      <c r="I421" s="93"/>
      <c r="J421" s="93"/>
    </row>
    <row r="422" spans="1:10" s="65" customFormat="1" ht="14" x14ac:dyDescent="0.35">
      <c r="A422" s="145"/>
      <c r="B422" s="93"/>
      <c r="C422" s="93"/>
      <c r="D422" s="93"/>
      <c r="E422" s="95"/>
      <c r="F422" s="95"/>
      <c r="G422" s="95"/>
      <c r="H422" s="93"/>
      <c r="I422" s="93"/>
      <c r="J422" s="93"/>
    </row>
    <row r="423" spans="1:10" s="65" customFormat="1" ht="14" x14ac:dyDescent="0.35">
      <c r="A423" s="145"/>
      <c r="B423" s="93"/>
      <c r="C423" s="93"/>
      <c r="D423" s="93"/>
      <c r="E423" s="95"/>
      <c r="F423" s="95"/>
      <c r="G423" s="95"/>
      <c r="H423" s="93"/>
      <c r="I423" s="93"/>
      <c r="J423" s="93"/>
    </row>
    <row r="424" spans="1:10" s="65" customFormat="1" ht="14" x14ac:dyDescent="0.35">
      <c r="A424" s="145"/>
      <c r="B424" s="93"/>
      <c r="C424" s="93"/>
      <c r="D424" s="93"/>
      <c r="E424" s="95"/>
      <c r="F424" s="95"/>
      <c r="G424" s="95"/>
      <c r="H424" s="93"/>
      <c r="I424" s="93"/>
      <c r="J424" s="93"/>
    </row>
    <row r="425" spans="1:10" s="65" customFormat="1" ht="14" x14ac:dyDescent="0.35">
      <c r="A425" s="145"/>
      <c r="B425" s="93"/>
      <c r="C425" s="93"/>
      <c r="D425" s="93"/>
      <c r="E425" s="95"/>
      <c r="F425" s="95"/>
      <c r="G425" s="95"/>
      <c r="H425" s="93"/>
      <c r="I425" s="93"/>
      <c r="J425" s="93"/>
    </row>
    <row r="426" spans="1:10" s="65" customFormat="1" ht="14" x14ac:dyDescent="0.35">
      <c r="A426" s="145"/>
      <c r="B426" s="93"/>
      <c r="C426" s="93"/>
      <c r="D426" s="93"/>
      <c r="E426" s="95"/>
      <c r="F426" s="95"/>
      <c r="G426" s="95"/>
      <c r="H426" s="93"/>
      <c r="I426" s="93"/>
      <c r="J426" s="93"/>
    </row>
    <row r="427" spans="1:10" s="65" customFormat="1" ht="14" x14ac:dyDescent="0.35">
      <c r="A427" s="145"/>
      <c r="B427" s="93"/>
      <c r="C427" s="93"/>
      <c r="D427" s="93"/>
      <c r="E427" s="95"/>
      <c r="F427" s="95"/>
      <c r="G427" s="95"/>
      <c r="H427" s="93"/>
      <c r="I427" s="93"/>
      <c r="J427" s="93"/>
    </row>
    <row r="428" spans="1:10" s="65" customFormat="1" ht="14" x14ac:dyDescent="0.35">
      <c r="A428" s="145"/>
      <c r="B428" s="93"/>
      <c r="C428" s="93"/>
      <c r="D428" s="93"/>
      <c r="E428" s="95"/>
      <c r="F428" s="95"/>
      <c r="G428" s="95"/>
      <c r="H428" s="93"/>
      <c r="I428" s="93"/>
      <c r="J428" s="93"/>
    </row>
    <row r="429" spans="1:10" s="65" customFormat="1" ht="14" x14ac:dyDescent="0.35">
      <c r="A429" s="145"/>
      <c r="B429" s="93"/>
      <c r="C429" s="93"/>
      <c r="D429" s="93"/>
      <c r="E429" s="95"/>
      <c r="F429" s="95"/>
      <c r="G429" s="95"/>
      <c r="H429" s="93"/>
      <c r="I429" s="93"/>
      <c r="J429" s="93"/>
    </row>
    <row r="430" spans="1:10" s="65" customFormat="1" ht="14" x14ac:dyDescent="0.35">
      <c r="A430" s="145"/>
      <c r="B430" s="93"/>
      <c r="C430" s="93"/>
      <c r="D430" s="93"/>
      <c r="E430" s="95"/>
      <c r="F430" s="95"/>
      <c r="G430" s="95"/>
      <c r="H430" s="93"/>
      <c r="I430" s="93"/>
      <c r="J430" s="93"/>
    </row>
    <row r="431" spans="1:10" s="65" customFormat="1" ht="14" x14ac:dyDescent="0.35">
      <c r="A431" s="145"/>
      <c r="B431" s="93"/>
      <c r="C431" s="93"/>
      <c r="D431" s="93"/>
      <c r="E431" s="95"/>
      <c r="F431" s="95"/>
      <c r="G431" s="95"/>
      <c r="H431" s="93"/>
      <c r="I431" s="93"/>
      <c r="J431" s="93"/>
    </row>
    <row r="432" spans="1:10" s="65" customFormat="1" ht="14" x14ac:dyDescent="0.35">
      <c r="A432" s="145"/>
      <c r="B432" s="93"/>
      <c r="C432" s="93"/>
      <c r="D432" s="93"/>
      <c r="E432" s="95"/>
      <c r="F432" s="95"/>
      <c r="G432" s="95"/>
      <c r="H432" s="93"/>
      <c r="I432" s="93"/>
      <c r="J432" s="93"/>
    </row>
    <row r="433" spans="1:10" s="65" customFormat="1" ht="14" x14ac:dyDescent="0.35">
      <c r="A433" s="145"/>
      <c r="B433" s="93"/>
      <c r="C433" s="93"/>
      <c r="D433" s="93"/>
      <c r="E433" s="95"/>
      <c r="F433" s="95"/>
      <c r="G433" s="95"/>
      <c r="H433" s="93"/>
      <c r="I433" s="93"/>
      <c r="J433" s="93"/>
    </row>
    <row r="434" spans="1:10" s="65" customFormat="1" ht="14" x14ac:dyDescent="0.35">
      <c r="A434" s="145"/>
      <c r="B434" s="93"/>
      <c r="C434" s="93"/>
      <c r="D434" s="93"/>
      <c r="E434" s="95"/>
      <c r="F434" s="95"/>
      <c r="G434" s="95"/>
      <c r="H434" s="93"/>
      <c r="I434" s="93"/>
      <c r="J434" s="93"/>
    </row>
    <row r="435" spans="1:10" s="65" customFormat="1" ht="14" x14ac:dyDescent="0.35">
      <c r="A435" s="145"/>
      <c r="B435" s="93"/>
      <c r="C435" s="93"/>
      <c r="D435" s="93"/>
      <c r="E435" s="95"/>
      <c r="F435" s="95"/>
      <c r="G435" s="95"/>
      <c r="H435" s="93"/>
      <c r="I435" s="93"/>
      <c r="J435" s="93"/>
    </row>
    <row r="436" spans="1:10" s="65" customFormat="1" ht="14" x14ac:dyDescent="0.35">
      <c r="A436" s="145"/>
      <c r="B436" s="93"/>
      <c r="C436" s="93"/>
      <c r="D436" s="93"/>
      <c r="E436" s="95"/>
      <c r="F436" s="95"/>
      <c r="G436" s="95"/>
      <c r="H436" s="93"/>
      <c r="I436" s="93"/>
      <c r="J436" s="93"/>
    </row>
    <row r="437" spans="1:10" s="65" customFormat="1" ht="14" x14ac:dyDescent="0.35">
      <c r="A437" s="145"/>
      <c r="B437" s="93"/>
      <c r="C437" s="93"/>
      <c r="D437" s="93"/>
      <c r="E437" s="95"/>
      <c r="F437" s="95"/>
      <c r="G437" s="95"/>
      <c r="H437" s="93"/>
      <c r="I437" s="93"/>
      <c r="J437" s="93"/>
    </row>
    <row r="438" spans="1:10" s="65" customFormat="1" ht="14" x14ac:dyDescent="0.35">
      <c r="A438" s="145"/>
      <c r="B438" s="93"/>
      <c r="C438" s="93"/>
      <c r="D438" s="93"/>
      <c r="E438" s="95"/>
      <c r="F438" s="95"/>
      <c r="G438" s="95"/>
      <c r="H438" s="93"/>
      <c r="I438" s="93"/>
      <c r="J438" s="93"/>
    </row>
    <row r="439" spans="1:10" s="65" customFormat="1" ht="14" x14ac:dyDescent="0.35">
      <c r="A439" s="145"/>
      <c r="B439" s="93"/>
      <c r="C439" s="93"/>
      <c r="D439" s="93"/>
      <c r="E439" s="95"/>
      <c r="F439" s="95"/>
      <c r="G439" s="95"/>
      <c r="H439" s="93"/>
      <c r="I439" s="93"/>
      <c r="J439" s="93"/>
    </row>
    <row r="440" spans="1:10" s="65" customFormat="1" ht="14" x14ac:dyDescent="0.35">
      <c r="A440" s="145"/>
      <c r="B440" s="93"/>
      <c r="C440" s="93"/>
      <c r="D440" s="93"/>
      <c r="E440" s="95"/>
      <c r="F440" s="95"/>
      <c r="G440" s="95"/>
      <c r="H440" s="93"/>
      <c r="I440" s="93"/>
      <c r="J440" s="93"/>
    </row>
    <row r="441" spans="1:10" s="65" customFormat="1" ht="14" x14ac:dyDescent="0.35">
      <c r="A441" s="145"/>
      <c r="B441" s="93"/>
      <c r="C441" s="93"/>
      <c r="D441" s="93"/>
      <c r="E441" s="95"/>
      <c r="F441" s="95"/>
      <c r="G441" s="95"/>
      <c r="H441" s="93"/>
      <c r="I441" s="93"/>
      <c r="J441" s="93"/>
    </row>
    <row r="442" spans="1:10" s="65" customFormat="1" ht="14" x14ac:dyDescent="0.35">
      <c r="A442" s="145"/>
      <c r="B442" s="93"/>
      <c r="C442" s="93"/>
      <c r="D442" s="93"/>
      <c r="E442" s="95"/>
      <c r="F442" s="95"/>
      <c r="G442" s="95"/>
      <c r="H442" s="93"/>
      <c r="I442" s="93"/>
      <c r="J442" s="93"/>
    </row>
    <row r="443" spans="1:10" s="65" customFormat="1" ht="14" x14ac:dyDescent="0.35">
      <c r="A443" s="145"/>
      <c r="B443" s="93"/>
      <c r="C443" s="93"/>
      <c r="D443" s="93"/>
      <c r="E443" s="95"/>
      <c r="F443" s="95"/>
      <c r="G443" s="95"/>
      <c r="H443" s="93"/>
      <c r="I443" s="93"/>
      <c r="J443" s="93"/>
    </row>
    <row r="444" spans="1:10" s="65" customFormat="1" ht="14" x14ac:dyDescent="0.35">
      <c r="A444" s="145"/>
      <c r="B444" s="93"/>
      <c r="C444" s="93"/>
      <c r="D444" s="93"/>
      <c r="E444" s="95"/>
      <c r="F444" s="95"/>
      <c r="G444" s="95"/>
      <c r="H444" s="93"/>
      <c r="I444" s="93"/>
      <c r="J444" s="93"/>
    </row>
    <row r="445" spans="1:10" s="65" customFormat="1" ht="14" x14ac:dyDescent="0.35">
      <c r="A445" s="145"/>
      <c r="B445" s="93"/>
      <c r="C445" s="93"/>
      <c r="D445" s="93"/>
      <c r="E445" s="95"/>
      <c r="F445" s="95"/>
      <c r="G445" s="95"/>
      <c r="H445" s="93"/>
      <c r="I445" s="93"/>
      <c r="J445" s="93"/>
    </row>
    <row r="446" spans="1:10" s="65" customFormat="1" ht="14" x14ac:dyDescent="0.35">
      <c r="A446" s="145"/>
      <c r="B446" s="93"/>
      <c r="C446" s="93"/>
      <c r="D446" s="93"/>
      <c r="E446" s="95"/>
      <c r="F446" s="95"/>
      <c r="G446" s="95"/>
      <c r="H446" s="93"/>
      <c r="I446" s="93"/>
      <c r="J446" s="93"/>
    </row>
    <row r="447" spans="1:10" s="65" customFormat="1" ht="14" x14ac:dyDescent="0.35">
      <c r="A447" s="145"/>
      <c r="B447" s="93"/>
      <c r="C447" s="93"/>
      <c r="D447" s="93"/>
      <c r="E447" s="95"/>
      <c r="F447" s="95"/>
      <c r="G447" s="95"/>
      <c r="H447" s="93"/>
      <c r="I447" s="93"/>
      <c r="J447" s="93"/>
    </row>
    <row r="448" spans="1:10" s="65" customFormat="1" ht="14" x14ac:dyDescent="0.35">
      <c r="A448" s="145"/>
      <c r="B448" s="93"/>
      <c r="C448" s="93"/>
      <c r="D448" s="93"/>
      <c r="E448" s="95"/>
      <c r="F448" s="95"/>
      <c r="G448" s="95"/>
      <c r="H448" s="93"/>
      <c r="I448" s="93"/>
      <c r="J448" s="93"/>
    </row>
    <row r="449" spans="1:10" s="65" customFormat="1" ht="14" x14ac:dyDescent="0.35">
      <c r="A449" s="145"/>
      <c r="B449" s="93"/>
      <c r="C449" s="93"/>
      <c r="D449" s="93"/>
      <c r="E449" s="95"/>
      <c r="F449" s="95"/>
      <c r="G449" s="95"/>
      <c r="H449" s="93"/>
      <c r="I449" s="93"/>
      <c r="J449" s="93"/>
    </row>
    <row r="450" spans="1:10" s="65" customFormat="1" ht="14" x14ac:dyDescent="0.35">
      <c r="A450" s="145"/>
      <c r="B450" s="93"/>
      <c r="C450" s="93"/>
      <c r="D450" s="93"/>
      <c r="E450" s="95"/>
      <c r="F450" s="95"/>
      <c r="G450" s="95"/>
      <c r="H450" s="93"/>
      <c r="I450" s="93"/>
      <c r="J450" s="93"/>
    </row>
    <row r="451" spans="1:10" s="65" customFormat="1" ht="14" x14ac:dyDescent="0.35">
      <c r="A451" s="145"/>
      <c r="B451" s="93"/>
      <c r="C451" s="93"/>
      <c r="D451" s="93"/>
      <c r="E451" s="95"/>
      <c r="F451" s="95"/>
      <c r="G451" s="95"/>
      <c r="H451" s="93"/>
      <c r="I451" s="93"/>
      <c r="J451" s="93"/>
    </row>
    <row r="452" spans="1:10" s="65" customFormat="1" ht="14" x14ac:dyDescent="0.35">
      <c r="A452" s="145"/>
      <c r="B452" s="93"/>
      <c r="C452" s="93"/>
      <c r="D452" s="93"/>
      <c r="E452" s="95"/>
      <c r="F452" s="95"/>
      <c r="G452" s="95"/>
      <c r="H452" s="93"/>
      <c r="I452" s="93"/>
      <c r="J452" s="93"/>
    </row>
    <row r="453" spans="1:10" s="65" customFormat="1" ht="14" x14ac:dyDescent="0.35">
      <c r="A453" s="145"/>
      <c r="B453" s="93"/>
      <c r="C453" s="93"/>
      <c r="D453" s="93"/>
      <c r="E453" s="95"/>
      <c r="F453" s="95"/>
      <c r="G453" s="95"/>
      <c r="H453" s="93"/>
      <c r="I453" s="93"/>
      <c r="J453" s="93"/>
    </row>
    <row r="454" spans="1:10" s="65" customFormat="1" ht="14" x14ac:dyDescent="0.35">
      <c r="A454" s="145"/>
      <c r="B454" s="93"/>
      <c r="C454" s="93"/>
      <c r="D454" s="93"/>
      <c r="E454" s="95"/>
      <c r="F454" s="95"/>
      <c r="G454" s="95"/>
      <c r="H454" s="93"/>
      <c r="I454" s="93"/>
      <c r="J454" s="93"/>
    </row>
    <row r="455" spans="1:10" s="65" customFormat="1" ht="14" x14ac:dyDescent="0.35">
      <c r="A455" s="145"/>
      <c r="B455" s="93"/>
      <c r="C455" s="93"/>
      <c r="D455" s="93"/>
      <c r="E455" s="95"/>
      <c r="F455" s="95"/>
      <c r="G455" s="95"/>
      <c r="H455" s="93"/>
      <c r="I455" s="93"/>
      <c r="J455" s="93"/>
    </row>
    <row r="456" spans="1:10" s="65" customFormat="1" ht="14" x14ac:dyDescent="0.35">
      <c r="A456" s="145"/>
      <c r="B456" s="93"/>
      <c r="C456" s="93"/>
      <c r="D456" s="93"/>
      <c r="E456" s="95"/>
      <c r="F456" s="95"/>
      <c r="G456" s="95"/>
      <c r="H456" s="93"/>
      <c r="I456" s="93"/>
      <c r="J456" s="93"/>
    </row>
    <row r="457" spans="1:10" s="65" customFormat="1" ht="14" x14ac:dyDescent="0.35">
      <c r="A457" s="145"/>
      <c r="B457" s="93"/>
      <c r="C457" s="93"/>
      <c r="D457" s="93"/>
      <c r="E457" s="95"/>
      <c r="F457" s="95"/>
      <c r="G457" s="95"/>
      <c r="H457" s="93"/>
      <c r="I457" s="93"/>
      <c r="J457" s="93"/>
    </row>
    <row r="458" spans="1:10" s="65" customFormat="1" ht="14" x14ac:dyDescent="0.35">
      <c r="A458" s="145"/>
      <c r="B458" s="93"/>
      <c r="C458" s="93"/>
      <c r="D458" s="93"/>
      <c r="E458" s="95"/>
      <c r="F458" s="95"/>
      <c r="G458" s="95"/>
      <c r="H458" s="93"/>
      <c r="I458" s="93"/>
      <c r="J458" s="93"/>
    </row>
    <row r="459" spans="1:10" s="65" customFormat="1" ht="14" x14ac:dyDescent="0.35">
      <c r="A459" s="145"/>
      <c r="B459" s="93"/>
      <c r="C459" s="93"/>
      <c r="D459" s="93"/>
      <c r="E459" s="95"/>
      <c r="F459" s="95"/>
      <c r="G459" s="95"/>
      <c r="H459" s="93"/>
      <c r="I459" s="93"/>
      <c r="J459" s="93"/>
    </row>
    <row r="460" spans="1:10" s="65" customFormat="1" ht="14" x14ac:dyDescent="0.35">
      <c r="A460" s="145"/>
      <c r="B460" s="93"/>
      <c r="C460" s="93"/>
      <c r="D460" s="93"/>
      <c r="E460" s="95"/>
      <c r="F460" s="95"/>
      <c r="G460" s="95"/>
      <c r="H460" s="93"/>
      <c r="I460" s="93"/>
      <c r="J460" s="93"/>
    </row>
    <row r="461" spans="1:10" s="65" customFormat="1" ht="14" x14ac:dyDescent="0.35">
      <c r="A461" s="145"/>
      <c r="B461" s="93"/>
      <c r="C461" s="93"/>
      <c r="D461" s="93"/>
      <c r="E461" s="95"/>
      <c r="F461" s="95"/>
      <c r="G461" s="95"/>
      <c r="H461" s="93"/>
      <c r="I461" s="93"/>
      <c r="J461" s="93"/>
    </row>
    <row r="462" spans="1:10" s="65" customFormat="1" ht="14" x14ac:dyDescent="0.35">
      <c r="A462" s="145"/>
      <c r="B462" s="93"/>
      <c r="C462" s="93"/>
      <c r="D462" s="93"/>
      <c r="E462" s="95"/>
      <c r="F462" s="95"/>
      <c r="G462" s="95"/>
      <c r="H462" s="93"/>
      <c r="I462" s="93"/>
      <c r="J462" s="93"/>
    </row>
    <row r="463" spans="1:10" s="65" customFormat="1" ht="14" x14ac:dyDescent="0.35">
      <c r="A463" s="145"/>
      <c r="B463" s="93"/>
      <c r="C463" s="93"/>
      <c r="D463" s="93"/>
      <c r="E463" s="95"/>
      <c r="F463" s="95"/>
      <c r="G463" s="95"/>
      <c r="H463" s="93"/>
      <c r="I463" s="93"/>
      <c r="J463" s="93"/>
    </row>
    <row r="464" spans="1:10" s="65" customFormat="1" ht="14" x14ac:dyDescent="0.35">
      <c r="A464" s="145"/>
      <c r="B464" s="93"/>
      <c r="C464" s="93"/>
      <c r="D464" s="93"/>
      <c r="E464" s="95"/>
      <c r="F464" s="95"/>
      <c r="G464" s="95"/>
      <c r="H464" s="93"/>
      <c r="I464" s="93"/>
      <c r="J464" s="93"/>
    </row>
    <row r="465" spans="1:10" s="65" customFormat="1" ht="14" x14ac:dyDescent="0.35">
      <c r="A465" s="145"/>
      <c r="B465" s="93"/>
      <c r="C465" s="93"/>
      <c r="D465" s="93"/>
      <c r="E465" s="95"/>
      <c r="F465" s="95"/>
      <c r="G465" s="95"/>
      <c r="H465" s="93"/>
      <c r="I465" s="93"/>
      <c r="J465" s="93"/>
    </row>
    <row r="466" spans="1:10" s="65" customFormat="1" ht="14" x14ac:dyDescent="0.35">
      <c r="A466" s="145"/>
      <c r="B466" s="93"/>
      <c r="C466" s="93"/>
      <c r="D466" s="93"/>
      <c r="E466" s="95"/>
      <c r="F466" s="95"/>
      <c r="G466" s="95"/>
      <c r="H466" s="93"/>
      <c r="I466" s="93"/>
      <c r="J466" s="93"/>
    </row>
    <row r="467" spans="1:10" s="65" customFormat="1" ht="14" x14ac:dyDescent="0.35">
      <c r="A467" s="145"/>
      <c r="B467" s="93"/>
      <c r="C467" s="93"/>
      <c r="D467" s="93"/>
      <c r="E467" s="95"/>
      <c r="F467" s="95"/>
      <c r="G467" s="95"/>
      <c r="H467" s="93"/>
      <c r="I467" s="93"/>
      <c r="J467" s="93"/>
    </row>
    <row r="468" spans="1:10" s="65" customFormat="1" ht="14" x14ac:dyDescent="0.35">
      <c r="A468" s="145"/>
      <c r="B468" s="93"/>
      <c r="C468" s="93"/>
      <c r="D468" s="93"/>
      <c r="E468" s="95"/>
      <c r="F468" s="95"/>
      <c r="G468" s="95"/>
      <c r="H468" s="93"/>
      <c r="I468" s="93"/>
      <c r="J468" s="93"/>
    </row>
    <row r="469" spans="1:10" s="65" customFormat="1" ht="14" x14ac:dyDescent="0.35">
      <c r="A469" s="145"/>
      <c r="B469" s="93"/>
      <c r="C469" s="93"/>
      <c r="D469" s="93"/>
      <c r="E469" s="95"/>
      <c r="F469" s="95"/>
      <c r="G469" s="95"/>
      <c r="H469" s="93"/>
      <c r="I469" s="93"/>
      <c r="J469" s="93"/>
    </row>
    <row r="470" spans="1:10" s="65" customFormat="1" ht="14" x14ac:dyDescent="0.35">
      <c r="A470" s="145"/>
      <c r="B470" s="93"/>
      <c r="C470" s="93"/>
      <c r="D470" s="93"/>
      <c r="E470" s="95"/>
      <c r="F470" s="95"/>
      <c r="G470" s="95"/>
      <c r="H470" s="93"/>
      <c r="I470" s="93"/>
      <c r="J470" s="93"/>
    </row>
    <row r="471" spans="1:10" s="65" customFormat="1" ht="14" x14ac:dyDescent="0.35">
      <c r="A471" s="145"/>
      <c r="B471" s="93"/>
      <c r="C471" s="93"/>
      <c r="D471" s="93"/>
      <c r="E471" s="95"/>
      <c r="F471" s="95"/>
      <c r="G471" s="95"/>
      <c r="H471" s="93"/>
      <c r="I471" s="93"/>
      <c r="J471" s="93"/>
    </row>
    <row r="472" spans="1:10" s="65" customFormat="1" ht="14" x14ac:dyDescent="0.35">
      <c r="A472" s="145"/>
      <c r="B472" s="93"/>
      <c r="C472" s="93"/>
      <c r="D472" s="93"/>
      <c r="E472" s="95"/>
      <c r="F472" s="95"/>
      <c r="G472" s="95"/>
      <c r="H472" s="93"/>
      <c r="I472" s="93"/>
      <c r="J472" s="93"/>
    </row>
    <row r="473" spans="1:10" s="65" customFormat="1" ht="14" x14ac:dyDescent="0.35">
      <c r="A473" s="145"/>
      <c r="B473" s="93"/>
      <c r="C473" s="93"/>
      <c r="D473" s="93"/>
      <c r="E473" s="95"/>
      <c r="F473" s="95"/>
      <c r="G473" s="95"/>
      <c r="H473" s="93"/>
      <c r="I473" s="93"/>
      <c r="J473" s="93"/>
    </row>
    <row r="474" spans="1:10" s="65" customFormat="1" ht="14" x14ac:dyDescent="0.35">
      <c r="A474" s="145"/>
      <c r="B474" s="93"/>
      <c r="C474" s="93"/>
      <c r="D474" s="93"/>
      <c r="E474" s="95"/>
      <c r="F474" s="95"/>
      <c r="G474" s="95"/>
      <c r="H474" s="93"/>
      <c r="I474" s="93"/>
      <c r="J474" s="93"/>
    </row>
    <row r="475" spans="1:10" s="65" customFormat="1" ht="14" x14ac:dyDescent="0.35">
      <c r="A475" s="145"/>
      <c r="B475" s="93"/>
      <c r="C475" s="93"/>
      <c r="D475" s="93"/>
      <c r="E475" s="95"/>
      <c r="F475" s="95"/>
      <c r="G475" s="95"/>
      <c r="H475" s="93"/>
      <c r="I475" s="93"/>
      <c r="J475" s="93"/>
    </row>
    <row r="476" spans="1:10" s="65" customFormat="1" ht="14" x14ac:dyDescent="0.35">
      <c r="A476" s="145"/>
      <c r="B476" s="93"/>
      <c r="C476" s="93"/>
      <c r="D476" s="93"/>
      <c r="E476" s="95"/>
      <c r="F476" s="95"/>
      <c r="G476" s="95"/>
      <c r="H476" s="93"/>
      <c r="I476" s="93"/>
      <c r="J476" s="93"/>
    </row>
    <row r="477" spans="1:10" s="65" customFormat="1" ht="14" x14ac:dyDescent="0.35">
      <c r="A477" s="145"/>
      <c r="B477" s="93"/>
      <c r="C477" s="93"/>
      <c r="D477" s="93"/>
      <c r="E477" s="95"/>
      <c r="F477" s="95"/>
      <c r="G477" s="95"/>
      <c r="H477" s="93"/>
      <c r="I477" s="93"/>
      <c r="J477" s="93"/>
    </row>
    <row r="478" spans="1:10" s="65" customFormat="1" ht="14" x14ac:dyDescent="0.35">
      <c r="A478" s="145"/>
      <c r="B478" s="93"/>
      <c r="C478" s="93"/>
      <c r="D478" s="93"/>
      <c r="E478" s="95"/>
      <c r="F478" s="95"/>
      <c r="G478" s="95"/>
      <c r="H478" s="93"/>
      <c r="I478" s="93"/>
      <c r="J478" s="93"/>
    </row>
    <row r="479" spans="1:10" s="65" customFormat="1" ht="14" x14ac:dyDescent="0.35">
      <c r="A479" s="145"/>
      <c r="B479" s="93"/>
      <c r="C479" s="93"/>
      <c r="D479" s="93"/>
      <c r="E479" s="95"/>
      <c r="F479" s="95"/>
      <c r="G479" s="95"/>
      <c r="H479" s="93"/>
      <c r="I479" s="93"/>
      <c r="J479" s="93"/>
    </row>
    <row r="480" spans="1:10" s="65" customFormat="1" ht="14" x14ac:dyDescent="0.35">
      <c r="A480" s="145"/>
      <c r="B480" s="93"/>
      <c r="C480" s="93"/>
      <c r="D480" s="93"/>
      <c r="E480" s="95"/>
      <c r="F480" s="95"/>
      <c r="G480" s="95"/>
      <c r="H480" s="93"/>
      <c r="I480" s="93"/>
      <c r="J480" s="93"/>
    </row>
    <row r="481" spans="1:10" s="65" customFormat="1" ht="14" x14ac:dyDescent="0.35">
      <c r="A481" s="145"/>
      <c r="B481" s="93"/>
      <c r="C481" s="93"/>
      <c r="D481" s="93"/>
      <c r="E481" s="95"/>
      <c r="F481" s="95"/>
      <c r="G481" s="95"/>
      <c r="H481" s="93"/>
      <c r="I481" s="93"/>
      <c r="J481" s="93"/>
    </row>
    <row r="482" spans="1:10" s="65" customFormat="1" ht="14" x14ac:dyDescent="0.35">
      <c r="A482" s="145"/>
      <c r="B482" s="93"/>
      <c r="C482" s="93"/>
      <c r="D482" s="93"/>
      <c r="E482" s="95"/>
      <c r="F482" s="95"/>
      <c r="G482" s="95"/>
      <c r="H482" s="93"/>
      <c r="I482" s="93"/>
      <c r="J482" s="93"/>
    </row>
    <row r="483" spans="1:10" s="65" customFormat="1" ht="14" x14ac:dyDescent="0.35">
      <c r="A483" s="145"/>
      <c r="B483" s="93"/>
      <c r="C483" s="93"/>
      <c r="D483" s="93"/>
      <c r="E483" s="95"/>
      <c r="F483" s="95"/>
      <c r="G483" s="95"/>
      <c r="H483" s="93"/>
      <c r="I483" s="93"/>
      <c r="J483" s="93"/>
    </row>
    <row r="484" spans="1:10" s="65" customFormat="1" ht="14" x14ac:dyDescent="0.35">
      <c r="A484" s="145"/>
      <c r="B484" s="93"/>
      <c r="C484" s="93"/>
      <c r="D484" s="93"/>
      <c r="E484" s="95"/>
      <c r="F484" s="95"/>
      <c r="G484" s="95"/>
      <c r="H484" s="93"/>
      <c r="I484" s="93"/>
      <c r="J484" s="93"/>
    </row>
    <row r="485" spans="1:10" s="65" customFormat="1" ht="14" x14ac:dyDescent="0.35">
      <c r="A485" s="145"/>
      <c r="B485" s="93"/>
      <c r="C485" s="93"/>
      <c r="D485" s="93"/>
      <c r="E485" s="95"/>
      <c r="F485" s="95"/>
      <c r="G485" s="95"/>
      <c r="H485" s="93"/>
      <c r="I485" s="93"/>
      <c r="J485" s="93"/>
    </row>
    <row r="486" spans="1:10" s="65" customFormat="1" ht="14" x14ac:dyDescent="0.35">
      <c r="A486" s="145"/>
      <c r="B486" s="93"/>
      <c r="C486" s="93"/>
      <c r="D486" s="93"/>
      <c r="E486" s="95"/>
      <c r="F486" s="95"/>
      <c r="G486" s="95"/>
      <c r="H486" s="93"/>
      <c r="I486" s="93"/>
      <c r="J486" s="93"/>
    </row>
    <row r="487" spans="1:10" s="65" customFormat="1" ht="14" x14ac:dyDescent="0.35">
      <c r="A487" s="145"/>
      <c r="B487" s="93"/>
      <c r="C487" s="93"/>
      <c r="D487" s="93"/>
      <c r="E487" s="95"/>
      <c r="F487" s="95"/>
      <c r="G487" s="95"/>
      <c r="H487" s="93"/>
      <c r="I487" s="93"/>
      <c r="J487" s="93"/>
    </row>
    <row r="488" spans="1:10" s="65" customFormat="1" ht="14" x14ac:dyDescent="0.35">
      <c r="A488" s="145"/>
      <c r="B488" s="93"/>
      <c r="C488" s="93"/>
      <c r="D488" s="93"/>
      <c r="E488" s="95"/>
      <c r="F488" s="95"/>
      <c r="G488" s="95"/>
      <c r="H488" s="93"/>
      <c r="I488" s="93"/>
      <c r="J488" s="93"/>
    </row>
    <row r="489" spans="1:10" s="65" customFormat="1" ht="14" x14ac:dyDescent="0.35">
      <c r="A489" s="145"/>
      <c r="B489" s="93"/>
      <c r="C489" s="93"/>
      <c r="D489" s="93"/>
      <c r="E489" s="95"/>
      <c r="F489" s="95"/>
      <c r="G489" s="95"/>
      <c r="H489" s="93"/>
      <c r="I489" s="93"/>
      <c r="J489" s="93"/>
    </row>
    <row r="490" spans="1:10" s="65" customFormat="1" ht="14" x14ac:dyDescent="0.35">
      <c r="A490" s="145"/>
      <c r="B490" s="93"/>
      <c r="C490" s="93"/>
      <c r="D490" s="93"/>
      <c r="E490" s="95"/>
      <c r="F490" s="95"/>
      <c r="G490" s="95"/>
      <c r="H490" s="93"/>
      <c r="I490" s="93"/>
      <c r="J490" s="93"/>
    </row>
    <row r="491" spans="1:10" s="65" customFormat="1" ht="14" x14ac:dyDescent="0.35">
      <c r="A491" s="145"/>
      <c r="B491" s="93"/>
      <c r="C491" s="93"/>
      <c r="D491" s="93"/>
      <c r="E491" s="95"/>
      <c r="F491" s="95"/>
      <c r="G491" s="95"/>
      <c r="H491" s="93"/>
      <c r="I491" s="93"/>
      <c r="J491" s="93"/>
    </row>
    <row r="492" spans="1:10" s="65" customFormat="1" ht="14" x14ac:dyDescent="0.35">
      <c r="A492" s="145"/>
      <c r="B492" s="93"/>
      <c r="C492" s="93"/>
      <c r="D492" s="93"/>
      <c r="E492" s="95"/>
      <c r="F492" s="95"/>
      <c r="G492" s="95"/>
      <c r="H492" s="93"/>
      <c r="I492" s="93"/>
      <c r="J492" s="93"/>
    </row>
    <row r="493" spans="1:10" s="65" customFormat="1" ht="14" x14ac:dyDescent="0.35">
      <c r="A493" s="145"/>
      <c r="B493" s="93"/>
      <c r="C493" s="93"/>
      <c r="D493" s="93"/>
      <c r="E493" s="95"/>
      <c r="F493" s="95"/>
      <c r="G493" s="95"/>
      <c r="H493" s="93"/>
      <c r="I493" s="93"/>
      <c r="J493" s="93"/>
    </row>
    <row r="494" spans="1:10" s="65" customFormat="1" ht="14" x14ac:dyDescent="0.35">
      <c r="A494" s="145"/>
      <c r="B494" s="93"/>
      <c r="C494" s="93"/>
      <c r="D494" s="93"/>
      <c r="E494" s="95"/>
      <c r="F494" s="95"/>
      <c r="G494" s="95"/>
      <c r="H494" s="93"/>
      <c r="I494" s="93"/>
      <c r="J494" s="93"/>
    </row>
    <row r="495" spans="1:10" s="65" customFormat="1" ht="14" x14ac:dyDescent="0.35">
      <c r="A495" s="145"/>
      <c r="B495" s="93"/>
      <c r="C495" s="93"/>
      <c r="D495" s="93"/>
      <c r="E495" s="95"/>
      <c r="F495" s="95"/>
      <c r="G495" s="95"/>
      <c r="H495" s="93"/>
      <c r="I495" s="93"/>
      <c r="J495" s="93"/>
    </row>
    <row r="496" spans="1:10" s="65" customFormat="1" ht="14" x14ac:dyDescent="0.35">
      <c r="A496" s="145"/>
      <c r="B496" s="93"/>
      <c r="C496" s="93"/>
      <c r="D496" s="93"/>
      <c r="E496" s="95"/>
      <c r="F496" s="95"/>
      <c r="G496" s="95"/>
      <c r="H496" s="93"/>
      <c r="I496" s="93"/>
      <c r="J496" s="93"/>
    </row>
    <row r="497" spans="1:10" s="65" customFormat="1" ht="14" x14ac:dyDescent="0.35">
      <c r="A497" s="145"/>
      <c r="B497" s="93"/>
      <c r="C497" s="93"/>
      <c r="D497" s="93"/>
      <c r="E497" s="95"/>
      <c r="F497" s="95"/>
      <c r="G497" s="95"/>
      <c r="H497" s="93"/>
      <c r="I497" s="93"/>
      <c r="J497" s="93"/>
    </row>
    <row r="498" spans="1:10" s="65" customFormat="1" ht="14" x14ac:dyDescent="0.35">
      <c r="A498" s="145"/>
      <c r="B498" s="93"/>
      <c r="C498" s="93"/>
      <c r="D498" s="93"/>
      <c r="E498" s="95"/>
      <c r="F498" s="95"/>
      <c r="G498" s="95"/>
      <c r="H498" s="93"/>
      <c r="I498" s="93"/>
      <c r="J498" s="93"/>
    </row>
    <row r="499" spans="1:10" s="65" customFormat="1" ht="14" x14ac:dyDescent="0.35">
      <c r="A499" s="145"/>
      <c r="B499" s="93"/>
      <c r="C499" s="93"/>
      <c r="D499" s="93"/>
      <c r="E499" s="95"/>
      <c r="F499" s="95"/>
      <c r="G499" s="95"/>
      <c r="H499" s="93"/>
      <c r="I499" s="93"/>
      <c r="J499" s="93"/>
    </row>
    <row r="500" spans="1:10" s="65" customFormat="1" ht="14" x14ac:dyDescent="0.35">
      <c r="A500" s="145"/>
      <c r="B500" s="93"/>
      <c r="C500" s="93"/>
      <c r="D500" s="93"/>
      <c r="E500" s="95"/>
      <c r="F500" s="95"/>
      <c r="G500" s="95"/>
      <c r="H500" s="93"/>
      <c r="I500" s="93"/>
      <c r="J500" s="93"/>
    </row>
    <row r="501" spans="1:10" s="65" customFormat="1" ht="14" x14ac:dyDescent="0.35">
      <c r="A501" s="145"/>
      <c r="B501" s="93"/>
      <c r="C501" s="93"/>
      <c r="D501" s="93"/>
      <c r="E501" s="95"/>
      <c r="F501" s="95"/>
      <c r="G501" s="95"/>
      <c r="H501" s="93"/>
      <c r="I501" s="93"/>
      <c r="J501" s="93"/>
    </row>
    <row r="502" spans="1:10" s="65" customFormat="1" ht="14" x14ac:dyDescent="0.35">
      <c r="A502" s="145"/>
      <c r="B502" s="93"/>
      <c r="C502" s="93"/>
      <c r="D502" s="93"/>
      <c r="E502" s="95"/>
      <c r="F502" s="95"/>
      <c r="G502" s="95"/>
      <c r="H502" s="93"/>
      <c r="I502" s="93"/>
      <c r="J502" s="93"/>
    </row>
    <row r="503" spans="1:10" s="65" customFormat="1" ht="14" x14ac:dyDescent="0.35">
      <c r="A503" s="145"/>
      <c r="B503" s="93"/>
      <c r="C503" s="93"/>
      <c r="D503" s="93"/>
      <c r="E503" s="95"/>
      <c r="F503" s="95"/>
      <c r="G503" s="95"/>
      <c r="H503" s="93"/>
      <c r="I503" s="93"/>
      <c r="J503" s="93"/>
    </row>
    <row r="504" spans="1:10" s="65" customFormat="1" ht="14" x14ac:dyDescent="0.35">
      <c r="A504" s="145"/>
      <c r="B504" s="93"/>
      <c r="C504" s="93"/>
      <c r="D504" s="93"/>
      <c r="E504" s="95"/>
      <c r="F504" s="95"/>
      <c r="G504" s="95"/>
      <c r="H504" s="93"/>
      <c r="I504" s="93"/>
      <c r="J504" s="93"/>
    </row>
    <row r="505" spans="1:10" s="65" customFormat="1" ht="14" x14ac:dyDescent="0.35">
      <c r="A505" s="145"/>
      <c r="B505" s="93"/>
      <c r="C505" s="93"/>
      <c r="D505" s="93"/>
      <c r="E505" s="95"/>
      <c r="F505" s="95"/>
      <c r="G505" s="95"/>
      <c r="H505" s="93"/>
      <c r="I505" s="93"/>
      <c r="J505" s="93"/>
    </row>
    <row r="506" spans="1:10" s="65" customFormat="1" ht="14" x14ac:dyDescent="0.35">
      <c r="A506" s="145"/>
      <c r="B506" s="93"/>
      <c r="C506" s="93"/>
      <c r="D506" s="93"/>
      <c r="E506" s="95"/>
      <c r="F506" s="95"/>
      <c r="G506" s="95"/>
      <c r="H506" s="93"/>
      <c r="I506" s="93"/>
      <c r="J506" s="93"/>
    </row>
    <row r="507" spans="1:10" s="65" customFormat="1" ht="14" x14ac:dyDescent="0.35">
      <c r="A507" s="145"/>
      <c r="B507" s="93"/>
      <c r="C507" s="93"/>
      <c r="D507" s="93"/>
      <c r="E507" s="95"/>
      <c r="F507" s="95"/>
      <c r="G507" s="95"/>
      <c r="H507" s="93"/>
      <c r="I507" s="93"/>
      <c r="J507" s="93"/>
    </row>
    <row r="508" spans="1:10" s="65" customFormat="1" ht="14" x14ac:dyDescent="0.35">
      <c r="A508" s="145"/>
      <c r="B508" s="93"/>
      <c r="C508" s="93"/>
      <c r="D508" s="93"/>
      <c r="E508" s="95"/>
      <c r="F508" s="95"/>
      <c r="G508" s="95"/>
      <c r="H508" s="93"/>
      <c r="I508" s="93"/>
      <c r="J508" s="93"/>
    </row>
    <row r="509" spans="1:10" s="65" customFormat="1" ht="14" x14ac:dyDescent="0.35">
      <c r="A509" s="145"/>
      <c r="B509" s="93"/>
      <c r="C509" s="93"/>
      <c r="D509" s="93"/>
      <c r="E509" s="95"/>
      <c r="F509" s="95"/>
      <c r="G509" s="95"/>
      <c r="H509" s="93"/>
      <c r="I509" s="93"/>
      <c r="J509" s="93"/>
    </row>
    <row r="510" spans="1:10" s="65" customFormat="1" ht="14" x14ac:dyDescent="0.35">
      <c r="A510" s="145"/>
      <c r="B510" s="93"/>
      <c r="C510" s="93"/>
      <c r="D510" s="93"/>
      <c r="E510" s="95"/>
      <c r="F510" s="95"/>
      <c r="G510" s="95"/>
      <c r="H510" s="93"/>
      <c r="I510" s="93"/>
      <c r="J510" s="93"/>
    </row>
    <row r="511" spans="1:10" s="65" customFormat="1" ht="14" x14ac:dyDescent="0.35">
      <c r="A511" s="145"/>
      <c r="B511" s="93"/>
      <c r="C511" s="93"/>
      <c r="D511" s="93"/>
      <c r="E511" s="95"/>
      <c r="F511" s="95"/>
      <c r="G511" s="95"/>
      <c r="H511" s="93"/>
      <c r="I511" s="93"/>
      <c r="J511" s="93"/>
    </row>
    <row r="512" spans="1:10" s="65" customFormat="1" ht="14" x14ac:dyDescent="0.35">
      <c r="A512" s="145"/>
      <c r="B512" s="93"/>
      <c r="C512" s="93"/>
      <c r="D512" s="93"/>
      <c r="E512" s="95"/>
      <c r="F512" s="95"/>
      <c r="G512" s="95"/>
      <c r="H512" s="93"/>
      <c r="I512" s="93"/>
      <c r="J512" s="93"/>
    </row>
    <row r="513" spans="1:10" s="65" customFormat="1" ht="14" x14ac:dyDescent="0.35">
      <c r="A513" s="145"/>
      <c r="B513" s="93"/>
      <c r="C513" s="93"/>
      <c r="D513" s="93"/>
      <c r="E513" s="95"/>
      <c r="F513" s="95"/>
      <c r="G513" s="95"/>
      <c r="H513" s="93"/>
      <c r="I513" s="93"/>
      <c r="J513" s="93"/>
    </row>
    <row r="514" spans="1:10" s="65" customFormat="1" ht="14" x14ac:dyDescent="0.35">
      <c r="A514" s="145"/>
      <c r="B514" s="93"/>
      <c r="C514" s="93"/>
      <c r="D514" s="93"/>
      <c r="E514" s="95"/>
      <c r="F514" s="95"/>
      <c r="G514" s="95"/>
      <c r="H514" s="93"/>
      <c r="I514" s="93"/>
      <c r="J514" s="93"/>
    </row>
    <row r="515" spans="1:10" s="65" customFormat="1" ht="14" x14ac:dyDescent="0.35">
      <c r="A515" s="145"/>
      <c r="B515" s="93"/>
      <c r="C515" s="93"/>
      <c r="D515" s="93"/>
      <c r="E515" s="95"/>
      <c r="F515" s="95"/>
      <c r="G515" s="95"/>
      <c r="H515" s="93"/>
      <c r="I515" s="93"/>
      <c r="J515" s="93"/>
    </row>
    <row r="516" spans="1:10" s="65" customFormat="1" ht="14" x14ac:dyDescent="0.35">
      <c r="A516" s="145"/>
      <c r="B516" s="93"/>
      <c r="C516" s="93"/>
      <c r="D516" s="93"/>
      <c r="E516" s="95"/>
      <c r="F516" s="95"/>
      <c r="G516" s="95"/>
      <c r="H516" s="93"/>
      <c r="I516" s="93"/>
      <c r="J516" s="93"/>
    </row>
    <row r="517" spans="1:10" s="65" customFormat="1" ht="14" x14ac:dyDescent="0.35">
      <c r="A517" s="145"/>
      <c r="B517" s="93"/>
      <c r="C517" s="93"/>
      <c r="D517" s="93"/>
      <c r="E517" s="95"/>
      <c r="F517" s="95"/>
      <c r="G517" s="95"/>
      <c r="H517" s="93"/>
      <c r="I517" s="93"/>
      <c r="J517" s="93"/>
    </row>
    <row r="518" spans="1:10" s="65" customFormat="1" ht="14" x14ac:dyDescent="0.35">
      <c r="A518" s="145"/>
      <c r="B518" s="93"/>
      <c r="C518" s="93"/>
      <c r="D518" s="93"/>
      <c r="E518" s="95"/>
      <c r="F518" s="95"/>
      <c r="G518" s="95"/>
      <c r="H518" s="93"/>
      <c r="I518" s="93"/>
      <c r="J518" s="93"/>
    </row>
    <row r="519" spans="1:10" s="65" customFormat="1" ht="14" x14ac:dyDescent="0.35">
      <c r="A519" s="145"/>
      <c r="B519" s="93"/>
      <c r="C519" s="93"/>
      <c r="D519" s="93"/>
      <c r="E519" s="95"/>
      <c r="F519" s="95"/>
      <c r="G519" s="95"/>
      <c r="H519" s="93"/>
      <c r="I519" s="93"/>
      <c r="J519" s="93"/>
    </row>
    <row r="520" spans="1:10" s="65" customFormat="1" ht="14" x14ac:dyDescent="0.35">
      <c r="A520" s="145"/>
      <c r="B520" s="93"/>
      <c r="C520" s="93"/>
      <c r="D520" s="93"/>
      <c r="E520" s="95"/>
      <c r="F520" s="95"/>
      <c r="G520" s="95"/>
      <c r="H520" s="93"/>
      <c r="I520" s="93"/>
      <c r="J520" s="93"/>
    </row>
    <row r="521" spans="1:10" s="65" customFormat="1" ht="14" x14ac:dyDescent="0.35">
      <c r="A521" s="145"/>
      <c r="B521" s="93"/>
      <c r="C521" s="93"/>
      <c r="D521" s="93"/>
      <c r="E521" s="95"/>
      <c r="F521" s="95"/>
      <c r="G521" s="95"/>
      <c r="H521" s="93"/>
      <c r="I521" s="93"/>
      <c r="J521" s="93"/>
    </row>
    <row r="522" spans="1:10" s="65" customFormat="1" ht="14" x14ac:dyDescent="0.35">
      <c r="A522" s="145"/>
      <c r="B522" s="93"/>
      <c r="C522" s="93"/>
      <c r="D522" s="93"/>
      <c r="E522" s="95"/>
      <c r="F522" s="95"/>
      <c r="G522" s="95"/>
      <c r="H522" s="93"/>
      <c r="I522" s="93"/>
      <c r="J522" s="93"/>
    </row>
    <row r="523" spans="1:10" s="65" customFormat="1" ht="14" x14ac:dyDescent="0.35">
      <c r="A523" s="145"/>
      <c r="B523" s="93"/>
      <c r="C523" s="93"/>
      <c r="D523" s="93"/>
      <c r="E523" s="95"/>
      <c r="F523" s="95"/>
      <c r="G523" s="95"/>
      <c r="H523" s="93"/>
      <c r="I523" s="93"/>
      <c r="J523" s="93"/>
    </row>
    <row r="524" spans="1:10" s="65" customFormat="1" ht="14" x14ac:dyDescent="0.35">
      <c r="A524" s="145"/>
      <c r="B524" s="93"/>
      <c r="C524" s="93"/>
      <c r="D524" s="93"/>
      <c r="E524" s="95"/>
      <c r="F524" s="95"/>
      <c r="G524" s="95"/>
      <c r="H524" s="93"/>
      <c r="I524" s="93"/>
      <c r="J524" s="93"/>
    </row>
    <row r="525" spans="1:10" s="65" customFormat="1" ht="14" x14ac:dyDescent="0.35">
      <c r="A525" s="145"/>
      <c r="B525" s="93"/>
      <c r="C525" s="93"/>
      <c r="D525" s="93"/>
      <c r="E525" s="95"/>
      <c r="F525" s="95"/>
      <c r="G525" s="95"/>
      <c r="H525" s="93"/>
      <c r="I525" s="93"/>
      <c r="J525" s="93"/>
    </row>
    <row r="526" spans="1:10" s="65" customFormat="1" ht="14" x14ac:dyDescent="0.35">
      <c r="A526" s="145"/>
      <c r="B526" s="93"/>
      <c r="C526" s="93"/>
      <c r="D526" s="93"/>
      <c r="E526" s="95"/>
      <c r="F526" s="95"/>
      <c r="G526" s="95"/>
      <c r="H526" s="93"/>
      <c r="I526" s="93"/>
      <c r="J526" s="93"/>
    </row>
    <row r="527" spans="1:10" s="65" customFormat="1" ht="14" x14ac:dyDescent="0.35">
      <c r="A527" s="145"/>
      <c r="B527" s="93"/>
      <c r="C527" s="93"/>
      <c r="D527" s="93"/>
      <c r="E527" s="95"/>
      <c r="F527" s="95"/>
      <c r="G527" s="95"/>
      <c r="H527" s="93"/>
      <c r="I527" s="93"/>
      <c r="J527" s="93"/>
    </row>
    <row r="528" spans="1:10" s="65" customFormat="1" ht="14" x14ac:dyDescent="0.35">
      <c r="A528" s="145"/>
      <c r="B528" s="93"/>
      <c r="C528" s="93"/>
      <c r="D528" s="93"/>
      <c r="E528" s="95"/>
      <c r="F528" s="95"/>
      <c r="G528" s="95"/>
      <c r="H528" s="93"/>
      <c r="I528" s="93"/>
      <c r="J528" s="93"/>
    </row>
    <row r="529" spans="1:10" s="65" customFormat="1" ht="14" x14ac:dyDescent="0.35">
      <c r="A529" s="145"/>
      <c r="B529" s="93"/>
      <c r="C529" s="93"/>
      <c r="D529" s="93"/>
      <c r="E529" s="95"/>
      <c r="F529" s="95"/>
      <c r="G529" s="95"/>
      <c r="H529" s="93"/>
      <c r="I529" s="93"/>
      <c r="J529" s="93"/>
    </row>
    <row r="530" spans="1:10" s="65" customFormat="1" ht="14" x14ac:dyDescent="0.35">
      <c r="A530" s="145"/>
      <c r="B530" s="93"/>
      <c r="C530" s="93"/>
      <c r="D530" s="93"/>
      <c r="E530" s="95"/>
      <c r="F530" s="95"/>
      <c r="G530" s="95"/>
      <c r="H530" s="93"/>
      <c r="I530" s="93"/>
      <c r="J530" s="93"/>
    </row>
    <row r="531" spans="1:10" s="65" customFormat="1" ht="14" x14ac:dyDescent="0.35">
      <c r="A531" s="145"/>
      <c r="B531" s="93"/>
      <c r="C531" s="93"/>
      <c r="D531" s="93"/>
      <c r="E531" s="95"/>
      <c r="F531" s="95"/>
      <c r="G531" s="95"/>
      <c r="H531" s="93"/>
      <c r="I531" s="93"/>
      <c r="J531" s="93"/>
    </row>
    <row r="532" spans="1:10" s="65" customFormat="1" ht="14" x14ac:dyDescent="0.35">
      <c r="A532" s="145"/>
      <c r="B532" s="93"/>
      <c r="C532" s="93"/>
      <c r="D532" s="93"/>
      <c r="E532" s="95"/>
      <c r="F532" s="95"/>
      <c r="G532" s="95"/>
      <c r="H532" s="93"/>
      <c r="I532" s="93"/>
      <c r="J532" s="93"/>
    </row>
    <row r="533" spans="1:10" s="65" customFormat="1" ht="14" x14ac:dyDescent="0.35">
      <c r="A533" s="145"/>
      <c r="B533" s="93"/>
      <c r="C533" s="93"/>
      <c r="D533" s="93"/>
      <c r="E533" s="95"/>
      <c r="F533" s="95"/>
      <c r="G533" s="95"/>
      <c r="H533" s="93"/>
      <c r="I533" s="93"/>
      <c r="J533" s="93"/>
    </row>
    <row r="534" spans="1:10" s="65" customFormat="1" ht="14" x14ac:dyDescent="0.35">
      <c r="A534" s="145"/>
      <c r="B534" s="93"/>
      <c r="C534" s="93"/>
      <c r="D534" s="93"/>
      <c r="E534" s="95"/>
      <c r="F534" s="95"/>
      <c r="G534" s="95"/>
      <c r="H534" s="93"/>
      <c r="I534" s="93"/>
      <c r="J534" s="93"/>
    </row>
    <row r="535" spans="1:10" s="65" customFormat="1" ht="14" x14ac:dyDescent="0.35">
      <c r="A535" s="145"/>
      <c r="B535" s="93"/>
      <c r="C535" s="93"/>
      <c r="D535" s="93"/>
      <c r="E535" s="95"/>
      <c r="F535" s="95"/>
      <c r="G535" s="95"/>
      <c r="H535" s="93"/>
      <c r="I535" s="93"/>
      <c r="J535" s="93"/>
    </row>
    <row r="536" spans="1:10" s="65" customFormat="1" ht="14" x14ac:dyDescent="0.35">
      <c r="A536" s="145"/>
      <c r="B536" s="93"/>
      <c r="C536" s="93"/>
      <c r="D536" s="93"/>
      <c r="E536" s="95"/>
      <c r="F536" s="95"/>
      <c r="G536" s="95"/>
      <c r="H536" s="93"/>
      <c r="I536" s="93"/>
      <c r="J536" s="93"/>
    </row>
    <row r="537" spans="1:10" s="65" customFormat="1" ht="14" x14ac:dyDescent="0.35">
      <c r="A537" s="145"/>
      <c r="B537" s="93"/>
      <c r="C537" s="93"/>
      <c r="D537" s="93"/>
      <c r="E537" s="95"/>
      <c r="F537" s="95"/>
      <c r="G537" s="95"/>
      <c r="H537" s="93"/>
      <c r="I537" s="93"/>
      <c r="J537" s="93"/>
    </row>
    <row r="538" spans="1:10" s="65" customFormat="1" ht="14" x14ac:dyDescent="0.35">
      <c r="A538" s="145"/>
      <c r="B538" s="93"/>
      <c r="C538" s="93"/>
      <c r="D538" s="93"/>
      <c r="E538" s="95"/>
      <c r="F538" s="95"/>
      <c r="G538" s="95"/>
      <c r="H538" s="93"/>
      <c r="I538" s="93"/>
      <c r="J538" s="93"/>
    </row>
    <row r="539" spans="1:10" s="65" customFormat="1" ht="14" x14ac:dyDescent="0.35">
      <c r="A539" s="145"/>
      <c r="B539" s="93"/>
      <c r="C539" s="93"/>
      <c r="D539" s="93"/>
      <c r="E539" s="95"/>
      <c r="F539" s="95"/>
      <c r="G539" s="95"/>
      <c r="H539" s="93"/>
      <c r="I539" s="93"/>
      <c r="J539" s="93"/>
    </row>
    <row r="540" spans="1:10" s="65" customFormat="1" ht="14" x14ac:dyDescent="0.35">
      <c r="A540" s="145"/>
      <c r="B540" s="93"/>
      <c r="C540" s="93"/>
      <c r="D540" s="93"/>
      <c r="E540" s="95"/>
      <c r="F540" s="95"/>
      <c r="G540" s="95"/>
      <c r="H540" s="93"/>
      <c r="I540" s="93"/>
      <c r="J540" s="93"/>
    </row>
    <row r="541" spans="1:10" s="65" customFormat="1" ht="14" x14ac:dyDescent="0.35">
      <c r="A541" s="145"/>
      <c r="B541" s="93"/>
      <c r="C541" s="93"/>
      <c r="D541" s="93"/>
      <c r="E541" s="95"/>
      <c r="F541" s="95"/>
      <c r="G541" s="95"/>
      <c r="H541" s="93"/>
      <c r="I541" s="93"/>
      <c r="J541" s="93"/>
    </row>
    <row r="542" spans="1:10" s="65" customFormat="1" ht="14" x14ac:dyDescent="0.35">
      <c r="A542" s="145"/>
      <c r="B542" s="93"/>
      <c r="C542" s="93"/>
      <c r="D542" s="93"/>
      <c r="E542" s="95"/>
      <c r="F542" s="95"/>
      <c r="G542" s="95"/>
      <c r="H542" s="93"/>
      <c r="I542" s="93"/>
      <c r="J542" s="93"/>
    </row>
    <row r="543" spans="1:10" s="65" customFormat="1" ht="14" x14ac:dyDescent="0.35">
      <c r="A543" s="145"/>
      <c r="B543" s="93"/>
      <c r="C543" s="93"/>
      <c r="D543" s="93"/>
      <c r="E543" s="95"/>
      <c r="F543" s="95"/>
      <c r="G543" s="95"/>
      <c r="H543" s="93"/>
      <c r="I543" s="93"/>
      <c r="J543" s="93"/>
    </row>
    <row r="544" spans="1:10" s="65" customFormat="1" ht="14" x14ac:dyDescent="0.35">
      <c r="A544" s="145"/>
      <c r="B544" s="93"/>
      <c r="C544" s="93"/>
      <c r="D544" s="93"/>
      <c r="E544" s="95"/>
      <c r="F544" s="95"/>
      <c r="G544" s="95"/>
      <c r="H544" s="93"/>
      <c r="I544" s="93"/>
      <c r="J544" s="93"/>
    </row>
    <row r="545" spans="1:10" s="65" customFormat="1" ht="14" x14ac:dyDescent="0.35">
      <c r="A545" s="145"/>
      <c r="B545" s="93"/>
      <c r="C545" s="93"/>
      <c r="D545" s="93"/>
      <c r="E545" s="95"/>
      <c r="F545" s="95"/>
      <c r="G545" s="95"/>
      <c r="H545" s="93"/>
      <c r="I545" s="93"/>
      <c r="J545" s="93"/>
    </row>
    <row r="546" spans="1:10" s="65" customFormat="1" ht="14" x14ac:dyDescent="0.35">
      <c r="A546" s="145"/>
      <c r="B546" s="93"/>
      <c r="C546" s="93"/>
      <c r="D546" s="93"/>
      <c r="E546" s="95"/>
      <c r="F546" s="95"/>
      <c r="G546" s="95"/>
      <c r="H546" s="93"/>
      <c r="I546" s="93"/>
      <c r="J546" s="93"/>
    </row>
    <row r="547" spans="1:10" s="65" customFormat="1" ht="14" x14ac:dyDescent="0.35">
      <c r="A547" s="145"/>
      <c r="B547" s="93"/>
      <c r="C547" s="93"/>
      <c r="D547" s="93"/>
      <c r="E547" s="95"/>
      <c r="F547" s="95"/>
      <c r="G547" s="95"/>
      <c r="H547" s="93"/>
      <c r="I547" s="93"/>
      <c r="J547" s="93"/>
    </row>
    <row r="548" spans="1:10" s="65" customFormat="1" ht="14" x14ac:dyDescent="0.35">
      <c r="A548" s="145"/>
      <c r="B548" s="93"/>
      <c r="C548" s="93"/>
      <c r="D548" s="93"/>
      <c r="E548" s="95"/>
      <c r="F548" s="95"/>
      <c r="G548" s="95"/>
      <c r="H548" s="93"/>
      <c r="I548" s="93"/>
      <c r="J548" s="93"/>
    </row>
    <row r="549" spans="1:10" s="65" customFormat="1" ht="14" x14ac:dyDescent="0.35">
      <c r="A549" s="145"/>
      <c r="B549" s="93"/>
      <c r="C549" s="93"/>
      <c r="D549" s="93"/>
      <c r="E549" s="95"/>
      <c r="F549" s="95"/>
      <c r="G549" s="95"/>
      <c r="H549" s="93"/>
      <c r="I549" s="93"/>
      <c r="J549" s="93"/>
    </row>
    <row r="550" spans="1:10" s="65" customFormat="1" ht="14" x14ac:dyDescent="0.35">
      <c r="A550" s="145"/>
      <c r="B550" s="93"/>
      <c r="C550" s="93"/>
      <c r="D550" s="93"/>
      <c r="E550" s="95"/>
      <c r="F550" s="95"/>
      <c r="G550" s="95"/>
      <c r="H550" s="93"/>
      <c r="I550" s="93"/>
      <c r="J550" s="93"/>
    </row>
    <row r="551" spans="1:10" s="65" customFormat="1" ht="14" x14ac:dyDescent="0.35">
      <c r="A551" s="145"/>
      <c r="B551" s="93"/>
      <c r="C551" s="93"/>
      <c r="D551" s="93"/>
      <c r="E551" s="95"/>
      <c r="F551" s="95"/>
      <c r="G551" s="95"/>
      <c r="H551" s="93"/>
      <c r="I551" s="93"/>
      <c r="J551" s="93"/>
    </row>
    <row r="552" spans="1:10" s="65" customFormat="1" ht="14" x14ac:dyDescent="0.35">
      <c r="A552" s="145"/>
      <c r="B552" s="93"/>
      <c r="C552" s="93"/>
      <c r="D552" s="93"/>
      <c r="E552" s="95"/>
      <c r="F552" s="95"/>
      <c r="G552" s="95"/>
      <c r="H552" s="93"/>
      <c r="I552" s="93"/>
      <c r="J552" s="93"/>
    </row>
    <row r="553" spans="1:10" s="65" customFormat="1" ht="14" x14ac:dyDescent="0.35">
      <c r="A553" s="145"/>
      <c r="B553" s="93"/>
      <c r="C553" s="93"/>
      <c r="D553" s="93"/>
      <c r="E553" s="95"/>
      <c r="F553" s="95"/>
      <c r="G553" s="95"/>
      <c r="H553" s="93"/>
      <c r="I553" s="93"/>
      <c r="J553" s="93"/>
    </row>
    <row r="554" spans="1:10" s="65" customFormat="1" ht="14" x14ac:dyDescent="0.35">
      <c r="A554" s="145"/>
      <c r="B554" s="93"/>
      <c r="C554" s="93"/>
      <c r="D554" s="93"/>
      <c r="E554" s="95"/>
      <c r="F554" s="95"/>
      <c r="G554" s="95"/>
      <c r="H554" s="93"/>
      <c r="I554" s="93"/>
      <c r="J554" s="93"/>
    </row>
    <row r="555" spans="1:10" s="65" customFormat="1" ht="14" x14ac:dyDescent="0.35">
      <c r="A555" s="145"/>
      <c r="B555" s="93"/>
      <c r="C555" s="93"/>
      <c r="D555" s="93"/>
      <c r="E555" s="95"/>
      <c r="F555" s="95"/>
      <c r="G555" s="95"/>
      <c r="H555" s="93"/>
      <c r="I555" s="93"/>
      <c r="J555" s="93"/>
    </row>
    <row r="556" spans="1:10" s="65" customFormat="1" ht="14" x14ac:dyDescent="0.35">
      <c r="A556" s="145"/>
      <c r="B556" s="93"/>
      <c r="C556" s="93"/>
      <c r="D556" s="93"/>
      <c r="E556" s="95"/>
      <c r="F556" s="95"/>
      <c r="G556" s="95"/>
      <c r="H556" s="93"/>
      <c r="I556" s="93"/>
      <c r="J556" s="93"/>
    </row>
    <row r="557" spans="1:10" s="65" customFormat="1" ht="14" x14ac:dyDescent="0.35">
      <c r="A557" s="145"/>
      <c r="B557" s="93"/>
      <c r="C557" s="93"/>
      <c r="D557" s="93"/>
      <c r="E557" s="95"/>
      <c r="F557" s="95"/>
      <c r="G557" s="95"/>
      <c r="H557" s="93"/>
      <c r="I557" s="93"/>
      <c r="J557" s="93"/>
    </row>
    <row r="558" spans="1:10" s="65" customFormat="1" ht="14" x14ac:dyDescent="0.35">
      <c r="A558" s="145"/>
      <c r="B558" s="93"/>
      <c r="C558" s="93"/>
      <c r="D558" s="93"/>
      <c r="E558" s="95"/>
      <c r="F558" s="95"/>
      <c r="G558" s="95"/>
      <c r="H558" s="93"/>
      <c r="I558" s="93"/>
      <c r="J558" s="93"/>
    </row>
    <row r="559" spans="1:10" s="65" customFormat="1" ht="14" x14ac:dyDescent="0.35">
      <c r="A559" s="145"/>
      <c r="B559" s="93"/>
      <c r="C559" s="93"/>
      <c r="D559" s="93"/>
      <c r="E559" s="95"/>
      <c r="F559" s="95"/>
      <c r="G559" s="95"/>
      <c r="H559" s="93"/>
      <c r="I559" s="93"/>
      <c r="J559" s="93"/>
    </row>
    <row r="560" spans="1:10" s="65" customFormat="1" ht="14" x14ac:dyDescent="0.35">
      <c r="A560" s="145"/>
      <c r="B560" s="93"/>
      <c r="C560" s="93"/>
      <c r="D560" s="93"/>
      <c r="E560" s="95"/>
      <c r="F560" s="95"/>
      <c r="G560" s="95"/>
      <c r="H560" s="93"/>
      <c r="I560" s="93"/>
      <c r="J560" s="93"/>
    </row>
    <row r="561" spans="1:10" s="65" customFormat="1" ht="14" x14ac:dyDescent="0.35">
      <c r="A561" s="145"/>
      <c r="B561" s="93"/>
      <c r="C561" s="93"/>
      <c r="D561" s="93"/>
      <c r="E561" s="95"/>
      <c r="F561" s="95"/>
      <c r="G561" s="95"/>
      <c r="H561" s="93"/>
      <c r="I561" s="93"/>
      <c r="J561" s="93"/>
    </row>
    <row r="562" spans="1:10" s="65" customFormat="1" ht="14" x14ac:dyDescent="0.35">
      <c r="A562" s="145"/>
      <c r="B562" s="93"/>
      <c r="C562" s="93"/>
      <c r="D562" s="93"/>
      <c r="E562" s="95"/>
      <c r="F562" s="95"/>
      <c r="G562" s="95"/>
      <c r="H562" s="93"/>
      <c r="I562" s="93"/>
      <c r="J562" s="93"/>
    </row>
    <row r="563" spans="1:10" s="65" customFormat="1" ht="14" x14ac:dyDescent="0.35">
      <c r="A563" s="145"/>
      <c r="B563" s="93"/>
      <c r="C563" s="93"/>
      <c r="D563" s="93"/>
      <c r="E563" s="95"/>
      <c r="F563" s="95"/>
      <c r="G563" s="95"/>
      <c r="H563" s="93"/>
      <c r="I563" s="93"/>
      <c r="J563" s="93"/>
    </row>
    <row r="564" spans="1:10" s="65" customFormat="1" ht="14" x14ac:dyDescent="0.35">
      <c r="A564" s="145"/>
      <c r="B564" s="93"/>
      <c r="C564" s="93"/>
      <c r="D564" s="93"/>
      <c r="E564" s="95"/>
      <c r="F564" s="95"/>
      <c r="G564" s="95"/>
      <c r="H564" s="93"/>
      <c r="I564" s="93"/>
      <c r="J564" s="93"/>
    </row>
    <row r="565" spans="1:10" s="65" customFormat="1" ht="14" x14ac:dyDescent="0.35">
      <c r="A565" s="145"/>
      <c r="B565" s="93"/>
      <c r="C565" s="93"/>
      <c r="D565" s="93"/>
      <c r="E565" s="95"/>
      <c r="F565" s="95"/>
      <c r="G565" s="95"/>
      <c r="H565" s="93"/>
      <c r="I565" s="93"/>
      <c r="J565" s="93"/>
    </row>
    <row r="566" spans="1:10" s="65" customFormat="1" ht="14" x14ac:dyDescent="0.35">
      <c r="A566" s="145"/>
      <c r="B566" s="93"/>
      <c r="C566" s="93"/>
      <c r="D566" s="93"/>
      <c r="E566" s="95"/>
      <c r="F566" s="95"/>
      <c r="G566" s="95"/>
      <c r="H566" s="93"/>
      <c r="I566" s="93"/>
      <c r="J566" s="93"/>
    </row>
    <row r="567" spans="1:10" s="65" customFormat="1" ht="14" x14ac:dyDescent="0.35">
      <c r="A567" s="145"/>
      <c r="B567" s="93"/>
      <c r="C567" s="93"/>
      <c r="D567" s="93"/>
      <c r="E567" s="95"/>
      <c r="F567" s="95"/>
      <c r="G567" s="95"/>
      <c r="H567" s="93"/>
      <c r="I567" s="93"/>
      <c r="J567" s="93"/>
    </row>
    <row r="568" spans="1:10" s="65" customFormat="1" ht="14" x14ac:dyDescent="0.35">
      <c r="A568" s="145"/>
      <c r="B568" s="93"/>
      <c r="C568" s="93"/>
      <c r="D568" s="93"/>
      <c r="E568" s="95"/>
      <c r="F568" s="95"/>
      <c r="G568" s="95"/>
      <c r="H568" s="93"/>
      <c r="I568" s="93"/>
      <c r="J568" s="93"/>
    </row>
    <row r="569" spans="1:10" s="65" customFormat="1" ht="14" x14ac:dyDescent="0.35">
      <c r="A569" s="145"/>
      <c r="B569" s="93"/>
      <c r="C569" s="93"/>
      <c r="D569" s="93"/>
      <c r="E569" s="95"/>
      <c r="F569" s="95"/>
      <c r="G569" s="95"/>
      <c r="H569" s="93"/>
      <c r="I569" s="93"/>
      <c r="J569" s="93"/>
    </row>
    <row r="570" spans="1:10" s="65" customFormat="1" ht="14" x14ac:dyDescent="0.35">
      <c r="A570" s="145"/>
      <c r="B570" s="93"/>
      <c r="C570" s="93"/>
      <c r="D570" s="93"/>
      <c r="E570" s="95"/>
      <c r="F570" s="95"/>
      <c r="G570" s="95"/>
      <c r="H570" s="93"/>
      <c r="I570" s="93"/>
      <c r="J570" s="93"/>
    </row>
    <row r="571" spans="1:10" s="65" customFormat="1" ht="14" x14ac:dyDescent="0.35">
      <c r="A571" s="145"/>
      <c r="B571" s="93"/>
      <c r="C571" s="93"/>
      <c r="D571" s="93"/>
      <c r="E571" s="95"/>
      <c r="F571" s="95"/>
      <c r="G571" s="95"/>
      <c r="H571" s="93"/>
      <c r="I571" s="93"/>
      <c r="J571" s="93"/>
    </row>
    <row r="572" spans="1:10" s="65" customFormat="1" ht="14" x14ac:dyDescent="0.35">
      <c r="A572" s="145"/>
      <c r="B572" s="93"/>
      <c r="C572" s="93"/>
      <c r="D572" s="93"/>
      <c r="E572" s="95"/>
      <c r="F572" s="95"/>
      <c r="G572" s="95"/>
      <c r="H572" s="93"/>
      <c r="I572" s="93"/>
      <c r="J572" s="93"/>
    </row>
    <row r="573" spans="1:10" s="65" customFormat="1" ht="14" x14ac:dyDescent="0.35">
      <c r="A573" s="145"/>
      <c r="B573" s="93"/>
      <c r="C573" s="93"/>
      <c r="D573" s="93"/>
      <c r="E573" s="95"/>
      <c r="F573" s="95"/>
      <c r="G573" s="95"/>
      <c r="H573" s="93"/>
      <c r="I573" s="93"/>
      <c r="J573" s="93"/>
    </row>
    <row r="574" spans="1:10" s="65" customFormat="1" ht="14" x14ac:dyDescent="0.35">
      <c r="A574" s="145"/>
      <c r="B574" s="93"/>
      <c r="C574" s="93"/>
      <c r="D574" s="93"/>
      <c r="E574" s="95"/>
      <c r="F574" s="95"/>
      <c r="G574" s="95"/>
      <c r="H574" s="93"/>
      <c r="I574" s="93"/>
      <c r="J574" s="93"/>
    </row>
    <row r="575" spans="1:10" s="65" customFormat="1" ht="14" x14ac:dyDescent="0.35">
      <c r="A575" s="145"/>
      <c r="B575" s="93"/>
      <c r="C575" s="93"/>
      <c r="D575" s="93"/>
      <c r="E575" s="95"/>
      <c r="F575" s="95"/>
      <c r="G575" s="95"/>
      <c r="H575" s="93"/>
      <c r="I575" s="93"/>
      <c r="J575" s="93"/>
    </row>
    <row r="576" spans="1:10" s="65" customFormat="1" ht="14" x14ac:dyDescent="0.35">
      <c r="A576" s="145"/>
      <c r="B576" s="93"/>
      <c r="C576" s="93"/>
      <c r="D576" s="93"/>
      <c r="E576" s="95"/>
      <c r="F576" s="95"/>
      <c r="G576" s="95"/>
      <c r="H576" s="93"/>
      <c r="I576" s="93"/>
      <c r="J576" s="93"/>
    </row>
    <row r="577" spans="1:10" s="65" customFormat="1" ht="14" x14ac:dyDescent="0.35">
      <c r="A577" s="145"/>
      <c r="B577" s="93"/>
      <c r="C577" s="93"/>
      <c r="D577" s="93"/>
      <c r="E577" s="95"/>
      <c r="F577" s="95"/>
      <c r="G577" s="95"/>
      <c r="H577" s="93"/>
      <c r="I577" s="93"/>
      <c r="J577" s="93"/>
    </row>
    <row r="578" spans="1:10" s="65" customFormat="1" ht="14" x14ac:dyDescent="0.35">
      <c r="A578" s="145"/>
      <c r="B578" s="93"/>
      <c r="C578" s="93"/>
      <c r="D578" s="93"/>
      <c r="E578" s="95"/>
      <c r="F578" s="95"/>
      <c r="G578" s="95"/>
      <c r="H578" s="93"/>
      <c r="I578" s="93"/>
      <c r="J578" s="93"/>
    </row>
    <row r="579" spans="1:10" s="65" customFormat="1" ht="14" x14ac:dyDescent="0.35">
      <c r="A579" s="145"/>
      <c r="B579" s="93"/>
      <c r="C579" s="93"/>
      <c r="D579" s="93"/>
      <c r="E579" s="95"/>
      <c r="F579" s="95"/>
      <c r="G579" s="95"/>
      <c r="H579" s="93"/>
      <c r="I579" s="93"/>
      <c r="J579" s="93"/>
    </row>
    <row r="580" spans="1:10" s="65" customFormat="1" ht="14" x14ac:dyDescent="0.35">
      <c r="A580" s="145"/>
      <c r="B580" s="93"/>
      <c r="C580" s="93"/>
      <c r="D580" s="93"/>
      <c r="E580" s="95"/>
      <c r="F580" s="95"/>
      <c r="G580" s="95"/>
      <c r="H580" s="93"/>
      <c r="I580" s="93"/>
      <c r="J580" s="93"/>
    </row>
    <row r="581" spans="1:10" s="65" customFormat="1" ht="14" x14ac:dyDescent="0.35">
      <c r="A581" s="145"/>
      <c r="B581" s="93"/>
      <c r="C581" s="93"/>
      <c r="D581" s="93"/>
      <c r="E581" s="95"/>
      <c r="F581" s="95"/>
      <c r="G581" s="95"/>
      <c r="H581" s="93"/>
      <c r="I581" s="93"/>
      <c r="J581" s="93"/>
    </row>
    <row r="582" spans="1:10" s="65" customFormat="1" ht="14" x14ac:dyDescent="0.35">
      <c r="A582" s="145"/>
      <c r="B582" s="93"/>
      <c r="C582" s="93"/>
      <c r="D582" s="93"/>
      <c r="E582" s="95"/>
      <c r="F582" s="95"/>
      <c r="G582" s="95"/>
      <c r="H582" s="93"/>
      <c r="I582" s="93"/>
      <c r="J582" s="93"/>
    </row>
    <row r="583" spans="1:10" s="65" customFormat="1" ht="14" x14ac:dyDescent="0.35">
      <c r="A583" s="145"/>
      <c r="B583" s="93"/>
      <c r="C583" s="93"/>
      <c r="D583" s="93"/>
      <c r="E583" s="95"/>
      <c r="F583" s="95"/>
      <c r="G583" s="95"/>
      <c r="H583" s="93"/>
      <c r="I583" s="93"/>
      <c r="J583" s="93"/>
    </row>
    <row r="584" spans="1:10" s="65" customFormat="1" ht="14" x14ac:dyDescent="0.35">
      <c r="A584" s="145"/>
      <c r="B584" s="93"/>
      <c r="C584" s="93"/>
      <c r="D584" s="93"/>
      <c r="E584" s="95"/>
      <c r="F584" s="95"/>
      <c r="G584" s="95"/>
      <c r="H584" s="93"/>
      <c r="I584" s="93"/>
      <c r="J584" s="93"/>
    </row>
    <row r="585" spans="1:10" s="65" customFormat="1" ht="14" x14ac:dyDescent="0.35">
      <c r="A585" s="145"/>
      <c r="B585" s="93"/>
      <c r="C585" s="93"/>
      <c r="D585" s="93"/>
      <c r="E585" s="95"/>
      <c r="F585" s="95"/>
      <c r="G585" s="95"/>
      <c r="H585" s="93"/>
      <c r="I585" s="93"/>
      <c r="J585" s="93"/>
    </row>
    <row r="586" spans="1:10" s="65" customFormat="1" ht="14" x14ac:dyDescent="0.35">
      <c r="A586" s="145"/>
      <c r="B586" s="93"/>
      <c r="C586" s="93"/>
      <c r="D586" s="93"/>
      <c r="E586" s="95"/>
      <c r="F586" s="95"/>
      <c r="G586" s="95"/>
      <c r="H586" s="93"/>
      <c r="I586" s="93"/>
      <c r="J586" s="93"/>
    </row>
    <row r="587" spans="1:10" s="65" customFormat="1" ht="14" x14ac:dyDescent="0.35">
      <c r="A587" s="145"/>
      <c r="B587" s="93"/>
      <c r="C587" s="93"/>
      <c r="D587" s="93"/>
      <c r="E587" s="95"/>
      <c r="F587" s="95"/>
      <c r="G587" s="95"/>
      <c r="H587" s="93"/>
      <c r="I587" s="93"/>
      <c r="J587" s="93"/>
    </row>
    <row r="588" spans="1:10" s="65" customFormat="1" ht="14" x14ac:dyDescent="0.35">
      <c r="A588" s="145"/>
      <c r="B588" s="93"/>
      <c r="C588" s="93"/>
      <c r="D588" s="93"/>
      <c r="E588" s="95"/>
      <c r="F588" s="95"/>
      <c r="G588" s="95"/>
      <c r="H588" s="93"/>
      <c r="I588" s="93"/>
      <c r="J588" s="93"/>
    </row>
    <row r="589" spans="1:10" s="65" customFormat="1" ht="14" x14ac:dyDescent="0.35">
      <c r="A589" s="145"/>
      <c r="B589" s="93"/>
      <c r="C589" s="93"/>
      <c r="D589" s="93"/>
      <c r="E589" s="95"/>
      <c r="F589" s="95"/>
      <c r="G589" s="95"/>
      <c r="H589" s="93"/>
      <c r="I589" s="93"/>
      <c r="J589" s="93"/>
    </row>
    <row r="590" spans="1:10" s="65" customFormat="1" ht="14" x14ac:dyDescent="0.35">
      <c r="A590" s="145"/>
      <c r="B590" s="93"/>
      <c r="C590" s="93"/>
      <c r="D590" s="93"/>
      <c r="E590" s="95"/>
      <c r="F590" s="95"/>
      <c r="G590" s="95"/>
      <c r="H590" s="93"/>
      <c r="I590" s="93"/>
      <c r="J590" s="93"/>
    </row>
    <row r="591" spans="1:10" s="65" customFormat="1" ht="14" x14ac:dyDescent="0.35">
      <c r="A591" s="145"/>
      <c r="B591" s="93"/>
      <c r="C591" s="93"/>
      <c r="D591" s="93"/>
      <c r="E591" s="95"/>
      <c r="F591" s="95"/>
      <c r="G591" s="95"/>
      <c r="H591" s="93"/>
      <c r="I591" s="93"/>
      <c r="J591" s="93"/>
    </row>
    <row r="592" spans="1:10" s="65" customFormat="1" ht="14" x14ac:dyDescent="0.35">
      <c r="A592" s="145"/>
      <c r="B592" s="93"/>
      <c r="C592" s="93"/>
      <c r="D592" s="93"/>
      <c r="E592" s="95"/>
      <c r="F592" s="95"/>
      <c r="G592" s="95"/>
      <c r="H592" s="93"/>
      <c r="I592" s="93"/>
      <c r="J592" s="93"/>
    </row>
    <row r="593" spans="1:10" s="65" customFormat="1" ht="14" x14ac:dyDescent="0.35">
      <c r="A593" s="145"/>
      <c r="B593" s="93"/>
      <c r="C593" s="93"/>
      <c r="D593" s="93"/>
      <c r="E593" s="95"/>
      <c r="F593" s="95"/>
      <c r="G593" s="95"/>
      <c r="H593" s="93"/>
      <c r="I593" s="93"/>
      <c r="J593" s="93"/>
    </row>
    <row r="594" spans="1:10" s="65" customFormat="1" ht="14" x14ac:dyDescent="0.35">
      <c r="A594" s="145"/>
      <c r="B594" s="93"/>
      <c r="C594" s="93"/>
      <c r="D594" s="93"/>
      <c r="E594" s="95"/>
      <c r="F594" s="95"/>
      <c r="G594" s="95"/>
      <c r="H594" s="93"/>
      <c r="I594" s="93"/>
      <c r="J594" s="93"/>
    </row>
    <row r="595" spans="1:10" s="65" customFormat="1" ht="14" x14ac:dyDescent="0.35">
      <c r="A595" s="145"/>
      <c r="B595" s="93"/>
      <c r="C595" s="93"/>
      <c r="D595" s="93"/>
      <c r="E595" s="95"/>
      <c r="F595" s="95"/>
      <c r="G595" s="95"/>
      <c r="H595" s="93"/>
      <c r="I595" s="93"/>
      <c r="J595" s="93"/>
    </row>
    <row r="596" spans="1:10" s="65" customFormat="1" ht="14" x14ac:dyDescent="0.35">
      <c r="A596" s="145"/>
      <c r="B596" s="93"/>
      <c r="C596" s="93"/>
      <c r="D596" s="93"/>
      <c r="E596" s="95"/>
      <c r="F596" s="95"/>
      <c r="G596" s="95"/>
      <c r="H596" s="93"/>
      <c r="I596" s="93"/>
      <c r="J596" s="93"/>
    </row>
    <row r="597" spans="1:10" s="65" customFormat="1" ht="14" x14ac:dyDescent="0.35">
      <c r="A597" s="145"/>
      <c r="B597" s="93"/>
      <c r="C597" s="93"/>
      <c r="D597" s="93"/>
      <c r="E597" s="95"/>
      <c r="F597" s="95"/>
      <c r="G597" s="95"/>
      <c r="H597" s="93"/>
      <c r="I597" s="93"/>
      <c r="J597" s="93"/>
    </row>
    <row r="598" spans="1:10" s="65" customFormat="1" ht="14" x14ac:dyDescent="0.35">
      <c r="A598" s="145"/>
      <c r="B598" s="93"/>
      <c r="C598" s="93"/>
      <c r="D598" s="93"/>
      <c r="E598" s="95"/>
      <c r="F598" s="95"/>
      <c r="G598" s="95"/>
      <c r="H598" s="93"/>
      <c r="I598" s="93"/>
      <c r="J598" s="93"/>
    </row>
    <row r="599" spans="1:10" s="65" customFormat="1" ht="14" x14ac:dyDescent="0.35">
      <c r="A599" s="145"/>
      <c r="B599" s="93"/>
      <c r="C599" s="93"/>
      <c r="D599" s="93"/>
      <c r="E599" s="95"/>
      <c r="F599" s="95"/>
      <c r="G599" s="95"/>
      <c r="H599" s="93"/>
      <c r="I599" s="93"/>
      <c r="J599" s="93"/>
    </row>
    <row r="600" spans="1:10" s="65" customFormat="1" ht="14" x14ac:dyDescent="0.35">
      <c r="A600" s="145"/>
      <c r="B600" s="93"/>
      <c r="C600" s="93"/>
      <c r="D600" s="93"/>
      <c r="E600" s="95"/>
      <c r="F600" s="95"/>
      <c r="G600" s="95"/>
      <c r="H600" s="93"/>
      <c r="I600" s="93"/>
      <c r="J600" s="93"/>
    </row>
    <row r="601" spans="1:10" s="65" customFormat="1" ht="14" x14ac:dyDescent="0.35">
      <c r="A601" s="145"/>
      <c r="B601" s="93"/>
      <c r="C601" s="93"/>
      <c r="D601" s="93"/>
      <c r="E601" s="95"/>
      <c r="F601" s="95"/>
      <c r="G601" s="95"/>
      <c r="H601" s="93"/>
      <c r="I601" s="93"/>
      <c r="J601" s="93"/>
    </row>
    <row r="602" spans="1:10" s="65" customFormat="1" ht="14" x14ac:dyDescent="0.35">
      <c r="A602" s="145"/>
      <c r="B602" s="93"/>
      <c r="C602" s="93"/>
      <c r="D602" s="93"/>
      <c r="E602" s="95"/>
      <c r="F602" s="95"/>
      <c r="G602" s="95"/>
      <c r="H602" s="93"/>
      <c r="I602" s="93"/>
      <c r="J602" s="93"/>
    </row>
    <row r="603" spans="1:10" s="65" customFormat="1" ht="14" x14ac:dyDescent="0.35">
      <c r="A603" s="145"/>
      <c r="B603" s="93"/>
      <c r="C603" s="93"/>
      <c r="D603" s="93"/>
      <c r="E603" s="95"/>
      <c r="F603" s="95"/>
      <c r="G603" s="95"/>
      <c r="H603" s="93"/>
      <c r="I603" s="93"/>
      <c r="J603" s="93"/>
    </row>
    <row r="604" spans="1:10" s="65" customFormat="1" ht="14" x14ac:dyDescent="0.35">
      <c r="A604" s="145"/>
      <c r="B604" s="93"/>
      <c r="C604" s="93"/>
      <c r="D604" s="93"/>
      <c r="E604" s="95"/>
      <c r="F604" s="95"/>
      <c r="G604" s="95"/>
      <c r="H604" s="93"/>
      <c r="I604" s="93"/>
      <c r="J604" s="93"/>
    </row>
    <row r="605" spans="1:10" s="65" customFormat="1" ht="14" x14ac:dyDescent="0.35">
      <c r="A605" s="145"/>
      <c r="B605" s="93"/>
      <c r="C605" s="93"/>
      <c r="D605" s="93"/>
      <c r="E605" s="95"/>
      <c r="F605" s="95"/>
      <c r="G605" s="95"/>
      <c r="H605" s="93"/>
      <c r="I605" s="93"/>
      <c r="J605" s="93"/>
    </row>
    <row r="606" spans="1:10" s="65" customFormat="1" ht="14" x14ac:dyDescent="0.35">
      <c r="A606" s="145"/>
      <c r="B606" s="93"/>
      <c r="C606" s="93"/>
      <c r="D606" s="93"/>
      <c r="E606" s="95"/>
      <c r="F606" s="95"/>
      <c r="G606" s="95"/>
      <c r="H606" s="93"/>
      <c r="I606" s="93"/>
      <c r="J606" s="93"/>
    </row>
    <row r="607" spans="1:10" s="65" customFormat="1" ht="14" x14ac:dyDescent="0.35">
      <c r="A607" s="145"/>
      <c r="B607" s="93"/>
      <c r="C607" s="93"/>
      <c r="D607" s="93"/>
      <c r="E607" s="95"/>
      <c r="F607" s="95"/>
      <c r="G607" s="95"/>
      <c r="H607" s="93"/>
      <c r="I607" s="93"/>
      <c r="J607" s="93"/>
    </row>
    <row r="608" spans="1:10" s="65" customFormat="1" ht="14" x14ac:dyDescent="0.35">
      <c r="A608" s="145"/>
      <c r="B608" s="93"/>
      <c r="C608" s="93"/>
      <c r="D608" s="93"/>
      <c r="E608" s="95"/>
      <c r="F608" s="95"/>
      <c r="G608" s="95"/>
      <c r="H608" s="93"/>
      <c r="I608" s="93"/>
      <c r="J608" s="93"/>
    </row>
    <row r="609" spans="1:10" s="65" customFormat="1" ht="14" x14ac:dyDescent="0.35">
      <c r="A609" s="145"/>
      <c r="B609" s="93"/>
      <c r="C609" s="93"/>
      <c r="D609" s="93"/>
      <c r="E609" s="95"/>
      <c r="F609" s="95"/>
      <c r="G609" s="95"/>
      <c r="H609" s="93"/>
      <c r="I609" s="93"/>
      <c r="J609" s="93"/>
    </row>
    <row r="610" spans="1:10" s="65" customFormat="1" ht="14" x14ac:dyDescent="0.35">
      <c r="A610" s="145"/>
      <c r="B610" s="93"/>
      <c r="C610" s="93"/>
      <c r="D610" s="93"/>
      <c r="E610" s="95"/>
      <c r="F610" s="95"/>
      <c r="G610" s="95"/>
      <c r="H610" s="93"/>
      <c r="I610" s="93"/>
      <c r="J610" s="93"/>
    </row>
    <row r="611" spans="1:10" s="65" customFormat="1" ht="14" x14ac:dyDescent="0.35">
      <c r="A611" s="145"/>
      <c r="B611" s="93"/>
      <c r="C611" s="93"/>
      <c r="D611" s="93"/>
      <c r="E611" s="95"/>
      <c r="F611" s="95"/>
      <c r="G611" s="95"/>
      <c r="H611" s="93"/>
      <c r="I611" s="93"/>
      <c r="J611" s="93"/>
    </row>
    <row r="612" spans="1:10" s="65" customFormat="1" ht="14" x14ac:dyDescent="0.35">
      <c r="A612" s="145"/>
      <c r="B612" s="93"/>
      <c r="C612" s="93"/>
      <c r="D612" s="93"/>
      <c r="E612" s="95"/>
      <c r="F612" s="95"/>
      <c r="G612" s="95"/>
      <c r="H612" s="93"/>
      <c r="I612" s="93"/>
      <c r="J612" s="93"/>
    </row>
    <row r="613" spans="1:10" s="65" customFormat="1" ht="14" x14ac:dyDescent="0.35">
      <c r="A613" s="145"/>
      <c r="B613" s="93"/>
      <c r="C613" s="93"/>
      <c r="D613" s="93"/>
      <c r="E613" s="95"/>
      <c r="F613" s="95"/>
      <c r="G613" s="95"/>
      <c r="H613" s="93"/>
      <c r="I613" s="93"/>
      <c r="J613" s="93"/>
    </row>
    <row r="614" spans="1:10" s="65" customFormat="1" ht="14" x14ac:dyDescent="0.35">
      <c r="A614" s="145"/>
      <c r="B614" s="93"/>
      <c r="C614" s="93"/>
      <c r="D614" s="93"/>
      <c r="E614" s="95"/>
      <c r="F614" s="95"/>
      <c r="G614" s="95"/>
      <c r="H614" s="93"/>
      <c r="I614" s="93"/>
      <c r="J614" s="93"/>
    </row>
    <row r="615" spans="1:10" s="65" customFormat="1" ht="14" x14ac:dyDescent="0.35">
      <c r="A615" s="145"/>
      <c r="B615" s="93"/>
      <c r="C615" s="93"/>
      <c r="D615" s="93"/>
      <c r="E615" s="95"/>
      <c r="F615" s="95"/>
      <c r="G615" s="95"/>
      <c r="H615" s="93"/>
      <c r="I615" s="93"/>
      <c r="J615" s="93"/>
    </row>
    <row r="616" spans="1:10" s="65" customFormat="1" ht="14" x14ac:dyDescent="0.35">
      <c r="A616" s="145"/>
      <c r="B616" s="93"/>
      <c r="C616" s="93"/>
      <c r="D616" s="93"/>
      <c r="E616" s="95"/>
      <c r="F616" s="95"/>
      <c r="G616" s="95"/>
      <c r="H616" s="93"/>
      <c r="I616" s="93"/>
      <c r="J616" s="93"/>
    </row>
    <row r="617" spans="1:10" s="65" customFormat="1" ht="14" x14ac:dyDescent="0.35">
      <c r="A617" s="145"/>
      <c r="B617" s="93"/>
      <c r="C617" s="93"/>
      <c r="D617" s="93"/>
      <c r="E617" s="95"/>
      <c r="F617" s="95"/>
      <c r="G617" s="95"/>
      <c r="H617" s="93"/>
      <c r="I617" s="93"/>
      <c r="J617" s="93"/>
    </row>
    <row r="618" spans="1:10" s="65" customFormat="1" ht="14" x14ac:dyDescent="0.35">
      <c r="A618" s="145"/>
      <c r="B618" s="93"/>
      <c r="C618" s="93"/>
      <c r="D618" s="93"/>
      <c r="E618" s="95"/>
      <c r="F618" s="95"/>
      <c r="G618" s="95"/>
      <c r="H618" s="93"/>
      <c r="I618" s="93"/>
      <c r="J618" s="93"/>
    </row>
    <row r="619" spans="1:10" s="65" customFormat="1" ht="14" x14ac:dyDescent="0.35">
      <c r="A619" s="145"/>
      <c r="B619" s="93"/>
      <c r="C619" s="93"/>
      <c r="D619" s="93"/>
      <c r="E619" s="95"/>
      <c r="F619" s="95"/>
      <c r="G619" s="95"/>
      <c r="H619" s="93"/>
      <c r="I619" s="93"/>
      <c r="J619" s="93"/>
    </row>
    <row r="620" spans="1:10" s="65" customFormat="1" ht="14" x14ac:dyDescent="0.35">
      <c r="A620" s="145"/>
      <c r="B620" s="93"/>
      <c r="C620" s="93"/>
      <c r="D620" s="93"/>
      <c r="E620" s="95"/>
      <c r="F620" s="95"/>
      <c r="G620" s="95"/>
      <c r="H620" s="93"/>
      <c r="I620" s="93"/>
      <c r="J620" s="93"/>
    </row>
    <row r="621" spans="1:10" s="65" customFormat="1" ht="14" x14ac:dyDescent="0.35">
      <c r="A621" s="145"/>
      <c r="B621" s="93"/>
      <c r="C621" s="93"/>
      <c r="D621" s="93"/>
      <c r="E621" s="95"/>
      <c r="F621" s="95"/>
      <c r="G621" s="95"/>
      <c r="H621" s="93"/>
      <c r="I621" s="93"/>
      <c r="J621" s="93"/>
    </row>
    <row r="622" spans="1:10" s="65" customFormat="1" ht="14" x14ac:dyDescent="0.35">
      <c r="A622" s="145"/>
      <c r="B622" s="93"/>
      <c r="C622" s="93"/>
      <c r="D622" s="93"/>
      <c r="E622" s="95"/>
      <c r="F622" s="95"/>
      <c r="G622" s="95"/>
      <c r="H622" s="93"/>
      <c r="I622" s="93"/>
      <c r="J622" s="93"/>
    </row>
    <row r="623" spans="1:10" s="65" customFormat="1" ht="14" x14ac:dyDescent="0.35">
      <c r="A623" s="145"/>
      <c r="B623" s="93"/>
      <c r="C623" s="93"/>
      <c r="D623" s="93"/>
      <c r="E623" s="95"/>
      <c r="F623" s="95"/>
      <c r="G623" s="95"/>
      <c r="H623" s="93"/>
      <c r="I623" s="93"/>
      <c r="J623" s="93"/>
    </row>
    <row r="624" spans="1:10" s="65" customFormat="1" ht="14" x14ac:dyDescent="0.35">
      <c r="A624" s="145"/>
      <c r="B624" s="93"/>
      <c r="C624" s="93"/>
      <c r="D624" s="93"/>
      <c r="E624" s="95"/>
      <c r="F624" s="95"/>
      <c r="G624" s="95"/>
      <c r="H624" s="93"/>
      <c r="I624" s="93"/>
      <c r="J624" s="93"/>
    </row>
    <row r="625" spans="1:10" s="65" customFormat="1" ht="14" x14ac:dyDescent="0.35">
      <c r="A625" s="145"/>
      <c r="B625" s="93"/>
      <c r="C625" s="93"/>
      <c r="D625" s="93"/>
      <c r="E625" s="95"/>
      <c r="F625" s="95"/>
      <c r="G625" s="95"/>
      <c r="H625" s="93"/>
      <c r="I625" s="93"/>
      <c r="J625" s="93"/>
    </row>
    <row r="626" spans="1:10" s="65" customFormat="1" ht="14" x14ac:dyDescent="0.35">
      <c r="A626" s="145"/>
      <c r="B626" s="93"/>
      <c r="C626" s="93"/>
      <c r="D626" s="93"/>
      <c r="E626" s="95"/>
      <c r="F626" s="95"/>
      <c r="G626" s="95"/>
      <c r="H626" s="93"/>
      <c r="I626" s="93"/>
      <c r="J626" s="93"/>
    </row>
    <row r="627" spans="1:10" s="65" customFormat="1" ht="14" x14ac:dyDescent="0.35">
      <c r="A627" s="145"/>
      <c r="B627" s="93"/>
      <c r="C627" s="93"/>
      <c r="D627" s="93"/>
      <c r="E627" s="95"/>
      <c r="F627" s="95"/>
      <c r="G627" s="95"/>
      <c r="H627" s="93"/>
      <c r="I627" s="93"/>
      <c r="J627" s="93"/>
    </row>
    <row r="628" spans="1:10" s="65" customFormat="1" ht="14" x14ac:dyDescent="0.35">
      <c r="A628" s="145"/>
      <c r="B628" s="93"/>
      <c r="C628" s="93"/>
      <c r="D628" s="93"/>
      <c r="E628" s="95"/>
      <c r="F628" s="95"/>
      <c r="G628" s="95"/>
      <c r="H628" s="93"/>
      <c r="I628" s="93"/>
      <c r="J628" s="93"/>
    </row>
    <row r="629" spans="1:10" s="65" customFormat="1" ht="14" x14ac:dyDescent="0.35">
      <c r="A629" s="145"/>
      <c r="B629" s="93"/>
      <c r="C629" s="93"/>
      <c r="D629" s="93"/>
      <c r="E629" s="95"/>
      <c r="F629" s="95"/>
      <c r="G629" s="95"/>
      <c r="H629" s="93"/>
      <c r="I629" s="93"/>
      <c r="J629" s="93"/>
    </row>
    <row r="630" spans="1:10" s="65" customFormat="1" ht="14" x14ac:dyDescent="0.35">
      <c r="A630" s="145"/>
      <c r="B630" s="93"/>
      <c r="C630" s="93"/>
      <c r="D630" s="93"/>
      <c r="E630" s="95"/>
      <c r="F630" s="95"/>
      <c r="G630" s="95"/>
      <c r="H630" s="93"/>
      <c r="I630" s="93"/>
      <c r="J630" s="93"/>
    </row>
    <row r="631" spans="1:10" s="65" customFormat="1" ht="14" x14ac:dyDescent="0.35">
      <c r="A631" s="145"/>
      <c r="B631" s="93"/>
      <c r="C631" s="93"/>
      <c r="D631" s="93"/>
      <c r="E631" s="95"/>
      <c r="F631" s="95"/>
      <c r="G631" s="95"/>
      <c r="H631" s="93"/>
      <c r="I631" s="93"/>
      <c r="J631" s="93"/>
    </row>
    <row r="632" spans="1:10" s="65" customFormat="1" ht="14" x14ac:dyDescent="0.35">
      <c r="A632" s="145"/>
      <c r="B632" s="93"/>
      <c r="C632" s="93"/>
      <c r="D632" s="93"/>
      <c r="E632" s="95"/>
      <c r="F632" s="95"/>
      <c r="G632" s="95"/>
      <c r="H632" s="93"/>
      <c r="I632" s="93"/>
      <c r="J632" s="93"/>
    </row>
    <row r="633" spans="1:10" s="65" customFormat="1" ht="14" x14ac:dyDescent="0.35">
      <c r="A633" s="145"/>
      <c r="B633" s="93"/>
      <c r="C633" s="93"/>
      <c r="D633" s="93"/>
      <c r="E633" s="95"/>
      <c r="F633" s="95"/>
      <c r="G633" s="95"/>
      <c r="H633" s="93"/>
      <c r="I633" s="93"/>
      <c r="J633" s="93"/>
    </row>
    <row r="634" spans="1:10" s="65" customFormat="1" ht="14" x14ac:dyDescent="0.35">
      <c r="A634" s="145"/>
      <c r="B634" s="93"/>
      <c r="C634" s="93"/>
      <c r="D634" s="93"/>
      <c r="E634" s="95"/>
      <c r="F634" s="95"/>
      <c r="G634" s="95"/>
      <c r="H634" s="93"/>
      <c r="I634" s="93"/>
      <c r="J634" s="93"/>
    </row>
    <row r="635" spans="1:10" s="65" customFormat="1" ht="14" x14ac:dyDescent="0.35">
      <c r="A635" s="145"/>
      <c r="B635" s="93"/>
      <c r="C635" s="93"/>
      <c r="D635" s="93"/>
      <c r="E635" s="95"/>
      <c r="F635" s="95"/>
      <c r="G635" s="95"/>
      <c r="H635" s="93"/>
      <c r="I635" s="93"/>
      <c r="J635" s="93"/>
    </row>
    <row r="636" spans="1:10" s="65" customFormat="1" ht="14" x14ac:dyDescent="0.35">
      <c r="A636" s="145"/>
      <c r="B636" s="93"/>
      <c r="C636" s="93"/>
      <c r="D636" s="93"/>
      <c r="E636" s="95"/>
      <c r="F636" s="95"/>
      <c r="G636" s="95"/>
      <c r="H636" s="93"/>
      <c r="I636" s="93"/>
      <c r="J636" s="93"/>
    </row>
    <row r="637" spans="1:10" s="65" customFormat="1" ht="14" x14ac:dyDescent="0.35">
      <c r="A637" s="145"/>
      <c r="B637" s="93"/>
      <c r="C637" s="93"/>
      <c r="D637" s="93"/>
      <c r="E637" s="95"/>
      <c r="F637" s="95"/>
      <c r="G637" s="95"/>
      <c r="H637" s="93"/>
      <c r="I637" s="93"/>
      <c r="J637" s="93"/>
    </row>
    <row r="638" spans="1:10" s="65" customFormat="1" ht="14" x14ac:dyDescent="0.35">
      <c r="A638" s="145"/>
      <c r="B638" s="93"/>
      <c r="C638" s="93"/>
      <c r="D638" s="93"/>
      <c r="E638" s="95"/>
      <c r="F638" s="95"/>
      <c r="G638" s="95"/>
      <c r="H638" s="93"/>
      <c r="I638" s="93"/>
      <c r="J638" s="93"/>
    </row>
    <row r="639" spans="1:10" s="65" customFormat="1" ht="14" x14ac:dyDescent="0.35">
      <c r="A639" s="145"/>
      <c r="B639" s="93"/>
      <c r="C639" s="93"/>
      <c r="D639" s="93"/>
      <c r="E639" s="95"/>
      <c r="F639" s="95"/>
      <c r="G639" s="95"/>
      <c r="H639" s="93"/>
      <c r="I639" s="93"/>
      <c r="J639" s="93"/>
    </row>
    <row r="640" spans="1:10" s="65" customFormat="1" ht="14" x14ac:dyDescent="0.35">
      <c r="A640" s="145"/>
      <c r="B640" s="93"/>
      <c r="C640" s="93"/>
      <c r="D640" s="93"/>
      <c r="E640" s="95"/>
      <c r="F640" s="95"/>
      <c r="G640" s="95"/>
      <c r="H640" s="93"/>
      <c r="I640" s="93"/>
      <c r="J640" s="93"/>
    </row>
    <row r="641" spans="1:10" s="65" customFormat="1" ht="14" x14ac:dyDescent="0.35">
      <c r="A641" s="145"/>
      <c r="B641" s="93"/>
      <c r="C641" s="93"/>
      <c r="D641" s="93"/>
      <c r="E641" s="95"/>
      <c r="F641" s="95"/>
      <c r="G641" s="95"/>
      <c r="H641" s="93"/>
      <c r="I641" s="93"/>
      <c r="J641" s="93"/>
    </row>
    <row r="642" spans="1:10" s="65" customFormat="1" ht="14" x14ac:dyDescent="0.35">
      <c r="A642" s="145"/>
      <c r="B642" s="93"/>
      <c r="C642" s="93"/>
      <c r="D642" s="93"/>
      <c r="E642" s="95"/>
      <c r="F642" s="95"/>
      <c r="G642" s="95"/>
      <c r="H642" s="93"/>
      <c r="I642" s="93"/>
      <c r="J642" s="93"/>
    </row>
    <row r="643" spans="1:10" s="65" customFormat="1" ht="14" x14ac:dyDescent="0.35">
      <c r="A643" s="145"/>
      <c r="B643" s="93"/>
      <c r="C643" s="93"/>
      <c r="D643" s="93"/>
      <c r="E643" s="95"/>
      <c r="F643" s="95"/>
      <c r="G643" s="95"/>
      <c r="H643" s="93"/>
      <c r="I643" s="93"/>
      <c r="J643" s="93"/>
    </row>
    <row r="644" spans="1:10" s="65" customFormat="1" ht="14" x14ac:dyDescent="0.35">
      <c r="A644" s="145"/>
      <c r="B644" s="93"/>
      <c r="C644" s="93"/>
      <c r="D644" s="93"/>
      <c r="E644" s="95"/>
      <c r="F644" s="95"/>
      <c r="G644" s="95"/>
      <c r="H644" s="93"/>
      <c r="I644" s="93"/>
      <c r="J644" s="93"/>
    </row>
    <row r="645" spans="1:10" s="65" customFormat="1" ht="14" x14ac:dyDescent="0.35">
      <c r="A645" s="145"/>
      <c r="B645" s="93"/>
      <c r="C645" s="93"/>
      <c r="D645" s="93"/>
      <c r="E645" s="95"/>
      <c r="F645" s="95"/>
      <c r="G645" s="95"/>
      <c r="H645" s="93"/>
      <c r="I645" s="93"/>
      <c r="J645" s="93"/>
    </row>
    <row r="646" spans="1:10" s="65" customFormat="1" ht="14" x14ac:dyDescent="0.35">
      <c r="A646" s="145"/>
      <c r="B646" s="93"/>
      <c r="C646" s="93"/>
      <c r="D646" s="93"/>
      <c r="E646" s="95"/>
      <c r="F646" s="95"/>
      <c r="G646" s="95"/>
      <c r="H646" s="93"/>
      <c r="I646" s="93"/>
      <c r="J646" s="93"/>
    </row>
    <row r="647" spans="1:10" s="65" customFormat="1" ht="14" x14ac:dyDescent="0.35">
      <c r="A647" s="145"/>
      <c r="B647" s="93"/>
      <c r="C647" s="93"/>
      <c r="D647" s="93"/>
      <c r="E647" s="95"/>
      <c r="F647" s="95"/>
      <c r="G647" s="95"/>
      <c r="H647" s="93"/>
      <c r="I647" s="93"/>
      <c r="J647" s="93"/>
    </row>
    <row r="648" spans="1:10" s="65" customFormat="1" ht="14" x14ac:dyDescent="0.35">
      <c r="A648" s="145"/>
      <c r="B648" s="93"/>
      <c r="C648" s="93"/>
      <c r="D648" s="93"/>
      <c r="E648" s="95"/>
      <c r="F648" s="95"/>
      <c r="G648" s="95"/>
      <c r="H648" s="93"/>
      <c r="I648" s="93"/>
      <c r="J648" s="93"/>
    </row>
    <row r="649" spans="1:10" s="65" customFormat="1" ht="14" x14ac:dyDescent="0.35">
      <c r="A649" s="145"/>
      <c r="B649" s="93"/>
      <c r="C649" s="93"/>
      <c r="D649" s="93"/>
      <c r="E649" s="95"/>
      <c r="F649" s="95"/>
      <c r="G649" s="95"/>
      <c r="H649" s="93"/>
      <c r="I649" s="93"/>
      <c r="J649" s="93"/>
    </row>
    <row r="650" spans="1:10" s="65" customFormat="1" ht="14" x14ac:dyDescent="0.35">
      <c r="A650" s="145"/>
      <c r="B650" s="93"/>
      <c r="C650" s="93"/>
      <c r="D650" s="93"/>
      <c r="E650" s="95"/>
      <c r="F650" s="95"/>
      <c r="G650" s="95"/>
      <c r="H650" s="93"/>
      <c r="I650" s="93"/>
      <c r="J650" s="93"/>
    </row>
    <row r="651" spans="1:10" s="65" customFormat="1" ht="14" x14ac:dyDescent="0.35">
      <c r="A651" s="145"/>
      <c r="B651" s="93"/>
      <c r="C651" s="93"/>
      <c r="D651" s="93"/>
      <c r="E651" s="95"/>
      <c r="F651" s="95"/>
      <c r="G651" s="95"/>
      <c r="H651" s="93"/>
      <c r="I651" s="93"/>
      <c r="J651" s="93"/>
    </row>
    <row r="652" spans="1:10" s="65" customFormat="1" ht="14" x14ac:dyDescent="0.35">
      <c r="A652" s="145"/>
      <c r="B652" s="93"/>
      <c r="C652" s="93"/>
      <c r="D652" s="93"/>
      <c r="E652" s="95"/>
      <c r="F652" s="95"/>
      <c r="G652" s="95"/>
      <c r="H652" s="93"/>
      <c r="I652" s="93"/>
      <c r="J652" s="93"/>
    </row>
    <row r="653" spans="1:10" s="65" customFormat="1" ht="14" x14ac:dyDescent="0.35">
      <c r="A653" s="145"/>
      <c r="B653" s="93"/>
      <c r="C653" s="93"/>
      <c r="D653" s="93"/>
      <c r="E653" s="95"/>
      <c r="F653" s="95"/>
      <c r="G653" s="95"/>
      <c r="H653" s="93"/>
      <c r="I653" s="93"/>
      <c r="J653" s="93"/>
    </row>
    <row r="654" spans="1:10" s="65" customFormat="1" ht="14" x14ac:dyDescent="0.35">
      <c r="A654" s="145"/>
      <c r="B654" s="93"/>
      <c r="C654" s="93"/>
      <c r="D654" s="93"/>
      <c r="E654" s="95"/>
      <c r="F654" s="95"/>
      <c r="G654" s="95"/>
      <c r="H654" s="93"/>
      <c r="I654" s="93"/>
      <c r="J654" s="93"/>
    </row>
    <row r="655" spans="1:10" s="65" customFormat="1" ht="14" x14ac:dyDescent="0.35">
      <c r="A655" s="145"/>
      <c r="B655" s="93"/>
      <c r="C655" s="93"/>
      <c r="D655" s="93"/>
      <c r="E655" s="95"/>
      <c r="F655" s="95"/>
      <c r="G655" s="95"/>
      <c r="H655" s="93"/>
      <c r="I655" s="93"/>
      <c r="J655" s="93"/>
    </row>
    <row r="656" spans="1:10" s="65" customFormat="1" ht="14" x14ac:dyDescent="0.35">
      <c r="A656" s="145"/>
      <c r="B656" s="93"/>
      <c r="C656" s="93"/>
      <c r="D656" s="93"/>
      <c r="E656" s="95"/>
      <c r="F656" s="95"/>
      <c r="G656" s="95"/>
      <c r="H656" s="93"/>
      <c r="I656" s="93"/>
      <c r="J656" s="93"/>
    </row>
    <row r="657" spans="1:10" s="65" customFormat="1" ht="14" x14ac:dyDescent="0.35">
      <c r="A657" s="145"/>
      <c r="B657" s="93"/>
      <c r="C657" s="93"/>
      <c r="D657" s="93"/>
      <c r="E657" s="95"/>
      <c r="F657" s="95"/>
      <c r="G657" s="95"/>
      <c r="H657" s="93"/>
      <c r="I657" s="93"/>
      <c r="J657" s="93"/>
    </row>
    <row r="658" spans="1:10" s="65" customFormat="1" ht="14" x14ac:dyDescent="0.35">
      <c r="A658" s="145"/>
      <c r="B658" s="93"/>
      <c r="C658" s="93"/>
      <c r="D658" s="93"/>
      <c r="E658" s="95"/>
      <c r="F658" s="95"/>
      <c r="G658" s="95"/>
      <c r="H658" s="93"/>
      <c r="I658" s="93"/>
      <c r="J658" s="93"/>
    </row>
    <row r="659" spans="1:10" s="65" customFormat="1" ht="14" x14ac:dyDescent="0.35">
      <c r="A659" s="145"/>
      <c r="B659" s="93"/>
      <c r="C659" s="93"/>
      <c r="D659" s="93"/>
      <c r="E659" s="95"/>
      <c r="F659" s="95"/>
      <c r="G659" s="95"/>
      <c r="H659" s="93"/>
      <c r="I659" s="93"/>
      <c r="J659" s="93"/>
    </row>
    <row r="660" spans="1:10" s="65" customFormat="1" ht="14" x14ac:dyDescent="0.35">
      <c r="A660" s="145"/>
      <c r="B660" s="93"/>
      <c r="C660" s="93"/>
      <c r="D660" s="93"/>
      <c r="E660" s="95"/>
      <c r="F660" s="95"/>
      <c r="G660" s="95"/>
      <c r="H660" s="93"/>
      <c r="I660" s="93"/>
      <c r="J660" s="93"/>
    </row>
    <row r="661" spans="1:10" s="65" customFormat="1" ht="14" x14ac:dyDescent="0.35">
      <c r="A661" s="145"/>
      <c r="B661" s="93"/>
      <c r="C661" s="93"/>
      <c r="D661" s="93"/>
      <c r="E661" s="95"/>
      <c r="F661" s="95"/>
      <c r="G661" s="95"/>
      <c r="H661" s="93"/>
      <c r="I661" s="93"/>
      <c r="J661" s="93"/>
    </row>
    <row r="662" spans="1:10" s="65" customFormat="1" ht="14" x14ac:dyDescent="0.35">
      <c r="A662" s="145"/>
      <c r="B662" s="93"/>
      <c r="C662" s="93"/>
      <c r="D662" s="93"/>
      <c r="E662" s="95"/>
      <c r="F662" s="95"/>
      <c r="G662" s="95"/>
      <c r="H662" s="93"/>
      <c r="I662" s="93"/>
      <c r="J662" s="93"/>
    </row>
    <row r="663" spans="1:10" s="65" customFormat="1" ht="14" x14ac:dyDescent="0.35">
      <c r="A663" s="145"/>
      <c r="B663" s="93"/>
      <c r="C663" s="93"/>
      <c r="D663" s="93"/>
      <c r="E663" s="95"/>
      <c r="F663" s="95"/>
      <c r="G663" s="95"/>
      <c r="H663" s="93"/>
      <c r="I663" s="93"/>
      <c r="J663" s="93"/>
    </row>
    <row r="664" spans="1:10" s="65" customFormat="1" ht="14" x14ac:dyDescent="0.35">
      <c r="A664" s="145"/>
      <c r="B664" s="93"/>
      <c r="C664" s="93"/>
      <c r="D664" s="93"/>
      <c r="E664" s="95"/>
      <c r="F664" s="95"/>
      <c r="G664" s="95"/>
      <c r="H664" s="93"/>
      <c r="I664" s="93"/>
      <c r="J664" s="93"/>
    </row>
    <row r="665" spans="1:10" s="65" customFormat="1" ht="14" x14ac:dyDescent="0.35">
      <c r="A665" s="145"/>
      <c r="B665" s="93"/>
      <c r="C665" s="93"/>
      <c r="D665" s="93"/>
      <c r="E665" s="95"/>
      <c r="F665" s="95"/>
      <c r="G665" s="95"/>
      <c r="H665" s="93"/>
      <c r="I665" s="93"/>
      <c r="J665" s="93"/>
    </row>
    <row r="666" spans="1:10" s="65" customFormat="1" ht="14" x14ac:dyDescent="0.35">
      <c r="A666" s="145"/>
      <c r="B666" s="93"/>
      <c r="C666" s="93"/>
      <c r="D666" s="93"/>
      <c r="E666" s="95"/>
      <c r="F666" s="95"/>
      <c r="G666" s="95"/>
      <c r="H666" s="93"/>
      <c r="I666" s="93"/>
      <c r="J666" s="93"/>
    </row>
    <row r="667" spans="1:10" s="65" customFormat="1" ht="14" x14ac:dyDescent="0.35">
      <c r="A667" s="145"/>
      <c r="B667" s="93"/>
      <c r="C667" s="93"/>
      <c r="D667" s="93"/>
      <c r="E667" s="95"/>
      <c r="F667" s="95"/>
      <c r="G667" s="95"/>
      <c r="H667" s="93"/>
      <c r="I667" s="93"/>
      <c r="J667" s="93"/>
    </row>
    <row r="668" spans="1:10" s="65" customFormat="1" ht="14" x14ac:dyDescent="0.35">
      <c r="A668" s="145"/>
      <c r="B668" s="93"/>
      <c r="C668" s="93"/>
      <c r="D668" s="93"/>
      <c r="E668" s="95"/>
      <c r="F668" s="95"/>
      <c r="G668" s="95"/>
      <c r="H668" s="93"/>
      <c r="I668" s="93"/>
      <c r="J668" s="93"/>
    </row>
    <row r="669" spans="1:10" s="65" customFormat="1" ht="14" x14ac:dyDescent="0.35">
      <c r="A669" s="145"/>
      <c r="B669" s="93"/>
      <c r="C669" s="93"/>
      <c r="D669" s="93"/>
      <c r="E669" s="95"/>
      <c r="F669" s="95"/>
      <c r="G669" s="95"/>
      <c r="H669" s="93"/>
      <c r="I669" s="93"/>
      <c r="J669" s="93"/>
    </row>
    <row r="670" spans="1:10" s="65" customFormat="1" ht="14" x14ac:dyDescent="0.35">
      <c r="A670" s="145"/>
      <c r="B670" s="93"/>
      <c r="C670" s="93"/>
      <c r="D670" s="93"/>
      <c r="E670" s="95"/>
      <c r="F670" s="95"/>
      <c r="G670" s="95"/>
      <c r="H670" s="93"/>
      <c r="I670" s="93"/>
      <c r="J670" s="93"/>
    </row>
    <row r="671" spans="1:10" s="65" customFormat="1" ht="14" x14ac:dyDescent="0.35">
      <c r="A671" s="145"/>
      <c r="B671" s="93"/>
      <c r="C671" s="93"/>
      <c r="D671" s="93"/>
      <c r="E671" s="95"/>
      <c r="F671" s="95"/>
      <c r="G671" s="95"/>
      <c r="H671" s="93"/>
      <c r="I671" s="93"/>
      <c r="J671" s="93"/>
    </row>
    <row r="672" spans="1:10" s="65" customFormat="1" ht="14" x14ac:dyDescent="0.35">
      <c r="A672" s="145"/>
      <c r="B672" s="93"/>
      <c r="C672" s="93"/>
      <c r="D672" s="93"/>
      <c r="E672" s="95"/>
      <c r="F672" s="95"/>
      <c r="G672" s="95"/>
      <c r="H672" s="93"/>
      <c r="I672" s="93"/>
      <c r="J672" s="93"/>
    </row>
    <row r="673" spans="1:10" s="65" customFormat="1" ht="14" x14ac:dyDescent="0.35">
      <c r="A673" s="145"/>
      <c r="B673" s="93"/>
      <c r="C673" s="93"/>
      <c r="D673" s="93"/>
      <c r="E673" s="95"/>
      <c r="F673" s="95"/>
      <c r="G673" s="95"/>
      <c r="H673" s="93"/>
      <c r="I673" s="93"/>
      <c r="J673" s="93"/>
    </row>
    <row r="674" spans="1:10" s="65" customFormat="1" ht="14" x14ac:dyDescent="0.35">
      <c r="A674" s="145"/>
      <c r="B674" s="93"/>
      <c r="C674" s="93"/>
      <c r="D674" s="93"/>
      <c r="E674" s="95"/>
      <c r="F674" s="95"/>
      <c r="G674" s="95"/>
      <c r="H674" s="93"/>
      <c r="I674" s="93"/>
      <c r="J674" s="93"/>
    </row>
    <row r="675" spans="1:10" s="65" customFormat="1" ht="14" x14ac:dyDescent="0.35">
      <c r="A675" s="145"/>
      <c r="B675" s="93"/>
      <c r="C675" s="93"/>
      <c r="D675" s="93"/>
      <c r="E675" s="95"/>
      <c r="F675" s="95"/>
      <c r="G675" s="95"/>
      <c r="H675" s="93"/>
      <c r="I675" s="93"/>
      <c r="J675" s="93"/>
    </row>
    <row r="676" spans="1:10" s="65" customFormat="1" ht="14" x14ac:dyDescent="0.35">
      <c r="A676" s="145"/>
      <c r="B676" s="93"/>
      <c r="C676" s="93"/>
      <c r="D676" s="93"/>
      <c r="E676" s="95"/>
      <c r="F676" s="95"/>
      <c r="G676" s="95"/>
      <c r="H676" s="93"/>
      <c r="I676" s="93"/>
      <c r="J676" s="93"/>
    </row>
    <row r="677" spans="1:10" s="65" customFormat="1" ht="14" x14ac:dyDescent="0.35">
      <c r="A677" s="145"/>
      <c r="B677" s="93"/>
      <c r="C677" s="93"/>
      <c r="D677" s="93"/>
      <c r="E677" s="95"/>
      <c r="F677" s="95"/>
      <c r="G677" s="95"/>
      <c r="H677" s="93"/>
      <c r="I677" s="93"/>
      <c r="J677" s="93"/>
    </row>
    <row r="678" spans="1:10" s="65" customFormat="1" ht="14" x14ac:dyDescent="0.35">
      <c r="A678" s="145"/>
      <c r="B678" s="93"/>
      <c r="C678" s="93"/>
      <c r="D678" s="93"/>
      <c r="E678" s="95"/>
      <c r="F678" s="95"/>
      <c r="G678" s="95"/>
      <c r="H678" s="93"/>
      <c r="I678" s="93"/>
      <c r="J678" s="93"/>
    </row>
    <row r="679" spans="1:10" s="65" customFormat="1" ht="14" x14ac:dyDescent="0.35">
      <c r="A679" s="145"/>
      <c r="B679" s="93"/>
      <c r="C679" s="93"/>
      <c r="D679" s="93"/>
      <c r="E679" s="95"/>
      <c r="F679" s="95"/>
      <c r="G679" s="95"/>
      <c r="H679" s="93"/>
      <c r="I679" s="93"/>
      <c r="J679" s="93"/>
    </row>
    <row r="680" spans="1:10" s="65" customFormat="1" ht="14" x14ac:dyDescent="0.35">
      <c r="A680" s="145"/>
      <c r="B680" s="93"/>
      <c r="C680" s="93"/>
      <c r="D680" s="93"/>
      <c r="E680" s="95"/>
      <c r="F680" s="95"/>
      <c r="G680" s="95"/>
      <c r="H680" s="93"/>
      <c r="I680" s="93"/>
      <c r="J680" s="93"/>
    </row>
    <row r="681" spans="1:10" s="65" customFormat="1" ht="14" x14ac:dyDescent="0.35">
      <c r="A681" s="145"/>
      <c r="B681" s="93"/>
      <c r="C681" s="93"/>
      <c r="D681" s="93"/>
      <c r="E681" s="95"/>
      <c r="F681" s="95"/>
      <c r="G681" s="95"/>
      <c r="H681" s="93"/>
      <c r="I681" s="93"/>
      <c r="J681" s="93"/>
    </row>
    <row r="682" spans="1:10" s="65" customFormat="1" ht="14" x14ac:dyDescent="0.35">
      <c r="A682" s="145"/>
      <c r="B682" s="93"/>
      <c r="C682" s="93"/>
      <c r="D682" s="93"/>
      <c r="E682" s="95"/>
      <c r="F682" s="95"/>
      <c r="G682" s="95"/>
      <c r="H682" s="93"/>
      <c r="I682" s="93"/>
      <c r="J682" s="93"/>
    </row>
    <row r="683" spans="1:10" s="65" customFormat="1" ht="14" x14ac:dyDescent="0.35">
      <c r="A683" s="145"/>
      <c r="B683" s="93"/>
      <c r="C683" s="93"/>
      <c r="D683" s="93"/>
      <c r="E683" s="95"/>
      <c r="F683" s="95"/>
      <c r="G683" s="95"/>
      <c r="H683" s="93"/>
      <c r="I683" s="93"/>
      <c r="J683" s="93"/>
    </row>
    <row r="684" spans="1:10" s="65" customFormat="1" ht="14" x14ac:dyDescent="0.35">
      <c r="A684" s="145"/>
      <c r="B684" s="93"/>
      <c r="C684" s="93"/>
      <c r="D684" s="93"/>
      <c r="E684" s="95"/>
      <c r="F684" s="95"/>
      <c r="G684" s="95"/>
      <c r="H684" s="93"/>
      <c r="I684" s="93"/>
      <c r="J684" s="93"/>
    </row>
    <row r="685" spans="1:10" s="65" customFormat="1" ht="14" x14ac:dyDescent="0.35">
      <c r="A685" s="145"/>
      <c r="B685" s="93"/>
      <c r="C685" s="93"/>
      <c r="D685" s="93"/>
      <c r="E685" s="95"/>
      <c r="F685" s="95"/>
      <c r="G685" s="95"/>
      <c r="H685" s="93"/>
      <c r="I685" s="93"/>
      <c r="J685" s="93"/>
    </row>
    <row r="686" spans="1:10" s="65" customFormat="1" ht="14" x14ac:dyDescent="0.35">
      <c r="A686" s="145"/>
      <c r="B686" s="93"/>
      <c r="C686" s="93"/>
      <c r="D686" s="93"/>
      <c r="E686" s="95"/>
      <c r="F686" s="95"/>
      <c r="G686" s="95"/>
      <c r="H686" s="93"/>
      <c r="I686" s="93"/>
      <c r="J686" s="93"/>
    </row>
    <row r="687" spans="1:10" s="65" customFormat="1" ht="14" x14ac:dyDescent="0.35">
      <c r="A687" s="145"/>
      <c r="B687" s="93"/>
      <c r="C687" s="93"/>
      <c r="D687" s="93"/>
      <c r="E687" s="95"/>
      <c r="F687" s="95"/>
      <c r="G687" s="95"/>
      <c r="H687" s="93"/>
      <c r="I687" s="93"/>
      <c r="J687" s="93"/>
    </row>
    <row r="688" spans="1:10" s="65" customFormat="1" ht="14" x14ac:dyDescent="0.35">
      <c r="A688" s="145"/>
      <c r="B688" s="93"/>
      <c r="C688" s="93"/>
      <c r="D688" s="93"/>
      <c r="E688" s="95"/>
      <c r="F688" s="95"/>
      <c r="G688" s="95"/>
      <c r="H688" s="93"/>
      <c r="I688" s="93"/>
      <c r="J688" s="93"/>
    </row>
    <row r="689" spans="1:10" s="65" customFormat="1" ht="14" x14ac:dyDescent="0.35">
      <c r="A689" s="145"/>
      <c r="B689" s="93"/>
      <c r="C689" s="93"/>
      <c r="D689" s="93"/>
      <c r="E689" s="95"/>
      <c r="F689" s="95"/>
      <c r="G689" s="95"/>
      <c r="H689" s="93"/>
      <c r="I689" s="93"/>
      <c r="J689" s="93"/>
    </row>
    <row r="690" spans="1:10" s="65" customFormat="1" ht="14" x14ac:dyDescent="0.35">
      <c r="A690" s="145"/>
      <c r="B690" s="93"/>
      <c r="C690" s="93"/>
      <c r="D690" s="93"/>
      <c r="E690" s="95"/>
      <c r="F690" s="95"/>
      <c r="G690" s="95"/>
      <c r="H690" s="93"/>
      <c r="I690" s="93"/>
      <c r="J690" s="93"/>
    </row>
    <row r="691" spans="1:10" s="65" customFormat="1" ht="14" x14ac:dyDescent="0.35">
      <c r="A691" s="145"/>
      <c r="B691" s="93"/>
      <c r="C691" s="93"/>
      <c r="D691" s="93"/>
      <c r="E691" s="95"/>
      <c r="F691" s="95"/>
      <c r="G691" s="95"/>
      <c r="H691" s="93"/>
      <c r="I691" s="93"/>
      <c r="J691" s="93"/>
    </row>
    <row r="692" spans="1:10" s="65" customFormat="1" ht="14" x14ac:dyDescent="0.35">
      <c r="A692" s="145"/>
      <c r="B692" s="93"/>
      <c r="C692" s="93"/>
      <c r="D692" s="93"/>
      <c r="E692" s="95"/>
      <c r="F692" s="95"/>
      <c r="G692" s="95"/>
      <c r="H692" s="93"/>
      <c r="I692" s="93"/>
      <c r="J692" s="93"/>
    </row>
    <row r="693" spans="1:10" s="65" customFormat="1" ht="14" x14ac:dyDescent="0.35">
      <c r="A693" s="145"/>
      <c r="B693" s="93"/>
      <c r="C693" s="93"/>
      <c r="D693" s="93"/>
      <c r="E693" s="95"/>
      <c r="F693" s="95"/>
      <c r="G693" s="95"/>
      <c r="H693" s="93"/>
      <c r="I693" s="93"/>
      <c r="J693" s="93"/>
    </row>
    <row r="694" spans="1:10" s="65" customFormat="1" ht="14" x14ac:dyDescent="0.35">
      <c r="A694" s="145"/>
      <c r="B694" s="93"/>
      <c r="C694" s="93"/>
      <c r="D694" s="93"/>
      <c r="E694" s="95"/>
      <c r="F694" s="95"/>
      <c r="G694" s="95"/>
      <c r="H694" s="93"/>
      <c r="I694" s="93"/>
      <c r="J694" s="93"/>
    </row>
    <row r="695" spans="1:10" s="65" customFormat="1" ht="14" x14ac:dyDescent="0.35">
      <c r="A695" s="145"/>
      <c r="B695" s="93"/>
      <c r="C695" s="93"/>
      <c r="D695" s="93"/>
      <c r="E695" s="95"/>
      <c r="F695" s="95"/>
      <c r="G695" s="95"/>
      <c r="H695" s="93"/>
      <c r="I695" s="93"/>
      <c r="J695" s="93"/>
    </row>
    <row r="696" spans="1:10" s="65" customFormat="1" ht="14" x14ac:dyDescent="0.35">
      <c r="A696" s="145"/>
      <c r="B696" s="93"/>
      <c r="C696" s="93"/>
      <c r="D696" s="93"/>
      <c r="E696" s="95"/>
      <c r="F696" s="95"/>
      <c r="G696" s="95"/>
      <c r="H696" s="93"/>
      <c r="I696" s="93"/>
      <c r="J696" s="93"/>
    </row>
    <row r="697" spans="1:10" s="65" customFormat="1" ht="14" x14ac:dyDescent="0.35">
      <c r="A697" s="145"/>
      <c r="B697" s="93"/>
      <c r="C697" s="93"/>
      <c r="D697" s="93"/>
      <c r="E697" s="95"/>
      <c r="F697" s="95"/>
      <c r="G697" s="95"/>
      <c r="H697" s="93"/>
      <c r="I697" s="93"/>
      <c r="J697" s="93"/>
    </row>
    <row r="698" spans="1:10" s="65" customFormat="1" ht="14" x14ac:dyDescent="0.35">
      <c r="A698" s="145"/>
      <c r="B698" s="93"/>
      <c r="C698" s="93"/>
      <c r="D698" s="93"/>
      <c r="E698" s="95"/>
      <c r="F698" s="95"/>
      <c r="G698" s="95"/>
      <c r="H698" s="93"/>
      <c r="I698" s="93"/>
      <c r="J698" s="93"/>
    </row>
    <row r="699" spans="1:10" s="65" customFormat="1" ht="14" x14ac:dyDescent="0.35">
      <c r="A699" s="145"/>
      <c r="B699" s="93"/>
      <c r="C699" s="93"/>
      <c r="D699" s="93"/>
      <c r="E699" s="95"/>
      <c r="F699" s="95"/>
      <c r="G699" s="95"/>
      <c r="H699" s="93"/>
      <c r="I699" s="93"/>
      <c r="J699" s="93"/>
    </row>
    <row r="700" spans="1:10" s="65" customFormat="1" ht="14" x14ac:dyDescent="0.35">
      <c r="A700" s="145"/>
      <c r="B700" s="93"/>
      <c r="C700" s="93"/>
      <c r="D700" s="93"/>
      <c r="E700" s="95"/>
      <c r="F700" s="95"/>
      <c r="G700" s="95"/>
      <c r="H700" s="93"/>
      <c r="I700" s="93"/>
      <c r="J700" s="93"/>
    </row>
    <row r="701" spans="1:10" s="65" customFormat="1" ht="14" x14ac:dyDescent="0.35">
      <c r="A701" s="145"/>
      <c r="B701" s="93"/>
      <c r="C701" s="93"/>
      <c r="D701" s="93"/>
      <c r="E701" s="95"/>
      <c r="F701" s="95"/>
      <c r="G701" s="95"/>
      <c r="H701" s="93"/>
      <c r="I701" s="93"/>
      <c r="J701" s="93"/>
    </row>
    <row r="702" spans="1:10" s="65" customFormat="1" ht="14" x14ac:dyDescent="0.35">
      <c r="A702" s="145"/>
      <c r="B702" s="93"/>
      <c r="C702" s="93"/>
      <c r="D702" s="93"/>
      <c r="E702" s="95"/>
      <c r="F702" s="95"/>
      <c r="G702" s="95"/>
      <c r="H702" s="93"/>
      <c r="I702" s="93"/>
      <c r="J702" s="93"/>
    </row>
    <row r="703" spans="1:10" s="65" customFormat="1" ht="14" x14ac:dyDescent="0.35">
      <c r="A703" s="145"/>
      <c r="B703" s="93"/>
      <c r="C703" s="93"/>
      <c r="D703" s="93"/>
      <c r="E703" s="95"/>
      <c r="F703" s="95"/>
      <c r="G703" s="95"/>
      <c r="H703" s="93"/>
      <c r="I703" s="93"/>
      <c r="J703" s="93"/>
    </row>
    <row r="704" spans="1:10" s="65" customFormat="1" ht="14" x14ac:dyDescent="0.35">
      <c r="A704" s="145"/>
      <c r="B704" s="93"/>
      <c r="C704" s="93"/>
      <c r="D704" s="93"/>
      <c r="E704" s="95"/>
      <c r="F704" s="95"/>
      <c r="G704" s="95"/>
      <c r="H704" s="93"/>
      <c r="I704" s="93"/>
      <c r="J704" s="93"/>
    </row>
    <row r="705" spans="1:10" s="65" customFormat="1" ht="14" x14ac:dyDescent="0.35">
      <c r="A705" s="145"/>
      <c r="B705" s="93"/>
      <c r="C705" s="93"/>
      <c r="D705" s="93"/>
      <c r="E705" s="95"/>
      <c r="F705" s="95"/>
      <c r="G705" s="95"/>
      <c r="H705" s="93"/>
      <c r="I705" s="93"/>
      <c r="J705" s="93"/>
    </row>
    <row r="706" spans="1:10" s="65" customFormat="1" ht="14" x14ac:dyDescent="0.35">
      <c r="A706" s="145"/>
      <c r="B706" s="93"/>
      <c r="C706" s="93"/>
      <c r="D706" s="93"/>
      <c r="E706" s="95"/>
      <c r="F706" s="95"/>
      <c r="G706" s="95"/>
      <c r="H706" s="93"/>
      <c r="I706" s="93"/>
      <c r="J706" s="93"/>
    </row>
    <row r="707" spans="1:10" s="65" customFormat="1" ht="14" x14ac:dyDescent="0.35">
      <c r="A707" s="145"/>
      <c r="B707" s="93"/>
      <c r="C707" s="93"/>
      <c r="D707" s="93"/>
      <c r="E707" s="95"/>
      <c r="F707" s="95"/>
      <c r="G707" s="95"/>
      <c r="H707" s="93"/>
      <c r="I707" s="93"/>
      <c r="J707" s="93"/>
    </row>
    <row r="708" spans="1:10" s="65" customFormat="1" ht="14" x14ac:dyDescent="0.35">
      <c r="A708" s="145"/>
      <c r="B708" s="93"/>
      <c r="C708" s="93"/>
      <c r="D708" s="93"/>
      <c r="E708" s="95"/>
      <c r="F708" s="95"/>
      <c r="G708" s="95"/>
      <c r="H708" s="93"/>
      <c r="I708" s="93"/>
      <c r="J708" s="93"/>
    </row>
    <row r="709" spans="1:10" s="65" customFormat="1" ht="14" x14ac:dyDescent="0.35">
      <c r="A709" s="145"/>
      <c r="B709" s="93"/>
      <c r="C709" s="93"/>
      <c r="D709" s="93"/>
      <c r="E709" s="95"/>
      <c r="F709" s="95"/>
      <c r="G709" s="95"/>
      <c r="H709" s="93"/>
      <c r="I709" s="93"/>
      <c r="J709" s="93"/>
    </row>
    <row r="710" spans="1:10" s="65" customFormat="1" ht="14" x14ac:dyDescent="0.35">
      <c r="A710" s="145"/>
      <c r="B710" s="93"/>
      <c r="C710" s="93"/>
      <c r="D710" s="93"/>
      <c r="E710" s="95"/>
      <c r="F710" s="95"/>
      <c r="G710" s="95"/>
      <c r="H710" s="93"/>
      <c r="I710" s="93"/>
      <c r="J710" s="93"/>
    </row>
    <row r="711" spans="1:10" s="65" customFormat="1" ht="14" x14ac:dyDescent="0.35">
      <c r="A711" s="145"/>
      <c r="B711" s="93"/>
      <c r="C711" s="93"/>
      <c r="D711" s="93"/>
      <c r="E711" s="95"/>
      <c r="F711" s="95"/>
      <c r="G711" s="95"/>
      <c r="H711" s="93"/>
      <c r="I711" s="93"/>
      <c r="J711" s="93"/>
    </row>
    <row r="712" spans="1:10" s="65" customFormat="1" ht="14" x14ac:dyDescent="0.35">
      <c r="A712" s="145"/>
      <c r="B712" s="93"/>
      <c r="C712" s="93"/>
      <c r="D712" s="93"/>
      <c r="E712" s="95"/>
      <c r="F712" s="95"/>
      <c r="G712" s="95"/>
      <c r="H712" s="93"/>
      <c r="I712" s="93"/>
      <c r="J712" s="93"/>
    </row>
    <row r="713" spans="1:10" s="65" customFormat="1" ht="14" x14ac:dyDescent="0.35">
      <c r="A713" s="145"/>
      <c r="B713" s="93"/>
      <c r="C713" s="93"/>
      <c r="D713" s="93"/>
      <c r="E713" s="95"/>
      <c r="F713" s="95"/>
      <c r="G713" s="95"/>
      <c r="H713" s="93"/>
      <c r="I713" s="93"/>
      <c r="J713" s="93"/>
    </row>
    <row r="714" spans="1:10" s="65" customFormat="1" ht="14" x14ac:dyDescent="0.35">
      <c r="A714" s="145"/>
      <c r="B714" s="93"/>
      <c r="C714" s="93"/>
      <c r="D714" s="93"/>
      <c r="E714" s="95"/>
      <c r="F714" s="95"/>
      <c r="G714" s="95"/>
      <c r="H714" s="93"/>
      <c r="I714" s="93"/>
      <c r="J714" s="93"/>
    </row>
    <row r="715" spans="1:10" s="65" customFormat="1" ht="14" x14ac:dyDescent="0.35">
      <c r="A715" s="145"/>
      <c r="B715" s="93"/>
      <c r="C715" s="93"/>
      <c r="D715" s="93"/>
      <c r="E715" s="95"/>
      <c r="F715" s="95"/>
      <c r="G715" s="95"/>
      <c r="H715" s="93"/>
      <c r="I715" s="93"/>
      <c r="J715" s="93"/>
    </row>
    <row r="716" spans="1:10" s="65" customFormat="1" ht="14" x14ac:dyDescent="0.35">
      <c r="A716" s="145"/>
      <c r="B716" s="93"/>
      <c r="C716" s="93"/>
      <c r="D716" s="93"/>
      <c r="E716" s="95"/>
      <c r="F716" s="95"/>
      <c r="G716" s="95"/>
      <c r="H716" s="93"/>
      <c r="I716" s="93"/>
      <c r="J716" s="93"/>
    </row>
    <row r="717" spans="1:10" s="65" customFormat="1" ht="14" x14ac:dyDescent="0.35">
      <c r="A717" s="145"/>
      <c r="B717" s="93"/>
      <c r="C717" s="93"/>
      <c r="D717" s="93"/>
      <c r="E717" s="95"/>
      <c r="F717" s="95"/>
      <c r="G717" s="95"/>
      <c r="H717" s="93"/>
      <c r="I717" s="93"/>
      <c r="J717" s="93"/>
    </row>
    <row r="718" spans="1:10" s="65" customFormat="1" ht="14" x14ac:dyDescent="0.35">
      <c r="A718" s="145"/>
      <c r="B718" s="93"/>
      <c r="C718" s="93"/>
      <c r="D718" s="93"/>
      <c r="E718" s="95"/>
      <c r="F718" s="95"/>
      <c r="G718" s="95"/>
      <c r="H718" s="93"/>
      <c r="I718" s="93"/>
      <c r="J718" s="93"/>
    </row>
    <row r="719" spans="1:10" s="65" customFormat="1" ht="14" x14ac:dyDescent="0.35">
      <c r="A719" s="145"/>
      <c r="B719" s="93"/>
      <c r="C719" s="93"/>
      <c r="D719" s="93"/>
      <c r="E719" s="95"/>
      <c r="F719" s="95"/>
      <c r="G719" s="95"/>
      <c r="H719" s="93"/>
      <c r="I719" s="93"/>
      <c r="J719" s="93"/>
    </row>
    <row r="720" spans="1:10" s="65" customFormat="1" ht="14" x14ac:dyDescent="0.35">
      <c r="A720" s="145"/>
      <c r="B720" s="93"/>
      <c r="C720" s="93"/>
      <c r="D720" s="93"/>
      <c r="E720" s="95"/>
      <c r="F720" s="95"/>
      <c r="G720" s="95"/>
      <c r="H720" s="93"/>
      <c r="I720" s="93"/>
      <c r="J720" s="93"/>
    </row>
    <row r="721" spans="1:10" s="65" customFormat="1" ht="14" x14ac:dyDescent="0.35">
      <c r="A721" s="145"/>
      <c r="B721" s="93"/>
      <c r="C721" s="93"/>
      <c r="D721" s="93"/>
      <c r="E721" s="95"/>
      <c r="F721" s="95"/>
      <c r="G721" s="95"/>
      <c r="H721" s="93"/>
      <c r="I721" s="93"/>
      <c r="J721" s="93"/>
    </row>
    <row r="722" spans="1:10" s="65" customFormat="1" ht="14" x14ac:dyDescent="0.35">
      <c r="A722" s="145"/>
      <c r="B722" s="93"/>
      <c r="C722" s="93"/>
      <c r="D722" s="93"/>
      <c r="E722" s="95"/>
      <c r="F722" s="95"/>
      <c r="G722" s="95"/>
      <c r="H722" s="93"/>
      <c r="I722" s="93"/>
      <c r="J722" s="93"/>
    </row>
    <row r="723" spans="1:10" s="65" customFormat="1" ht="14" x14ac:dyDescent="0.35">
      <c r="A723" s="145"/>
      <c r="B723" s="93"/>
      <c r="C723" s="93"/>
      <c r="D723" s="93"/>
      <c r="E723" s="95"/>
      <c r="F723" s="95"/>
      <c r="G723" s="95"/>
      <c r="H723" s="93"/>
      <c r="I723" s="93"/>
      <c r="J723" s="93"/>
    </row>
    <row r="724" spans="1:10" s="65" customFormat="1" ht="14" x14ac:dyDescent="0.35">
      <c r="A724" s="145"/>
      <c r="B724" s="93"/>
      <c r="C724" s="93"/>
      <c r="D724" s="93"/>
      <c r="E724" s="95"/>
      <c r="F724" s="95"/>
      <c r="G724" s="95"/>
      <c r="H724" s="93"/>
      <c r="I724" s="93"/>
      <c r="J724" s="93"/>
    </row>
    <row r="725" spans="1:10" s="65" customFormat="1" ht="14" x14ac:dyDescent="0.35">
      <c r="A725" s="145"/>
      <c r="B725" s="93"/>
      <c r="C725" s="93"/>
      <c r="D725" s="93"/>
      <c r="E725" s="95"/>
      <c r="F725" s="95"/>
      <c r="G725" s="95"/>
      <c r="H725" s="93"/>
      <c r="I725" s="93"/>
      <c r="J725" s="93"/>
    </row>
    <row r="726" spans="1:10" s="65" customFormat="1" ht="14" x14ac:dyDescent="0.35">
      <c r="A726" s="145"/>
      <c r="B726" s="93"/>
      <c r="C726" s="93"/>
      <c r="D726" s="93"/>
      <c r="E726" s="95"/>
      <c r="F726" s="95"/>
      <c r="G726" s="95"/>
      <c r="H726" s="93"/>
      <c r="I726" s="93"/>
      <c r="J726" s="93"/>
    </row>
    <row r="727" spans="1:10" s="65" customFormat="1" ht="14" x14ac:dyDescent="0.35">
      <c r="A727" s="145"/>
      <c r="B727" s="93"/>
      <c r="C727" s="93"/>
      <c r="D727" s="93"/>
      <c r="E727" s="95"/>
      <c r="F727" s="95"/>
      <c r="G727" s="95"/>
      <c r="H727" s="93"/>
      <c r="I727" s="93"/>
      <c r="J727" s="93"/>
    </row>
    <row r="728" spans="1:10" s="65" customFormat="1" ht="14" x14ac:dyDescent="0.35">
      <c r="A728" s="145"/>
      <c r="B728" s="93"/>
      <c r="C728" s="93"/>
      <c r="D728" s="93"/>
      <c r="E728" s="95"/>
      <c r="F728" s="95"/>
      <c r="G728" s="95"/>
      <c r="H728" s="93"/>
      <c r="I728" s="93"/>
      <c r="J728" s="93"/>
    </row>
    <row r="729" spans="1:10" s="65" customFormat="1" ht="14" x14ac:dyDescent="0.35">
      <c r="A729" s="145"/>
      <c r="B729" s="93"/>
      <c r="C729" s="93"/>
      <c r="D729" s="93"/>
      <c r="E729" s="95"/>
      <c r="F729" s="95"/>
      <c r="G729" s="95"/>
      <c r="H729" s="93"/>
      <c r="I729" s="93"/>
      <c r="J729" s="93"/>
    </row>
    <row r="730" spans="1:10" s="65" customFormat="1" ht="14" x14ac:dyDescent="0.35">
      <c r="A730" s="145"/>
      <c r="B730" s="93"/>
      <c r="C730" s="93"/>
      <c r="D730" s="93"/>
      <c r="E730" s="95"/>
      <c r="F730" s="95"/>
      <c r="G730" s="95"/>
      <c r="H730" s="93"/>
      <c r="I730" s="93"/>
      <c r="J730" s="93"/>
    </row>
    <row r="731" spans="1:10" s="65" customFormat="1" ht="14" x14ac:dyDescent="0.35">
      <c r="A731" s="145"/>
      <c r="B731" s="93"/>
      <c r="C731" s="93"/>
      <c r="D731" s="93"/>
      <c r="E731" s="95"/>
      <c r="F731" s="95"/>
      <c r="G731" s="95"/>
      <c r="H731" s="93"/>
      <c r="I731" s="93"/>
      <c r="J731" s="93"/>
    </row>
    <row r="732" spans="1:10" s="65" customFormat="1" ht="14" x14ac:dyDescent="0.35">
      <c r="A732" s="145"/>
      <c r="B732" s="93"/>
      <c r="C732" s="93"/>
      <c r="D732" s="93"/>
      <c r="E732" s="95"/>
      <c r="F732" s="95"/>
      <c r="G732" s="95"/>
      <c r="H732" s="93"/>
      <c r="I732" s="93"/>
      <c r="J732" s="93"/>
    </row>
    <row r="733" spans="1:10" s="65" customFormat="1" ht="14" x14ac:dyDescent="0.35">
      <c r="A733" s="145"/>
      <c r="B733" s="93"/>
      <c r="C733" s="93"/>
      <c r="D733" s="93"/>
      <c r="E733" s="95"/>
      <c r="F733" s="95"/>
      <c r="G733" s="95"/>
      <c r="H733" s="93"/>
      <c r="I733" s="93"/>
      <c r="J733" s="93"/>
    </row>
    <row r="734" spans="1:10" s="65" customFormat="1" ht="14" x14ac:dyDescent="0.35">
      <c r="A734" s="145"/>
      <c r="B734" s="93"/>
      <c r="C734" s="93"/>
      <c r="D734" s="93"/>
      <c r="E734" s="95"/>
      <c r="F734" s="95"/>
      <c r="G734" s="95"/>
      <c r="H734" s="93"/>
      <c r="I734" s="93"/>
      <c r="J734" s="93"/>
    </row>
    <row r="735" spans="1:10" s="65" customFormat="1" ht="14" x14ac:dyDescent="0.35">
      <c r="A735" s="145"/>
      <c r="B735" s="93"/>
      <c r="C735" s="93"/>
      <c r="D735" s="93"/>
      <c r="E735" s="95"/>
      <c r="F735" s="95"/>
      <c r="G735" s="95"/>
      <c r="H735" s="93"/>
      <c r="I735" s="93"/>
      <c r="J735" s="93"/>
    </row>
    <row r="736" spans="1:10" s="65" customFormat="1" ht="14" x14ac:dyDescent="0.35">
      <c r="A736" s="145"/>
      <c r="B736" s="93"/>
      <c r="C736" s="93"/>
      <c r="D736" s="93"/>
      <c r="E736" s="95"/>
      <c r="F736" s="95"/>
      <c r="G736" s="95"/>
      <c r="H736" s="93"/>
      <c r="I736" s="93"/>
      <c r="J736" s="93"/>
    </row>
    <row r="737" spans="1:10" s="65" customFormat="1" ht="14" x14ac:dyDescent="0.35">
      <c r="A737" s="145"/>
      <c r="B737" s="93"/>
      <c r="C737" s="93"/>
      <c r="D737" s="93"/>
      <c r="E737" s="95"/>
      <c r="F737" s="95"/>
      <c r="G737" s="95"/>
      <c r="H737" s="93"/>
      <c r="I737" s="93"/>
      <c r="J737" s="93"/>
    </row>
    <row r="738" spans="1:10" s="65" customFormat="1" ht="14" x14ac:dyDescent="0.35">
      <c r="A738" s="145"/>
      <c r="B738" s="93"/>
      <c r="C738" s="93"/>
      <c r="D738" s="93"/>
      <c r="E738" s="95"/>
      <c r="F738" s="95"/>
      <c r="G738" s="95"/>
      <c r="H738" s="93"/>
      <c r="I738" s="93"/>
      <c r="J738" s="93"/>
    </row>
    <row r="739" spans="1:10" s="65" customFormat="1" ht="14" x14ac:dyDescent="0.35">
      <c r="A739" s="145"/>
      <c r="B739" s="93"/>
      <c r="C739" s="93"/>
      <c r="D739" s="93"/>
      <c r="E739" s="95"/>
      <c r="F739" s="95"/>
      <c r="G739" s="95"/>
      <c r="H739" s="93"/>
      <c r="I739" s="93"/>
      <c r="J739" s="93"/>
    </row>
    <row r="740" spans="1:10" s="65" customFormat="1" ht="14" x14ac:dyDescent="0.35">
      <c r="A740" s="145"/>
      <c r="B740" s="93"/>
      <c r="C740" s="93"/>
      <c r="D740" s="93"/>
      <c r="E740" s="95"/>
      <c r="F740" s="95"/>
      <c r="G740" s="95"/>
      <c r="H740" s="93"/>
      <c r="I740" s="93"/>
      <c r="J740" s="93"/>
    </row>
    <row r="741" spans="1:10" s="65" customFormat="1" ht="14" x14ac:dyDescent="0.35">
      <c r="A741" s="145"/>
      <c r="B741" s="93"/>
      <c r="C741" s="93"/>
      <c r="D741" s="93"/>
      <c r="E741" s="95"/>
      <c r="F741" s="95"/>
      <c r="G741" s="95"/>
      <c r="H741" s="93"/>
      <c r="I741" s="93"/>
      <c r="J741" s="93"/>
    </row>
    <row r="742" spans="1:10" s="65" customFormat="1" ht="14" x14ac:dyDescent="0.35">
      <c r="A742" s="145"/>
      <c r="B742" s="93"/>
      <c r="C742" s="93"/>
      <c r="D742" s="93"/>
      <c r="E742" s="95"/>
      <c r="F742" s="95"/>
      <c r="G742" s="95"/>
      <c r="H742" s="93"/>
      <c r="I742" s="93"/>
      <c r="J742" s="93"/>
    </row>
    <row r="743" spans="1:10" s="65" customFormat="1" ht="14" x14ac:dyDescent="0.35">
      <c r="A743" s="145"/>
      <c r="B743" s="93"/>
      <c r="C743" s="93"/>
      <c r="D743" s="93"/>
      <c r="E743" s="95"/>
      <c r="F743" s="95"/>
      <c r="G743" s="95"/>
      <c r="H743" s="93"/>
      <c r="I743" s="93"/>
      <c r="J743" s="93"/>
    </row>
    <row r="744" spans="1:10" s="65" customFormat="1" ht="14" x14ac:dyDescent="0.35">
      <c r="A744" s="145"/>
      <c r="B744" s="93"/>
      <c r="C744" s="93"/>
      <c r="D744" s="93"/>
      <c r="E744" s="95"/>
      <c r="F744" s="95"/>
      <c r="G744" s="95"/>
      <c r="H744" s="93"/>
      <c r="I744" s="93"/>
      <c r="J744" s="93"/>
    </row>
    <row r="745" spans="1:10" s="65" customFormat="1" ht="14" x14ac:dyDescent="0.35">
      <c r="A745" s="145"/>
      <c r="B745" s="93"/>
      <c r="C745" s="93"/>
      <c r="D745" s="93"/>
      <c r="E745" s="95"/>
      <c r="F745" s="95"/>
      <c r="G745" s="95"/>
      <c r="H745" s="93"/>
      <c r="I745" s="93"/>
      <c r="J745" s="93"/>
    </row>
    <row r="746" spans="1:10" s="65" customFormat="1" ht="14" x14ac:dyDescent="0.35">
      <c r="A746" s="145"/>
      <c r="B746" s="93"/>
      <c r="C746" s="93"/>
      <c r="D746" s="93"/>
      <c r="E746" s="95"/>
      <c r="F746" s="95"/>
      <c r="G746" s="95"/>
      <c r="H746" s="93"/>
      <c r="I746" s="93"/>
      <c r="J746" s="93"/>
    </row>
    <row r="747" spans="1:10" s="65" customFormat="1" ht="14" x14ac:dyDescent="0.35">
      <c r="A747" s="145"/>
      <c r="B747" s="93"/>
      <c r="C747" s="93"/>
      <c r="D747" s="93"/>
      <c r="E747" s="95"/>
      <c r="F747" s="95"/>
      <c r="G747" s="95"/>
      <c r="H747" s="93"/>
      <c r="I747" s="93"/>
      <c r="J747" s="93"/>
    </row>
    <row r="748" spans="1:10" s="65" customFormat="1" ht="14" x14ac:dyDescent="0.35">
      <c r="A748" s="145"/>
      <c r="B748" s="93"/>
      <c r="C748" s="93"/>
      <c r="D748" s="93"/>
      <c r="E748" s="95"/>
      <c r="F748" s="95"/>
      <c r="G748" s="95"/>
      <c r="H748" s="93"/>
      <c r="I748" s="93"/>
      <c r="J748" s="93"/>
    </row>
    <row r="749" spans="1:10" s="65" customFormat="1" ht="14" x14ac:dyDescent="0.35">
      <c r="A749" s="145"/>
      <c r="B749" s="93"/>
      <c r="C749" s="93"/>
      <c r="D749" s="93"/>
      <c r="E749" s="95"/>
      <c r="F749" s="95"/>
      <c r="G749" s="95"/>
      <c r="H749" s="93"/>
      <c r="I749" s="93"/>
      <c r="J749" s="93"/>
    </row>
    <row r="750" spans="1:10" s="65" customFormat="1" ht="14" x14ac:dyDescent="0.35">
      <c r="A750" s="145"/>
      <c r="B750" s="93"/>
      <c r="C750" s="93"/>
      <c r="D750" s="93"/>
      <c r="E750" s="95"/>
      <c r="F750" s="95"/>
      <c r="G750" s="95"/>
      <c r="H750" s="93"/>
      <c r="I750" s="93"/>
      <c r="J750" s="93"/>
    </row>
    <row r="751" spans="1:10" s="65" customFormat="1" ht="14" x14ac:dyDescent="0.35">
      <c r="A751" s="145"/>
      <c r="B751" s="93"/>
      <c r="C751" s="93"/>
      <c r="D751" s="93"/>
      <c r="E751" s="95"/>
      <c r="F751" s="95"/>
      <c r="G751" s="95"/>
      <c r="H751" s="93"/>
      <c r="I751" s="93"/>
      <c r="J751" s="93"/>
    </row>
    <row r="752" spans="1:10" s="65" customFormat="1" ht="14" x14ac:dyDescent="0.35">
      <c r="A752" s="145"/>
      <c r="B752" s="93"/>
      <c r="C752" s="93"/>
      <c r="D752" s="93"/>
      <c r="E752" s="95"/>
      <c r="F752" s="95"/>
      <c r="G752" s="95"/>
      <c r="H752" s="93"/>
      <c r="I752" s="93"/>
      <c r="J752" s="93"/>
    </row>
    <row r="753" spans="1:10" s="65" customFormat="1" ht="14" x14ac:dyDescent="0.35">
      <c r="A753" s="145"/>
      <c r="B753" s="93"/>
      <c r="C753" s="93"/>
      <c r="D753" s="93"/>
      <c r="E753" s="95"/>
      <c r="F753" s="95"/>
      <c r="G753" s="95"/>
      <c r="H753" s="93"/>
      <c r="I753" s="93"/>
      <c r="J753" s="93"/>
    </row>
    <row r="754" spans="1:10" s="65" customFormat="1" ht="14" x14ac:dyDescent="0.35">
      <c r="A754" s="145"/>
      <c r="B754" s="93"/>
      <c r="C754" s="93"/>
      <c r="D754" s="93"/>
      <c r="E754" s="95"/>
      <c r="F754" s="95"/>
      <c r="G754" s="95"/>
      <c r="H754" s="93"/>
      <c r="I754" s="93"/>
      <c r="J754" s="93"/>
    </row>
    <row r="755" spans="1:10" s="65" customFormat="1" ht="14" x14ac:dyDescent="0.35">
      <c r="A755" s="145"/>
      <c r="B755" s="93"/>
      <c r="C755" s="93"/>
      <c r="D755" s="93"/>
      <c r="E755" s="95"/>
      <c r="F755" s="95"/>
      <c r="G755" s="95"/>
      <c r="H755" s="93"/>
      <c r="I755" s="93"/>
      <c r="J755" s="93"/>
    </row>
    <row r="756" spans="1:10" s="65" customFormat="1" ht="14" x14ac:dyDescent="0.35">
      <c r="A756" s="145"/>
      <c r="B756" s="93"/>
      <c r="C756" s="93"/>
      <c r="D756" s="93"/>
      <c r="E756" s="95"/>
      <c r="F756" s="95"/>
      <c r="G756" s="95"/>
      <c r="H756" s="93"/>
      <c r="I756" s="93"/>
      <c r="J756" s="93"/>
    </row>
    <row r="757" spans="1:10" s="65" customFormat="1" ht="14" x14ac:dyDescent="0.35">
      <c r="A757" s="145"/>
      <c r="B757" s="93"/>
      <c r="C757" s="93"/>
      <c r="D757" s="93"/>
      <c r="E757" s="95"/>
      <c r="F757" s="95"/>
      <c r="G757" s="95"/>
      <c r="H757" s="93"/>
      <c r="I757" s="93"/>
      <c r="J757" s="93"/>
    </row>
    <row r="758" spans="1:10" s="65" customFormat="1" ht="14" x14ac:dyDescent="0.35">
      <c r="A758" s="145"/>
      <c r="B758" s="93"/>
      <c r="C758" s="93"/>
      <c r="D758" s="93"/>
      <c r="E758" s="95"/>
      <c r="F758" s="95"/>
      <c r="G758" s="95"/>
      <c r="H758" s="93"/>
      <c r="I758" s="93"/>
      <c r="J758" s="93"/>
    </row>
    <row r="759" spans="1:10" s="65" customFormat="1" ht="14" x14ac:dyDescent="0.35">
      <c r="A759" s="145"/>
      <c r="B759" s="93"/>
      <c r="C759" s="93"/>
      <c r="D759" s="93"/>
      <c r="E759" s="95"/>
      <c r="F759" s="95"/>
      <c r="G759" s="95"/>
      <c r="H759" s="93"/>
      <c r="I759" s="93"/>
      <c r="J759" s="93"/>
    </row>
    <row r="760" spans="1:10" s="65" customFormat="1" ht="14" x14ac:dyDescent="0.35">
      <c r="A760" s="145"/>
      <c r="B760" s="93"/>
      <c r="C760" s="93"/>
      <c r="D760" s="93"/>
      <c r="E760" s="95"/>
      <c r="F760" s="95"/>
      <c r="G760" s="95"/>
      <c r="H760" s="93"/>
      <c r="I760" s="93"/>
      <c r="J760" s="93"/>
    </row>
    <row r="761" spans="1:10" s="65" customFormat="1" ht="14" x14ac:dyDescent="0.35">
      <c r="A761" s="145"/>
      <c r="B761" s="93"/>
      <c r="C761" s="93"/>
      <c r="D761" s="93"/>
      <c r="E761" s="95"/>
      <c r="F761" s="95"/>
      <c r="G761" s="95"/>
      <c r="H761" s="93"/>
      <c r="I761" s="93"/>
      <c r="J761" s="93"/>
    </row>
    <row r="762" spans="1:10" s="65" customFormat="1" ht="14" x14ac:dyDescent="0.35">
      <c r="A762" s="145"/>
      <c r="B762" s="93"/>
      <c r="C762" s="93"/>
      <c r="D762" s="93"/>
      <c r="E762" s="95"/>
      <c r="F762" s="95"/>
      <c r="G762" s="95"/>
      <c r="H762" s="93"/>
      <c r="I762" s="93"/>
      <c r="J762" s="93"/>
    </row>
    <row r="763" spans="1:10" s="65" customFormat="1" ht="14" x14ac:dyDescent="0.35">
      <c r="A763" s="145"/>
      <c r="B763" s="93"/>
      <c r="C763" s="93"/>
      <c r="D763" s="93"/>
      <c r="E763" s="95"/>
      <c r="F763" s="95"/>
      <c r="G763" s="95"/>
      <c r="H763" s="93"/>
      <c r="I763" s="93"/>
      <c r="J763" s="93"/>
    </row>
    <row r="764" spans="1:10" s="65" customFormat="1" ht="14" x14ac:dyDescent="0.35">
      <c r="A764" s="145"/>
      <c r="B764" s="93"/>
      <c r="C764" s="93"/>
      <c r="D764" s="93"/>
      <c r="E764" s="95"/>
      <c r="F764" s="95"/>
      <c r="G764" s="95"/>
      <c r="H764" s="93"/>
      <c r="I764" s="93"/>
      <c r="J764" s="93"/>
    </row>
    <row r="765" spans="1:10" s="65" customFormat="1" ht="14" x14ac:dyDescent="0.35">
      <c r="A765" s="145"/>
      <c r="B765" s="93"/>
      <c r="C765" s="93"/>
      <c r="D765" s="93"/>
      <c r="E765" s="95"/>
      <c r="F765" s="95"/>
      <c r="G765" s="95"/>
      <c r="H765" s="93"/>
      <c r="I765" s="93"/>
      <c r="J765" s="93"/>
    </row>
    <row r="766" spans="1:10" s="65" customFormat="1" ht="14" x14ac:dyDescent="0.35">
      <c r="A766" s="145"/>
      <c r="B766" s="93"/>
      <c r="C766" s="93"/>
      <c r="D766" s="93"/>
      <c r="E766" s="95"/>
      <c r="F766" s="95"/>
      <c r="G766" s="95"/>
      <c r="H766" s="93"/>
      <c r="I766" s="93"/>
      <c r="J766" s="93"/>
    </row>
    <row r="767" spans="1:10" s="65" customFormat="1" ht="14" x14ac:dyDescent="0.35">
      <c r="A767" s="145"/>
      <c r="B767" s="93"/>
      <c r="C767" s="93"/>
      <c r="D767" s="93"/>
      <c r="E767" s="95"/>
      <c r="F767" s="95"/>
      <c r="G767" s="95"/>
      <c r="H767" s="93"/>
      <c r="I767" s="93"/>
      <c r="J767" s="93"/>
    </row>
    <row r="768" spans="1:10" s="65" customFormat="1" ht="14" x14ac:dyDescent="0.35">
      <c r="A768" s="145"/>
      <c r="B768" s="93"/>
      <c r="C768" s="93"/>
      <c r="D768" s="93"/>
      <c r="E768" s="95"/>
      <c r="F768" s="95"/>
      <c r="G768" s="95"/>
      <c r="H768" s="93"/>
      <c r="I768" s="93"/>
      <c r="J768" s="93"/>
    </row>
    <row r="769" spans="1:10" s="65" customFormat="1" ht="14" x14ac:dyDescent="0.35">
      <c r="A769" s="145"/>
      <c r="B769" s="93"/>
      <c r="C769" s="93"/>
      <c r="D769" s="93"/>
      <c r="E769" s="95"/>
      <c r="F769" s="95"/>
      <c r="G769" s="95"/>
      <c r="H769" s="93"/>
      <c r="I769" s="93"/>
      <c r="J769" s="93"/>
    </row>
    <row r="770" spans="1:10" s="65" customFormat="1" ht="14" x14ac:dyDescent="0.35">
      <c r="A770" s="145"/>
      <c r="B770" s="93"/>
      <c r="C770" s="93"/>
      <c r="D770" s="93"/>
      <c r="E770" s="95"/>
      <c r="F770" s="95"/>
      <c r="G770" s="95"/>
      <c r="H770" s="93"/>
      <c r="I770" s="93"/>
      <c r="J770" s="93"/>
    </row>
    <row r="771" spans="1:10" s="65" customFormat="1" ht="14" x14ac:dyDescent="0.35">
      <c r="A771" s="145"/>
      <c r="B771" s="93"/>
      <c r="C771" s="93"/>
      <c r="D771" s="93"/>
      <c r="E771" s="95"/>
      <c r="F771" s="95"/>
      <c r="G771" s="95"/>
      <c r="H771" s="93"/>
      <c r="I771" s="93"/>
      <c r="J771" s="93"/>
    </row>
    <row r="772" spans="1:10" s="65" customFormat="1" ht="14" x14ac:dyDescent="0.35">
      <c r="A772" s="145"/>
      <c r="B772" s="93"/>
      <c r="C772" s="93"/>
      <c r="D772" s="93"/>
      <c r="E772" s="95"/>
      <c r="F772" s="95"/>
      <c r="G772" s="95"/>
      <c r="H772" s="93"/>
      <c r="I772" s="93"/>
      <c r="J772" s="93"/>
    </row>
    <row r="773" spans="1:10" s="65" customFormat="1" ht="14" x14ac:dyDescent="0.35">
      <c r="A773" s="145"/>
      <c r="B773" s="93"/>
      <c r="C773" s="93"/>
      <c r="D773" s="93"/>
      <c r="E773" s="95"/>
      <c r="F773" s="95"/>
      <c r="G773" s="95"/>
      <c r="H773" s="93"/>
      <c r="I773" s="93"/>
      <c r="J773" s="93"/>
    </row>
    <row r="774" spans="1:10" s="65" customFormat="1" ht="14" x14ac:dyDescent="0.35">
      <c r="A774" s="145"/>
      <c r="B774" s="93"/>
      <c r="C774" s="93"/>
      <c r="D774" s="93"/>
      <c r="E774" s="95"/>
      <c r="F774" s="95"/>
      <c r="G774" s="95"/>
      <c r="H774" s="93"/>
      <c r="I774" s="93"/>
      <c r="J774" s="93"/>
    </row>
    <row r="775" spans="1:10" s="65" customFormat="1" ht="14" x14ac:dyDescent="0.35">
      <c r="A775" s="145"/>
      <c r="B775" s="93"/>
      <c r="C775" s="93"/>
      <c r="D775" s="93"/>
      <c r="E775" s="95"/>
      <c r="F775" s="95"/>
      <c r="G775" s="95"/>
      <c r="H775" s="93"/>
      <c r="I775" s="93"/>
      <c r="J775" s="93"/>
    </row>
    <row r="776" spans="1:10" s="65" customFormat="1" ht="14" x14ac:dyDescent="0.35">
      <c r="A776" s="145"/>
      <c r="B776" s="93"/>
      <c r="C776" s="93"/>
      <c r="D776" s="93"/>
      <c r="E776" s="95"/>
      <c r="F776" s="95"/>
      <c r="G776" s="95"/>
      <c r="H776" s="93"/>
      <c r="I776" s="93"/>
      <c r="J776" s="93"/>
    </row>
    <row r="777" spans="1:10" s="65" customFormat="1" ht="14" x14ac:dyDescent="0.35">
      <c r="A777" s="145"/>
      <c r="B777" s="93"/>
      <c r="C777" s="93"/>
      <c r="D777" s="93"/>
      <c r="E777" s="95"/>
      <c r="F777" s="95"/>
      <c r="G777" s="95"/>
      <c r="H777" s="93"/>
      <c r="I777" s="93"/>
      <c r="J777" s="93"/>
    </row>
    <row r="778" spans="1:10" s="65" customFormat="1" ht="14" x14ac:dyDescent="0.35">
      <c r="A778" s="145"/>
      <c r="B778" s="93"/>
      <c r="C778" s="93"/>
      <c r="D778" s="93"/>
      <c r="E778" s="95"/>
      <c r="F778" s="95"/>
      <c r="G778" s="95"/>
      <c r="H778" s="93"/>
      <c r="I778" s="93"/>
      <c r="J778" s="93"/>
    </row>
    <row r="779" spans="1:10" s="65" customFormat="1" ht="14" x14ac:dyDescent="0.35">
      <c r="A779" s="145"/>
      <c r="B779" s="93"/>
      <c r="C779" s="93"/>
      <c r="D779" s="93"/>
      <c r="E779" s="95"/>
      <c r="F779" s="95"/>
      <c r="G779" s="95"/>
      <c r="H779" s="93"/>
      <c r="I779" s="93"/>
      <c r="J779" s="93"/>
    </row>
    <row r="780" spans="1:10" s="65" customFormat="1" ht="14" x14ac:dyDescent="0.35">
      <c r="A780" s="145"/>
      <c r="B780" s="93"/>
      <c r="C780" s="93"/>
      <c r="D780" s="93"/>
      <c r="E780" s="95"/>
      <c r="F780" s="95"/>
      <c r="G780" s="95"/>
      <c r="H780" s="93"/>
      <c r="I780" s="93"/>
      <c r="J780" s="93"/>
    </row>
    <row r="781" spans="1:10" s="65" customFormat="1" ht="14" x14ac:dyDescent="0.35">
      <c r="A781" s="145"/>
      <c r="B781" s="93"/>
      <c r="C781" s="93"/>
      <c r="D781" s="93"/>
      <c r="E781" s="95"/>
      <c r="F781" s="95"/>
      <c r="G781" s="95"/>
      <c r="H781" s="93"/>
      <c r="I781" s="93"/>
      <c r="J781" s="93"/>
    </row>
    <row r="782" spans="1:10" s="65" customFormat="1" ht="14" x14ac:dyDescent="0.35">
      <c r="A782" s="145"/>
      <c r="B782" s="93"/>
      <c r="C782" s="93"/>
      <c r="D782" s="93"/>
      <c r="E782" s="95"/>
      <c r="F782" s="95"/>
      <c r="G782" s="95"/>
      <c r="H782" s="93"/>
      <c r="I782" s="93"/>
      <c r="J782" s="93"/>
    </row>
    <row r="783" spans="1:10" s="65" customFormat="1" ht="14" x14ac:dyDescent="0.35">
      <c r="A783" s="145"/>
      <c r="B783" s="93"/>
      <c r="C783" s="93"/>
      <c r="D783" s="93"/>
      <c r="E783" s="95"/>
      <c r="F783" s="95"/>
      <c r="G783" s="95"/>
      <c r="H783" s="93"/>
      <c r="I783" s="93"/>
      <c r="J783" s="93"/>
    </row>
    <row r="784" spans="1:10" s="65" customFormat="1" ht="14" x14ac:dyDescent="0.35">
      <c r="A784" s="145"/>
      <c r="B784" s="93"/>
      <c r="C784" s="93"/>
      <c r="D784" s="93"/>
      <c r="E784" s="95"/>
      <c r="F784" s="95"/>
      <c r="G784" s="95"/>
      <c r="H784" s="93"/>
      <c r="I784" s="93"/>
      <c r="J784" s="93"/>
    </row>
    <row r="785" spans="1:10" s="65" customFormat="1" ht="14" x14ac:dyDescent="0.35">
      <c r="A785" s="145"/>
      <c r="B785" s="93"/>
      <c r="C785" s="93"/>
      <c r="D785" s="93"/>
      <c r="E785" s="95"/>
      <c r="F785" s="95"/>
      <c r="G785" s="95"/>
      <c r="H785" s="93"/>
      <c r="I785" s="93"/>
      <c r="J785" s="93"/>
    </row>
    <row r="786" spans="1:10" s="65" customFormat="1" ht="14" x14ac:dyDescent="0.35">
      <c r="A786" s="145"/>
      <c r="B786" s="93"/>
      <c r="C786" s="93"/>
      <c r="D786" s="93"/>
      <c r="E786" s="95"/>
      <c r="F786" s="95"/>
      <c r="G786" s="95"/>
      <c r="H786" s="93"/>
      <c r="I786" s="93"/>
      <c r="J786" s="93"/>
    </row>
    <row r="787" spans="1:10" s="65" customFormat="1" ht="14" x14ac:dyDescent="0.35">
      <c r="A787" s="145"/>
      <c r="B787" s="93"/>
      <c r="C787" s="93"/>
      <c r="D787" s="93"/>
      <c r="E787" s="95"/>
      <c r="F787" s="95"/>
      <c r="G787" s="95"/>
      <c r="H787" s="93"/>
      <c r="I787" s="93"/>
      <c r="J787" s="93"/>
    </row>
    <row r="788" spans="1:10" s="65" customFormat="1" ht="14" x14ac:dyDescent="0.35">
      <c r="A788" s="145"/>
      <c r="B788" s="93"/>
      <c r="C788" s="93"/>
      <c r="D788" s="93"/>
      <c r="E788" s="95"/>
      <c r="F788" s="95"/>
      <c r="G788" s="95"/>
      <c r="H788" s="93"/>
      <c r="I788" s="93"/>
      <c r="J788" s="93"/>
    </row>
    <row r="789" spans="1:10" s="65" customFormat="1" ht="14" x14ac:dyDescent="0.35">
      <c r="A789" s="145"/>
      <c r="B789" s="93"/>
      <c r="C789" s="93"/>
      <c r="D789" s="93"/>
      <c r="E789" s="95"/>
      <c r="F789" s="95"/>
      <c r="G789" s="95"/>
      <c r="H789" s="93"/>
      <c r="I789" s="93"/>
      <c r="J789" s="93"/>
    </row>
    <row r="790" spans="1:10" s="65" customFormat="1" ht="14" x14ac:dyDescent="0.35">
      <c r="A790" s="145"/>
      <c r="B790" s="93"/>
      <c r="C790" s="93"/>
      <c r="D790" s="93"/>
      <c r="E790" s="95"/>
      <c r="F790" s="95"/>
      <c r="G790" s="95"/>
      <c r="H790" s="93"/>
      <c r="I790" s="93"/>
      <c r="J790" s="93"/>
    </row>
    <row r="791" spans="1:10" s="65" customFormat="1" ht="14" x14ac:dyDescent="0.35">
      <c r="A791" s="145"/>
      <c r="B791" s="93"/>
      <c r="C791" s="93"/>
      <c r="D791" s="93"/>
      <c r="E791" s="95"/>
      <c r="F791" s="95"/>
      <c r="G791" s="95"/>
      <c r="H791" s="93"/>
      <c r="I791" s="93"/>
      <c r="J791" s="93"/>
    </row>
    <row r="792" spans="1:10" s="65" customFormat="1" ht="14" x14ac:dyDescent="0.35">
      <c r="A792" s="145"/>
      <c r="B792" s="93"/>
      <c r="C792" s="93"/>
      <c r="D792" s="93"/>
      <c r="E792" s="95"/>
      <c r="F792" s="95"/>
      <c r="G792" s="95"/>
      <c r="H792" s="93"/>
      <c r="I792" s="93"/>
      <c r="J792" s="93"/>
    </row>
    <row r="793" spans="1:10" s="65" customFormat="1" ht="14" x14ac:dyDescent="0.35">
      <c r="A793" s="145"/>
      <c r="B793" s="93"/>
      <c r="C793" s="93"/>
      <c r="D793" s="93"/>
      <c r="E793" s="95"/>
      <c r="F793" s="95"/>
      <c r="G793" s="95"/>
      <c r="H793" s="93"/>
      <c r="I793" s="93"/>
      <c r="J793" s="93"/>
    </row>
    <row r="794" spans="1:10" s="65" customFormat="1" ht="14" x14ac:dyDescent="0.35">
      <c r="A794" s="145"/>
      <c r="B794" s="93"/>
      <c r="C794" s="93"/>
      <c r="D794" s="93"/>
      <c r="E794" s="95"/>
      <c r="F794" s="95"/>
      <c r="G794" s="95"/>
      <c r="H794" s="93"/>
      <c r="I794" s="93"/>
      <c r="J794" s="93"/>
    </row>
    <row r="795" spans="1:10" s="65" customFormat="1" ht="14" x14ac:dyDescent="0.35">
      <c r="A795" s="145"/>
      <c r="B795" s="93"/>
      <c r="C795" s="93"/>
      <c r="D795" s="93"/>
      <c r="E795" s="95"/>
      <c r="F795" s="95"/>
      <c r="G795" s="95"/>
      <c r="H795" s="93"/>
      <c r="I795" s="93"/>
      <c r="J795" s="93"/>
    </row>
    <row r="796" spans="1:10" s="65" customFormat="1" ht="14" x14ac:dyDescent="0.35">
      <c r="A796" s="145"/>
      <c r="B796" s="93"/>
      <c r="C796" s="93"/>
      <c r="D796" s="93"/>
      <c r="E796" s="95"/>
      <c r="F796" s="95"/>
      <c r="G796" s="95"/>
      <c r="H796" s="93"/>
      <c r="I796" s="93"/>
      <c r="J796" s="93"/>
    </row>
    <row r="797" spans="1:10" s="65" customFormat="1" ht="14" x14ac:dyDescent="0.35">
      <c r="A797" s="145"/>
      <c r="B797" s="93"/>
      <c r="C797" s="93"/>
      <c r="D797" s="93"/>
      <c r="E797" s="95"/>
      <c r="F797" s="95"/>
      <c r="G797" s="95"/>
      <c r="H797" s="93"/>
      <c r="I797" s="93"/>
      <c r="J797" s="93"/>
    </row>
    <row r="798" spans="1:10" s="65" customFormat="1" ht="14" x14ac:dyDescent="0.35">
      <c r="A798" s="145"/>
      <c r="B798" s="93"/>
      <c r="C798" s="93"/>
      <c r="D798" s="93"/>
      <c r="E798" s="95"/>
      <c r="F798" s="95"/>
      <c r="G798" s="95"/>
      <c r="H798" s="93"/>
      <c r="I798" s="93"/>
      <c r="J798" s="93"/>
    </row>
    <row r="799" spans="1:10" s="65" customFormat="1" ht="14" x14ac:dyDescent="0.35">
      <c r="A799" s="145"/>
      <c r="B799" s="93"/>
      <c r="C799" s="93"/>
      <c r="D799" s="93"/>
      <c r="E799" s="95"/>
      <c r="F799" s="95"/>
      <c r="G799" s="95"/>
      <c r="H799" s="93"/>
      <c r="I799" s="93"/>
      <c r="J799" s="93"/>
    </row>
    <row r="800" spans="1:10" s="65" customFormat="1" ht="14" x14ac:dyDescent="0.35">
      <c r="A800" s="145"/>
      <c r="B800" s="93"/>
      <c r="C800" s="93"/>
      <c r="D800" s="93"/>
      <c r="E800" s="95"/>
      <c r="F800" s="95"/>
      <c r="G800" s="95"/>
      <c r="H800" s="93"/>
      <c r="I800" s="93"/>
      <c r="J800" s="93"/>
    </row>
    <row r="801" spans="1:10" s="65" customFormat="1" ht="14" x14ac:dyDescent="0.35">
      <c r="A801" s="145"/>
      <c r="B801" s="93"/>
      <c r="C801" s="93"/>
      <c r="D801" s="93"/>
      <c r="E801" s="95"/>
      <c r="F801" s="95"/>
      <c r="G801" s="95"/>
      <c r="H801" s="93"/>
      <c r="I801" s="93"/>
      <c r="J801" s="93"/>
    </row>
    <row r="802" spans="1:10" s="65" customFormat="1" ht="14" x14ac:dyDescent="0.35">
      <c r="A802" s="145"/>
      <c r="B802" s="93"/>
      <c r="C802" s="93"/>
      <c r="D802" s="93"/>
      <c r="E802" s="95"/>
      <c r="F802" s="95"/>
      <c r="G802" s="95"/>
      <c r="H802" s="93"/>
      <c r="I802" s="93"/>
      <c r="J802" s="93"/>
    </row>
    <row r="803" spans="1:10" s="65" customFormat="1" ht="14" x14ac:dyDescent="0.35">
      <c r="A803" s="145"/>
      <c r="B803" s="93"/>
      <c r="C803" s="93"/>
      <c r="D803" s="93"/>
      <c r="E803" s="95"/>
      <c r="F803" s="95"/>
      <c r="G803" s="95"/>
      <c r="H803" s="93"/>
      <c r="I803" s="93"/>
      <c r="J803" s="93"/>
    </row>
    <row r="804" spans="1:10" s="65" customFormat="1" ht="14" x14ac:dyDescent="0.35">
      <c r="A804" s="145"/>
      <c r="B804" s="93"/>
      <c r="C804" s="93"/>
      <c r="D804" s="93"/>
      <c r="E804" s="95"/>
      <c r="F804" s="95"/>
      <c r="G804" s="95"/>
      <c r="H804" s="93"/>
      <c r="I804" s="93"/>
      <c r="J804" s="93"/>
    </row>
    <row r="805" spans="1:10" s="65" customFormat="1" ht="14" x14ac:dyDescent="0.35">
      <c r="A805" s="145"/>
      <c r="B805" s="93"/>
      <c r="C805" s="93"/>
      <c r="D805" s="93"/>
      <c r="E805" s="95"/>
      <c r="F805" s="95"/>
      <c r="G805" s="95"/>
      <c r="H805" s="93"/>
      <c r="I805" s="93"/>
      <c r="J805" s="93"/>
    </row>
    <row r="806" spans="1:10" s="65" customFormat="1" ht="14" x14ac:dyDescent="0.35">
      <c r="A806" s="145"/>
      <c r="B806" s="93"/>
      <c r="C806" s="93"/>
      <c r="D806" s="93"/>
      <c r="E806" s="95"/>
      <c r="F806" s="95"/>
      <c r="G806" s="95"/>
      <c r="H806" s="93"/>
      <c r="I806" s="93"/>
      <c r="J806" s="93"/>
    </row>
    <row r="807" spans="1:10" s="65" customFormat="1" ht="14" x14ac:dyDescent="0.35">
      <c r="A807" s="145"/>
      <c r="B807" s="93"/>
      <c r="C807" s="93"/>
      <c r="D807" s="93"/>
      <c r="E807" s="95"/>
      <c r="F807" s="95"/>
      <c r="G807" s="95"/>
      <c r="H807" s="93"/>
      <c r="I807" s="93"/>
      <c r="J807" s="93"/>
    </row>
    <row r="808" spans="1:10" s="65" customFormat="1" ht="14" x14ac:dyDescent="0.35">
      <c r="A808" s="145"/>
      <c r="B808" s="93"/>
      <c r="C808" s="93"/>
      <c r="D808" s="93"/>
      <c r="E808" s="95"/>
      <c r="F808" s="95"/>
      <c r="G808" s="95"/>
      <c r="H808" s="93"/>
      <c r="I808" s="93"/>
      <c r="J808" s="93"/>
    </row>
    <row r="809" spans="1:10" s="65" customFormat="1" ht="14" x14ac:dyDescent="0.35">
      <c r="A809" s="145"/>
      <c r="B809" s="93"/>
      <c r="C809" s="93"/>
      <c r="D809" s="93"/>
      <c r="E809" s="95"/>
      <c r="F809" s="95"/>
      <c r="G809" s="95"/>
      <c r="H809" s="93"/>
      <c r="I809" s="93"/>
      <c r="J809" s="93"/>
    </row>
    <row r="810" spans="1:10" s="65" customFormat="1" ht="14" x14ac:dyDescent="0.35">
      <c r="A810" s="145"/>
      <c r="B810" s="93"/>
      <c r="C810" s="93"/>
      <c r="D810" s="93"/>
      <c r="E810" s="95"/>
      <c r="F810" s="95"/>
      <c r="G810" s="95"/>
      <c r="H810" s="93"/>
      <c r="I810" s="93"/>
      <c r="J810" s="93"/>
    </row>
    <row r="811" spans="1:10" s="65" customFormat="1" ht="14" x14ac:dyDescent="0.35">
      <c r="A811" s="145"/>
      <c r="B811" s="93"/>
      <c r="C811" s="93"/>
      <c r="D811" s="93"/>
      <c r="E811" s="95"/>
      <c r="F811" s="95"/>
      <c r="G811" s="95"/>
      <c r="H811" s="93"/>
      <c r="I811" s="93"/>
      <c r="J811" s="93"/>
    </row>
    <row r="812" spans="1:10" s="65" customFormat="1" ht="14" x14ac:dyDescent="0.35">
      <c r="A812" s="145"/>
      <c r="B812" s="93"/>
      <c r="C812" s="93"/>
      <c r="D812" s="93"/>
      <c r="E812" s="95"/>
      <c r="F812" s="95"/>
      <c r="G812" s="95"/>
      <c r="H812" s="93"/>
      <c r="I812" s="93"/>
      <c r="J812" s="93"/>
    </row>
    <row r="813" spans="1:10" s="65" customFormat="1" ht="14" x14ac:dyDescent="0.35">
      <c r="A813" s="145"/>
      <c r="B813" s="93"/>
      <c r="C813" s="93"/>
      <c r="D813" s="93"/>
      <c r="E813" s="95"/>
      <c r="F813" s="95"/>
      <c r="G813" s="95"/>
      <c r="H813" s="93"/>
      <c r="I813" s="93"/>
      <c r="J813" s="93"/>
    </row>
    <row r="814" spans="1:10" s="65" customFormat="1" ht="14" x14ac:dyDescent="0.35">
      <c r="A814" s="145"/>
      <c r="B814" s="93"/>
      <c r="C814" s="93"/>
      <c r="D814" s="93"/>
      <c r="E814" s="95"/>
      <c r="F814" s="95"/>
      <c r="G814" s="95"/>
      <c r="H814" s="93"/>
      <c r="I814" s="93"/>
      <c r="J814" s="93"/>
    </row>
    <row r="815" spans="1:10" s="65" customFormat="1" ht="14" x14ac:dyDescent="0.35">
      <c r="A815" s="145"/>
      <c r="B815" s="93"/>
      <c r="C815" s="93"/>
      <c r="D815" s="93"/>
      <c r="E815" s="95"/>
      <c r="F815" s="95"/>
      <c r="G815" s="95"/>
      <c r="H815" s="93"/>
      <c r="I815" s="93"/>
      <c r="J815" s="93"/>
    </row>
    <row r="816" spans="1:10" s="65" customFormat="1" ht="14" x14ac:dyDescent="0.35">
      <c r="A816" s="145"/>
      <c r="B816" s="93"/>
      <c r="C816" s="93"/>
      <c r="D816" s="93"/>
      <c r="E816" s="95"/>
      <c r="F816" s="95"/>
      <c r="G816" s="95"/>
      <c r="H816" s="93"/>
      <c r="I816" s="93"/>
      <c r="J816" s="93"/>
    </row>
    <row r="817" spans="1:10" s="65" customFormat="1" ht="14" x14ac:dyDescent="0.35">
      <c r="A817" s="145"/>
      <c r="B817" s="93"/>
      <c r="C817" s="93"/>
      <c r="D817" s="93"/>
      <c r="E817" s="95"/>
      <c r="F817" s="95"/>
      <c r="G817" s="95"/>
      <c r="H817" s="93"/>
      <c r="I817" s="93"/>
      <c r="J817" s="93"/>
    </row>
    <row r="818" spans="1:10" s="65" customFormat="1" ht="14" x14ac:dyDescent="0.35">
      <c r="A818" s="145"/>
      <c r="B818" s="93"/>
      <c r="C818" s="93"/>
      <c r="D818" s="93"/>
      <c r="E818" s="95"/>
      <c r="F818" s="95"/>
      <c r="G818" s="95"/>
      <c r="H818" s="93"/>
      <c r="I818" s="93"/>
      <c r="J818" s="93"/>
    </row>
    <row r="819" spans="1:10" s="65" customFormat="1" ht="14" x14ac:dyDescent="0.35">
      <c r="A819" s="145"/>
      <c r="B819" s="93"/>
      <c r="C819" s="93"/>
      <c r="D819" s="93"/>
      <c r="E819" s="95"/>
      <c r="F819" s="95"/>
      <c r="G819" s="95"/>
      <c r="H819" s="93"/>
      <c r="I819" s="93"/>
      <c r="J819" s="93"/>
    </row>
    <row r="820" spans="1:10" s="65" customFormat="1" ht="14" x14ac:dyDescent="0.35">
      <c r="A820" s="145"/>
      <c r="B820" s="93"/>
      <c r="C820" s="93"/>
      <c r="D820" s="93"/>
      <c r="E820" s="95"/>
      <c r="F820" s="95"/>
      <c r="G820" s="95"/>
      <c r="H820" s="93"/>
      <c r="I820" s="93"/>
      <c r="J820" s="93"/>
    </row>
    <row r="821" spans="1:10" s="65" customFormat="1" ht="14" x14ac:dyDescent="0.35">
      <c r="A821" s="145"/>
      <c r="B821" s="93"/>
      <c r="C821" s="93"/>
      <c r="D821" s="93"/>
      <c r="E821" s="95"/>
      <c r="F821" s="95"/>
      <c r="G821" s="95"/>
      <c r="H821" s="93"/>
      <c r="I821" s="93"/>
      <c r="J821" s="93"/>
    </row>
    <row r="822" spans="1:10" s="65" customFormat="1" ht="14" x14ac:dyDescent="0.35">
      <c r="A822" s="145"/>
      <c r="B822" s="93"/>
      <c r="C822" s="93"/>
      <c r="D822" s="93"/>
      <c r="E822" s="95"/>
      <c r="F822" s="95"/>
      <c r="G822" s="95"/>
      <c r="H822" s="93"/>
      <c r="I822" s="93"/>
      <c r="J822" s="93"/>
    </row>
    <row r="823" spans="1:10" s="65" customFormat="1" ht="14" x14ac:dyDescent="0.35">
      <c r="A823" s="145"/>
      <c r="B823" s="93"/>
      <c r="C823" s="93"/>
      <c r="D823" s="93"/>
      <c r="E823" s="95"/>
      <c r="F823" s="95"/>
      <c r="G823" s="95"/>
      <c r="H823" s="93"/>
      <c r="I823" s="93"/>
      <c r="J823" s="93"/>
    </row>
    <row r="824" spans="1:10" s="65" customFormat="1" ht="14" x14ac:dyDescent="0.35">
      <c r="A824" s="145"/>
      <c r="B824" s="93"/>
      <c r="C824" s="93"/>
      <c r="D824" s="93"/>
      <c r="E824" s="95"/>
      <c r="F824" s="95"/>
      <c r="G824" s="95"/>
      <c r="H824" s="93"/>
      <c r="I824" s="93"/>
      <c r="J824" s="93"/>
    </row>
    <row r="825" spans="1:10" s="65" customFormat="1" ht="14" x14ac:dyDescent="0.35">
      <c r="A825" s="145"/>
      <c r="B825" s="93"/>
      <c r="C825" s="93"/>
      <c r="D825" s="93"/>
      <c r="E825" s="95"/>
      <c r="F825" s="95"/>
      <c r="G825" s="95"/>
      <c r="H825" s="93"/>
      <c r="I825" s="93"/>
      <c r="J825" s="93"/>
    </row>
    <row r="826" spans="1:10" s="65" customFormat="1" ht="14" x14ac:dyDescent="0.35">
      <c r="A826" s="145"/>
      <c r="B826" s="93"/>
      <c r="C826" s="93"/>
      <c r="D826" s="93"/>
      <c r="E826" s="95"/>
      <c r="F826" s="95"/>
      <c r="G826" s="95"/>
      <c r="H826" s="93"/>
      <c r="I826" s="93"/>
      <c r="J826" s="93"/>
    </row>
    <row r="827" spans="1:10" s="65" customFormat="1" ht="14" x14ac:dyDescent="0.35">
      <c r="A827" s="145"/>
      <c r="B827" s="93"/>
      <c r="C827" s="93"/>
      <c r="D827" s="93"/>
      <c r="E827" s="95"/>
      <c r="F827" s="95"/>
      <c r="G827" s="95"/>
      <c r="H827" s="93"/>
      <c r="I827" s="93"/>
      <c r="J827" s="93"/>
    </row>
    <row r="828" spans="1:10" s="65" customFormat="1" ht="14" x14ac:dyDescent="0.35">
      <c r="A828" s="145"/>
      <c r="B828" s="93"/>
      <c r="C828" s="93"/>
      <c r="D828" s="93"/>
      <c r="E828" s="95"/>
      <c r="F828" s="95"/>
      <c r="G828" s="95"/>
      <c r="H828" s="93"/>
      <c r="I828" s="93"/>
      <c r="J828" s="93"/>
    </row>
    <row r="829" spans="1:10" s="65" customFormat="1" ht="14" x14ac:dyDescent="0.35">
      <c r="A829" s="145"/>
      <c r="B829" s="93"/>
      <c r="C829" s="93"/>
      <c r="D829" s="93"/>
      <c r="E829" s="95"/>
      <c r="F829" s="95"/>
      <c r="G829" s="95"/>
      <c r="H829" s="93"/>
      <c r="I829" s="93"/>
      <c r="J829" s="93"/>
    </row>
    <row r="830" spans="1:10" s="65" customFormat="1" ht="14" x14ac:dyDescent="0.35">
      <c r="A830" s="145"/>
      <c r="B830" s="93"/>
      <c r="C830" s="93"/>
      <c r="D830" s="93"/>
      <c r="E830" s="95"/>
      <c r="F830" s="95"/>
      <c r="G830" s="95"/>
      <c r="H830" s="93"/>
      <c r="I830" s="93"/>
      <c r="J830" s="93"/>
    </row>
    <row r="831" spans="1:10" s="65" customFormat="1" ht="14" x14ac:dyDescent="0.35">
      <c r="A831" s="145"/>
      <c r="B831" s="93"/>
      <c r="C831" s="93"/>
      <c r="D831" s="93"/>
      <c r="E831" s="95"/>
      <c r="F831" s="95"/>
      <c r="G831" s="95"/>
      <c r="H831" s="93"/>
      <c r="I831" s="93"/>
      <c r="J831" s="93"/>
    </row>
    <row r="832" spans="1:10" s="65" customFormat="1" ht="14" x14ac:dyDescent="0.35">
      <c r="A832" s="145"/>
      <c r="B832" s="93"/>
      <c r="C832" s="93"/>
      <c r="D832" s="93"/>
      <c r="E832" s="95"/>
      <c r="F832" s="95"/>
      <c r="G832" s="95"/>
      <c r="H832" s="93"/>
      <c r="I832" s="93"/>
      <c r="J832" s="93"/>
    </row>
    <row r="833" spans="1:10" s="65" customFormat="1" ht="14" x14ac:dyDescent="0.35">
      <c r="A833" s="145"/>
      <c r="B833" s="93"/>
      <c r="C833" s="93"/>
      <c r="D833" s="93"/>
      <c r="E833" s="95"/>
      <c r="F833" s="95"/>
      <c r="G833" s="95"/>
      <c r="H833" s="93"/>
      <c r="I833" s="93"/>
      <c r="J833" s="93"/>
    </row>
    <row r="834" spans="1:10" s="65" customFormat="1" ht="14" x14ac:dyDescent="0.35">
      <c r="A834" s="145"/>
      <c r="B834" s="93"/>
      <c r="C834" s="93"/>
      <c r="D834" s="93"/>
      <c r="E834" s="95"/>
      <c r="F834" s="95"/>
      <c r="G834" s="95"/>
      <c r="H834" s="93"/>
      <c r="I834" s="93"/>
      <c r="J834" s="93"/>
    </row>
    <row r="835" spans="1:10" s="65" customFormat="1" ht="14" x14ac:dyDescent="0.35">
      <c r="A835" s="145"/>
      <c r="B835" s="93"/>
      <c r="C835" s="93"/>
      <c r="D835" s="93"/>
      <c r="E835" s="95"/>
      <c r="F835" s="95"/>
      <c r="G835" s="95"/>
      <c r="H835" s="93"/>
      <c r="I835" s="93"/>
      <c r="J835" s="93"/>
    </row>
    <row r="836" spans="1:10" s="65" customFormat="1" ht="14" x14ac:dyDescent="0.35">
      <c r="A836" s="145"/>
      <c r="B836" s="93"/>
      <c r="C836" s="93"/>
      <c r="D836" s="93"/>
      <c r="E836" s="95"/>
      <c r="F836" s="95"/>
      <c r="G836" s="95"/>
      <c r="H836" s="93"/>
      <c r="I836" s="93"/>
      <c r="J836" s="93"/>
    </row>
    <row r="837" spans="1:10" s="65" customFormat="1" ht="14" x14ac:dyDescent="0.35">
      <c r="A837" s="145"/>
      <c r="B837" s="93"/>
      <c r="C837" s="93"/>
      <c r="D837" s="93"/>
      <c r="E837" s="95"/>
      <c r="F837" s="95"/>
      <c r="G837" s="95"/>
      <c r="H837" s="93"/>
      <c r="I837" s="93"/>
      <c r="J837" s="93"/>
    </row>
    <row r="838" spans="1:10" s="65" customFormat="1" ht="14" x14ac:dyDescent="0.35">
      <c r="A838" s="145"/>
      <c r="B838" s="93"/>
      <c r="C838" s="93"/>
      <c r="D838" s="93"/>
      <c r="E838" s="95"/>
      <c r="F838" s="95"/>
      <c r="G838" s="95"/>
      <c r="H838" s="93"/>
      <c r="I838" s="93"/>
      <c r="J838" s="93"/>
    </row>
    <row r="839" spans="1:10" s="65" customFormat="1" ht="14" x14ac:dyDescent="0.35">
      <c r="A839" s="145"/>
      <c r="B839" s="93"/>
      <c r="C839" s="93"/>
      <c r="D839" s="93"/>
      <c r="E839" s="95"/>
      <c r="F839" s="95"/>
      <c r="G839" s="95"/>
      <c r="H839" s="93"/>
      <c r="I839" s="93"/>
      <c r="J839" s="93"/>
    </row>
    <row r="840" spans="1:10" s="65" customFormat="1" ht="14" x14ac:dyDescent="0.35">
      <c r="A840" s="145"/>
      <c r="B840" s="93"/>
      <c r="C840" s="93"/>
      <c r="D840" s="93"/>
      <c r="E840" s="95"/>
      <c r="F840" s="95"/>
      <c r="G840" s="95"/>
      <c r="H840" s="93"/>
      <c r="I840" s="93"/>
      <c r="J840" s="93"/>
    </row>
    <row r="841" spans="1:10" s="65" customFormat="1" ht="14" x14ac:dyDescent="0.35">
      <c r="A841" s="145"/>
      <c r="B841" s="93"/>
      <c r="C841" s="93"/>
      <c r="D841" s="93"/>
      <c r="E841" s="95"/>
      <c r="F841" s="95"/>
      <c r="G841" s="95"/>
      <c r="H841" s="93"/>
      <c r="I841" s="93"/>
      <c r="J841" s="93"/>
    </row>
    <row r="842" spans="1:10" s="65" customFormat="1" ht="14" x14ac:dyDescent="0.35">
      <c r="A842" s="145"/>
      <c r="B842" s="93"/>
      <c r="C842" s="93"/>
      <c r="D842" s="93"/>
      <c r="E842" s="95"/>
      <c r="F842" s="95"/>
      <c r="G842" s="95"/>
      <c r="H842" s="93"/>
      <c r="I842" s="93"/>
      <c r="J842" s="93"/>
    </row>
    <row r="843" spans="1:10" s="65" customFormat="1" ht="14" x14ac:dyDescent="0.35">
      <c r="A843" s="145"/>
      <c r="B843" s="93"/>
      <c r="C843" s="93"/>
      <c r="D843" s="93"/>
      <c r="E843" s="95"/>
      <c r="F843" s="95"/>
      <c r="G843" s="95"/>
      <c r="H843" s="93"/>
      <c r="I843" s="93"/>
      <c r="J843" s="93"/>
    </row>
    <row r="844" spans="1:10" s="65" customFormat="1" ht="14" x14ac:dyDescent="0.35">
      <c r="A844" s="145"/>
      <c r="B844" s="93"/>
      <c r="C844" s="93"/>
      <c r="D844" s="93"/>
      <c r="E844" s="95"/>
      <c r="F844" s="95"/>
      <c r="G844" s="95"/>
      <c r="H844" s="93"/>
      <c r="I844" s="93"/>
      <c r="J844" s="93"/>
    </row>
    <row r="845" spans="1:10" s="65" customFormat="1" ht="14" x14ac:dyDescent="0.35">
      <c r="A845" s="145"/>
      <c r="B845" s="93"/>
      <c r="C845" s="93"/>
      <c r="D845" s="93"/>
      <c r="E845" s="95"/>
      <c r="F845" s="95"/>
      <c r="G845" s="95"/>
      <c r="H845" s="93"/>
      <c r="I845" s="93"/>
      <c r="J845" s="93"/>
    </row>
    <row r="846" spans="1:10" s="65" customFormat="1" ht="14" x14ac:dyDescent="0.35">
      <c r="A846" s="145"/>
      <c r="B846" s="93"/>
      <c r="C846" s="93"/>
      <c r="D846" s="93"/>
      <c r="E846" s="95"/>
      <c r="F846" s="95"/>
      <c r="G846" s="95"/>
      <c r="H846" s="93"/>
      <c r="I846" s="93"/>
      <c r="J846" s="93"/>
    </row>
    <row r="847" spans="1:10" s="65" customFormat="1" ht="14" x14ac:dyDescent="0.35">
      <c r="A847" s="145"/>
      <c r="B847" s="93"/>
      <c r="C847" s="93"/>
      <c r="D847" s="93"/>
      <c r="E847" s="95"/>
      <c r="F847" s="95"/>
      <c r="G847" s="95"/>
      <c r="H847" s="93"/>
      <c r="I847" s="93"/>
      <c r="J847" s="93"/>
    </row>
    <row r="848" spans="1:10" s="65" customFormat="1" ht="14" x14ac:dyDescent="0.35">
      <c r="A848" s="145"/>
      <c r="B848" s="93"/>
      <c r="C848" s="93"/>
      <c r="D848" s="93"/>
      <c r="E848" s="95"/>
      <c r="F848" s="95"/>
      <c r="G848" s="95"/>
      <c r="H848" s="93"/>
      <c r="I848" s="93"/>
      <c r="J848" s="93"/>
    </row>
    <row r="849" spans="1:10" s="65" customFormat="1" ht="14" x14ac:dyDescent="0.35">
      <c r="A849" s="145"/>
      <c r="B849" s="93"/>
      <c r="C849" s="93"/>
      <c r="D849" s="93"/>
      <c r="E849" s="95"/>
      <c r="F849" s="95"/>
      <c r="G849" s="95"/>
      <c r="H849" s="93"/>
      <c r="I849" s="93"/>
      <c r="J849" s="93"/>
    </row>
    <row r="850" spans="1:10" s="65" customFormat="1" ht="14" x14ac:dyDescent="0.35">
      <c r="A850" s="145"/>
      <c r="B850" s="93"/>
      <c r="C850" s="93"/>
      <c r="D850" s="93"/>
      <c r="E850" s="95"/>
      <c r="F850" s="95"/>
      <c r="G850" s="95"/>
      <c r="H850" s="93"/>
      <c r="I850" s="93"/>
      <c r="J850" s="93"/>
    </row>
    <row r="851" spans="1:10" s="65" customFormat="1" ht="14" x14ac:dyDescent="0.35">
      <c r="A851" s="145"/>
      <c r="B851" s="93"/>
      <c r="C851" s="93"/>
      <c r="D851" s="93"/>
      <c r="E851" s="95"/>
      <c r="F851" s="95"/>
      <c r="G851" s="95"/>
      <c r="H851" s="93"/>
      <c r="I851" s="93"/>
      <c r="J851" s="93"/>
    </row>
    <row r="852" spans="1:10" s="65" customFormat="1" ht="14" x14ac:dyDescent="0.35">
      <c r="A852" s="145"/>
      <c r="B852" s="93"/>
      <c r="C852" s="93"/>
      <c r="D852" s="93"/>
      <c r="E852" s="95"/>
      <c r="F852" s="95"/>
      <c r="G852" s="95"/>
      <c r="H852" s="93"/>
      <c r="I852" s="93"/>
      <c r="J852" s="93"/>
    </row>
    <row r="853" spans="1:10" s="65" customFormat="1" ht="14" x14ac:dyDescent="0.35">
      <c r="A853" s="145"/>
      <c r="B853" s="93"/>
      <c r="C853" s="93"/>
      <c r="D853" s="93"/>
      <c r="E853" s="95"/>
      <c r="F853" s="95"/>
      <c r="G853" s="95"/>
      <c r="H853" s="93"/>
      <c r="I853" s="93"/>
      <c r="J853" s="93"/>
    </row>
    <row r="854" spans="1:10" s="65" customFormat="1" ht="14" x14ac:dyDescent="0.35">
      <c r="A854" s="145"/>
      <c r="B854" s="93"/>
      <c r="C854" s="93"/>
      <c r="D854" s="93"/>
      <c r="E854" s="95"/>
      <c r="F854" s="95"/>
      <c r="G854" s="95"/>
      <c r="H854" s="93"/>
      <c r="I854" s="93"/>
      <c r="J854" s="93"/>
    </row>
    <row r="855" spans="1:10" s="65" customFormat="1" ht="14" x14ac:dyDescent="0.35">
      <c r="A855" s="145"/>
      <c r="B855" s="93"/>
      <c r="C855" s="93"/>
      <c r="D855" s="93"/>
      <c r="E855" s="95"/>
      <c r="F855" s="95"/>
      <c r="G855" s="95"/>
      <c r="H855" s="93"/>
      <c r="I855" s="93"/>
      <c r="J855" s="93"/>
    </row>
    <row r="856" spans="1:10" s="65" customFormat="1" ht="14" x14ac:dyDescent="0.35">
      <c r="A856" s="145"/>
      <c r="B856" s="93"/>
      <c r="C856" s="93"/>
      <c r="D856" s="93"/>
      <c r="E856" s="95"/>
      <c r="F856" s="95"/>
      <c r="G856" s="95"/>
      <c r="H856" s="93"/>
      <c r="I856" s="93"/>
      <c r="J856" s="93"/>
    </row>
    <row r="857" spans="1:10" s="65" customFormat="1" ht="14" x14ac:dyDescent="0.35">
      <c r="A857" s="145"/>
      <c r="B857" s="93"/>
      <c r="C857" s="93"/>
      <c r="D857" s="93"/>
      <c r="E857" s="95"/>
      <c r="F857" s="95"/>
      <c r="G857" s="95"/>
      <c r="H857" s="93"/>
      <c r="I857" s="93"/>
      <c r="J857" s="93"/>
    </row>
    <row r="858" spans="1:10" s="65" customFormat="1" ht="14" x14ac:dyDescent="0.35">
      <c r="A858" s="145"/>
      <c r="B858" s="93"/>
      <c r="C858" s="93"/>
      <c r="D858" s="93"/>
      <c r="E858" s="95"/>
      <c r="F858" s="95"/>
      <c r="G858" s="95"/>
      <c r="H858" s="93"/>
      <c r="I858" s="93"/>
      <c r="J858" s="93"/>
    </row>
    <row r="859" spans="1:10" s="65" customFormat="1" ht="14" x14ac:dyDescent="0.35">
      <c r="A859" s="145"/>
      <c r="B859" s="93"/>
      <c r="C859" s="93"/>
      <c r="D859" s="93"/>
      <c r="E859" s="95"/>
      <c r="F859" s="95"/>
      <c r="G859" s="95"/>
      <c r="H859" s="93"/>
      <c r="I859" s="93"/>
      <c r="J859" s="93"/>
    </row>
    <row r="860" spans="1:10" s="65" customFormat="1" ht="14" x14ac:dyDescent="0.35">
      <c r="A860" s="145"/>
      <c r="B860" s="93"/>
      <c r="C860" s="93"/>
      <c r="D860" s="93"/>
      <c r="E860" s="95"/>
      <c r="F860" s="95"/>
      <c r="G860" s="95"/>
      <c r="H860" s="93"/>
      <c r="I860" s="93"/>
      <c r="J860" s="93"/>
    </row>
    <row r="861" spans="1:10" s="65" customFormat="1" ht="14" x14ac:dyDescent="0.35">
      <c r="A861" s="145"/>
      <c r="B861" s="93"/>
      <c r="C861" s="93"/>
      <c r="D861" s="93"/>
      <c r="E861" s="95"/>
      <c r="F861" s="95"/>
      <c r="G861" s="95"/>
      <c r="H861" s="93"/>
      <c r="I861" s="93"/>
      <c r="J861" s="93"/>
    </row>
    <row r="862" spans="1:10" s="65" customFormat="1" ht="14" x14ac:dyDescent="0.35">
      <c r="A862" s="145"/>
      <c r="B862" s="93"/>
      <c r="C862" s="93"/>
      <c r="D862" s="93"/>
      <c r="E862" s="95"/>
      <c r="F862" s="95"/>
      <c r="G862" s="95"/>
      <c r="H862" s="93"/>
      <c r="I862" s="93"/>
      <c r="J862" s="93"/>
    </row>
    <row r="863" spans="1:10" s="65" customFormat="1" ht="14" x14ac:dyDescent="0.35">
      <c r="A863" s="145"/>
      <c r="B863" s="93"/>
      <c r="C863" s="93"/>
      <c r="D863" s="93"/>
      <c r="E863" s="95"/>
      <c r="F863" s="95"/>
      <c r="G863" s="95"/>
      <c r="H863" s="93"/>
      <c r="I863" s="93"/>
      <c r="J863" s="93"/>
    </row>
    <row r="864" spans="1:10" s="65" customFormat="1" ht="14" x14ac:dyDescent="0.35">
      <c r="A864" s="145"/>
      <c r="B864" s="93"/>
      <c r="C864" s="93"/>
      <c r="D864" s="93"/>
      <c r="E864" s="95"/>
      <c r="F864" s="95"/>
      <c r="G864" s="95"/>
      <c r="H864" s="93"/>
      <c r="I864" s="93"/>
      <c r="J864" s="93"/>
    </row>
    <row r="865" spans="1:10" s="65" customFormat="1" ht="14" x14ac:dyDescent="0.35">
      <c r="A865" s="145"/>
      <c r="B865" s="93"/>
      <c r="C865" s="93"/>
      <c r="D865" s="93"/>
      <c r="E865" s="95"/>
      <c r="F865" s="95"/>
      <c r="G865" s="95"/>
      <c r="H865" s="93"/>
      <c r="I865" s="93"/>
      <c r="J865" s="93"/>
    </row>
    <row r="866" spans="1:10" s="65" customFormat="1" ht="14" x14ac:dyDescent="0.35">
      <c r="A866" s="145"/>
      <c r="B866" s="93"/>
      <c r="C866" s="93"/>
      <c r="D866" s="93"/>
      <c r="E866" s="95"/>
      <c r="F866" s="95"/>
      <c r="G866" s="95"/>
      <c r="H866" s="93"/>
      <c r="I866" s="93"/>
      <c r="J866" s="93"/>
    </row>
    <row r="867" spans="1:10" s="65" customFormat="1" ht="14" x14ac:dyDescent="0.35">
      <c r="A867" s="145"/>
      <c r="B867" s="93"/>
      <c r="C867" s="93"/>
      <c r="D867" s="93"/>
      <c r="E867" s="95"/>
      <c r="F867" s="95"/>
      <c r="G867" s="95"/>
      <c r="H867" s="93"/>
      <c r="I867" s="93"/>
      <c r="J867" s="93"/>
    </row>
    <row r="868" spans="1:10" s="65" customFormat="1" ht="14" x14ac:dyDescent="0.35">
      <c r="A868" s="145"/>
      <c r="B868" s="93"/>
      <c r="C868" s="93"/>
      <c r="D868" s="93"/>
      <c r="E868" s="95"/>
      <c r="F868" s="95"/>
      <c r="G868" s="95"/>
      <c r="H868" s="93"/>
      <c r="I868" s="93"/>
      <c r="J868" s="93"/>
    </row>
    <row r="869" spans="1:10" s="65" customFormat="1" ht="14" x14ac:dyDescent="0.35">
      <c r="A869" s="145"/>
      <c r="B869" s="93"/>
      <c r="C869" s="93"/>
      <c r="D869" s="93"/>
      <c r="E869" s="95"/>
      <c r="F869" s="95"/>
      <c r="G869" s="95"/>
      <c r="H869" s="93"/>
      <c r="I869" s="93"/>
      <c r="J869" s="93"/>
    </row>
    <row r="870" spans="1:10" s="65" customFormat="1" ht="14" x14ac:dyDescent="0.35">
      <c r="A870" s="145"/>
      <c r="B870" s="93"/>
      <c r="C870" s="93"/>
      <c r="D870" s="93"/>
      <c r="E870" s="95"/>
      <c r="F870" s="95"/>
      <c r="G870" s="95"/>
      <c r="H870" s="93"/>
      <c r="I870" s="93"/>
      <c r="J870" s="93"/>
    </row>
    <row r="871" spans="1:10" s="65" customFormat="1" ht="14" x14ac:dyDescent="0.35">
      <c r="A871" s="145"/>
      <c r="B871" s="93"/>
      <c r="C871" s="93"/>
      <c r="D871" s="93"/>
      <c r="E871" s="95"/>
      <c r="F871" s="95"/>
      <c r="G871" s="95"/>
      <c r="H871" s="93"/>
      <c r="I871" s="93"/>
      <c r="J871" s="93"/>
    </row>
    <row r="872" spans="1:10" s="65" customFormat="1" ht="14" x14ac:dyDescent="0.35">
      <c r="A872" s="145"/>
      <c r="B872" s="93"/>
      <c r="C872" s="93"/>
      <c r="D872" s="93"/>
      <c r="E872" s="95"/>
      <c r="F872" s="95"/>
      <c r="G872" s="95"/>
      <c r="H872" s="93"/>
      <c r="I872" s="93"/>
      <c r="J872" s="93"/>
    </row>
    <row r="873" spans="1:10" s="65" customFormat="1" ht="14" x14ac:dyDescent="0.35">
      <c r="A873" s="145"/>
      <c r="B873" s="93"/>
      <c r="C873" s="93"/>
      <c r="D873" s="93"/>
      <c r="E873" s="95"/>
      <c r="F873" s="95"/>
      <c r="G873" s="95"/>
      <c r="H873" s="93"/>
      <c r="I873" s="93"/>
      <c r="J873" s="93"/>
    </row>
    <row r="874" spans="1:10" s="65" customFormat="1" ht="14" x14ac:dyDescent="0.35">
      <c r="A874" s="145"/>
      <c r="B874" s="93"/>
      <c r="C874" s="93"/>
      <c r="D874" s="93"/>
      <c r="E874" s="95"/>
      <c r="F874" s="95"/>
      <c r="G874" s="95"/>
      <c r="H874" s="93"/>
      <c r="I874" s="93"/>
      <c r="J874" s="93"/>
    </row>
    <row r="875" spans="1:10" s="65" customFormat="1" ht="14" x14ac:dyDescent="0.35">
      <c r="A875" s="145"/>
      <c r="B875" s="93"/>
      <c r="C875" s="93"/>
      <c r="D875" s="93"/>
      <c r="E875" s="95"/>
      <c r="F875" s="95"/>
      <c r="G875" s="95"/>
      <c r="H875" s="93"/>
      <c r="I875" s="93"/>
      <c r="J875" s="93"/>
    </row>
    <row r="876" spans="1:10" s="65" customFormat="1" ht="14" x14ac:dyDescent="0.35">
      <c r="A876" s="145"/>
      <c r="B876" s="93"/>
      <c r="C876" s="93"/>
      <c r="D876" s="93"/>
      <c r="E876" s="95"/>
      <c r="F876" s="95"/>
      <c r="G876" s="95"/>
      <c r="H876" s="93"/>
      <c r="I876" s="93"/>
      <c r="J876" s="93"/>
    </row>
    <row r="877" spans="1:10" s="65" customFormat="1" ht="14" x14ac:dyDescent="0.35">
      <c r="A877" s="145"/>
      <c r="B877" s="93"/>
      <c r="C877" s="93"/>
      <c r="D877" s="93"/>
      <c r="E877" s="95"/>
      <c r="F877" s="95"/>
      <c r="G877" s="95"/>
      <c r="H877" s="93"/>
      <c r="I877" s="93"/>
      <c r="J877" s="93"/>
    </row>
    <row r="878" spans="1:10" s="65" customFormat="1" ht="14" x14ac:dyDescent="0.35">
      <c r="A878" s="145"/>
      <c r="B878" s="93"/>
      <c r="C878" s="93"/>
      <c r="D878" s="93"/>
      <c r="E878" s="95"/>
      <c r="F878" s="95"/>
      <c r="G878" s="95"/>
      <c r="H878" s="93"/>
      <c r="I878" s="93"/>
      <c r="J878" s="93"/>
    </row>
    <row r="879" spans="1:10" s="65" customFormat="1" ht="14" x14ac:dyDescent="0.35">
      <c r="A879" s="145"/>
      <c r="B879" s="93"/>
      <c r="C879" s="93"/>
      <c r="D879" s="93"/>
      <c r="E879" s="95"/>
      <c r="F879" s="95"/>
      <c r="G879" s="95"/>
      <c r="H879" s="93"/>
      <c r="I879" s="93"/>
      <c r="J879" s="93"/>
    </row>
    <row r="880" spans="1:10" s="65" customFormat="1" ht="14" x14ac:dyDescent="0.35">
      <c r="A880" s="145"/>
      <c r="B880" s="93"/>
      <c r="C880" s="93"/>
      <c r="D880" s="93"/>
      <c r="E880" s="95"/>
      <c r="F880" s="95"/>
      <c r="G880" s="95"/>
      <c r="H880" s="93"/>
      <c r="I880" s="93"/>
      <c r="J880" s="93"/>
    </row>
    <row r="881" spans="1:10" s="65" customFormat="1" ht="14" x14ac:dyDescent="0.35">
      <c r="A881" s="145"/>
      <c r="B881" s="93"/>
      <c r="C881" s="93"/>
      <c r="D881" s="93"/>
      <c r="E881" s="95"/>
      <c r="F881" s="95"/>
      <c r="G881" s="95"/>
      <c r="H881" s="93"/>
      <c r="I881" s="93"/>
      <c r="J881" s="93"/>
    </row>
    <row r="882" spans="1:10" s="65" customFormat="1" ht="14" x14ac:dyDescent="0.35">
      <c r="A882" s="145"/>
      <c r="B882" s="93"/>
      <c r="C882" s="93"/>
      <c r="D882" s="93"/>
      <c r="E882" s="95"/>
      <c r="F882" s="95"/>
      <c r="G882" s="95"/>
      <c r="H882" s="93"/>
      <c r="I882" s="93"/>
      <c r="J882" s="93"/>
    </row>
    <row r="883" spans="1:10" s="65" customFormat="1" ht="14" x14ac:dyDescent="0.35">
      <c r="A883" s="145"/>
      <c r="B883" s="93"/>
      <c r="C883" s="93"/>
      <c r="D883" s="93"/>
      <c r="E883" s="95"/>
      <c r="F883" s="95"/>
      <c r="G883" s="95"/>
      <c r="H883" s="93"/>
      <c r="I883" s="93"/>
      <c r="J883" s="93"/>
    </row>
    <row r="884" spans="1:10" s="65" customFormat="1" ht="14" x14ac:dyDescent="0.35">
      <c r="A884" s="145"/>
      <c r="B884" s="93"/>
      <c r="C884" s="93"/>
      <c r="D884" s="93"/>
      <c r="E884" s="95"/>
      <c r="F884" s="95"/>
      <c r="G884" s="95"/>
      <c r="H884" s="93"/>
      <c r="I884" s="93"/>
      <c r="J884" s="93"/>
    </row>
    <row r="885" spans="1:10" s="65" customFormat="1" ht="14" x14ac:dyDescent="0.35">
      <c r="A885" s="145"/>
      <c r="B885" s="93"/>
      <c r="C885" s="93"/>
      <c r="D885" s="93"/>
      <c r="E885" s="95"/>
      <c r="F885" s="95"/>
      <c r="G885" s="95"/>
      <c r="H885" s="93"/>
      <c r="I885" s="93"/>
      <c r="J885" s="93"/>
    </row>
    <row r="886" spans="1:10" s="65" customFormat="1" ht="14" x14ac:dyDescent="0.35">
      <c r="A886" s="145"/>
      <c r="B886" s="93"/>
      <c r="C886" s="93"/>
      <c r="D886" s="93"/>
      <c r="E886" s="95"/>
      <c r="F886" s="95"/>
      <c r="G886" s="95"/>
      <c r="H886" s="93"/>
      <c r="I886" s="93"/>
      <c r="J886" s="93"/>
    </row>
    <row r="887" spans="1:10" s="65" customFormat="1" ht="14" x14ac:dyDescent="0.35">
      <c r="A887" s="145"/>
      <c r="B887" s="93"/>
      <c r="C887" s="93"/>
      <c r="D887" s="93"/>
      <c r="E887" s="95"/>
      <c r="F887" s="95"/>
      <c r="G887" s="95"/>
      <c r="H887" s="93"/>
      <c r="I887" s="93"/>
      <c r="J887" s="93"/>
    </row>
    <row r="888" spans="1:10" s="65" customFormat="1" ht="14" x14ac:dyDescent="0.35">
      <c r="A888" s="145"/>
      <c r="B888" s="93"/>
      <c r="C888" s="93"/>
      <c r="D888" s="93"/>
      <c r="E888" s="95"/>
      <c r="F888" s="95"/>
      <c r="G888" s="95"/>
      <c r="H888" s="93"/>
      <c r="I888" s="93"/>
      <c r="J888" s="93"/>
    </row>
    <row r="889" spans="1:10" s="65" customFormat="1" ht="14" x14ac:dyDescent="0.35">
      <c r="A889" s="145"/>
      <c r="B889" s="93"/>
      <c r="C889" s="93"/>
      <c r="D889" s="93"/>
      <c r="E889" s="95"/>
      <c r="F889" s="95"/>
      <c r="G889" s="95"/>
      <c r="H889" s="93"/>
      <c r="I889" s="93"/>
      <c r="J889" s="93"/>
    </row>
    <row r="890" spans="1:10" s="65" customFormat="1" ht="14" x14ac:dyDescent="0.35">
      <c r="A890" s="145"/>
      <c r="B890" s="93"/>
      <c r="C890" s="93"/>
      <c r="D890" s="93"/>
      <c r="E890" s="95"/>
      <c r="F890" s="95"/>
      <c r="G890" s="95"/>
      <c r="H890" s="93"/>
      <c r="I890" s="93"/>
      <c r="J890" s="93"/>
    </row>
    <row r="891" spans="1:10" s="65" customFormat="1" ht="14" x14ac:dyDescent="0.35">
      <c r="A891" s="145"/>
      <c r="B891" s="93"/>
      <c r="C891" s="93"/>
      <c r="D891" s="93"/>
      <c r="E891" s="95"/>
      <c r="F891" s="95"/>
      <c r="G891" s="95"/>
      <c r="H891" s="93"/>
      <c r="I891" s="93"/>
      <c r="J891" s="93"/>
    </row>
    <row r="892" spans="1:10" s="65" customFormat="1" ht="14" x14ac:dyDescent="0.35">
      <c r="A892" s="145"/>
      <c r="B892" s="93"/>
      <c r="C892" s="93"/>
      <c r="D892" s="93"/>
      <c r="E892" s="95"/>
      <c r="F892" s="95"/>
      <c r="G892" s="95"/>
      <c r="H892" s="93"/>
      <c r="I892" s="93"/>
      <c r="J892" s="93"/>
    </row>
    <row r="893" spans="1:10" s="65" customFormat="1" ht="14" x14ac:dyDescent="0.35">
      <c r="A893" s="145"/>
      <c r="B893" s="93"/>
      <c r="C893" s="93"/>
      <c r="D893" s="93"/>
      <c r="E893" s="95"/>
      <c r="F893" s="95"/>
      <c r="G893" s="95"/>
      <c r="H893" s="93"/>
      <c r="I893" s="93"/>
      <c r="J893" s="93"/>
    </row>
    <row r="894" spans="1:10" s="65" customFormat="1" ht="14" x14ac:dyDescent="0.35">
      <c r="A894" s="145"/>
      <c r="B894" s="93"/>
      <c r="C894" s="93"/>
      <c r="D894" s="93"/>
      <c r="E894" s="95"/>
      <c r="F894" s="95"/>
      <c r="G894" s="95"/>
      <c r="H894" s="93"/>
      <c r="I894" s="93"/>
      <c r="J894" s="93"/>
    </row>
    <row r="895" spans="1:10" s="65" customFormat="1" ht="14" x14ac:dyDescent="0.35">
      <c r="A895" s="145"/>
      <c r="B895" s="93"/>
      <c r="C895" s="93"/>
      <c r="D895" s="93"/>
      <c r="E895" s="95"/>
      <c r="F895" s="95"/>
      <c r="G895" s="95"/>
      <c r="H895" s="93"/>
      <c r="I895" s="93"/>
      <c r="J895" s="93"/>
    </row>
    <row r="896" spans="1:10" s="65" customFormat="1" ht="14" x14ac:dyDescent="0.35">
      <c r="A896" s="145"/>
      <c r="B896" s="93"/>
      <c r="C896" s="93"/>
      <c r="D896" s="93"/>
      <c r="E896" s="95"/>
      <c r="F896" s="95"/>
      <c r="G896" s="95"/>
      <c r="H896" s="93"/>
      <c r="I896" s="93"/>
      <c r="J896" s="93"/>
    </row>
    <row r="897" spans="1:10" s="65" customFormat="1" ht="14" x14ac:dyDescent="0.35">
      <c r="A897" s="145"/>
      <c r="B897" s="93"/>
      <c r="C897" s="93"/>
      <c r="D897" s="93"/>
      <c r="E897" s="95"/>
      <c r="F897" s="95"/>
      <c r="G897" s="95"/>
      <c r="H897" s="93"/>
      <c r="I897" s="93"/>
      <c r="J897" s="93"/>
    </row>
    <row r="898" spans="1:10" s="65" customFormat="1" ht="14" x14ac:dyDescent="0.35">
      <c r="A898" s="145"/>
      <c r="B898" s="93"/>
      <c r="C898" s="93"/>
      <c r="D898" s="93"/>
      <c r="E898" s="95"/>
      <c r="F898" s="95"/>
      <c r="G898" s="95"/>
      <c r="H898" s="93"/>
      <c r="I898" s="93"/>
      <c r="J898" s="93"/>
    </row>
    <row r="899" spans="1:10" s="65" customFormat="1" ht="14" x14ac:dyDescent="0.35">
      <c r="A899" s="145"/>
      <c r="B899" s="93"/>
      <c r="C899" s="93"/>
      <c r="D899" s="93"/>
      <c r="E899" s="95"/>
      <c r="F899" s="95"/>
      <c r="G899" s="95"/>
      <c r="H899" s="93"/>
      <c r="I899" s="93"/>
      <c r="J899" s="93"/>
    </row>
    <row r="900" spans="1:10" s="65" customFormat="1" ht="14" x14ac:dyDescent="0.35">
      <c r="A900" s="145"/>
      <c r="B900" s="93"/>
      <c r="C900" s="93"/>
      <c r="D900" s="93"/>
      <c r="E900" s="95"/>
      <c r="F900" s="95"/>
      <c r="G900" s="95"/>
      <c r="H900" s="93"/>
      <c r="I900" s="93"/>
      <c r="J900" s="93"/>
    </row>
    <row r="901" spans="1:10" s="65" customFormat="1" ht="14" x14ac:dyDescent="0.35">
      <c r="A901" s="145"/>
      <c r="B901" s="93"/>
      <c r="C901" s="93"/>
      <c r="D901" s="93"/>
      <c r="E901" s="95"/>
      <c r="F901" s="95"/>
      <c r="G901" s="95"/>
      <c r="H901" s="93"/>
      <c r="I901" s="93"/>
      <c r="J901" s="93"/>
    </row>
    <row r="902" spans="1:10" s="65" customFormat="1" ht="14" x14ac:dyDescent="0.35">
      <c r="A902" s="145"/>
      <c r="B902" s="93"/>
      <c r="C902" s="93"/>
      <c r="D902" s="93"/>
      <c r="E902" s="95"/>
      <c r="F902" s="95"/>
      <c r="G902" s="95"/>
      <c r="H902" s="93"/>
      <c r="I902" s="93"/>
      <c r="J902" s="93"/>
    </row>
    <row r="903" spans="1:10" s="65" customFormat="1" ht="14" x14ac:dyDescent="0.35">
      <c r="A903" s="145"/>
      <c r="B903" s="93"/>
      <c r="C903" s="93"/>
      <c r="D903" s="93"/>
      <c r="E903" s="95"/>
      <c r="F903" s="95"/>
      <c r="G903" s="95"/>
      <c r="H903" s="93"/>
      <c r="I903" s="93"/>
      <c r="J903" s="93"/>
    </row>
    <row r="904" spans="1:10" s="65" customFormat="1" ht="14" x14ac:dyDescent="0.35">
      <c r="A904" s="145"/>
      <c r="B904" s="93"/>
      <c r="C904" s="93"/>
      <c r="D904" s="93"/>
      <c r="E904" s="95"/>
      <c r="F904" s="95"/>
      <c r="G904" s="95"/>
      <c r="H904" s="93"/>
      <c r="I904" s="93"/>
      <c r="J904" s="93"/>
    </row>
    <row r="905" spans="1:10" s="65" customFormat="1" ht="14" x14ac:dyDescent="0.35">
      <c r="A905" s="145"/>
      <c r="B905" s="93"/>
      <c r="C905" s="93"/>
      <c r="D905" s="93"/>
      <c r="E905" s="95"/>
      <c r="F905" s="95"/>
      <c r="G905" s="95"/>
      <c r="H905" s="93"/>
      <c r="I905" s="93"/>
      <c r="J905" s="93"/>
    </row>
    <row r="906" spans="1:10" s="65" customFormat="1" ht="14" x14ac:dyDescent="0.35">
      <c r="A906" s="145"/>
      <c r="B906" s="93"/>
      <c r="C906" s="93"/>
      <c r="D906" s="93"/>
      <c r="E906" s="95"/>
      <c r="F906" s="95"/>
      <c r="G906" s="95"/>
      <c r="H906" s="93"/>
      <c r="I906" s="93"/>
      <c r="J906" s="93"/>
    </row>
    <row r="907" spans="1:10" s="65" customFormat="1" ht="14" x14ac:dyDescent="0.35">
      <c r="A907" s="145"/>
      <c r="B907" s="93"/>
      <c r="C907" s="93"/>
      <c r="D907" s="93"/>
      <c r="E907" s="95"/>
      <c r="F907" s="95"/>
      <c r="G907" s="95"/>
      <c r="H907" s="93"/>
      <c r="I907" s="93"/>
      <c r="J907" s="93"/>
    </row>
    <row r="908" spans="1:10" s="65" customFormat="1" ht="14" x14ac:dyDescent="0.35">
      <c r="A908" s="145"/>
      <c r="B908" s="93"/>
      <c r="C908" s="93"/>
      <c r="D908" s="93"/>
      <c r="E908" s="95"/>
      <c r="F908" s="95"/>
      <c r="G908" s="95"/>
      <c r="H908" s="93"/>
      <c r="I908" s="93"/>
      <c r="J908" s="93"/>
    </row>
    <row r="909" spans="1:10" s="65" customFormat="1" ht="14" x14ac:dyDescent="0.35">
      <c r="A909" s="145"/>
      <c r="B909" s="93"/>
      <c r="C909" s="93"/>
      <c r="D909" s="93"/>
      <c r="E909" s="95"/>
      <c r="F909" s="95"/>
      <c r="G909" s="95"/>
      <c r="H909" s="93"/>
      <c r="I909" s="93"/>
      <c r="J909" s="93"/>
    </row>
    <row r="910" spans="1:10" s="65" customFormat="1" ht="14" x14ac:dyDescent="0.35">
      <c r="A910" s="145"/>
      <c r="B910" s="93"/>
      <c r="C910" s="93"/>
      <c r="D910" s="93"/>
      <c r="E910" s="95"/>
      <c r="F910" s="95"/>
      <c r="G910" s="95"/>
      <c r="H910" s="93"/>
      <c r="I910" s="93"/>
      <c r="J910" s="93"/>
    </row>
    <row r="911" spans="1:10" s="65" customFormat="1" ht="14" x14ac:dyDescent="0.35">
      <c r="A911" s="145"/>
      <c r="B911" s="93"/>
      <c r="C911" s="93"/>
      <c r="D911" s="93"/>
      <c r="E911" s="95"/>
      <c r="F911" s="95"/>
      <c r="G911" s="95"/>
      <c r="H911" s="93"/>
      <c r="I911" s="93"/>
      <c r="J911" s="93"/>
    </row>
    <row r="912" spans="1:10" s="65" customFormat="1" ht="14" x14ac:dyDescent="0.35">
      <c r="A912" s="145"/>
      <c r="B912" s="93"/>
      <c r="C912" s="93"/>
      <c r="D912" s="93"/>
      <c r="E912" s="95"/>
      <c r="F912" s="95"/>
      <c r="G912" s="95"/>
      <c r="H912" s="93"/>
      <c r="I912" s="93"/>
      <c r="J912" s="93"/>
    </row>
    <row r="913" spans="1:10" s="65" customFormat="1" ht="14" x14ac:dyDescent="0.35">
      <c r="A913" s="145"/>
      <c r="B913" s="93"/>
      <c r="C913" s="93"/>
      <c r="D913" s="93"/>
      <c r="E913" s="95"/>
      <c r="F913" s="95"/>
      <c r="G913" s="95"/>
      <c r="H913" s="93"/>
      <c r="I913" s="93"/>
      <c r="J913" s="93"/>
    </row>
    <row r="914" spans="1:10" s="65" customFormat="1" ht="14" x14ac:dyDescent="0.35">
      <c r="A914" s="145"/>
      <c r="B914" s="93"/>
      <c r="C914" s="93"/>
      <c r="D914" s="93"/>
      <c r="E914" s="95"/>
      <c r="F914" s="95"/>
      <c r="G914" s="95"/>
      <c r="H914" s="93"/>
      <c r="I914" s="93"/>
      <c r="J914" s="93"/>
    </row>
    <row r="915" spans="1:10" s="65" customFormat="1" ht="14" x14ac:dyDescent="0.35">
      <c r="A915" s="145"/>
      <c r="B915" s="93"/>
      <c r="C915" s="93"/>
      <c r="D915" s="93"/>
      <c r="E915" s="95"/>
      <c r="F915" s="95"/>
      <c r="G915" s="95"/>
      <c r="H915" s="93"/>
      <c r="I915" s="93"/>
      <c r="J915" s="93"/>
    </row>
    <row r="916" spans="1:10" s="65" customFormat="1" ht="14" x14ac:dyDescent="0.35">
      <c r="A916" s="145"/>
      <c r="B916" s="93"/>
      <c r="C916" s="93"/>
      <c r="D916" s="93"/>
      <c r="E916" s="95"/>
      <c r="F916" s="95"/>
      <c r="G916" s="95"/>
      <c r="H916" s="93"/>
      <c r="I916" s="93"/>
      <c r="J916" s="93"/>
    </row>
    <row r="917" spans="1:10" s="65" customFormat="1" ht="14" x14ac:dyDescent="0.35">
      <c r="A917" s="145"/>
      <c r="B917" s="93"/>
      <c r="C917" s="93"/>
      <c r="D917" s="93"/>
      <c r="E917" s="95"/>
      <c r="F917" s="95"/>
      <c r="G917" s="95"/>
      <c r="H917" s="93"/>
      <c r="I917" s="93"/>
      <c r="J917" s="93"/>
    </row>
    <row r="918" spans="1:10" s="65" customFormat="1" ht="14" x14ac:dyDescent="0.35">
      <c r="A918" s="145"/>
      <c r="B918" s="93"/>
      <c r="C918" s="93"/>
      <c r="D918" s="93"/>
      <c r="E918" s="95"/>
      <c r="F918" s="95"/>
      <c r="G918" s="95"/>
      <c r="H918" s="93"/>
      <c r="I918" s="93"/>
      <c r="J918" s="93"/>
    </row>
    <row r="919" spans="1:10" s="65" customFormat="1" ht="14" x14ac:dyDescent="0.35">
      <c r="A919" s="145"/>
      <c r="B919" s="93"/>
      <c r="C919" s="93"/>
      <c r="D919" s="93"/>
      <c r="E919" s="95"/>
      <c r="F919" s="95"/>
      <c r="G919" s="95"/>
      <c r="H919" s="93"/>
      <c r="I919" s="93"/>
      <c r="J919" s="93"/>
    </row>
    <row r="920" spans="1:10" s="65" customFormat="1" ht="14" x14ac:dyDescent="0.35">
      <c r="A920" s="145"/>
      <c r="B920" s="93"/>
      <c r="C920" s="93"/>
      <c r="D920" s="93"/>
      <c r="E920" s="95"/>
      <c r="F920" s="95"/>
      <c r="G920" s="95"/>
      <c r="H920" s="93"/>
      <c r="I920" s="93"/>
      <c r="J920" s="93"/>
    </row>
    <row r="921" spans="1:10" s="65" customFormat="1" ht="14" x14ac:dyDescent="0.35">
      <c r="A921" s="145"/>
      <c r="B921" s="93"/>
      <c r="C921" s="93"/>
      <c r="D921" s="93"/>
      <c r="E921" s="95"/>
      <c r="F921" s="95"/>
      <c r="G921" s="95"/>
      <c r="H921" s="93"/>
      <c r="I921" s="93"/>
      <c r="J921" s="93"/>
    </row>
    <row r="922" spans="1:10" s="65" customFormat="1" ht="14" x14ac:dyDescent="0.35">
      <c r="A922" s="145"/>
      <c r="B922" s="93"/>
      <c r="C922" s="93"/>
      <c r="D922" s="93"/>
      <c r="E922" s="95"/>
      <c r="F922" s="95"/>
      <c r="G922" s="95"/>
      <c r="H922" s="93"/>
      <c r="I922" s="93"/>
      <c r="J922" s="93"/>
    </row>
    <row r="923" spans="1:10" s="65" customFormat="1" ht="14" x14ac:dyDescent="0.35">
      <c r="A923" s="145"/>
      <c r="B923" s="93"/>
      <c r="C923" s="93"/>
      <c r="D923" s="93"/>
      <c r="E923" s="95"/>
      <c r="F923" s="95"/>
      <c r="G923" s="95"/>
      <c r="H923" s="93"/>
      <c r="I923" s="93"/>
      <c r="J923" s="93"/>
    </row>
    <row r="924" spans="1:10" s="65" customFormat="1" ht="14" x14ac:dyDescent="0.35">
      <c r="A924" s="145"/>
      <c r="B924" s="93"/>
      <c r="C924" s="93"/>
      <c r="D924" s="93"/>
      <c r="E924" s="95"/>
      <c r="F924" s="95"/>
      <c r="G924" s="95"/>
      <c r="H924" s="93"/>
      <c r="I924" s="93"/>
      <c r="J924" s="93"/>
    </row>
    <row r="925" spans="1:10" s="65" customFormat="1" ht="14" x14ac:dyDescent="0.35">
      <c r="A925" s="145"/>
      <c r="B925" s="93"/>
      <c r="C925" s="93"/>
      <c r="D925" s="93"/>
      <c r="E925" s="95"/>
      <c r="F925" s="95"/>
      <c r="G925" s="95"/>
      <c r="H925" s="93"/>
      <c r="I925" s="93"/>
      <c r="J925" s="93"/>
    </row>
    <row r="926" spans="1:10" s="65" customFormat="1" ht="14" x14ac:dyDescent="0.35">
      <c r="A926" s="145"/>
      <c r="B926" s="93"/>
      <c r="C926" s="93"/>
      <c r="D926" s="93"/>
      <c r="E926" s="95"/>
      <c r="F926" s="95"/>
      <c r="G926" s="95"/>
      <c r="H926" s="93"/>
      <c r="I926" s="93"/>
      <c r="J926" s="93"/>
    </row>
    <row r="927" spans="1:10" s="65" customFormat="1" ht="14" x14ac:dyDescent="0.35">
      <c r="A927" s="145"/>
      <c r="B927" s="93"/>
      <c r="C927" s="93"/>
      <c r="D927" s="93"/>
      <c r="E927" s="95"/>
      <c r="F927" s="95"/>
      <c r="G927" s="95"/>
      <c r="H927" s="93"/>
      <c r="I927" s="93"/>
      <c r="J927" s="93"/>
    </row>
    <row r="928" spans="1:10" s="65" customFormat="1" ht="14" x14ac:dyDescent="0.35">
      <c r="A928" s="145"/>
      <c r="B928" s="93"/>
      <c r="C928" s="93"/>
      <c r="D928" s="93"/>
      <c r="E928" s="95"/>
      <c r="F928" s="95"/>
      <c r="G928" s="95"/>
      <c r="H928" s="93"/>
      <c r="I928" s="93"/>
      <c r="J928" s="93"/>
    </row>
    <row r="929" spans="1:10" s="65" customFormat="1" ht="14" x14ac:dyDescent="0.35">
      <c r="A929" s="145"/>
      <c r="B929" s="93"/>
      <c r="C929" s="93"/>
      <c r="D929" s="93"/>
      <c r="E929" s="95"/>
      <c r="F929" s="95"/>
      <c r="G929" s="95"/>
      <c r="H929" s="93"/>
      <c r="I929" s="93"/>
      <c r="J929" s="93"/>
    </row>
    <row r="930" spans="1:10" s="65" customFormat="1" ht="14" x14ac:dyDescent="0.35">
      <c r="A930" s="145"/>
      <c r="B930" s="93"/>
      <c r="C930" s="93"/>
      <c r="D930" s="93"/>
      <c r="E930" s="95"/>
      <c r="F930" s="95"/>
      <c r="G930" s="95"/>
      <c r="H930" s="93"/>
      <c r="I930" s="93"/>
      <c r="J930" s="93"/>
    </row>
    <row r="931" spans="1:10" s="65" customFormat="1" ht="14" x14ac:dyDescent="0.35">
      <c r="A931" s="145"/>
      <c r="B931" s="93"/>
      <c r="C931" s="93"/>
      <c r="D931" s="93"/>
      <c r="E931" s="95"/>
      <c r="F931" s="95"/>
      <c r="G931" s="95"/>
      <c r="H931" s="93"/>
      <c r="I931" s="93"/>
      <c r="J931" s="93"/>
    </row>
    <row r="932" spans="1:10" s="65" customFormat="1" ht="14" x14ac:dyDescent="0.35">
      <c r="A932" s="145"/>
      <c r="B932" s="93"/>
      <c r="C932" s="93"/>
      <c r="D932" s="93"/>
      <c r="E932" s="95"/>
      <c r="F932" s="95"/>
      <c r="G932" s="95"/>
      <c r="H932" s="93"/>
      <c r="I932" s="93"/>
      <c r="J932" s="93"/>
    </row>
    <row r="933" spans="1:10" s="65" customFormat="1" ht="14" x14ac:dyDescent="0.35">
      <c r="A933" s="145"/>
      <c r="B933" s="93"/>
      <c r="C933" s="93"/>
      <c r="D933" s="93"/>
      <c r="E933" s="95"/>
      <c r="F933" s="95"/>
      <c r="G933" s="95"/>
      <c r="H933" s="93"/>
      <c r="I933" s="93"/>
      <c r="J933" s="93"/>
    </row>
    <row r="934" spans="1:10" s="65" customFormat="1" ht="14" x14ac:dyDescent="0.35">
      <c r="A934" s="145"/>
      <c r="B934" s="93"/>
      <c r="C934" s="93"/>
      <c r="D934" s="93"/>
      <c r="E934" s="95"/>
      <c r="F934" s="95"/>
      <c r="G934" s="95"/>
      <c r="H934" s="93"/>
      <c r="I934" s="93"/>
      <c r="J934" s="93"/>
    </row>
    <row r="935" spans="1:10" s="65" customFormat="1" ht="14" x14ac:dyDescent="0.35">
      <c r="A935" s="145"/>
      <c r="B935" s="93"/>
      <c r="C935" s="93"/>
      <c r="D935" s="93"/>
      <c r="E935" s="95"/>
      <c r="F935" s="95"/>
      <c r="G935" s="95"/>
      <c r="H935" s="93"/>
      <c r="I935" s="93"/>
      <c r="J935" s="93"/>
    </row>
    <row r="936" spans="1:10" s="65" customFormat="1" ht="14" x14ac:dyDescent="0.35">
      <c r="A936" s="145"/>
      <c r="B936" s="93"/>
      <c r="C936" s="93"/>
      <c r="D936" s="93"/>
      <c r="E936" s="95"/>
      <c r="F936" s="95"/>
      <c r="G936" s="95"/>
      <c r="H936" s="93"/>
      <c r="I936" s="93"/>
      <c r="J936" s="93"/>
    </row>
    <row r="937" spans="1:10" s="65" customFormat="1" ht="14" x14ac:dyDescent="0.35">
      <c r="A937" s="145"/>
      <c r="B937" s="93"/>
      <c r="C937" s="93"/>
      <c r="D937" s="93"/>
      <c r="E937" s="95"/>
      <c r="F937" s="95"/>
      <c r="G937" s="95"/>
      <c r="H937" s="93"/>
      <c r="I937" s="93"/>
      <c r="J937" s="93"/>
    </row>
    <row r="938" spans="1:10" s="65" customFormat="1" ht="14" x14ac:dyDescent="0.35">
      <c r="A938" s="145"/>
      <c r="B938" s="93"/>
      <c r="C938" s="93"/>
      <c r="D938" s="93"/>
      <c r="E938" s="95"/>
      <c r="F938" s="95"/>
      <c r="G938" s="95"/>
      <c r="H938" s="93"/>
      <c r="I938" s="93"/>
      <c r="J938" s="93"/>
    </row>
    <row r="939" spans="1:10" s="65" customFormat="1" ht="14" x14ac:dyDescent="0.35">
      <c r="A939" s="145"/>
      <c r="B939" s="93"/>
      <c r="C939" s="93"/>
      <c r="D939" s="93"/>
      <c r="E939" s="95"/>
      <c r="F939" s="95"/>
      <c r="G939" s="95"/>
      <c r="H939" s="93"/>
      <c r="I939" s="93"/>
      <c r="J939" s="93"/>
    </row>
    <row r="940" spans="1:10" s="65" customFormat="1" ht="14" x14ac:dyDescent="0.35">
      <c r="A940" s="145"/>
      <c r="B940" s="93"/>
      <c r="C940" s="93"/>
      <c r="D940" s="93"/>
      <c r="E940" s="95"/>
      <c r="F940" s="95"/>
      <c r="G940" s="95"/>
      <c r="H940" s="93"/>
      <c r="I940" s="93"/>
      <c r="J940" s="93"/>
    </row>
    <row r="941" spans="1:10" s="65" customFormat="1" ht="14" x14ac:dyDescent="0.35">
      <c r="A941" s="145"/>
      <c r="B941" s="93"/>
      <c r="C941" s="93"/>
      <c r="D941" s="93"/>
      <c r="E941" s="95"/>
      <c r="F941" s="95"/>
      <c r="G941" s="95"/>
      <c r="H941" s="93"/>
      <c r="I941" s="93"/>
      <c r="J941" s="93"/>
    </row>
    <row r="942" spans="1:10" s="65" customFormat="1" ht="14" x14ac:dyDescent="0.35">
      <c r="A942" s="145"/>
      <c r="B942" s="93"/>
      <c r="C942" s="93"/>
      <c r="D942" s="93"/>
      <c r="E942" s="95"/>
      <c r="F942" s="95"/>
      <c r="G942" s="95"/>
      <c r="H942" s="93"/>
      <c r="I942" s="93"/>
      <c r="J942" s="93"/>
    </row>
    <row r="943" spans="1:10" s="65" customFormat="1" ht="14" x14ac:dyDescent="0.35">
      <c r="A943" s="145"/>
      <c r="B943" s="93"/>
      <c r="C943" s="93"/>
      <c r="D943" s="93"/>
      <c r="E943" s="95"/>
      <c r="F943" s="95"/>
      <c r="G943" s="95"/>
      <c r="H943" s="93"/>
      <c r="I943" s="93"/>
      <c r="J943" s="93"/>
    </row>
    <row r="944" spans="1:10" s="65" customFormat="1" ht="14" x14ac:dyDescent="0.35">
      <c r="A944" s="145"/>
      <c r="B944" s="93"/>
      <c r="C944" s="93"/>
      <c r="D944" s="93"/>
      <c r="E944" s="95"/>
      <c r="F944" s="95"/>
      <c r="G944" s="95"/>
      <c r="H944" s="93"/>
      <c r="I944" s="93"/>
      <c r="J944" s="93"/>
    </row>
    <row r="945" spans="1:10" s="65" customFormat="1" ht="14" x14ac:dyDescent="0.35">
      <c r="A945" s="145"/>
      <c r="B945" s="93"/>
      <c r="C945" s="93"/>
      <c r="D945" s="93"/>
      <c r="E945" s="95"/>
      <c r="F945" s="95"/>
      <c r="G945" s="95"/>
      <c r="H945" s="93"/>
      <c r="I945" s="93"/>
      <c r="J945" s="93"/>
    </row>
    <row r="946" spans="1:10" s="65" customFormat="1" ht="14" x14ac:dyDescent="0.35">
      <c r="A946" s="145"/>
      <c r="B946" s="93"/>
      <c r="C946" s="93"/>
      <c r="D946" s="93"/>
      <c r="E946" s="95"/>
      <c r="F946" s="95"/>
      <c r="G946" s="95"/>
      <c r="H946" s="93"/>
      <c r="I946" s="93"/>
      <c r="J946" s="93"/>
    </row>
    <row r="947" spans="1:10" s="65" customFormat="1" ht="14" x14ac:dyDescent="0.35">
      <c r="A947" s="145"/>
      <c r="B947" s="93"/>
      <c r="C947" s="93"/>
      <c r="D947" s="93"/>
      <c r="E947" s="95"/>
      <c r="F947" s="95"/>
      <c r="G947" s="95"/>
      <c r="H947" s="93"/>
      <c r="I947" s="93"/>
      <c r="J947" s="93"/>
    </row>
    <row r="948" spans="1:10" s="65" customFormat="1" ht="14" x14ac:dyDescent="0.35">
      <c r="A948" s="145"/>
      <c r="B948" s="93"/>
      <c r="C948" s="93"/>
      <c r="D948" s="93"/>
      <c r="E948" s="95"/>
      <c r="F948" s="95"/>
      <c r="G948" s="95"/>
      <c r="H948" s="93"/>
      <c r="I948" s="93"/>
      <c r="J948" s="93"/>
    </row>
    <row r="949" spans="1:10" s="65" customFormat="1" ht="14" x14ac:dyDescent="0.35">
      <c r="A949" s="145"/>
      <c r="B949" s="93"/>
      <c r="C949" s="93"/>
      <c r="D949" s="93"/>
      <c r="E949" s="95"/>
      <c r="F949" s="95"/>
      <c r="G949" s="95"/>
      <c r="H949" s="93"/>
      <c r="I949" s="93"/>
      <c r="J949" s="93"/>
    </row>
    <row r="950" spans="1:10" s="65" customFormat="1" ht="14" x14ac:dyDescent="0.35">
      <c r="A950" s="145"/>
      <c r="B950" s="93"/>
      <c r="C950" s="93"/>
      <c r="D950" s="93"/>
      <c r="E950" s="95"/>
      <c r="F950" s="95"/>
      <c r="G950" s="95"/>
      <c r="H950" s="93"/>
      <c r="I950" s="93"/>
      <c r="J950" s="93"/>
    </row>
    <row r="951" spans="1:10" s="65" customFormat="1" ht="14" x14ac:dyDescent="0.35">
      <c r="A951" s="145"/>
      <c r="B951" s="93"/>
      <c r="C951" s="93"/>
      <c r="D951" s="93"/>
      <c r="E951" s="95"/>
      <c r="F951" s="95"/>
      <c r="G951" s="95"/>
      <c r="H951" s="93"/>
      <c r="I951" s="93"/>
      <c r="J951" s="93"/>
    </row>
    <row r="952" spans="1:10" s="65" customFormat="1" ht="14" x14ac:dyDescent="0.35">
      <c r="A952" s="145"/>
      <c r="B952" s="93"/>
      <c r="C952" s="93"/>
      <c r="D952" s="93"/>
      <c r="E952" s="95"/>
      <c r="F952" s="95"/>
      <c r="G952" s="95"/>
      <c r="H952" s="93"/>
      <c r="I952" s="93"/>
      <c r="J952" s="93"/>
    </row>
    <row r="953" spans="1:10" s="65" customFormat="1" ht="14" x14ac:dyDescent="0.35">
      <c r="A953" s="145"/>
      <c r="B953" s="93"/>
      <c r="C953" s="93"/>
      <c r="D953" s="93"/>
      <c r="E953" s="95"/>
      <c r="F953" s="95"/>
      <c r="G953" s="95"/>
      <c r="H953" s="93"/>
      <c r="I953" s="93"/>
      <c r="J953" s="93"/>
    </row>
    <row r="954" spans="1:10" s="65" customFormat="1" ht="14" x14ac:dyDescent="0.35">
      <c r="A954" s="145"/>
      <c r="B954" s="93"/>
      <c r="C954" s="93"/>
      <c r="D954" s="93"/>
      <c r="E954" s="95"/>
      <c r="F954" s="95"/>
      <c r="G954" s="95"/>
      <c r="H954" s="93"/>
      <c r="I954" s="93"/>
      <c r="J954" s="93"/>
    </row>
    <row r="955" spans="1:10" s="65" customFormat="1" ht="14" x14ac:dyDescent="0.35">
      <c r="A955" s="145"/>
      <c r="B955" s="93"/>
      <c r="C955" s="93"/>
      <c r="D955" s="93"/>
      <c r="E955" s="95"/>
      <c r="F955" s="95"/>
      <c r="G955" s="95"/>
      <c r="H955" s="93"/>
      <c r="I955" s="93"/>
      <c r="J955" s="93"/>
    </row>
    <row r="956" spans="1:10" s="65" customFormat="1" ht="14" x14ac:dyDescent="0.35">
      <c r="A956" s="145"/>
      <c r="B956" s="93"/>
      <c r="C956" s="93"/>
      <c r="D956" s="93"/>
      <c r="E956" s="95"/>
      <c r="F956" s="95"/>
      <c r="G956" s="95"/>
      <c r="H956" s="93"/>
      <c r="I956" s="93"/>
      <c r="J956" s="93"/>
    </row>
    <row r="957" spans="1:10" s="65" customFormat="1" ht="14" x14ac:dyDescent="0.35">
      <c r="A957" s="145"/>
      <c r="B957" s="93"/>
      <c r="C957" s="93"/>
      <c r="D957" s="93"/>
      <c r="E957" s="95"/>
      <c r="F957" s="95"/>
      <c r="G957" s="95"/>
      <c r="H957" s="93"/>
      <c r="I957" s="93"/>
      <c r="J957" s="93"/>
    </row>
    <row r="958" spans="1:10" s="65" customFormat="1" ht="14" x14ac:dyDescent="0.35">
      <c r="A958" s="145"/>
      <c r="B958" s="93"/>
      <c r="C958" s="93"/>
      <c r="D958" s="93"/>
      <c r="E958" s="95"/>
      <c r="F958" s="95"/>
      <c r="G958" s="95"/>
      <c r="H958" s="93"/>
      <c r="I958" s="93"/>
      <c r="J958" s="93"/>
    </row>
    <row r="959" spans="1:10" s="65" customFormat="1" ht="14" x14ac:dyDescent="0.35">
      <c r="A959" s="145"/>
      <c r="B959" s="93"/>
      <c r="C959" s="93"/>
      <c r="D959" s="93"/>
      <c r="E959" s="95"/>
      <c r="F959" s="95"/>
      <c r="G959" s="95"/>
      <c r="H959" s="93"/>
      <c r="I959" s="93"/>
      <c r="J959" s="93"/>
    </row>
    <row r="960" spans="1:10" s="65" customFormat="1" ht="14" x14ac:dyDescent="0.35">
      <c r="A960" s="145"/>
      <c r="B960" s="93"/>
      <c r="C960" s="93"/>
      <c r="D960" s="93"/>
      <c r="E960" s="95"/>
      <c r="F960" s="95"/>
      <c r="G960" s="95"/>
      <c r="H960" s="93"/>
      <c r="I960" s="93"/>
      <c r="J960" s="93"/>
    </row>
    <row r="961" spans="1:10" s="65" customFormat="1" ht="14" x14ac:dyDescent="0.35">
      <c r="A961" s="145"/>
      <c r="B961" s="93"/>
      <c r="C961" s="93"/>
      <c r="D961" s="93"/>
      <c r="E961" s="95"/>
      <c r="F961" s="95"/>
      <c r="G961" s="95"/>
      <c r="H961" s="93"/>
      <c r="I961" s="93"/>
      <c r="J961" s="93"/>
    </row>
    <row r="962" spans="1:10" s="65" customFormat="1" ht="14" x14ac:dyDescent="0.35">
      <c r="A962" s="145"/>
      <c r="B962" s="93"/>
      <c r="C962" s="93"/>
      <c r="D962" s="93"/>
      <c r="E962" s="95"/>
      <c r="F962" s="95"/>
      <c r="G962" s="95"/>
      <c r="H962" s="93"/>
      <c r="I962" s="93"/>
      <c r="J962" s="93"/>
    </row>
    <row r="963" spans="1:10" s="65" customFormat="1" ht="14" x14ac:dyDescent="0.35">
      <c r="A963" s="145"/>
      <c r="B963" s="93"/>
      <c r="C963" s="93"/>
      <c r="D963" s="93"/>
      <c r="E963" s="95"/>
      <c r="F963" s="95"/>
      <c r="G963" s="95"/>
      <c r="H963" s="93"/>
      <c r="I963" s="93"/>
      <c r="J963" s="93"/>
    </row>
    <row r="964" spans="1:10" s="65" customFormat="1" ht="14" x14ac:dyDescent="0.35">
      <c r="A964" s="145"/>
      <c r="B964" s="93"/>
      <c r="C964" s="93"/>
      <c r="D964" s="93"/>
      <c r="E964" s="95"/>
      <c r="F964" s="95"/>
      <c r="G964" s="95"/>
      <c r="H964" s="93"/>
      <c r="I964" s="93"/>
      <c r="J964" s="93"/>
    </row>
    <row r="965" spans="1:10" s="65" customFormat="1" ht="14" x14ac:dyDescent="0.35">
      <c r="A965" s="145"/>
      <c r="B965" s="93"/>
      <c r="C965" s="93"/>
      <c r="D965" s="93"/>
      <c r="E965" s="95"/>
      <c r="F965" s="95"/>
      <c r="G965" s="95"/>
      <c r="H965" s="93"/>
      <c r="I965" s="93"/>
      <c r="J965" s="93"/>
    </row>
    <row r="966" spans="1:10" s="65" customFormat="1" ht="14" x14ac:dyDescent="0.35">
      <c r="A966" s="145"/>
      <c r="B966" s="93"/>
      <c r="C966" s="93"/>
      <c r="D966" s="93"/>
      <c r="E966" s="95"/>
      <c r="F966" s="95"/>
      <c r="G966" s="95"/>
      <c r="H966" s="93"/>
      <c r="I966" s="93"/>
      <c r="J966" s="93"/>
    </row>
    <row r="967" spans="1:10" s="65" customFormat="1" ht="14" x14ac:dyDescent="0.35">
      <c r="A967" s="145"/>
      <c r="B967" s="93"/>
      <c r="C967" s="93"/>
      <c r="D967" s="93"/>
      <c r="E967" s="95"/>
      <c r="F967" s="95"/>
      <c r="G967" s="95"/>
      <c r="H967" s="93"/>
      <c r="I967" s="93"/>
      <c r="J967" s="93"/>
    </row>
    <row r="968" spans="1:10" s="65" customFormat="1" ht="14" x14ac:dyDescent="0.35">
      <c r="A968" s="145"/>
      <c r="B968" s="93"/>
      <c r="C968" s="93"/>
      <c r="D968" s="93"/>
      <c r="E968" s="95"/>
      <c r="F968" s="95"/>
      <c r="G968" s="95"/>
      <c r="H968" s="93"/>
      <c r="I968" s="93"/>
      <c r="J968" s="93"/>
    </row>
    <row r="969" spans="1:10" s="65" customFormat="1" ht="14" x14ac:dyDescent="0.35">
      <c r="A969" s="145"/>
      <c r="B969" s="93"/>
      <c r="C969" s="93"/>
      <c r="D969" s="93"/>
      <c r="E969" s="95"/>
      <c r="F969" s="95"/>
      <c r="G969" s="95"/>
      <c r="H969" s="93"/>
      <c r="I969" s="93"/>
      <c r="J969" s="93"/>
    </row>
    <row r="970" spans="1:10" s="65" customFormat="1" ht="14" x14ac:dyDescent="0.35">
      <c r="A970" s="145"/>
      <c r="B970" s="93"/>
      <c r="C970" s="93"/>
      <c r="D970" s="93"/>
      <c r="E970" s="95"/>
      <c r="F970" s="95"/>
      <c r="G970" s="95"/>
      <c r="H970" s="93"/>
      <c r="I970" s="93"/>
      <c r="J970" s="93"/>
    </row>
    <row r="971" spans="1:10" s="65" customFormat="1" ht="14" x14ac:dyDescent="0.35">
      <c r="A971" s="145"/>
      <c r="B971" s="93"/>
      <c r="C971" s="93"/>
      <c r="D971" s="93"/>
      <c r="E971" s="95"/>
      <c r="F971" s="95"/>
      <c r="G971" s="95"/>
      <c r="H971" s="93"/>
      <c r="I971" s="93"/>
      <c r="J971" s="93"/>
    </row>
    <row r="972" spans="1:10" s="65" customFormat="1" ht="14" x14ac:dyDescent="0.35">
      <c r="A972" s="145"/>
      <c r="B972" s="93"/>
      <c r="C972" s="93"/>
      <c r="D972" s="93"/>
      <c r="E972" s="95"/>
      <c r="F972" s="95"/>
      <c r="G972" s="95"/>
      <c r="H972" s="93"/>
      <c r="I972" s="93"/>
      <c r="J972" s="93"/>
    </row>
    <row r="973" spans="1:10" s="65" customFormat="1" ht="14" x14ac:dyDescent="0.35">
      <c r="A973" s="145"/>
      <c r="B973" s="93"/>
      <c r="C973" s="93"/>
      <c r="D973" s="93"/>
      <c r="E973" s="95"/>
      <c r="F973" s="95"/>
      <c r="G973" s="95"/>
      <c r="H973" s="93"/>
      <c r="I973" s="93"/>
      <c r="J973" s="93"/>
    </row>
    <row r="974" spans="1:10" s="65" customFormat="1" ht="14" x14ac:dyDescent="0.35">
      <c r="A974" s="145"/>
      <c r="B974" s="93"/>
      <c r="C974" s="93"/>
      <c r="D974" s="93"/>
      <c r="E974" s="95"/>
      <c r="F974" s="95"/>
      <c r="G974" s="95"/>
      <c r="H974" s="93"/>
      <c r="I974" s="93"/>
      <c r="J974" s="93"/>
    </row>
    <row r="975" spans="1:10" s="65" customFormat="1" ht="14" x14ac:dyDescent="0.35">
      <c r="A975" s="145"/>
      <c r="B975" s="93"/>
      <c r="C975" s="93"/>
      <c r="D975" s="93"/>
      <c r="E975" s="95"/>
      <c r="F975" s="95"/>
      <c r="G975" s="95"/>
      <c r="H975" s="93"/>
      <c r="I975" s="93"/>
      <c r="J975" s="93"/>
    </row>
    <row r="976" spans="1:10" s="65" customFormat="1" ht="14" x14ac:dyDescent="0.35">
      <c r="A976" s="145"/>
      <c r="B976" s="93"/>
      <c r="C976" s="93"/>
      <c r="D976" s="93"/>
      <c r="E976" s="95"/>
      <c r="F976" s="95"/>
      <c r="G976" s="95"/>
      <c r="H976" s="93"/>
      <c r="I976" s="93"/>
      <c r="J976" s="93"/>
    </row>
    <row r="977" spans="1:10" s="65" customFormat="1" ht="14" x14ac:dyDescent="0.35">
      <c r="A977" s="145"/>
      <c r="B977" s="93"/>
      <c r="C977" s="93"/>
      <c r="D977" s="93"/>
      <c r="E977" s="95"/>
      <c r="F977" s="95"/>
      <c r="G977" s="95"/>
      <c r="H977" s="93"/>
      <c r="I977" s="93"/>
      <c r="J977" s="93"/>
    </row>
    <row r="978" spans="1:10" s="65" customFormat="1" ht="14" x14ac:dyDescent="0.35">
      <c r="A978" s="145"/>
      <c r="B978" s="93"/>
      <c r="C978" s="93"/>
      <c r="D978" s="93"/>
      <c r="E978" s="95"/>
      <c r="F978" s="95"/>
      <c r="G978" s="95"/>
      <c r="H978" s="93"/>
      <c r="I978" s="93"/>
      <c r="J978" s="93"/>
    </row>
    <row r="979" spans="1:10" s="65" customFormat="1" ht="14" x14ac:dyDescent="0.35">
      <c r="A979" s="145"/>
      <c r="B979" s="93"/>
      <c r="C979" s="93"/>
      <c r="D979" s="93"/>
      <c r="E979" s="95"/>
      <c r="F979" s="95"/>
      <c r="G979" s="95"/>
      <c r="H979" s="93"/>
      <c r="I979" s="93"/>
      <c r="J979" s="93"/>
    </row>
    <row r="980" spans="1:10" s="65" customFormat="1" ht="14" x14ac:dyDescent="0.35">
      <c r="A980" s="145"/>
      <c r="B980" s="93"/>
      <c r="C980" s="93"/>
      <c r="D980" s="93"/>
      <c r="E980" s="95"/>
      <c r="F980" s="95"/>
      <c r="G980" s="95"/>
      <c r="H980" s="93"/>
      <c r="I980" s="93"/>
      <c r="J980" s="93"/>
    </row>
    <row r="981" spans="1:10" s="65" customFormat="1" ht="14" x14ac:dyDescent="0.35">
      <c r="A981" s="145"/>
      <c r="B981" s="93"/>
      <c r="C981" s="93"/>
      <c r="D981" s="93"/>
      <c r="E981" s="95"/>
      <c r="F981" s="95"/>
      <c r="G981" s="95"/>
      <c r="H981" s="93"/>
      <c r="I981" s="93"/>
      <c r="J981" s="93"/>
    </row>
    <row r="982" spans="1:10" s="65" customFormat="1" ht="14" x14ac:dyDescent="0.35">
      <c r="A982" s="145"/>
      <c r="B982" s="93"/>
      <c r="C982" s="93"/>
      <c r="D982" s="93"/>
      <c r="E982" s="95"/>
      <c r="F982" s="95"/>
      <c r="G982" s="95"/>
      <c r="H982" s="93"/>
      <c r="I982" s="93"/>
      <c r="J982" s="93"/>
    </row>
    <row r="983" spans="1:10" s="65" customFormat="1" ht="14" x14ac:dyDescent="0.35">
      <c r="A983" s="145"/>
      <c r="B983" s="93"/>
      <c r="C983" s="93"/>
      <c r="D983" s="93"/>
      <c r="E983" s="95"/>
      <c r="F983" s="95"/>
      <c r="G983" s="95"/>
      <c r="H983" s="93"/>
      <c r="I983" s="93"/>
      <c r="J983" s="93"/>
    </row>
    <row r="984" spans="1:10" s="65" customFormat="1" ht="14" x14ac:dyDescent="0.35">
      <c r="A984" s="145"/>
      <c r="B984" s="93"/>
      <c r="C984" s="93"/>
      <c r="D984" s="93"/>
      <c r="E984" s="95"/>
      <c r="F984" s="95"/>
      <c r="G984" s="95"/>
      <c r="H984" s="93"/>
      <c r="I984" s="93"/>
      <c r="J984" s="93"/>
    </row>
    <row r="985" spans="1:10" s="65" customFormat="1" ht="14" x14ac:dyDescent="0.35">
      <c r="A985" s="145"/>
      <c r="B985" s="93"/>
      <c r="C985" s="93"/>
      <c r="D985" s="93"/>
      <c r="E985" s="95"/>
      <c r="F985" s="95"/>
      <c r="G985" s="95"/>
      <c r="H985" s="93"/>
      <c r="I985" s="93"/>
      <c r="J985" s="93"/>
    </row>
    <row r="986" spans="1:10" s="65" customFormat="1" ht="14" x14ac:dyDescent="0.35">
      <c r="A986" s="145"/>
      <c r="B986" s="93"/>
      <c r="C986" s="93"/>
      <c r="D986" s="93"/>
      <c r="E986" s="95"/>
      <c r="F986" s="95"/>
      <c r="G986" s="95"/>
      <c r="H986" s="93"/>
      <c r="I986" s="93"/>
      <c r="J986" s="93"/>
    </row>
    <row r="987" spans="1:10" s="65" customFormat="1" ht="14" x14ac:dyDescent="0.35">
      <c r="A987" s="145"/>
      <c r="B987" s="93"/>
      <c r="C987" s="93"/>
      <c r="D987" s="93"/>
      <c r="E987" s="95"/>
      <c r="F987" s="95"/>
      <c r="G987" s="95"/>
      <c r="H987" s="93"/>
      <c r="I987" s="93"/>
      <c r="J987" s="93"/>
    </row>
    <row r="988" spans="1:10" s="65" customFormat="1" ht="14" x14ac:dyDescent="0.35">
      <c r="A988" s="145"/>
      <c r="B988" s="93"/>
      <c r="C988" s="93"/>
      <c r="D988" s="93"/>
      <c r="E988" s="95"/>
      <c r="F988" s="95"/>
      <c r="G988" s="95"/>
      <c r="H988" s="93"/>
      <c r="I988" s="93"/>
      <c r="J988" s="93"/>
    </row>
    <row r="989" spans="1:10" s="65" customFormat="1" ht="14" x14ac:dyDescent="0.35">
      <c r="A989" s="145"/>
      <c r="B989" s="93"/>
      <c r="C989" s="93"/>
      <c r="D989" s="93"/>
      <c r="E989" s="95"/>
      <c r="F989" s="95"/>
      <c r="G989" s="95"/>
      <c r="H989" s="93"/>
      <c r="I989" s="93"/>
      <c r="J989" s="93"/>
    </row>
    <row r="990" spans="1:10" s="65" customFormat="1" ht="14" x14ac:dyDescent="0.35">
      <c r="A990" s="145"/>
      <c r="B990" s="93"/>
      <c r="C990" s="93"/>
      <c r="D990" s="93"/>
      <c r="E990" s="95"/>
      <c r="F990" s="95"/>
      <c r="G990" s="95"/>
      <c r="H990" s="93"/>
      <c r="I990" s="93"/>
      <c r="J990" s="93"/>
    </row>
    <row r="991" spans="1:10" s="65" customFormat="1" ht="14" x14ac:dyDescent="0.35">
      <c r="A991" s="145"/>
      <c r="B991" s="93"/>
      <c r="C991" s="93"/>
      <c r="D991" s="93"/>
      <c r="E991" s="95"/>
      <c r="F991" s="95"/>
      <c r="G991" s="95"/>
      <c r="H991" s="93"/>
      <c r="I991" s="93"/>
      <c r="J991" s="93"/>
    </row>
    <row r="992" spans="1:10" s="65" customFormat="1" ht="14" x14ac:dyDescent="0.35">
      <c r="A992" s="145"/>
      <c r="B992" s="93"/>
      <c r="C992" s="93"/>
      <c r="D992" s="93"/>
      <c r="E992" s="95"/>
      <c r="F992" s="95"/>
      <c r="G992" s="95"/>
      <c r="H992" s="93"/>
      <c r="I992" s="93"/>
      <c r="J992" s="93"/>
    </row>
    <row r="993" spans="1:10" s="65" customFormat="1" ht="14" x14ac:dyDescent="0.35">
      <c r="A993" s="145"/>
      <c r="B993" s="93"/>
      <c r="C993" s="93"/>
      <c r="D993" s="93"/>
      <c r="E993" s="95"/>
      <c r="F993" s="95"/>
      <c r="G993" s="95"/>
      <c r="H993" s="93"/>
      <c r="I993" s="93"/>
      <c r="J993" s="93"/>
    </row>
    <row r="994" spans="1:10" s="65" customFormat="1" ht="14" x14ac:dyDescent="0.35">
      <c r="A994" s="145"/>
      <c r="B994" s="93"/>
      <c r="C994" s="93"/>
      <c r="D994" s="93"/>
      <c r="E994" s="95"/>
      <c r="F994" s="95"/>
      <c r="G994" s="95"/>
      <c r="H994" s="93"/>
      <c r="I994" s="93"/>
      <c r="J994" s="93"/>
    </row>
    <row r="995" spans="1:10" s="65" customFormat="1" ht="14" x14ac:dyDescent="0.35">
      <c r="A995" s="145"/>
      <c r="B995" s="93"/>
      <c r="C995" s="93"/>
      <c r="D995" s="93"/>
      <c r="E995" s="95"/>
      <c r="F995" s="95"/>
      <c r="G995" s="95"/>
      <c r="H995" s="93"/>
      <c r="I995" s="93"/>
      <c r="J995" s="93"/>
    </row>
    <row r="996" spans="1:10" s="65" customFormat="1" ht="14" x14ac:dyDescent="0.35">
      <c r="A996" s="145"/>
      <c r="B996" s="93"/>
      <c r="C996" s="93"/>
      <c r="D996" s="93"/>
      <c r="E996" s="95"/>
      <c r="F996" s="95"/>
      <c r="G996" s="95"/>
      <c r="H996" s="93"/>
      <c r="I996" s="93"/>
      <c r="J996" s="93"/>
    </row>
    <row r="997" spans="1:10" s="65" customFormat="1" ht="14" x14ac:dyDescent="0.35">
      <c r="A997" s="145"/>
      <c r="B997" s="93"/>
      <c r="C997" s="93"/>
      <c r="D997" s="93"/>
      <c r="E997" s="95"/>
      <c r="F997" s="95"/>
      <c r="G997" s="95"/>
      <c r="H997" s="93"/>
      <c r="I997" s="93"/>
      <c r="J997" s="93"/>
    </row>
    <row r="998" spans="1:10" s="65" customFormat="1" ht="14" x14ac:dyDescent="0.35">
      <c r="A998" s="145"/>
      <c r="B998" s="93"/>
      <c r="C998" s="93"/>
      <c r="D998" s="93"/>
      <c r="E998" s="95"/>
      <c r="F998" s="95"/>
      <c r="G998" s="95"/>
      <c r="H998" s="93"/>
      <c r="I998" s="93"/>
      <c r="J998" s="93"/>
    </row>
    <row r="999" spans="1:10" s="65" customFormat="1" ht="14" x14ac:dyDescent="0.35">
      <c r="A999" s="145"/>
      <c r="B999" s="93"/>
      <c r="C999" s="93"/>
      <c r="D999" s="93"/>
      <c r="E999" s="95"/>
      <c r="F999" s="95"/>
      <c r="G999" s="95"/>
      <c r="H999" s="93"/>
      <c r="I999" s="93"/>
      <c r="J999" s="93"/>
    </row>
    <row r="1000" spans="1:10" s="65" customFormat="1" ht="14" x14ac:dyDescent="0.35">
      <c r="A1000" s="145"/>
      <c r="B1000" s="93"/>
      <c r="C1000" s="93"/>
      <c r="D1000" s="93"/>
      <c r="E1000" s="95"/>
      <c r="F1000" s="95"/>
      <c r="G1000" s="95"/>
      <c r="H1000" s="93"/>
      <c r="I1000" s="93"/>
      <c r="J1000" s="93"/>
    </row>
    <row r="1001" spans="1:10" s="65" customFormat="1" ht="14" x14ac:dyDescent="0.35">
      <c r="A1001" s="145"/>
      <c r="B1001" s="93"/>
      <c r="C1001" s="93"/>
      <c r="D1001" s="93"/>
      <c r="E1001" s="95"/>
      <c r="F1001" s="95"/>
      <c r="G1001" s="95"/>
      <c r="H1001" s="93"/>
      <c r="I1001" s="93"/>
      <c r="J1001" s="93"/>
    </row>
    <row r="1002" spans="1:10" s="65" customFormat="1" ht="14" x14ac:dyDescent="0.35">
      <c r="A1002" s="145"/>
      <c r="B1002" s="93"/>
      <c r="C1002" s="93"/>
      <c r="D1002" s="93"/>
      <c r="E1002" s="95"/>
      <c r="F1002" s="95"/>
      <c r="G1002" s="95"/>
      <c r="H1002" s="93"/>
      <c r="I1002" s="93"/>
      <c r="J1002" s="93"/>
    </row>
    <row r="1003" spans="1:10" s="65" customFormat="1" ht="14" x14ac:dyDescent="0.35">
      <c r="A1003" s="145"/>
      <c r="B1003" s="93"/>
      <c r="C1003" s="93"/>
      <c r="D1003" s="93"/>
      <c r="E1003" s="95"/>
      <c r="F1003" s="95"/>
      <c r="G1003" s="95"/>
      <c r="H1003" s="93"/>
      <c r="I1003" s="93"/>
      <c r="J1003" s="93"/>
    </row>
    <row r="1004" spans="1:10" s="65" customFormat="1" ht="14" x14ac:dyDescent="0.35">
      <c r="A1004" s="145"/>
      <c r="B1004" s="93"/>
      <c r="C1004" s="93"/>
      <c r="D1004" s="93"/>
      <c r="E1004" s="95"/>
      <c r="F1004" s="95"/>
      <c r="G1004" s="95"/>
      <c r="H1004" s="93"/>
      <c r="I1004" s="93"/>
      <c r="J1004" s="93"/>
    </row>
    <row r="1005" spans="1:10" s="65" customFormat="1" ht="14" x14ac:dyDescent="0.35">
      <c r="A1005" s="145"/>
      <c r="B1005" s="93"/>
      <c r="C1005" s="93"/>
      <c r="D1005" s="93"/>
      <c r="E1005" s="95"/>
      <c r="F1005" s="95"/>
      <c r="G1005" s="95"/>
      <c r="H1005" s="93"/>
      <c r="I1005" s="93"/>
      <c r="J1005" s="93"/>
    </row>
    <row r="1006" spans="1:10" s="65" customFormat="1" ht="14" x14ac:dyDescent="0.35">
      <c r="A1006" s="145"/>
      <c r="B1006" s="93"/>
      <c r="C1006" s="93"/>
      <c r="D1006" s="93"/>
      <c r="E1006" s="95"/>
      <c r="F1006" s="95"/>
      <c r="G1006" s="95"/>
      <c r="H1006" s="93"/>
      <c r="I1006" s="93"/>
      <c r="J1006" s="93"/>
    </row>
    <row r="1007" spans="1:10" s="65" customFormat="1" ht="14" x14ac:dyDescent="0.35">
      <c r="A1007" s="145"/>
      <c r="B1007" s="93"/>
      <c r="C1007" s="93"/>
      <c r="D1007" s="93"/>
      <c r="E1007" s="95"/>
      <c r="F1007" s="95"/>
      <c r="G1007" s="95"/>
      <c r="H1007" s="93"/>
      <c r="I1007" s="93"/>
      <c r="J1007" s="93"/>
    </row>
    <row r="1008" spans="1:10" s="65" customFormat="1" ht="14" x14ac:dyDescent="0.35">
      <c r="A1008" s="145"/>
      <c r="B1008" s="93"/>
      <c r="C1008" s="93"/>
      <c r="D1008" s="93"/>
      <c r="E1008" s="95"/>
      <c r="F1008" s="95"/>
      <c r="G1008" s="95"/>
      <c r="H1008" s="93"/>
      <c r="I1008" s="93"/>
      <c r="J1008" s="93"/>
    </row>
    <row r="1009" spans="1:10" s="65" customFormat="1" ht="14" x14ac:dyDescent="0.35">
      <c r="A1009" s="145"/>
      <c r="B1009" s="93"/>
      <c r="C1009" s="93"/>
      <c r="D1009" s="93"/>
      <c r="E1009" s="95"/>
      <c r="F1009" s="95"/>
      <c r="G1009" s="95"/>
      <c r="H1009" s="93"/>
      <c r="I1009" s="93"/>
      <c r="J1009" s="93"/>
    </row>
    <row r="1010" spans="1:10" s="65" customFormat="1" ht="14" x14ac:dyDescent="0.35">
      <c r="A1010" s="145"/>
      <c r="B1010" s="93"/>
      <c r="C1010" s="93"/>
      <c r="D1010" s="93"/>
      <c r="E1010" s="95"/>
      <c r="F1010" s="95"/>
      <c r="G1010" s="95"/>
      <c r="H1010" s="93"/>
      <c r="I1010" s="93"/>
      <c r="J1010" s="93"/>
    </row>
    <row r="1011" spans="1:10" s="65" customFormat="1" ht="14" x14ac:dyDescent="0.35">
      <c r="A1011" s="145"/>
      <c r="B1011" s="93"/>
      <c r="C1011" s="93"/>
      <c r="D1011" s="93"/>
      <c r="E1011" s="95"/>
      <c r="F1011" s="95"/>
      <c r="G1011" s="95"/>
      <c r="H1011" s="93"/>
      <c r="I1011" s="93"/>
      <c r="J1011" s="93"/>
    </row>
    <row r="1012" spans="1:10" s="65" customFormat="1" ht="14" x14ac:dyDescent="0.35">
      <c r="A1012" s="145"/>
      <c r="B1012" s="93"/>
      <c r="C1012" s="93"/>
      <c r="D1012" s="93"/>
      <c r="E1012" s="95"/>
      <c r="F1012" s="95"/>
      <c r="G1012" s="95"/>
      <c r="H1012" s="93"/>
      <c r="I1012" s="93"/>
      <c r="J1012" s="93"/>
    </row>
    <row r="1013" spans="1:10" s="65" customFormat="1" ht="14" x14ac:dyDescent="0.35">
      <c r="A1013" s="145"/>
      <c r="B1013" s="93"/>
      <c r="C1013" s="93"/>
      <c r="D1013" s="93"/>
      <c r="E1013" s="95"/>
      <c r="F1013" s="95"/>
      <c r="G1013" s="95"/>
      <c r="H1013" s="93"/>
      <c r="I1013" s="93"/>
      <c r="J1013" s="93"/>
    </row>
    <row r="1014" spans="1:10" s="65" customFormat="1" ht="14" x14ac:dyDescent="0.35">
      <c r="A1014" s="145"/>
      <c r="B1014" s="93"/>
      <c r="C1014" s="93"/>
      <c r="D1014" s="93"/>
      <c r="E1014" s="95"/>
      <c r="F1014" s="95"/>
      <c r="G1014" s="95"/>
      <c r="H1014" s="93"/>
      <c r="I1014" s="93"/>
      <c r="J1014" s="93"/>
    </row>
    <row r="1015" spans="1:10" s="65" customFormat="1" ht="14" x14ac:dyDescent="0.35">
      <c r="A1015" s="145"/>
      <c r="B1015" s="93"/>
      <c r="C1015" s="93"/>
      <c r="D1015" s="93"/>
      <c r="E1015" s="95"/>
      <c r="F1015" s="95"/>
      <c r="G1015" s="95"/>
      <c r="H1015" s="93"/>
      <c r="I1015" s="93"/>
      <c r="J1015" s="93"/>
    </row>
    <row r="1016" spans="1:10" s="65" customFormat="1" ht="14" x14ac:dyDescent="0.35">
      <c r="A1016" s="145"/>
      <c r="B1016" s="93"/>
      <c r="C1016" s="93"/>
      <c r="D1016" s="93"/>
      <c r="E1016" s="95"/>
      <c r="F1016" s="95"/>
      <c r="G1016" s="95"/>
      <c r="H1016" s="93"/>
      <c r="I1016" s="93"/>
      <c r="J1016" s="93"/>
    </row>
    <row r="1017" spans="1:10" s="65" customFormat="1" ht="14" x14ac:dyDescent="0.35">
      <c r="A1017" s="145"/>
      <c r="B1017" s="93"/>
      <c r="C1017" s="93"/>
      <c r="D1017" s="93"/>
      <c r="E1017" s="95"/>
      <c r="F1017" s="95"/>
      <c r="G1017" s="95"/>
      <c r="H1017" s="93"/>
      <c r="I1017" s="93"/>
      <c r="J1017" s="93"/>
    </row>
    <row r="1018" spans="1:10" s="65" customFormat="1" ht="14" x14ac:dyDescent="0.35">
      <c r="A1018" s="145"/>
      <c r="B1018" s="93"/>
      <c r="C1018" s="93"/>
      <c r="D1018" s="93"/>
      <c r="E1018" s="95"/>
      <c r="F1018" s="95"/>
      <c r="G1018" s="95"/>
      <c r="H1018" s="93"/>
      <c r="I1018" s="93"/>
      <c r="J1018" s="93"/>
    </row>
    <row r="1019" spans="1:10" s="65" customFormat="1" ht="14" x14ac:dyDescent="0.35">
      <c r="A1019" s="145"/>
      <c r="B1019" s="93"/>
      <c r="C1019" s="93"/>
      <c r="D1019" s="93"/>
      <c r="E1019" s="95"/>
      <c r="F1019" s="95"/>
      <c r="G1019" s="95"/>
      <c r="H1019" s="93"/>
      <c r="I1019" s="93"/>
      <c r="J1019" s="93"/>
    </row>
    <row r="1020" spans="1:10" s="65" customFormat="1" ht="14" x14ac:dyDescent="0.35">
      <c r="A1020" s="145"/>
      <c r="B1020" s="93"/>
      <c r="C1020" s="93"/>
      <c r="D1020" s="93"/>
      <c r="E1020" s="95"/>
      <c r="F1020" s="95"/>
      <c r="G1020" s="95"/>
      <c r="H1020" s="93"/>
      <c r="I1020" s="93"/>
      <c r="J1020" s="93"/>
    </row>
    <row r="1021" spans="1:10" s="65" customFormat="1" ht="14" x14ac:dyDescent="0.35">
      <c r="A1021" s="145"/>
      <c r="B1021" s="93"/>
      <c r="C1021" s="93"/>
      <c r="D1021" s="93"/>
      <c r="E1021" s="95"/>
      <c r="F1021" s="95"/>
      <c r="G1021" s="95"/>
      <c r="H1021" s="93"/>
      <c r="I1021" s="93"/>
      <c r="J1021" s="93"/>
    </row>
    <row r="1022" spans="1:10" s="65" customFormat="1" ht="14" x14ac:dyDescent="0.35">
      <c r="A1022" s="145"/>
      <c r="B1022" s="93"/>
      <c r="C1022" s="93"/>
      <c r="D1022" s="93"/>
      <c r="E1022" s="95"/>
      <c r="F1022" s="95"/>
      <c r="G1022" s="95"/>
      <c r="H1022" s="93"/>
      <c r="I1022" s="93"/>
      <c r="J1022" s="93"/>
    </row>
    <row r="1023" spans="1:10" s="65" customFormat="1" ht="14" x14ac:dyDescent="0.35">
      <c r="A1023" s="145"/>
      <c r="B1023" s="93"/>
      <c r="C1023" s="93"/>
      <c r="D1023" s="93"/>
      <c r="E1023" s="95"/>
      <c r="F1023" s="95"/>
      <c r="G1023" s="95"/>
      <c r="H1023" s="93"/>
      <c r="I1023" s="93"/>
      <c r="J1023" s="93"/>
    </row>
    <row r="1024" spans="1:10" s="65" customFormat="1" ht="14" x14ac:dyDescent="0.35">
      <c r="A1024" s="145"/>
      <c r="B1024" s="93"/>
      <c r="C1024" s="93"/>
      <c r="D1024" s="93"/>
      <c r="E1024" s="95"/>
      <c r="F1024" s="95"/>
      <c r="G1024" s="95"/>
      <c r="H1024" s="93"/>
      <c r="I1024" s="93"/>
      <c r="J1024" s="93"/>
    </row>
    <row r="1025" spans="1:10" s="65" customFormat="1" ht="14" x14ac:dyDescent="0.35">
      <c r="A1025" s="145"/>
      <c r="B1025" s="93"/>
      <c r="C1025" s="93"/>
      <c r="D1025" s="93"/>
      <c r="E1025" s="95"/>
      <c r="F1025" s="95"/>
      <c r="G1025" s="95"/>
      <c r="H1025" s="93"/>
      <c r="I1025" s="93"/>
      <c r="J1025" s="93"/>
    </row>
    <row r="1026" spans="1:10" s="65" customFormat="1" ht="14" x14ac:dyDescent="0.35">
      <c r="A1026" s="145"/>
      <c r="B1026" s="93"/>
      <c r="C1026" s="93"/>
      <c r="D1026" s="93"/>
      <c r="E1026" s="95"/>
      <c r="F1026" s="95"/>
      <c r="G1026" s="95"/>
      <c r="H1026" s="93"/>
      <c r="I1026" s="93"/>
      <c r="J1026" s="93"/>
    </row>
    <row r="1027" spans="1:10" s="65" customFormat="1" ht="14" x14ac:dyDescent="0.35">
      <c r="A1027" s="145"/>
      <c r="B1027" s="93"/>
      <c r="C1027" s="93"/>
      <c r="D1027" s="93"/>
      <c r="E1027" s="95"/>
      <c r="F1027" s="95"/>
      <c r="G1027" s="95"/>
      <c r="H1027" s="93"/>
      <c r="I1027" s="93"/>
      <c r="J1027" s="93"/>
    </row>
    <row r="1028" spans="1:10" s="65" customFormat="1" ht="14" x14ac:dyDescent="0.35">
      <c r="A1028" s="145"/>
      <c r="B1028" s="93"/>
      <c r="C1028" s="93"/>
      <c r="D1028" s="93"/>
      <c r="E1028" s="95"/>
      <c r="F1028" s="95"/>
      <c r="G1028" s="95"/>
      <c r="H1028" s="93"/>
      <c r="I1028" s="93"/>
      <c r="J1028" s="93"/>
    </row>
    <row r="1029" spans="1:10" s="65" customFormat="1" ht="14" x14ac:dyDescent="0.35">
      <c r="A1029" s="145"/>
      <c r="B1029" s="93"/>
      <c r="C1029" s="93"/>
      <c r="D1029" s="93"/>
      <c r="E1029" s="95"/>
      <c r="F1029" s="95"/>
      <c r="G1029" s="95"/>
      <c r="H1029" s="93"/>
      <c r="I1029" s="93"/>
      <c r="J1029" s="93"/>
    </row>
    <row r="1030" spans="1:10" s="65" customFormat="1" ht="14" x14ac:dyDescent="0.35">
      <c r="A1030" s="145"/>
      <c r="B1030" s="93"/>
      <c r="C1030" s="93"/>
      <c r="D1030" s="93"/>
      <c r="E1030" s="95"/>
      <c r="F1030" s="95"/>
      <c r="G1030" s="95"/>
      <c r="H1030" s="93"/>
      <c r="I1030" s="93"/>
      <c r="J1030" s="93"/>
    </row>
    <row r="1031" spans="1:10" s="65" customFormat="1" ht="14" x14ac:dyDescent="0.35">
      <c r="A1031" s="145"/>
      <c r="B1031" s="93"/>
      <c r="C1031" s="93"/>
      <c r="D1031" s="93"/>
      <c r="E1031" s="95"/>
      <c r="F1031" s="95"/>
      <c r="G1031" s="95"/>
      <c r="H1031" s="93"/>
      <c r="I1031" s="93"/>
      <c r="J1031" s="93"/>
    </row>
    <row r="1032" spans="1:10" s="65" customFormat="1" ht="14" x14ac:dyDescent="0.35">
      <c r="A1032" s="145"/>
      <c r="B1032" s="93"/>
      <c r="C1032" s="93"/>
      <c r="D1032" s="93"/>
      <c r="E1032" s="95"/>
      <c r="F1032" s="95"/>
      <c r="G1032" s="95"/>
      <c r="H1032" s="93"/>
      <c r="I1032" s="93"/>
      <c r="J1032" s="93"/>
    </row>
    <row r="1033" spans="1:10" s="65" customFormat="1" ht="14" x14ac:dyDescent="0.35">
      <c r="A1033" s="145"/>
      <c r="B1033" s="93"/>
      <c r="C1033" s="93"/>
      <c r="D1033" s="93"/>
      <c r="E1033" s="95"/>
      <c r="F1033" s="95"/>
      <c r="G1033" s="95"/>
      <c r="H1033" s="93"/>
      <c r="I1033" s="93"/>
      <c r="J1033" s="93"/>
    </row>
    <row r="1034" spans="1:10" s="65" customFormat="1" ht="14" x14ac:dyDescent="0.35">
      <c r="A1034" s="145"/>
      <c r="B1034" s="93"/>
      <c r="C1034" s="93"/>
      <c r="D1034" s="93"/>
      <c r="E1034" s="95"/>
      <c r="F1034" s="95"/>
      <c r="G1034" s="95"/>
      <c r="H1034" s="93"/>
      <c r="I1034" s="93"/>
      <c r="J1034" s="93"/>
    </row>
    <row r="1035" spans="1:10" s="65" customFormat="1" ht="14" x14ac:dyDescent="0.35">
      <c r="A1035" s="145"/>
      <c r="B1035" s="93"/>
      <c r="C1035" s="93"/>
      <c r="D1035" s="93"/>
      <c r="E1035" s="95"/>
      <c r="F1035" s="95"/>
      <c r="G1035" s="95"/>
      <c r="H1035" s="93"/>
      <c r="I1035" s="93"/>
      <c r="J1035" s="93"/>
    </row>
    <row r="1036" spans="1:10" s="65" customFormat="1" ht="14" x14ac:dyDescent="0.35">
      <c r="A1036" s="145"/>
      <c r="B1036" s="93"/>
      <c r="C1036" s="93"/>
      <c r="D1036" s="93"/>
      <c r="E1036" s="95"/>
      <c r="F1036" s="95"/>
      <c r="G1036" s="95"/>
      <c r="H1036" s="93"/>
      <c r="I1036" s="93"/>
      <c r="J1036" s="93"/>
    </row>
    <row r="1037" spans="1:10" s="65" customFormat="1" ht="14" x14ac:dyDescent="0.35">
      <c r="A1037" s="145"/>
      <c r="B1037" s="93"/>
      <c r="C1037" s="93"/>
      <c r="D1037" s="93"/>
      <c r="E1037" s="95"/>
      <c r="F1037" s="95"/>
      <c r="G1037" s="95"/>
      <c r="H1037" s="93"/>
      <c r="I1037" s="93"/>
      <c r="J1037" s="93"/>
    </row>
    <row r="1038" spans="1:10" s="65" customFormat="1" ht="14" x14ac:dyDescent="0.35">
      <c r="A1038" s="145"/>
      <c r="B1038" s="93"/>
      <c r="C1038" s="93"/>
      <c r="D1038" s="93"/>
      <c r="E1038" s="95"/>
      <c r="F1038" s="95"/>
      <c r="G1038" s="95"/>
      <c r="H1038" s="93"/>
      <c r="I1038" s="93"/>
      <c r="J1038" s="93"/>
    </row>
    <row r="1039" spans="1:10" s="65" customFormat="1" ht="14" x14ac:dyDescent="0.35">
      <c r="A1039" s="145"/>
      <c r="B1039" s="93"/>
      <c r="C1039" s="93"/>
      <c r="D1039" s="93"/>
      <c r="E1039" s="95"/>
      <c r="F1039" s="95"/>
      <c r="G1039" s="95"/>
      <c r="H1039" s="93"/>
      <c r="I1039" s="93"/>
      <c r="J1039" s="93"/>
    </row>
    <row r="1040" spans="1:10" s="65" customFormat="1" ht="14" x14ac:dyDescent="0.35">
      <c r="A1040" s="145"/>
      <c r="B1040" s="93"/>
      <c r="C1040" s="93"/>
      <c r="D1040" s="93"/>
      <c r="E1040" s="95"/>
      <c r="F1040" s="95"/>
      <c r="G1040" s="95"/>
      <c r="H1040" s="93"/>
      <c r="I1040" s="93"/>
      <c r="J1040" s="93"/>
    </row>
    <row r="1041" spans="1:10" s="65" customFormat="1" ht="14" x14ac:dyDescent="0.35">
      <c r="A1041" s="145"/>
      <c r="B1041" s="93"/>
      <c r="C1041" s="93"/>
      <c r="D1041" s="93"/>
      <c r="E1041" s="95"/>
      <c r="F1041" s="95"/>
      <c r="G1041" s="95"/>
      <c r="H1041" s="93"/>
      <c r="I1041" s="93"/>
      <c r="J1041" s="93"/>
    </row>
    <row r="1042" spans="1:10" s="65" customFormat="1" ht="14" x14ac:dyDescent="0.35">
      <c r="A1042" s="145"/>
      <c r="B1042" s="93"/>
      <c r="C1042" s="93"/>
      <c r="D1042" s="93"/>
      <c r="E1042" s="95"/>
      <c r="F1042" s="95"/>
      <c r="G1042" s="95"/>
      <c r="H1042" s="93"/>
      <c r="I1042" s="93"/>
      <c r="J1042" s="93"/>
    </row>
    <row r="1043" spans="1:10" s="65" customFormat="1" ht="14" x14ac:dyDescent="0.35">
      <c r="A1043" s="145"/>
      <c r="B1043" s="93"/>
      <c r="C1043" s="93"/>
      <c r="D1043" s="93"/>
      <c r="E1043" s="95"/>
      <c r="F1043" s="95"/>
      <c r="G1043" s="95"/>
      <c r="H1043" s="93"/>
      <c r="I1043" s="93"/>
      <c r="J1043" s="93"/>
    </row>
    <row r="1044" spans="1:10" s="65" customFormat="1" ht="14" x14ac:dyDescent="0.35">
      <c r="A1044" s="145"/>
      <c r="B1044" s="93"/>
      <c r="C1044" s="93"/>
      <c r="D1044" s="93"/>
      <c r="E1044" s="95"/>
      <c r="F1044" s="95"/>
      <c r="G1044" s="95"/>
      <c r="H1044" s="93"/>
      <c r="I1044" s="93"/>
      <c r="J1044" s="93"/>
    </row>
    <row r="1045" spans="1:10" s="65" customFormat="1" ht="14" x14ac:dyDescent="0.35">
      <c r="A1045" s="145"/>
      <c r="B1045" s="93"/>
      <c r="C1045" s="93"/>
      <c r="D1045" s="93"/>
      <c r="E1045" s="95"/>
      <c r="F1045" s="95"/>
      <c r="G1045" s="95"/>
      <c r="H1045" s="93"/>
      <c r="I1045" s="93"/>
      <c r="J1045" s="93"/>
    </row>
    <row r="1046" spans="1:10" s="65" customFormat="1" ht="14" x14ac:dyDescent="0.35">
      <c r="A1046" s="145"/>
      <c r="B1046" s="93"/>
      <c r="C1046" s="93"/>
      <c r="D1046" s="93"/>
      <c r="E1046" s="95"/>
      <c r="F1046" s="95"/>
      <c r="G1046" s="95"/>
      <c r="H1046" s="93"/>
      <c r="I1046" s="93"/>
      <c r="J1046" s="93"/>
    </row>
    <row r="1047" spans="1:10" s="65" customFormat="1" ht="14" x14ac:dyDescent="0.35">
      <c r="A1047" s="145"/>
      <c r="B1047" s="93"/>
      <c r="C1047" s="93"/>
      <c r="D1047" s="93"/>
      <c r="E1047" s="95"/>
      <c r="F1047" s="95"/>
      <c r="G1047" s="95"/>
      <c r="H1047" s="93"/>
      <c r="I1047" s="93"/>
      <c r="J1047" s="93"/>
    </row>
    <row r="1048" spans="1:10" s="65" customFormat="1" ht="14" x14ac:dyDescent="0.35">
      <c r="A1048" s="145"/>
      <c r="B1048" s="93"/>
      <c r="C1048" s="93"/>
      <c r="D1048" s="93"/>
      <c r="E1048" s="95"/>
      <c r="F1048" s="95"/>
      <c r="G1048" s="95"/>
      <c r="H1048" s="93"/>
      <c r="I1048" s="93"/>
      <c r="J1048" s="93"/>
    </row>
    <row r="1049" spans="1:10" s="65" customFormat="1" ht="14" x14ac:dyDescent="0.35">
      <c r="A1049" s="145"/>
      <c r="B1049" s="93"/>
      <c r="C1049" s="93"/>
      <c r="D1049" s="93"/>
      <c r="E1049" s="95"/>
      <c r="F1049" s="95"/>
      <c r="G1049" s="95"/>
      <c r="H1049" s="93"/>
      <c r="I1049" s="93"/>
      <c r="J1049" s="93"/>
    </row>
    <row r="1050" spans="1:10" s="65" customFormat="1" ht="14" x14ac:dyDescent="0.35">
      <c r="A1050" s="145"/>
      <c r="B1050" s="93"/>
      <c r="C1050" s="93"/>
      <c r="D1050" s="93"/>
      <c r="E1050" s="95"/>
      <c r="F1050" s="95"/>
      <c r="G1050" s="95"/>
      <c r="H1050" s="93"/>
      <c r="I1050" s="93"/>
      <c r="J1050" s="93"/>
    </row>
    <row r="1051" spans="1:10" s="65" customFormat="1" ht="14" x14ac:dyDescent="0.35">
      <c r="A1051" s="145"/>
      <c r="B1051" s="93"/>
      <c r="C1051" s="93"/>
      <c r="D1051" s="93"/>
      <c r="E1051" s="95"/>
      <c r="F1051" s="95"/>
      <c r="G1051" s="95"/>
      <c r="H1051" s="93"/>
      <c r="I1051" s="93"/>
      <c r="J1051" s="93"/>
    </row>
    <row r="1052" spans="1:10" s="65" customFormat="1" ht="14" x14ac:dyDescent="0.35">
      <c r="A1052" s="145"/>
      <c r="B1052" s="93"/>
      <c r="C1052" s="93"/>
      <c r="D1052" s="93"/>
      <c r="E1052" s="95"/>
      <c r="F1052" s="95"/>
      <c r="G1052" s="95"/>
      <c r="H1052" s="93"/>
      <c r="I1052" s="93"/>
      <c r="J1052" s="93"/>
    </row>
    <row r="1053" spans="1:10" s="65" customFormat="1" ht="14" x14ac:dyDescent="0.35">
      <c r="A1053" s="145"/>
      <c r="B1053" s="93"/>
      <c r="C1053" s="93"/>
      <c r="D1053" s="93"/>
      <c r="E1053" s="95"/>
      <c r="F1053" s="95"/>
      <c r="G1053" s="95"/>
      <c r="H1053" s="93"/>
      <c r="I1053" s="93"/>
      <c r="J1053" s="93"/>
    </row>
    <row r="1054" spans="1:10" s="65" customFormat="1" ht="14" x14ac:dyDescent="0.35">
      <c r="A1054" s="145"/>
      <c r="B1054" s="93"/>
      <c r="C1054" s="93"/>
      <c r="D1054" s="93"/>
      <c r="E1054" s="95"/>
      <c r="F1054" s="95"/>
      <c r="G1054" s="95"/>
      <c r="H1054" s="93"/>
      <c r="I1054" s="93"/>
      <c r="J1054" s="93"/>
    </row>
    <row r="1055" spans="1:10" s="65" customFormat="1" ht="14" x14ac:dyDescent="0.35">
      <c r="A1055" s="145"/>
      <c r="B1055" s="93"/>
      <c r="C1055" s="93"/>
      <c r="D1055" s="93"/>
      <c r="E1055" s="95"/>
      <c r="F1055" s="95"/>
      <c r="G1055" s="95"/>
      <c r="H1055" s="93"/>
      <c r="I1055" s="93"/>
      <c r="J1055" s="93"/>
    </row>
    <row r="1056" spans="1:10" s="65" customFormat="1" ht="14" x14ac:dyDescent="0.35">
      <c r="A1056" s="145"/>
      <c r="B1056" s="93"/>
      <c r="C1056" s="93"/>
      <c r="D1056" s="93"/>
      <c r="E1056" s="95"/>
      <c r="F1056" s="95"/>
      <c r="G1056" s="95"/>
      <c r="H1056" s="93"/>
      <c r="I1056" s="93"/>
      <c r="J1056" s="93"/>
    </row>
    <row r="1057" spans="1:10" s="65" customFormat="1" ht="14" x14ac:dyDescent="0.35">
      <c r="A1057" s="145"/>
      <c r="B1057" s="93"/>
      <c r="C1057" s="93"/>
      <c r="D1057" s="93"/>
      <c r="E1057" s="95"/>
      <c r="F1057" s="95"/>
      <c r="G1057" s="95"/>
      <c r="H1057" s="93"/>
      <c r="I1057" s="93"/>
      <c r="J1057" s="93"/>
    </row>
    <row r="1058" spans="1:10" s="65" customFormat="1" ht="14" x14ac:dyDescent="0.35">
      <c r="A1058" s="145"/>
      <c r="B1058" s="93"/>
      <c r="C1058" s="93"/>
      <c r="D1058" s="93"/>
      <c r="E1058" s="95"/>
      <c r="F1058" s="95"/>
      <c r="G1058" s="95"/>
      <c r="H1058" s="93"/>
      <c r="I1058" s="93"/>
      <c r="J1058" s="93"/>
    </row>
    <row r="1059" spans="1:10" s="65" customFormat="1" ht="14" x14ac:dyDescent="0.35">
      <c r="A1059" s="145"/>
      <c r="B1059" s="93"/>
      <c r="C1059" s="93"/>
      <c r="D1059" s="93"/>
      <c r="E1059" s="95"/>
      <c r="F1059" s="95"/>
      <c r="G1059" s="95"/>
      <c r="H1059" s="93"/>
      <c r="I1059" s="93"/>
      <c r="J1059" s="93"/>
    </row>
    <row r="1060" spans="1:10" s="65" customFormat="1" ht="14" x14ac:dyDescent="0.35">
      <c r="A1060" s="145"/>
      <c r="B1060" s="93"/>
      <c r="C1060" s="93"/>
      <c r="D1060" s="93"/>
      <c r="E1060" s="95"/>
      <c r="F1060" s="95"/>
      <c r="G1060" s="95"/>
      <c r="H1060" s="93"/>
      <c r="I1060" s="93"/>
      <c r="J1060" s="93"/>
    </row>
    <row r="1061" spans="1:10" s="65" customFormat="1" ht="14" x14ac:dyDescent="0.35">
      <c r="A1061" s="145"/>
      <c r="B1061" s="93"/>
      <c r="C1061" s="93"/>
      <c r="D1061" s="93"/>
      <c r="E1061" s="95"/>
      <c r="F1061" s="95"/>
      <c r="G1061" s="95"/>
      <c r="H1061" s="93"/>
      <c r="I1061" s="93"/>
      <c r="J1061" s="93"/>
    </row>
    <row r="1062" spans="1:10" s="65" customFormat="1" ht="14" x14ac:dyDescent="0.35">
      <c r="A1062" s="145"/>
      <c r="B1062" s="93"/>
      <c r="C1062" s="93"/>
      <c r="D1062" s="93"/>
      <c r="E1062" s="95"/>
      <c r="F1062" s="95"/>
      <c r="G1062" s="95"/>
      <c r="H1062" s="93"/>
      <c r="I1062" s="93"/>
      <c r="J1062" s="93"/>
    </row>
    <row r="1063" spans="1:10" s="65" customFormat="1" ht="14" x14ac:dyDescent="0.35">
      <c r="A1063" s="145"/>
      <c r="B1063" s="93"/>
      <c r="C1063" s="93"/>
      <c r="D1063" s="93"/>
      <c r="E1063" s="95"/>
      <c r="F1063" s="95"/>
      <c r="G1063" s="95"/>
      <c r="H1063" s="93"/>
      <c r="I1063" s="93"/>
      <c r="J1063" s="93"/>
    </row>
    <row r="1064" spans="1:10" s="65" customFormat="1" ht="14" x14ac:dyDescent="0.35">
      <c r="A1064" s="145"/>
      <c r="B1064" s="93"/>
      <c r="C1064" s="93"/>
      <c r="D1064" s="93"/>
      <c r="E1064" s="95"/>
      <c r="F1064" s="95"/>
      <c r="G1064" s="95"/>
      <c r="H1064" s="93"/>
      <c r="I1064" s="93"/>
      <c r="J1064" s="93"/>
    </row>
    <row r="1065" spans="1:10" s="65" customFormat="1" ht="14" x14ac:dyDescent="0.35">
      <c r="A1065" s="145"/>
      <c r="B1065" s="93"/>
      <c r="C1065" s="93"/>
      <c r="D1065" s="93"/>
      <c r="E1065" s="95"/>
      <c r="F1065" s="95"/>
      <c r="G1065" s="95"/>
      <c r="H1065" s="93"/>
      <c r="I1065" s="93"/>
      <c r="J1065" s="93"/>
    </row>
    <row r="1066" spans="1:10" s="65" customFormat="1" ht="14" x14ac:dyDescent="0.35">
      <c r="A1066" s="145"/>
      <c r="B1066" s="93"/>
      <c r="C1066" s="93"/>
      <c r="D1066" s="93"/>
      <c r="E1066" s="95"/>
      <c r="F1066" s="95"/>
      <c r="G1066" s="95"/>
      <c r="H1066" s="93"/>
      <c r="I1066" s="93"/>
      <c r="J1066" s="93"/>
    </row>
    <row r="1067" spans="1:10" s="65" customFormat="1" ht="14" x14ac:dyDescent="0.35">
      <c r="A1067" s="145"/>
      <c r="B1067" s="93"/>
      <c r="C1067" s="93"/>
      <c r="D1067" s="93"/>
      <c r="E1067" s="95"/>
      <c r="F1067" s="95"/>
      <c r="G1067" s="95"/>
      <c r="H1067" s="93"/>
      <c r="I1067" s="93"/>
      <c r="J1067" s="93"/>
    </row>
    <row r="1068" spans="1:10" s="65" customFormat="1" ht="14" x14ac:dyDescent="0.35">
      <c r="A1068" s="145"/>
      <c r="B1068" s="93"/>
      <c r="C1068" s="93"/>
      <c r="D1068" s="93"/>
      <c r="E1068" s="95"/>
      <c r="F1068" s="95"/>
      <c r="G1068" s="95"/>
      <c r="H1068" s="93"/>
      <c r="I1068" s="93"/>
      <c r="J1068" s="93"/>
    </row>
    <row r="1069" spans="1:10" s="65" customFormat="1" ht="14" x14ac:dyDescent="0.35">
      <c r="A1069" s="145"/>
      <c r="B1069" s="93"/>
      <c r="C1069" s="93"/>
      <c r="D1069" s="93"/>
      <c r="E1069" s="95"/>
      <c r="F1069" s="95"/>
      <c r="G1069" s="95"/>
      <c r="H1069" s="93"/>
      <c r="I1069" s="93"/>
      <c r="J1069" s="93"/>
    </row>
    <row r="1070" spans="1:10" s="65" customFormat="1" ht="14" x14ac:dyDescent="0.35">
      <c r="A1070" s="145"/>
      <c r="B1070" s="93"/>
      <c r="C1070" s="93"/>
      <c r="D1070" s="93"/>
      <c r="E1070" s="95"/>
      <c r="F1070" s="95"/>
      <c r="G1070" s="95"/>
      <c r="H1070" s="93"/>
      <c r="I1070" s="93"/>
      <c r="J1070" s="93"/>
    </row>
    <row r="1071" spans="1:10" s="65" customFormat="1" ht="14" x14ac:dyDescent="0.35">
      <c r="A1071" s="145"/>
      <c r="B1071" s="93"/>
      <c r="C1071" s="93"/>
      <c r="D1071" s="93"/>
      <c r="E1071" s="95"/>
      <c r="F1071" s="95"/>
      <c r="G1071" s="95"/>
      <c r="H1071" s="93"/>
      <c r="I1071" s="93"/>
      <c r="J1071" s="93"/>
    </row>
    <row r="1072" spans="1:10" s="65" customFormat="1" ht="14" x14ac:dyDescent="0.35">
      <c r="A1072" s="145"/>
      <c r="B1072" s="93"/>
      <c r="C1072" s="93"/>
      <c r="D1072" s="93"/>
      <c r="E1072" s="95"/>
      <c r="F1072" s="95"/>
      <c r="G1072" s="95"/>
      <c r="H1072" s="93"/>
      <c r="I1072" s="93"/>
      <c r="J1072" s="93"/>
    </row>
    <row r="1073" spans="1:10" s="65" customFormat="1" ht="14" x14ac:dyDescent="0.35">
      <c r="A1073" s="145"/>
      <c r="B1073" s="93"/>
      <c r="C1073" s="93"/>
      <c r="D1073" s="93"/>
      <c r="E1073" s="95"/>
      <c r="F1073" s="95"/>
      <c r="G1073" s="95"/>
      <c r="H1073" s="93"/>
      <c r="I1073" s="93"/>
      <c r="J1073" s="93"/>
    </row>
    <row r="1074" spans="1:10" s="65" customFormat="1" ht="14" x14ac:dyDescent="0.35">
      <c r="A1074" s="145"/>
      <c r="B1074" s="93"/>
      <c r="C1074" s="93"/>
      <c r="D1074" s="93"/>
      <c r="E1074" s="95"/>
      <c r="F1074" s="95"/>
      <c r="G1074" s="95"/>
      <c r="H1074" s="93"/>
      <c r="I1074" s="93"/>
      <c r="J1074" s="93"/>
    </row>
    <row r="1075" spans="1:10" s="65" customFormat="1" ht="14" x14ac:dyDescent="0.35">
      <c r="A1075" s="145"/>
      <c r="B1075" s="93"/>
      <c r="C1075" s="93"/>
      <c r="D1075" s="93"/>
      <c r="E1075" s="95"/>
      <c r="F1075" s="95"/>
      <c r="G1075" s="95"/>
      <c r="H1075" s="93"/>
      <c r="I1075" s="93"/>
      <c r="J1075" s="93"/>
    </row>
    <row r="1076" spans="1:10" s="65" customFormat="1" ht="14" x14ac:dyDescent="0.35">
      <c r="A1076" s="145"/>
      <c r="B1076" s="93"/>
      <c r="C1076" s="93"/>
      <c r="D1076" s="93"/>
      <c r="E1076" s="95"/>
      <c r="F1076" s="95"/>
      <c r="G1076" s="95"/>
      <c r="H1076" s="93"/>
      <c r="I1076" s="93"/>
      <c r="J1076" s="93"/>
    </row>
    <row r="1077" spans="1:10" s="65" customFormat="1" ht="14" x14ac:dyDescent="0.35">
      <c r="A1077" s="145"/>
      <c r="B1077" s="93"/>
      <c r="C1077" s="93"/>
      <c r="D1077" s="93"/>
      <c r="E1077" s="95"/>
      <c r="F1077" s="95"/>
      <c r="G1077" s="95"/>
      <c r="H1077" s="93"/>
      <c r="I1077" s="93"/>
      <c r="J1077" s="93"/>
    </row>
    <row r="1078" spans="1:10" s="65" customFormat="1" ht="14" x14ac:dyDescent="0.35">
      <c r="A1078" s="145"/>
      <c r="B1078" s="93"/>
      <c r="C1078" s="93"/>
      <c r="D1078" s="93"/>
      <c r="E1078" s="95"/>
      <c r="F1078" s="95"/>
      <c r="G1078" s="95"/>
      <c r="H1078" s="93"/>
      <c r="I1078" s="93"/>
      <c r="J1078" s="93"/>
    </row>
    <row r="1079" spans="1:10" s="65" customFormat="1" ht="14" x14ac:dyDescent="0.35">
      <c r="A1079" s="145"/>
      <c r="B1079" s="93"/>
      <c r="C1079" s="93"/>
      <c r="D1079" s="93"/>
      <c r="E1079" s="95"/>
      <c r="F1079" s="95"/>
      <c r="G1079" s="95"/>
      <c r="H1079" s="93"/>
      <c r="I1079" s="93"/>
      <c r="J1079" s="93"/>
    </row>
    <row r="1080" spans="1:10" s="65" customFormat="1" ht="14" x14ac:dyDescent="0.35">
      <c r="A1080" s="145"/>
      <c r="B1080" s="93"/>
      <c r="C1080" s="93"/>
      <c r="D1080" s="93"/>
      <c r="E1080" s="95"/>
      <c r="F1080" s="95"/>
      <c r="G1080" s="95"/>
      <c r="H1080" s="93"/>
      <c r="I1080" s="93"/>
      <c r="J1080" s="93"/>
    </row>
    <row r="1081" spans="1:10" s="65" customFormat="1" ht="14" x14ac:dyDescent="0.35">
      <c r="A1081" s="145"/>
      <c r="B1081" s="93"/>
      <c r="C1081" s="93"/>
      <c r="D1081" s="93"/>
      <c r="E1081" s="95"/>
      <c r="F1081" s="95"/>
      <c r="G1081" s="95"/>
      <c r="H1081" s="93"/>
      <c r="I1081" s="93"/>
      <c r="J1081" s="93"/>
    </row>
    <row r="1082" spans="1:10" s="65" customFormat="1" ht="14" x14ac:dyDescent="0.35">
      <c r="A1082" s="145"/>
      <c r="B1082" s="93"/>
      <c r="C1082" s="93"/>
      <c r="D1082" s="93"/>
      <c r="E1082" s="95"/>
      <c r="F1082" s="95"/>
      <c r="G1082" s="95"/>
      <c r="H1082" s="93"/>
      <c r="I1082" s="93"/>
      <c r="J1082" s="93"/>
    </row>
    <row r="1083" spans="1:10" s="65" customFormat="1" ht="14" x14ac:dyDescent="0.35">
      <c r="A1083" s="145"/>
      <c r="B1083" s="93"/>
      <c r="C1083" s="93"/>
      <c r="D1083" s="93"/>
      <c r="E1083" s="95"/>
      <c r="F1083" s="95"/>
      <c r="G1083" s="95"/>
      <c r="H1083" s="93"/>
      <c r="I1083" s="93"/>
      <c r="J1083" s="93"/>
    </row>
    <row r="1084" spans="1:10" s="65" customFormat="1" ht="14" x14ac:dyDescent="0.35">
      <c r="A1084" s="145"/>
      <c r="B1084" s="93"/>
      <c r="C1084" s="93"/>
      <c r="D1084" s="93"/>
      <c r="E1084" s="95"/>
      <c r="F1084" s="95"/>
      <c r="G1084" s="95"/>
      <c r="H1084" s="93"/>
      <c r="I1084" s="93"/>
      <c r="J1084" s="93"/>
    </row>
    <row r="1085" spans="1:10" s="65" customFormat="1" ht="14" x14ac:dyDescent="0.35">
      <c r="A1085" s="145"/>
      <c r="B1085" s="93"/>
      <c r="C1085" s="93"/>
      <c r="D1085" s="93"/>
      <c r="E1085" s="95"/>
      <c r="F1085" s="95"/>
      <c r="G1085" s="95"/>
      <c r="H1085" s="93"/>
      <c r="I1085" s="93"/>
      <c r="J1085" s="93"/>
    </row>
    <row r="1086" spans="1:10" s="65" customFormat="1" ht="14" x14ac:dyDescent="0.35">
      <c r="A1086" s="145"/>
      <c r="B1086" s="93"/>
      <c r="C1086" s="93"/>
      <c r="D1086" s="93"/>
      <c r="E1086" s="95"/>
      <c r="F1086" s="95"/>
      <c r="G1086" s="95"/>
      <c r="H1086" s="93"/>
      <c r="I1086" s="93"/>
      <c r="J1086" s="93"/>
    </row>
    <row r="1087" spans="1:10" s="65" customFormat="1" ht="14" x14ac:dyDescent="0.35">
      <c r="A1087" s="145"/>
      <c r="B1087" s="93"/>
      <c r="C1087" s="93"/>
      <c r="D1087" s="93"/>
      <c r="E1087" s="95"/>
      <c r="F1087" s="95"/>
      <c r="G1087" s="95"/>
      <c r="H1087" s="93"/>
      <c r="I1087" s="93"/>
      <c r="J1087" s="93"/>
    </row>
    <row r="1088" spans="1:10" s="65" customFormat="1" ht="14" x14ac:dyDescent="0.35">
      <c r="A1088" s="145"/>
      <c r="B1088" s="93"/>
      <c r="C1088" s="93"/>
      <c r="D1088" s="93"/>
      <c r="E1088" s="95"/>
      <c r="F1088" s="95"/>
      <c r="G1088" s="95"/>
      <c r="H1088" s="93"/>
      <c r="I1088" s="93"/>
      <c r="J1088" s="93"/>
    </row>
    <row r="1089" spans="1:10" s="65" customFormat="1" ht="14" x14ac:dyDescent="0.35">
      <c r="A1089" s="145"/>
      <c r="B1089" s="93"/>
      <c r="C1089" s="93"/>
      <c r="D1089" s="93"/>
      <c r="E1089" s="95"/>
      <c r="F1089" s="95"/>
      <c r="G1089" s="95"/>
      <c r="H1089" s="93"/>
      <c r="I1089" s="93"/>
      <c r="J1089" s="93"/>
    </row>
    <row r="1090" spans="1:10" s="65" customFormat="1" ht="14" x14ac:dyDescent="0.35">
      <c r="A1090" s="145"/>
      <c r="B1090" s="93"/>
      <c r="C1090" s="93"/>
      <c r="D1090" s="93"/>
      <c r="E1090" s="95"/>
      <c r="F1090" s="95"/>
      <c r="G1090" s="95"/>
      <c r="H1090" s="93"/>
      <c r="I1090" s="93"/>
      <c r="J1090" s="93"/>
    </row>
    <row r="1091" spans="1:10" s="65" customFormat="1" ht="14" x14ac:dyDescent="0.35">
      <c r="A1091" s="145"/>
      <c r="B1091" s="93"/>
      <c r="C1091" s="93"/>
      <c r="D1091" s="93"/>
      <c r="E1091" s="95"/>
      <c r="F1091" s="95"/>
      <c r="G1091" s="95"/>
      <c r="H1091" s="93"/>
      <c r="I1091" s="93"/>
      <c r="J1091" s="93"/>
    </row>
    <row r="1092" spans="1:10" s="65" customFormat="1" ht="14" x14ac:dyDescent="0.35">
      <c r="A1092" s="145"/>
      <c r="B1092" s="93"/>
      <c r="C1092" s="93"/>
      <c r="D1092" s="93"/>
      <c r="E1092" s="95"/>
      <c r="F1092" s="95"/>
      <c r="G1092" s="95"/>
      <c r="H1092" s="93"/>
      <c r="I1092" s="93"/>
      <c r="J1092" s="93"/>
    </row>
    <row r="1093" spans="1:10" s="65" customFormat="1" ht="14" x14ac:dyDescent="0.35">
      <c r="A1093" s="145"/>
      <c r="B1093" s="93"/>
      <c r="C1093" s="93"/>
      <c r="D1093" s="93"/>
      <c r="E1093" s="95"/>
      <c r="F1093" s="95"/>
      <c r="G1093" s="95"/>
      <c r="H1093" s="93"/>
      <c r="I1093" s="93"/>
      <c r="J1093" s="93"/>
    </row>
    <row r="1094" spans="1:10" s="65" customFormat="1" ht="14" x14ac:dyDescent="0.35">
      <c r="A1094" s="145"/>
      <c r="B1094" s="93"/>
      <c r="C1094" s="93"/>
      <c r="D1094" s="93"/>
      <c r="E1094" s="95"/>
      <c r="F1094" s="95"/>
      <c r="G1094" s="95"/>
      <c r="H1094" s="93"/>
      <c r="I1094" s="93"/>
      <c r="J1094" s="93"/>
    </row>
    <row r="1095" spans="1:10" s="65" customFormat="1" ht="14" x14ac:dyDescent="0.35">
      <c r="A1095" s="145"/>
      <c r="B1095" s="93"/>
      <c r="C1095" s="93"/>
      <c r="D1095" s="93"/>
      <c r="E1095" s="95"/>
      <c r="F1095" s="95"/>
      <c r="G1095" s="95"/>
      <c r="H1095" s="93"/>
      <c r="I1095" s="93"/>
      <c r="J1095" s="93"/>
    </row>
    <row r="1096" spans="1:10" s="65" customFormat="1" ht="14" x14ac:dyDescent="0.35">
      <c r="A1096" s="145"/>
      <c r="B1096" s="93"/>
      <c r="C1096" s="93"/>
      <c r="D1096" s="93"/>
      <c r="E1096" s="95"/>
      <c r="F1096" s="95"/>
      <c r="G1096" s="95"/>
      <c r="H1096" s="93"/>
      <c r="I1096" s="93"/>
      <c r="J1096" s="93"/>
    </row>
    <row r="1097" spans="1:10" s="65" customFormat="1" ht="14" x14ac:dyDescent="0.35">
      <c r="A1097" s="145"/>
      <c r="B1097" s="93"/>
      <c r="C1097" s="93"/>
      <c r="D1097" s="93"/>
      <c r="E1097" s="95"/>
      <c r="F1097" s="95"/>
      <c r="G1097" s="95"/>
      <c r="H1097" s="93"/>
      <c r="I1097" s="93"/>
      <c r="J1097" s="93"/>
    </row>
    <row r="1098" spans="1:10" s="65" customFormat="1" ht="14" x14ac:dyDescent="0.35">
      <c r="A1098" s="145"/>
      <c r="B1098" s="93"/>
      <c r="C1098" s="93"/>
      <c r="D1098" s="93"/>
      <c r="E1098" s="95"/>
      <c r="F1098" s="95"/>
      <c r="G1098" s="95"/>
      <c r="H1098" s="93"/>
      <c r="I1098" s="93"/>
      <c r="J1098" s="93"/>
    </row>
    <row r="1099" spans="1:10" s="65" customFormat="1" ht="14" x14ac:dyDescent="0.35">
      <c r="A1099" s="145"/>
      <c r="B1099" s="93"/>
      <c r="C1099" s="93"/>
      <c r="D1099" s="93"/>
      <c r="E1099" s="95"/>
      <c r="F1099" s="95"/>
      <c r="G1099" s="95"/>
      <c r="H1099" s="93"/>
      <c r="I1099" s="93"/>
      <c r="J1099" s="93"/>
    </row>
    <row r="1100" spans="1:10" s="65" customFormat="1" ht="14" x14ac:dyDescent="0.35">
      <c r="A1100" s="145"/>
      <c r="B1100" s="93"/>
      <c r="C1100" s="93"/>
      <c r="D1100" s="93"/>
      <c r="E1100" s="95"/>
      <c r="F1100" s="95"/>
      <c r="G1100" s="95"/>
      <c r="H1100" s="93"/>
      <c r="I1100" s="93"/>
      <c r="J1100" s="93"/>
    </row>
    <row r="1101" spans="1:10" s="65" customFormat="1" ht="14" x14ac:dyDescent="0.35">
      <c r="A1101" s="145"/>
      <c r="B1101" s="93"/>
      <c r="C1101" s="93"/>
      <c r="D1101" s="93"/>
      <c r="E1101" s="95"/>
      <c r="F1101" s="95"/>
      <c r="G1101" s="95"/>
      <c r="H1101" s="93"/>
      <c r="I1101" s="93"/>
      <c r="J1101" s="93"/>
    </row>
    <row r="1102" spans="1:10" s="65" customFormat="1" ht="14" x14ac:dyDescent="0.35">
      <c r="A1102" s="145"/>
      <c r="B1102" s="93"/>
      <c r="C1102" s="93"/>
      <c r="D1102" s="93"/>
      <c r="E1102" s="95"/>
      <c r="F1102" s="95"/>
      <c r="G1102" s="95"/>
      <c r="H1102" s="93"/>
      <c r="I1102" s="93"/>
      <c r="J1102" s="93"/>
    </row>
    <row r="1103" spans="1:10" s="65" customFormat="1" ht="14" x14ac:dyDescent="0.35">
      <c r="A1103" s="145"/>
      <c r="B1103" s="93"/>
      <c r="C1103" s="93"/>
      <c r="D1103" s="93"/>
      <c r="E1103" s="95"/>
      <c r="F1103" s="95"/>
      <c r="G1103" s="95"/>
      <c r="H1103" s="93"/>
      <c r="I1103" s="93"/>
      <c r="J1103" s="93"/>
    </row>
    <row r="1104" spans="1:10" s="65" customFormat="1" ht="14" x14ac:dyDescent="0.35">
      <c r="A1104" s="145"/>
      <c r="B1104" s="93"/>
      <c r="C1104" s="93"/>
      <c r="D1104" s="93"/>
      <c r="E1104" s="95"/>
      <c r="F1104" s="95"/>
      <c r="G1104" s="95"/>
      <c r="H1104" s="93"/>
      <c r="I1104" s="93"/>
      <c r="J1104" s="93"/>
    </row>
    <row r="1105" spans="1:10" s="65" customFormat="1" ht="14" x14ac:dyDescent="0.35">
      <c r="A1105" s="145"/>
      <c r="B1105" s="93"/>
      <c r="C1105" s="93"/>
      <c r="D1105" s="93"/>
      <c r="E1105" s="95"/>
      <c r="F1105" s="95"/>
      <c r="G1105" s="95"/>
      <c r="H1105" s="93"/>
      <c r="I1105" s="93"/>
      <c r="J1105" s="93"/>
    </row>
    <row r="1106" spans="1:10" s="65" customFormat="1" ht="14" x14ac:dyDescent="0.35">
      <c r="A1106" s="145"/>
      <c r="B1106" s="93"/>
      <c r="C1106" s="93"/>
      <c r="D1106" s="93"/>
      <c r="E1106" s="95"/>
      <c r="F1106" s="95"/>
      <c r="G1106" s="95"/>
      <c r="H1106" s="93"/>
      <c r="I1106" s="93"/>
      <c r="J1106" s="93"/>
    </row>
    <row r="1107" spans="1:10" s="65" customFormat="1" ht="14" x14ac:dyDescent="0.35">
      <c r="A1107" s="145"/>
      <c r="B1107" s="93"/>
      <c r="C1107" s="93"/>
      <c r="D1107" s="93"/>
      <c r="E1107" s="95"/>
      <c r="F1107" s="95"/>
      <c r="G1107" s="95"/>
      <c r="H1107" s="93"/>
      <c r="I1107" s="93"/>
      <c r="J1107" s="93"/>
    </row>
    <row r="1108" spans="1:10" s="65" customFormat="1" ht="14" x14ac:dyDescent="0.35">
      <c r="A1108" s="145"/>
      <c r="B1108" s="93"/>
      <c r="C1108" s="93"/>
      <c r="D1108" s="93"/>
      <c r="E1108" s="95"/>
      <c r="F1108" s="95"/>
      <c r="G1108" s="95"/>
      <c r="H1108" s="93"/>
      <c r="I1108" s="93"/>
      <c r="J1108" s="93"/>
    </row>
    <row r="1109" spans="1:10" s="65" customFormat="1" ht="14" x14ac:dyDescent="0.35">
      <c r="A1109" s="145"/>
      <c r="B1109" s="93"/>
      <c r="C1109" s="93"/>
      <c r="D1109" s="93"/>
      <c r="E1109" s="95"/>
      <c r="F1109" s="95"/>
      <c r="G1109" s="95"/>
      <c r="H1109" s="93"/>
      <c r="I1109" s="93"/>
      <c r="J1109" s="93"/>
    </row>
    <row r="1110" spans="1:10" s="65" customFormat="1" ht="14" x14ac:dyDescent="0.35">
      <c r="A1110" s="145"/>
      <c r="B1110" s="93"/>
      <c r="C1110" s="93"/>
      <c r="D1110" s="93"/>
      <c r="E1110" s="95"/>
      <c r="F1110" s="95"/>
      <c r="G1110" s="95"/>
      <c r="H1110" s="93"/>
      <c r="I1110" s="93"/>
      <c r="J1110" s="93"/>
    </row>
    <row r="1111" spans="1:10" s="65" customFormat="1" ht="14" x14ac:dyDescent="0.35">
      <c r="A1111" s="145"/>
      <c r="B1111" s="93"/>
      <c r="C1111" s="93"/>
      <c r="D1111" s="93"/>
      <c r="E1111" s="95"/>
      <c r="F1111" s="95"/>
      <c r="G1111" s="95"/>
      <c r="H1111" s="93"/>
      <c r="I1111" s="93"/>
      <c r="J1111" s="93"/>
    </row>
    <row r="1112" spans="1:10" s="65" customFormat="1" ht="14" x14ac:dyDescent="0.35">
      <c r="A1112" s="145"/>
      <c r="B1112" s="93"/>
      <c r="C1112" s="93"/>
      <c r="D1112" s="93"/>
      <c r="E1112" s="95"/>
      <c r="F1112" s="95"/>
      <c r="G1112" s="95"/>
      <c r="H1112" s="93"/>
      <c r="I1112" s="93"/>
      <c r="J1112" s="93"/>
    </row>
    <row r="1113" spans="1:10" s="65" customFormat="1" ht="14" x14ac:dyDescent="0.35">
      <c r="A1113" s="145"/>
      <c r="B1113" s="93"/>
      <c r="C1113" s="93"/>
      <c r="D1113" s="93"/>
      <c r="E1113" s="95"/>
      <c r="F1113" s="95"/>
      <c r="G1113" s="95"/>
      <c r="H1113" s="93"/>
      <c r="I1113" s="93"/>
      <c r="J1113" s="93"/>
    </row>
    <row r="1114" spans="1:10" s="65" customFormat="1" ht="14" x14ac:dyDescent="0.35">
      <c r="A1114" s="145"/>
      <c r="B1114" s="93"/>
      <c r="C1114" s="93"/>
      <c r="D1114" s="93"/>
      <c r="E1114" s="95"/>
      <c r="F1114" s="95"/>
      <c r="G1114" s="95"/>
      <c r="H1114" s="93"/>
      <c r="I1114" s="93"/>
      <c r="J1114" s="93"/>
    </row>
    <row r="1115" spans="1:10" s="65" customFormat="1" ht="14" x14ac:dyDescent="0.35">
      <c r="A1115" s="145"/>
      <c r="B1115" s="93"/>
      <c r="C1115" s="93"/>
      <c r="D1115" s="93"/>
      <c r="E1115" s="95"/>
      <c r="F1115" s="95"/>
      <c r="G1115" s="95"/>
      <c r="H1115" s="93"/>
      <c r="I1115" s="93"/>
      <c r="J1115" s="93"/>
    </row>
    <row r="1116" spans="1:10" s="65" customFormat="1" ht="14" x14ac:dyDescent="0.35">
      <c r="A1116" s="145"/>
      <c r="B1116" s="93"/>
      <c r="C1116" s="93"/>
      <c r="D1116" s="93"/>
      <c r="E1116" s="95"/>
      <c r="F1116" s="95"/>
      <c r="G1116" s="95"/>
      <c r="H1116" s="93"/>
      <c r="I1116" s="93"/>
      <c r="J1116" s="93"/>
    </row>
    <row r="1117" spans="1:10" s="65" customFormat="1" ht="14" x14ac:dyDescent="0.35">
      <c r="A1117" s="145"/>
      <c r="B1117" s="93"/>
      <c r="C1117" s="93"/>
      <c r="D1117" s="93"/>
      <c r="E1117" s="95"/>
      <c r="F1117" s="95"/>
      <c r="G1117" s="95"/>
      <c r="H1117" s="93"/>
      <c r="I1117" s="93"/>
      <c r="J1117" s="93"/>
    </row>
    <row r="1118" spans="1:10" s="65" customFormat="1" ht="14" x14ac:dyDescent="0.35">
      <c r="A1118" s="145"/>
      <c r="B1118" s="93"/>
      <c r="C1118" s="93"/>
      <c r="D1118" s="93"/>
      <c r="E1118" s="95"/>
      <c r="F1118" s="95"/>
      <c r="G1118" s="95"/>
      <c r="H1118" s="93"/>
      <c r="I1118" s="93"/>
      <c r="J1118" s="93"/>
    </row>
    <row r="1119" spans="1:10" s="65" customFormat="1" ht="14" x14ac:dyDescent="0.35">
      <c r="A1119" s="145"/>
      <c r="B1119" s="93"/>
      <c r="C1119" s="93"/>
      <c r="D1119" s="93"/>
      <c r="E1119" s="95"/>
      <c r="F1119" s="95"/>
      <c r="G1119" s="95"/>
      <c r="H1119" s="93"/>
      <c r="I1119" s="93"/>
      <c r="J1119" s="93"/>
    </row>
    <row r="1120" spans="1:10" s="65" customFormat="1" ht="14" x14ac:dyDescent="0.35">
      <c r="A1120" s="145"/>
      <c r="B1120" s="93"/>
      <c r="C1120" s="93"/>
      <c r="D1120" s="93"/>
      <c r="E1120" s="95"/>
      <c r="F1120" s="95"/>
      <c r="G1120" s="95"/>
      <c r="H1120" s="93"/>
      <c r="I1120" s="93"/>
      <c r="J1120" s="93"/>
    </row>
    <row r="1121" spans="1:10" s="65" customFormat="1" ht="14" x14ac:dyDescent="0.35">
      <c r="A1121" s="145"/>
      <c r="B1121" s="93"/>
      <c r="C1121" s="93"/>
      <c r="D1121" s="93"/>
      <c r="E1121" s="95"/>
      <c r="F1121" s="95"/>
      <c r="G1121" s="95"/>
      <c r="H1121" s="93"/>
      <c r="I1121" s="93"/>
      <c r="J1121" s="93"/>
    </row>
    <row r="1122" spans="1:10" s="65" customFormat="1" ht="14" x14ac:dyDescent="0.35">
      <c r="A1122" s="145"/>
      <c r="B1122" s="93"/>
      <c r="C1122" s="93"/>
      <c r="D1122" s="93"/>
      <c r="E1122" s="95"/>
      <c r="F1122" s="95"/>
      <c r="G1122" s="95"/>
      <c r="H1122" s="93"/>
      <c r="I1122" s="93"/>
      <c r="J1122" s="93"/>
    </row>
    <row r="1123" spans="1:10" s="65" customFormat="1" ht="14" x14ac:dyDescent="0.35">
      <c r="A1123" s="145"/>
      <c r="B1123" s="93"/>
      <c r="C1123" s="93"/>
      <c r="D1123" s="93"/>
      <c r="E1123" s="95"/>
      <c r="F1123" s="95"/>
      <c r="G1123" s="95"/>
      <c r="H1123" s="93"/>
      <c r="I1123" s="93"/>
      <c r="J1123" s="93"/>
    </row>
    <row r="1124" spans="1:10" s="65" customFormat="1" ht="14" x14ac:dyDescent="0.35">
      <c r="A1124" s="145"/>
      <c r="B1124" s="93"/>
      <c r="C1124" s="93"/>
      <c r="D1124" s="93"/>
      <c r="E1124" s="95"/>
      <c r="F1124" s="95"/>
      <c r="G1124" s="95"/>
      <c r="H1124" s="93"/>
      <c r="I1124" s="93"/>
      <c r="J1124" s="93"/>
    </row>
    <row r="1125" spans="1:10" s="65" customFormat="1" ht="14" x14ac:dyDescent="0.35">
      <c r="A1125" s="145"/>
      <c r="B1125" s="93"/>
      <c r="C1125" s="93"/>
      <c r="D1125" s="93"/>
      <c r="E1125" s="95"/>
      <c r="F1125" s="95"/>
      <c r="G1125" s="95"/>
      <c r="H1125" s="93"/>
      <c r="I1125" s="93"/>
      <c r="J1125" s="93"/>
    </row>
    <row r="1126" spans="1:10" s="65" customFormat="1" ht="14" x14ac:dyDescent="0.35">
      <c r="A1126" s="145"/>
      <c r="B1126" s="93"/>
      <c r="C1126" s="93"/>
      <c r="D1126" s="93"/>
      <c r="E1126" s="95"/>
      <c r="F1126" s="95"/>
      <c r="G1126" s="95"/>
      <c r="H1126" s="93"/>
      <c r="I1126" s="93"/>
      <c r="J1126" s="93"/>
    </row>
    <row r="1127" spans="1:10" s="65" customFormat="1" ht="14" x14ac:dyDescent="0.35">
      <c r="A1127" s="145"/>
      <c r="B1127" s="93"/>
      <c r="C1127" s="93"/>
      <c r="D1127" s="93"/>
      <c r="E1127" s="95"/>
      <c r="F1127" s="95"/>
      <c r="G1127" s="95"/>
      <c r="H1127" s="93"/>
      <c r="I1127" s="93"/>
      <c r="J1127" s="93"/>
    </row>
    <row r="1128" spans="1:10" s="65" customFormat="1" ht="14" x14ac:dyDescent="0.35">
      <c r="A1128" s="145"/>
      <c r="B1128" s="93"/>
      <c r="C1128" s="93"/>
      <c r="D1128" s="93"/>
      <c r="E1128" s="95"/>
      <c r="F1128" s="95"/>
      <c r="G1128" s="95"/>
      <c r="H1128" s="93"/>
      <c r="I1128" s="93"/>
      <c r="J1128" s="93"/>
    </row>
    <row r="1129" spans="1:10" s="65" customFormat="1" ht="14" x14ac:dyDescent="0.35">
      <c r="A1129" s="145"/>
      <c r="B1129" s="93"/>
      <c r="C1129" s="93"/>
      <c r="D1129" s="93"/>
      <c r="E1129" s="95"/>
      <c r="F1129" s="95"/>
      <c r="G1129" s="95"/>
      <c r="H1129" s="93"/>
      <c r="I1129" s="93"/>
      <c r="J1129" s="93"/>
    </row>
    <row r="1130" spans="1:10" s="65" customFormat="1" ht="14" x14ac:dyDescent="0.35">
      <c r="A1130" s="145"/>
      <c r="B1130" s="93"/>
      <c r="C1130" s="93"/>
      <c r="D1130" s="93"/>
      <c r="E1130" s="95"/>
      <c r="F1130" s="95"/>
      <c r="G1130" s="95"/>
      <c r="H1130" s="93"/>
      <c r="I1130" s="93"/>
      <c r="J1130" s="93"/>
    </row>
    <row r="1131" spans="1:10" s="65" customFormat="1" ht="14" x14ac:dyDescent="0.35">
      <c r="A1131" s="145"/>
      <c r="B1131" s="93"/>
      <c r="C1131" s="93"/>
      <c r="D1131" s="93"/>
      <c r="E1131" s="95"/>
      <c r="F1131" s="95"/>
      <c r="G1131" s="95"/>
      <c r="H1131" s="93"/>
      <c r="I1131" s="93"/>
      <c r="J1131" s="93"/>
    </row>
    <row r="1132" spans="1:10" s="65" customFormat="1" ht="14" x14ac:dyDescent="0.35">
      <c r="A1132" s="145"/>
      <c r="B1132" s="93"/>
      <c r="C1132" s="93"/>
      <c r="D1132" s="93"/>
      <c r="E1132" s="95"/>
      <c r="F1132" s="95"/>
      <c r="G1132" s="95"/>
      <c r="H1132" s="93"/>
      <c r="I1132" s="93"/>
      <c r="J1132" s="93"/>
    </row>
    <row r="1133" spans="1:10" s="65" customFormat="1" ht="14" x14ac:dyDescent="0.35">
      <c r="A1133" s="145"/>
      <c r="B1133" s="93"/>
      <c r="C1133" s="93"/>
      <c r="D1133" s="93"/>
      <c r="E1133" s="95"/>
      <c r="F1133" s="95"/>
      <c r="G1133" s="95"/>
      <c r="H1133" s="93"/>
      <c r="I1133" s="93"/>
      <c r="J1133" s="93"/>
    </row>
    <row r="1134" spans="1:10" s="65" customFormat="1" ht="14" x14ac:dyDescent="0.35">
      <c r="A1134" s="145"/>
      <c r="B1134" s="93"/>
      <c r="C1134" s="93"/>
      <c r="D1134" s="93"/>
      <c r="E1134" s="95"/>
      <c r="F1134" s="95"/>
      <c r="G1134" s="95"/>
      <c r="H1134" s="93"/>
      <c r="I1134" s="93"/>
      <c r="J1134" s="93"/>
    </row>
    <row r="1135" spans="1:10" s="65" customFormat="1" ht="14" x14ac:dyDescent="0.35">
      <c r="A1135" s="145"/>
      <c r="B1135" s="93"/>
      <c r="C1135" s="93"/>
      <c r="D1135" s="93"/>
      <c r="E1135" s="95"/>
      <c r="F1135" s="95"/>
      <c r="G1135" s="95"/>
      <c r="H1135" s="93"/>
      <c r="I1135" s="93"/>
      <c r="J1135" s="93"/>
    </row>
    <row r="1136" spans="1:10" s="65" customFormat="1" ht="14" x14ac:dyDescent="0.35">
      <c r="A1136" s="145"/>
      <c r="B1136" s="93"/>
      <c r="C1136" s="93"/>
      <c r="D1136" s="93"/>
      <c r="E1136" s="95"/>
      <c r="F1136" s="95"/>
      <c r="G1136" s="95"/>
      <c r="H1136" s="93"/>
      <c r="I1136" s="93"/>
      <c r="J1136" s="93"/>
    </row>
    <row r="1137" spans="1:10" s="65" customFormat="1" ht="14" x14ac:dyDescent="0.35">
      <c r="A1137" s="145"/>
      <c r="B1137" s="93"/>
      <c r="C1137" s="93"/>
      <c r="D1137" s="93"/>
      <c r="E1137" s="95"/>
      <c r="F1137" s="95"/>
      <c r="G1137" s="95"/>
      <c r="H1137" s="93"/>
      <c r="I1137" s="93"/>
      <c r="J1137" s="93"/>
    </row>
    <row r="1138" spans="1:10" s="65" customFormat="1" ht="14" x14ac:dyDescent="0.35">
      <c r="A1138" s="145"/>
      <c r="B1138" s="93"/>
      <c r="C1138" s="93"/>
      <c r="D1138" s="93"/>
      <c r="E1138" s="95"/>
      <c r="F1138" s="95"/>
      <c r="G1138" s="95"/>
      <c r="H1138" s="93"/>
      <c r="I1138" s="93"/>
      <c r="J1138" s="93"/>
    </row>
    <row r="1139" spans="1:10" s="65" customFormat="1" ht="14" x14ac:dyDescent="0.35">
      <c r="A1139" s="145"/>
      <c r="B1139" s="93"/>
      <c r="C1139" s="93"/>
      <c r="D1139" s="93"/>
      <c r="E1139" s="95"/>
      <c r="F1139" s="95"/>
      <c r="G1139" s="95"/>
      <c r="H1139" s="93"/>
      <c r="I1139" s="93"/>
      <c r="J1139" s="93"/>
    </row>
    <row r="1140" spans="1:10" s="65" customFormat="1" ht="14" x14ac:dyDescent="0.35">
      <c r="A1140" s="145"/>
      <c r="B1140" s="93"/>
      <c r="C1140" s="93"/>
      <c r="D1140" s="93"/>
      <c r="E1140" s="95"/>
      <c r="F1140" s="95"/>
      <c r="G1140" s="95"/>
      <c r="H1140" s="93"/>
      <c r="I1140" s="93"/>
      <c r="J1140" s="93"/>
    </row>
    <row r="1141" spans="1:10" s="65" customFormat="1" ht="14" x14ac:dyDescent="0.35">
      <c r="A1141" s="145"/>
      <c r="B1141" s="93"/>
      <c r="C1141" s="93"/>
      <c r="D1141" s="93"/>
      <c r="E1141" s="95"/>
      <c r="F1141" s="95"/>
      <c r="G1141" s="95"/>
      <c r="H1141" s="93"/>
      <c r="I1141" s="93"/>
      <c r="J1141" s="93"/>
    </row>
    <row r="1142" spans="1:10" s="65" customFormat="1" ht="14" x14ac:dyDescent="0.35">
      <c r="A1142" s="145"/>
      <c r="B1142" s="93"/>
      <c r="C1142" s="93"/>
      <c r="D1142" s="93"/>
      <c r="E1142" s="95"/>
      <c r="F1142" s="95"/>
      <c r="G1142" s="95"/>
      <c r="H1142" s="93"/>
      <c r="I1142" s="93"/>
      <c r="J1142" s="93"/>
    </row>
    <row r="1143" spans="1:10" s="65" customFormat="1" ht="14" x14ac:dyDescent="0.35">
      <c r="A1143" s="145"/>
      <c r="B1143" s="93"/>
      <c r="C1143" s="93"/>
      <c r="D1143" s="93"/>
      <c r="E1143" s="95"/>
      <c r="F1143" s="95"/>
      <c r="G1143" s="95"/>
      <c r="H1143" s="93"/>
      <c r="I1143" s="93"/>
      <c r="J1143" s="93"/>
    </row>
    <row r="1144" spans="1:10" s="65" customFormat="1" ht="14" x14ac:dyDescent="0.35">
      <c r="A1144" s="145"/>
      <c r="B1144" s="93"/>
      <c r="C1144" s="93"/>
      <c r="D1144" s="93"/>
      <c r="E1144" s="95"/>
      <c r="F1144" s="95"/>
      <c r="G1144" s="95"/>
      <c r="H1144" s="93"/>
      <c r="I1144" s="93"/>
      <c r="J1144" s="93"/>
    </row>
    <row r="1145" spans="1:10" s="65" customFormat="1" ht="14" x14ac:dyDescent="0.35">
      <c r="A1145" s="145"/>
      <c r="B1145" s="93"/>
      <c r="C1145" s="93"/>
      <c r="D1145" s="93"/>
      <c r="E1145" s="95"/>
      <c r="F1145" s="95"/>
      <c r="G1145" s="95"/>
      <c r="H1145" s="93"/>
      <c r="I1145" s="93"/>
      <c r="J1145" s="93"/>
    </row>
    <row r="1146" spans="1:10" s="65" customFormat="1" ht="14" x14ac:dyDescent="0.35">
      <c r="A1146" s="145"/>
      <c r="B1146" s="93"/>
      <c r="C1146" s="93"/>
      <c r="D1146" s="93"/>
      <c r="E1146" s="95"/>
      <c r="F1146" s="95"/>
      <c r="G1146" s="95"/>
      <c r="H1146" s="93"/>
      <c r="I1146" s="93"/>
      <c r="J1146" s="93"/>
    </row>
    <row r="1147" spans="1:10" s="65" customFormat="1" ht="14" x14ac:dyDescent="0.35">
      <c r="A1147" s="145"/>
      <c r="B1147" s="93"/>
      <c r="C1147" s="93"/>
      <c r="D1147" s="93"/>
      <c r="E1147" s="95"/>
      <c r="F1147" s="95"/>
      <c r="G1147" s="95"/>
      <c r="H1147" s="93"/>
      <c r="I1147" s="93"/>
      <c r="J1147" s="93"/>
    </row>
    <row r="1148" spans="1:10" s="65" customFormat="1" ht="14" x14ac:dyDescent="0.35">
      <c r="A1148" s="145"/>
      <c r="B1148" s="93"/>
      <c r="C1148" s="93"/>
      <c r="D1148" s="93"/>
      <c r="E1148" s="95"/>
      <c r="F1148" s="95"/>
      <c r="G1148" s="95"/>
      <c r="H1148" s="93"/>
      <c r="I1148" s="93"/>
      <c r="J1148" s="93"/>
    </row>
    <row r="1149" spans="1:10" s="65" customFormat="1" ht="14" x14ac:dyDescent="0.35">
      <c r="A1149" s="145"/>
      <c r="B1149" s="93"/>
      <c r="C1149" s="93"/>
      <c r="D1149" s="93"/>
      <c r="E1149" s="95"/>
      <c r="F1149" s="95"/>
      <c r="G1149" s="95"/>
      <c r="H1149" s="93"/>
      <c r="I1149" s="93"/>
      <c r="J1149" s="93"/>
    </row>
    <row r="1150" spans="1:10" s="65" customFormat="1" ht="14" x14ac:dyDescent="0.35">
      <c r="A1150" s="145"/>
      <c r="B1150" s="93"/>
      <c r="C1150" s="93"/>
      <c r="D1150" s="93"/>
      <c r="E1150" s="95"/>
      <c r="F1150" s="95"/>
      <c r="G1150" s="95"/>
      <c r="H1150" s="93"/>
      <c r="I1150" s="93"/>
      <c r="J1150" s="93"/>
    </row>
    <row r="1151" spans="1:10" s="65" customFormat="1" ht="14" x14ac:dyDescent="0.35">
      <c r="A1151" s="145"/>
      <c r="B1151" s="93"/>
      <c r="C1151" s="93"/>
      <c r="D1151" s="93"/>
      <c r="E1151" s="95"/>
      <c r="F1151" s="95"/>
      <c r="G1151" s="95"/>
      <c r="H1151" s="93"/>
      <c r="I1151" s="93"/>
      <c r="J1151" s="93"/>
    </row>
    <row r="1152" spans="1:10" s="65" customFormat="1" ht="14" x14ac:dyDescent="0.35">
      <c r="A1152" s="145"/>
      <c r="B1152" s="93"/>
      <c r="C1152" s="93"/>
      <c r="D1152" s="93"/>
      <c r="E1152" s="95"/>
      <c r="F1152" s="95"/>
      <c r="G1152" s="95"/>
      <c r="H1152" s="93"/>
      <c r="I1152" s="93"/>
      <c r="J1152" s="93"/>
    </row>
    <row r="1153" spans="1:10" s="65" customFormat="1" ht="14" x14ac:dyDescent="0.35">
      <c r="A1153" s="145"/>
      <c r="B1153" s="93"/>
      <c r="C1153" s="93"/>
      <c r="D1153" s="93"/>
      <c r="E1153" s="95"/>
      <c r="F1153" s="95"/>
      <c r="G1153" s="95"/>
      <c r="H1153" s="93"/>
      <c r="I1153" s="93"/>
      <c r="J1153" s="93"/>
    </row>
    <row r="1154" spans="1:10" s="65" customFormat="1" ht="14" x14ac:dyDescent="0.35">
      <c r="A1154" s="145"/>
      <c r="B1154" s="93"/>
      <c r="C1154" s="93"/>
      <c r="D1154" s="93"/>
      <c r="E1154" s="95"/>
      <c r="F1154" s="95"/>
      <c r="G1154" s="95"/>
      <c r="H1154" s="93"/>
      <c r="I1154" s="93"/>
      <c r="J1154" s="93"/>
    </row>
    <row r="1155" spans="1:10" s="65" customFormat="1" ht="14" x14ac:dyDescent="0.35">
      <c r="A1155" s="145"/>
      <c r="B1155" s="93"/>
      <c r="C1155" s="93"/>
      <c r="D1155" s="93"/>
      <c r="E1155" s="95"/>
      <c r="F1155" s="95"/>
      <c r="G1155" s="95"/>
      <c r="H1155" s="93"/>
      <c r="I1155" s="93"/>
      <c r="J1155" s="93"/>
    </row>
    <row r="1156" spans="1:10" s="65" customFormat="1" ht="14" x14ac:dyDescent="0.35">
      <c r="A1156" s="145"/>
      <c r="B1156" s="93"/>
      <c r="C1156" s="93"/>
      <c r="D1156" s="93"/>
      <c r="E1156" s="95"/>
      <c r="F1156" s="95"/>
      <c r="G1156" s="95"/>
      <c r="H1156" s="93"/>
      <c r="I1156" s="93"/>
      <c r="J1156" s="93"/>
    </row>
    <row r="1157" spans="1:10" s="65" customFormat="1" ht="14" x14ac:dyDescent="0.35">
      <c r="A1157" s="145"/>
      <c r="B1157" s="93"/>
      <c r="C1157" s="93"/>
      <c r="D1157" s="93"/>
      <c r="E1157" s="95"/>
      <c r="F1157" s="95"/>
      <c r="G1157" s="95"/>
      <c r="H1157" s="93"/>
      <c r="I1157" s="93"/>
      <c r="J1157" s="93"/>
    </row>
    <row r="1158" spans="1:10" s="65" customFormat="1" ht="14" x14ac:dyDescent="0.35">
      <c r="A1158" s="145"/>
      <c r="B1158" s="93"/>
      <c r="C1158" s="93"/>
      <c r="D1158" s="93"/>
      <c r="E1158" s="95"/>
      <c r="F1158" s="95"/>
      <c r="G1158" s="95"/>
      <c r="H1158" s="93"/>
      <c r="I1158" s="93"/>
      <c r="J1158" s="93"/>
    </row>
    <row r="1159" spans="1:10" s="65" customFormat="1" ht="14" x14ac:dyDescent="0.35">
      <c r="A1159" s="145"/>
      <c r="B1159" s="93"/>
      <c r="C1159" s="93"/>
      <c r="D1159" s="93"/>
      <c r="E1159" s="95"/>
      <c r="F1159" s="95"/>
      <c r="G1159" s="95"/>
      <c r="H1159" s="93"/>
      <c r="I1159" s="93"/>
      <c r="J1159" s="93"/>
    </row>
    <row r="1160" spans="1:10" s="65" customFormat="1" ht="14" x14ac:dyDescent="0.35">
      <c r="A1160" s="145"/>
      <c r="B1160" s="93"/>
      <c r="C1160" s="93"/>
      <c r="D1160" s="93"/>
      <c r="E1160" s="95"/>
      <c r="F1160" s="95"/>
      <c r="G1160" s="95"/>
      <c r="H1160" s="93"/>
      <c r="I1160" s="93"/>
      <c r="J1160" s="93"/>
    </row>
    <row r="1161" spans="1:10" s="65" customFormat="1" ht="14" x14ac:dyDescent="0.35">
      <c r="A1161" s="145"/>
      <c r="B1161" s="93"/>
      <c r="C1161" s="93"/>
      <c r="D1161" s="93"/>
      <c r="E1161" s="95"/>
      <c r="F1161" s="95"/>
      <c r="G1161" s="95"/>
      <c r="H1161" s="93"/>
      <c r="I1161" s="93"/>
      <c r="J1161" s="93"/>
    </row>
    <row r="1162" spans="1:10" s="65" customFormat="1" ht="14" x14ac:dyDescent="0.35">
      <c r="A1162" s="145"/>
      <c r="B1162" s="93"/>
      <c r="C1162" s="93"/>
      <c r="D1162" s="93"/>
      <c r="E1162" s="95"/>
      <c r="F1162" s="95"/>
      <c r="G1162" s="95"/>
      <c r="H1162" s="93"/>
      <c r="I1162" s="93"/>
      <c r="J1162" s="93"/>
    </row>
    <row r="1163" spans="1:10" s="65" customFormat="1" ht="14" x14ac:dyDescent="0.35">
      <c r="A1163" s="145"/>
      <c r="B1163" s="93"/>
      <c r="C1163" s="93"/>
      <c r="D1163" s="93"/>
      <c r="E1163" s="95"/>
      <c r="F1163" s="95"/>
      <c r="G1163" s="95"/>
      <c r="H1163" s="93"/>
      <c r="I1163" s="93"/>
      <c r="J1163" s="93"/>
    </row>
    <row r="1164" spans="1:10" s="65" customFormat="1" ht="14" x14ac:dyDescent="0.35">
      <c r="A1164" s="145"/>
      <c r="B1164" s="93"/>
      <c r="C1164" s="93"/>
      <c r="D1164" s="93"/>
      <c r="E1164" s="95"/>
      <c r="F1164" s="95"/>
      <c r="G1164" s="95"/>
      <c r="H1164" s="93"/>
      <c r="I1164" s="93"/>
      <c r="J1164" s="93"/>
    </row>
    <row r="1165" spans="1:10" s="65" customFormat="1" ht="14" x14ac:dyDescent="0.35">
      <c r="A1165" s="145"/>
      <c r="B1165" s="93"/>
      <c r="C1165" s="93"/>
      <c r="D1165" s="93"/>
      <c r="E1165" s="95"/>
      <c r="F1165" s="95"/>
      <c r="G1165" s="95"/>
      <c r="H1165" s="93"/>
      <c r="I1165" s="93"/>
      <c r="J1165" s="93"/>
    </row>
    <row r="1166" spans="1:10" s="65" customFormat="1" ht="14" x14ac:dyDescent="0.35">
      <c r="A1166" s="145"/>
      <c r="B1166" s="93"/>
      <c r="C1166" s="93"/>
      <c r="D1166" s="93"/>
      <c r="E1166" s="95"/>
      <c r="F1166" s="95"/>
      <c r="G1166" s="95"/>
      <c r="H1166" s="93"/>
      <c r="I1166" s="93"/>
      <c r="J1166" s="93"/>
    </row>
    <row r="1167" spans="1:10" s="65" customFormat="1" ht="14" x14ac:dyDescent="0.35">
      <c r="A1167" s="145"/>
      <c r="B1167" s="93"/>
      <c r="C1167" s="93"/>
      <c r="D1167" s="93"/>
      <c r="E1167" s="95"/>
      <c r="F1167" s="95"/>
      <c r="G1167" s="95"/>
      <c r="H1167" s="93"/>
      <c r="I1167" s="93"/>
      <c r="J1167" s="93"/>
    </row>
    <row r="1168" spans="1:10" s="65" customFormat="1" ht="14" x14ac:dyDescent="0.35">
      <c r="A1168" s="145"/>
      <c r="B1168" s="93"/>
      <c r="C1168" s="93"/>
      <c r="D1168" s="93"/>
      <c r="E1168" s="95"/>
      <c r="F1168" s="95"/>
      <c r="G1168" s="95"/>
      <c r="H1168" s="93"/>
      <c r="I1168" s="93"/>
      <c r="J1168" s="93"/>
    </row>
    <row r="1169" spans="1:10" s="65" customFormat="1" ht="14" x14ac:dyDescent="0.35">
      <c r="A1169" s="145"/>
      <c r="B1169" s="93"/>
      <c r="C1169" s="93"/>
      <c r="D1169" s="93"/>
      <c r="E1169" s="95"/>
      <c r="F1169" s="95"/>
      <c r="G1169" s="95"/>
      <c r="H1169" s="93"/>
      <c r="I1169" s="93"/>
      <c r="J1169" s="93"/>
    </row>
    <row r="1170" spans="1:10" s="65" customFormat="1" ht="14" x14ac:dyDescent="0.35">
      <c r="A1170" s="145"/>
      <c r="B1170" s="93"/>
      <c r="C1170" s="93"/>
      <c r="D1170" s="93"/>
      <c r="E1170" s="95"/>
      <c r="F1170" s="95"/>
      <c r="G1170" s="95"/>
      <c r="H1170" s="93"/>
      <c r="I1170" s="93"/>
      <c r="J1170" s="93"/>
    </row>
    <row r="1171" spans="1:10" s="65" customFormat="1" ht="14" x14ac:dyDescent="0.35">
      <c r="A1171" s="145"/>
      <c r="B1171" s="93"/>
      <c r="C1171" s="93"/>
      <c r="D1171" s="93"/>
      <c r="E1171" s="95"/>
      <c r="F1171" s="95"/>
      <c r="G1171" s="95"/>
      <c r="H1171" s="93"/>
      <c r="I1171" s="93"/>
      <c r="J1171" s="93"/>
    </row>
    <row r="1172" spans="1:10" s="65" customFormat="1" ht="14" x14ac:dyDescent="0.35">
      <c r="A1172" s="145"/>
      <c r="B1172" s="93"/>
      <c r="C1172" s="93"/>
      <c r="D1172" s="93"/>
      <c r="E1172" s="95"/>
      <c r="F1172" s="95"/>
      <c r="G1172" s="95"/>
      <c r="H1172" s="93"/>
      <c r="I1172" s="93"/>
      <c r="J1172" s="93"/>
    </row>
    <row r="1173" spans="1:10" s="65" customFormat="1" ht="14" x14ac:dyDescent="0.35">
      <c r="A1173" s="145"/>
      <c r="B1173" s="93"/>
      <c r="C1173" s="93"/>
      <c r="D1173" s="93"/>
      <c r="E1173" s="95"/>
      <c r="F1173" s="95"/>
      <c r="G1173" s="95"/>
      <c r="H1173" s="93"/>
      <c r="I1173" s="93"/>
      <c r="J1173" s="93"/>
    </row>
    <row r="1174" spans="1:10" s="65" customFormat="1" ht="14" x14ac:dyDescent="0.35">
      <c r="A1174" s="145"/>
      <c r="B1174" s="93"/>
      <c r="C1174" s="93"/>
      <c r="D1174" s="93"/>
      <c r="E1174" s="95"/>
      <c r="F1174" s="95"/>
      <c r="G1174" s="95"/>
      <c r="H1174" s="93"/>
      <c r="I1174" s="93"/>
      <c r="J1174" s="93"/>
    </row>
    <row r="1175" spans="1:10" s="65" customFormat="1" ht="14" x14ac:dyDescent="0.35">
      <c r="A1175" s="145"/>
      <c r="B1175" s="93"/>
      <c r="C1175" s="93"/>
      <c r="D1175" s="93"/>
      <c r="E1175" s="95"/>
      <c r="F1175" s="95"/>
      <c r="G1175" s="95"/>
      <c r="H1175" s="93"/>
      <c r="I1175" s="93"/>
      <c r="J1175" s="93"/>
    </row>
    <row r="1176" spans="1:10" s="65" customFormat="1" ht="14" x14ac:dyDescent="0.35">
      <c r="A1176" s="145"/>
      <c r="B1176" s="93"/>
      <c r="C1176" s="93"/>
      <c r="D1176" s="93"/>
      <c r="E1176" s="95"/>
      <c r="F1176" s="95"/>
      <c r="G1176" s="95"/>
      <c r="H1176" s="93"/>
      <c r="I1176" s="93"/>
      <c r="J1176" s="93"/>
    </row>
    <row r="1177" spans="1:10" s="65" customFormat="1" ht="14" x14ac:dyDescent="0.35">
      <c r="A1177" s="145"/>
      <c r="B1177" s="93"/>
      <c r="C1177" s="93"/>
      <c r="D1177" s="93"/>
      <c r="E1177" s="95"/>
      <c r="F1177" s="95"/>
      <c r="G1177" s="95"/>
      <c r="H1177" s="93"/>
      <c r="I1177" s="93"/>
      <c r="J1177" s="93"/>
    </row>
    <row r="1178" spans="1:10" s="65" customFormat="1" ht="14" x14ac:dyDescent="0.35">
      <c r="A1178" s="145"/>
      <c r="B1178" s="93"/>
      <c r="C1178" s="93"/>
      <c r="D1178" s="93"/>
      <c r="E1178" s="95"/>
      <c r="F1178" s="95"/>
      <c r="G1178" s="95"/>
      <c r="H1178" s="93"/>
      <c r="I1178" s="93"/>
      <c r="J1178" s="93"/>
    </row>
    <row r="1179" spans="1:10" s="65" customFormat="1" ht="14" x14ac:dyDescent="0.35">
      <c r="A1179" s="145"/>
      <c r="B1179" s="93"/>
      <c r="C1179" s="93"/>
      <c r="D1179" s="93"/>
      <c r="E1179" s="95"/>
      <c r="F1179" s="95"/>
      <c r="G1179" s="95"/>
      <c r="H1179" s="93"/>
      <c r="I1179" s="93"/>
      <c r="J1179" s="93"/>
    </row>
    <row r="1180" spans="1:10" s="65" customFormat="1" ht="14" x14ac:dyDescent="0.35">
      <c r="A1180" s="145"/>
      <c r="B1180" s="93"/>
      <c r="C1180" s="93"/>
      <c r="D1180" s="93"/>
      <c r="E1180" s="95"/>
      <c r="F1180" s="95"/>
      <c r="G1180" s="95"/>
      <c r="H1180" s="93"/>
      <c r="I1180" s="93"/>
      <c r="J1180" s="93"/>
    </row>
    <row r="1181" spans="1:10" s="65" customFormat="1" ht="14" x14ac:dyDescent="0.35">
      <c r="A1181" s="145"/>
      <c r="B1181" s="93"/>
      <c r="C1181" s="93"/>
      <c r="D1181" s="93"/>
      <c r="E1181" s="95"/>
      <c r="F1181" s="95"/>
      <c r="G1181" s="95"/>
      <c r="H1181" s="93"/>
      <c r="I1181" s="93"/>
      <c r="J1181" s="93"/>
    </row>
    <row r="1182" spans="1:10" s="65" customFormat="1" ht="14" x14ac:dyDescent="0.35">
      <c r="A1182" s="145"/>
      <c r="B1182" s="93"/>
      <c r="C1182" s="93"/>
      <c r="D1182" s="93"/>
      <c r="E1182" s="95"/>
      <c r="F1182" s="95"/>
      <c r="G1182" s="95"/>
      <c r="H1182" s="93"/>
      <c r="I1182" s="93"/>
      <c r="J1182" s="93"/>
    </row>
    <row r="1183" spans="1:10" s="65" customFormat="1" ht="14" x14ac:dyDescent="0.35">
      <c r="A1183" s="145"/>
      <c r="B1183" s="93"/>
      <c r="C1183" s="93"/>
      <c r="D1183" s="93"/>
      <c r="E1183" s="95"/>
      <c r="F1183" s="95"/>
      <c r="G1183" s="95"/>
      <c r="H1183" s="93"/>
      <c r="I1183" s="93"/>
      <c r="J1183" s="93"/>
    </row>
    <row r="1184" spans="1:10" s="65" customFormat="1" ht="14" x14ac:dyDescent="0.35">
      <c r="A1184" s="145"/>
      <c r="B1184" s="93"/>
      <c r="C1184" s="93"/>
      <c r="D1184" s="93"/>
      <c r="E1184" s="95"/>
      <c r="F1184" s="95"/>
      <c r="G1184" s="95"/>
      <c r="H1184" s="93"/>
      <c r="I1184" s="93"/>
      <c r="J1184" s="93"/>
    </row>
    <row r="1185" spans="1:10" s="65" customFormat="1" ht="14" x14ac:dyDescent="0.35">
      <c r="A1185" s="145"/>
      <c r="B1185" s="93"/>
      <c r="C1185" s="93"/>
      <c r="D1185" s="93"/>
      <c r="E1185" s="95"/>
      <c r="F1185" s="95"/>
      <c r="G1185" s="95"/>
      <c r="H1185" s="93"/>
      <c r="I1185" s="93"/>
      <c r="J1185" s="93"/>
    </row>
    <row r="1186" spans="1:10" s="65" customFormat="1" ht="14" x14ac:dyDescent="0.35">
      <c r="A1186" s="145"/>
      <c r="B1186" s="93"/>
      <c r="C1186" s="93"/>
      <c r="D1186" s="93"/>
      <c r="E1186" s="95"/>
      <c r="F1186" s="95"/>
      <c r="G1186" s="95"/>
      <c r="H1186" s="93"/>
      <c r="I1186" s="93"/>
      <c r="J1186" s="93"/>
    </row>
    <row r="1187" spans="1:10" s="65" customFormat="1" ht="14" x14ac:dyDescent="0.35">
      <c r="A1187" s="145"/>
      <c r="B1187" s="93"/>
      <c r="C1187" s="93"/>
      <c r="D1187" s="93"/>
      <c r="E1187" s="95"/>
      <c r="F1187" s="95"/>
      <c r="G1187" s="95"/>
      <c r="H1187" s="93"/>
      <c r="I1187" s="93"/>
      <c r="J1187" s="93"/>
    </row>
    <row r="1188" spans="1:10" s="65" customFormat="1" ht="14" x14ac:dyDescent="0.35">
      <c r="A1188" s="145"/>
      <c r="B1188" s="93"/>
      <c r="C1188" s="93"/>
      <c r="D1188" s="93"/>
      <c r="E1188" s="95"/>
      <c r="F1188" s="95"/>
      <c r="G1188" s="95"/>
      <c r="H1188" s="93"/>
      <c r="I1188" s="93"/>
      <c r="J1188" s="93"/>
    </row>
    <row r="1189" spans="1:10" s="65" customFormat="1" ht="14" x14ac:dyDescent="0.35">
      <c r="A1189" s="145"/>
      <c r="B1189" s="93"/>
      <c r="C1189" s="93"/>
      <c r="D1189" s="93"/>
      <c r="E1189" s="95"/>
      <c r="F1189" s="95"/>
      <c r="G1189" s="95"/>
      <c r="H1189" s="93"/>
      <c r="I1189" s="93"/>
      <c r="J1189" s="93"/>
    </row>
    <row r="1190" spans="1:10" s="65" customFormat="1" ht="14" x14ac:dyDescent="0.35">
      <c r="A1190" s="145"/>
      <c r="B1190" s="93"/>
      <c r="C1190" s="93"/>
      <c r="D1190" s="93"/>
      <c r="E1190" s="95"/>
      <c r="F1190" s="95"/>
      <c r="G1190" s="95"/>
      <c r="H1190" s="93"/>
      <c r="I1190" s="93"/>
      <c r="J1190" s="93"/>
    </row>
    <row r="1191" spans="1:10" s="65" customFormat="1" ht="14" x14ac:dyDescent="0.35">
      <c r="A1191" s="145"/>
      <c r="B1191" s="93"/>
      <c r="C1191" s="93"/>
      <c r="D1191" s="93"/>
      <c r="E1191" s="95"/>
      <c r="F1191" s="95"/>
      <c r="G1191" s="95"/>
      <c r="H1191" s="93"/>
      <c r="I1191" s="93"/>
      <c r="J1191" s="93"/>
    </row>
    <row r="1192" spans="1:10" s="65" customFormat="1" ht="14" x14ac:dyDescent="0.35">
      <c r="A1192" s="145"/>
      <c r="B1192" s="93"/>
      <c r="C1192" s="93"/>
      <c r="D1192" s="93"/>
      <c r="E1192" s="95"/>
      <c r="F1192" s="95"/>
      <c r="G1192" s="95"/>
      <c r="H1192" s="93"/>
      <c r="I1192" s="93"/>
      <c r="J1192" s="93"/>
    </row>
    <row r="1193" spans="1:10" s="65" customFormat="1" ht="14" x14ac:dyDescent="0.35">
      <c r="A1193" s="145"/>
      <c r="B1193" s="93"/>
      <c r="C1193" s="93"/>
      <c r="D1193" s="93"/>
      <c r="E1193" s="95"/>
      <c r="F1193" s="95"/>
      <c r="G1193" s="95"/>
      <c r="H1193" s="93"/>
      <c r="I1193" s="93"/>
      <c r="J1193" s="93"/>
    </row>
    <row r="1194" spans="1:10" s="65" customFormat="1" ht="14" x14ac:dyDescent="0.35">
      <c r="A1194" s="145"/>
      <c r="B1194" s="93"/>
      <c r="C1194" s="93"/>
      <c r="D1194" s="93"/>
      <c r="E1194" s="95"/>
      <c r="F1194" s="95"/>
      <c r="G1194" s="95"/>
      <c r="H1194" s="93"/>
      <c r="I1194" s="93"/>
      <c r="J1194" s="93"/>
    </row>
    <row r="1195" spans="1:10" s="65" customFormat="1" ht="14" x14ac:dyDescent="0.35">
      <c r="A1195" s="145"/>
      <c r="B1195" s="93"/>
      <c r="C1195" s="93"/>
      <c r="D1195" s="93"/>
      <c r="E1195" s="95"/>
      <c r="F1195" s="95"/>
      <c r="G1195" s="95"/>
      <c r="H1195" s="93"/>
      <c r="I1195" s="93"/>
      <c r="J1195" s="93"/>
    </row>
    <row r="1196" spans="1:10" s="65" customFormat="1" ht="14" x14ac:dyDescent="0.35">
      <c r="A1196" s="145"/>
      <c r="B1196" s="93"/>
      <c r="C1196" s="93"/>
      <c r="D1196" s="93"/>
      <c r="E1196" s="95"/>
      <c r="F1196" s="95"/>
      <c r="G1196" s="95"/>
      <c r="H1196" s="93"/>
      <c r="I1196" s="93"/>
      <c r="J1196" s="93"/>
    </row>
    <row r="1197" spans="1:10" s="65" customFormat="1" ht="14" x14ac:dyDescent="0.35">
      <c r="A1197" s="145"/>
      <c r="B1197" s="93"/>
      <c r="C1197" s="93"/>
      <c r="D1197" s="93"/>
      <c r="E1197" s="95"/>
      <c r="F1197" s="95"/>
      <c r="G1197" s="95"/>
      <c r="H1197" s="93"/>
      <c r="I1197" s="93"/>
      <c r="J1197" s="93"/>
    </row>
    <row r="1198" spans="1:10" s="65" customFormat="1" ht="14" x14ac:dyDescent="0.35">
      <c r="A1198" s="145"/>
      <c r="B1198" s="93"/>
      <c r="C1198" s="93"/>
      <c r="D1198" s="93"/>
      <c r="E1198" s="95"/>
      <c r="F1198" s="95"/>
      <c r="G1198" s="95"/>
      <c r="H1198" s="93"/>
      <c r="I1198" s="93"/>
      <c r="J1198" s="93"/>
    </row>
    <row r="1199" spans="1:10" s="65" customFormat="1" ht="14" x14ac:dyDescent="0.35">
      <c r="A1199" s="145"/>
      <c r="B1199" s="93"/>
      <c r="C1199" s="93"/>
      <c r="D1199" s="93"/>
      <c r="E1199" s="95"/>
      <c r="F1199" s="95"/>
      <c r="G1199" s="95"/>
      <c r="H1199" s="93"/>
      <c r="I1199" s="93"/>
      <c r="J1199" s="93"/>
    </row>
    <row r="1200" spans="1:10" s="65" customFormat="1" ht="14" x14ac:dyDescent="0.35">
      <c r="A1200" s="145"/>
      <c r="B1200" s="93"/>
      <c r="C1200" s="93"/>
      <c r="D1200" s="93"/>
      <c r="E1200" s="95"/>
      <c r="F1200" s="95"/>
      <c r="G1200" s="95"/>
      <c r="H1200" s="93"/>
      <c r="I1200" s="93"/>
      <c r="J1200" s="93"/>
    </row>
    <row r="1201" spans="1:10" s="65" customFormat="1" ht="14" x14ac:dyDescent="0.35">
      <c r="A1201" s="145"/>
      <c r="B1201" s="93"/>
      <c r="C1201" s="93"/>
      <c r="D1201" s="93"/>
      <c r="E1201" s="95"/>
      <c r="F1201" s="95"/>
      <c r="G1201" s="95"/>
      <c r="H1201" s="93"/>
      <c r="I1201" s="93"/>
      <c r="J1201" s="93"/>
    </row>
    <row r="1202" spans="1:10" s="65" customFormat="1" ht="14" x14ac:dyDescent="0.35">
      <c r="A1202" s="145"/>
      <c r="B1202" s="93"/>
      <c r="C1202" s="93"/>
      <c r="D1202" s="93"/>
      <c r="E1202" s="95"/>
      <c r="F1202" s="95"/>
      <c r="G1202" s="95"/>
      <c r="H1202" s="93"/>
      <c r="I1202" s="93"/>
      <c r="J1202" s="93"/>
    </row>
    <row r="1203" spans="1:10" s="65" customFormat="1" ht="14" x14ac:dyDescent="0.35">
      <c r="A1203" s="145"/>
      <c r="B1203" s="93"/>
      <c r="C1203" s="93"/>
      <c r="D1203" s="93"/>
      <c r="E1203" s="95"/>
      <c r="F1203" s="95"/>
      <c r="G1203" s="95"/>
      <c r="H1203" s="93"/>
      <c r="I1203" s="93"/>
      <c r="J1203" s="93"/>
    </row>
    <row r="1204" spans="1:10" s="65" customFormat="1" ht="14" x14ac:dyDescent="0.35">
      <c r="A1204" s="145"/>
      <c r="B1204" s="93"/>
      <c r="C1204" s="93"/>
      <c r="D1204" s="93"/>
      <c r="E1204" s="95"/>
      <c r="F1204" s="95"/>
      <c r="G1204" s="95"/>
      <c r="H1204" s="93"/>
      <c r="I1204" s="93"/>
      <c r="J1204" s="93"/>
    </row>
    <row r="1205" spans="1:10" s="65" customFormat="1" ht="14" x14ac:dyDescent="0.35">
      <c r="A1205" s="145"/>
      <c r="B1205" s="93"/>
      <c r="C1205" s="93"/>
      <c r="D1205" s="93"/>
      <c r="E1205" s="95"/>
      <c r="F1205" s="95"/>
      <c r="G1205" s="95"/>
      <c r="H1205" s="93"/>
      <c r="I1205" s="93"/>
      <c r="J1205" s="93"/>
    </row>
    <row r="1206" spans="1:10" s="65" customFormat="1" ht="14" x14ac:dyDescent="0.35">
      <c r="A1206" s="145"/>
      <c r="B1206" s="93"/>
      <c r="C1206" s="93"/>
      <c r="D1206" s="93"/>
      <c r="E1206" s="95"/>
      <c r="F1206" s="95"/>
      <c r="G1206" s="95"/>
      <c r="H1206" s="93"/>
      <c r="I1206" s="93"/>
      <c r="J1206" s="93"/>
    </row>
    <row r="1207" spans="1:10" s="65" customFormat="1" ht="14" x14ac:dyDescent="0.35">
      <c r="A1207" s="145"/>
      <c r="B1207" s="93"/>
      <c r="C1207" s="93"/>
      <c r="D1207" s="93"/>
      <c r="E1207" s="95"/>
      <c r="F1207" s="95"/>
      <c r="G1207" s="95"/>
      <c r="H1207" s="93"/>
      <c r="I1207" s="93"/>
      <c r="J1207" s="93"/>
    </row>
    <row r="1208" spans="1:10" s="65" customFormat="1" ht="14" x14ac:dyDescent="0.35">
      <c r="A1208" s="145"/>
      <c r="B1208" s="93"/>
      <c r="C1208" s="93"/>
      <c r="D1208" s="93"/>
      <c r="E1208" s="95"/>
      <c r="F1208" s="95"/>
      <c r="G1208" s="95"/>
      <c r="H1208" s="93"/>
      <c r="I1208" s="93"/>
      <c r="J1208" s="93"/>
    </row>
    <row r="1209" spans="1:10" s="65" customFormat="1" ht="14" x14ac:dyDescent="0.35">
      <c r="A1209" s="145"/>
      <c r="B1209" s="93"/>
      <c r="C1209" s="93"/>
      <c r="D1209" s="93"/>
      <c r="E1209" s="95"/>
      <c r="F1209" s="95"/>
      <c r="G1209" s="95"/>
      <c r="H1209" s="93"/>
      <c r="I1209" s="93"/>
      <c r="J1209" s="93"/>
    </row>
    <row r="1210" spans="1:10" s="65" customFormat="1" ht="14" x14ac:dyDescent="0.35">
      <c r="A1210" s="145"/>
      <c r="B1210" s="93"/>
      <c r="C1210" s="93"/>
      <c r="D1210" s="93"/>
      <c r="E1210" s="95"/>
      <c r="F1210" s="95"/>
      <c r="G1210" s="95"/>
      <c r="H1210" s="93"/>
      <c r="I1210" s="93"/>
      <c r="J1210" s="93"/>
    </row>
    <row r="1211" spans="1:10" s="65" customFormat="1" ht="14" x14ac:dyDescent="0.35">
      <c r="A1211" s="145"/>
      <c r="B1211" s="93"/>
      <c r="C1211" s="93"/>
      <c r="D1211" s="93"/>
      <c r="E1211" s="95"/>
      <c r="F1211" s="95"/>
      <c r="G1211" s="95"/>
      <c r="H1211" s="93"/>
      <c r="I1211" s="93"/>
      <c r="J1211" s="93"/>
    </row>
    <row r="1212" spans="1:10" s="65" customFormat="1" ht="14" x14ac:dyDescent="0.35">
      <c r="A1212" s="145"/>
      <c r="B1212" s="93"/>
      <c r="C1212" s="93"/>
      <c r="D1212" s="93"/>
      <c r="E1212" s="95"/>
      <c r="F1212" s="95"/>
      <c r="G1212" s="95"/>
      <c r="H1212" s="93"/>
      <c r="I1212" s="93"/>
      <c r="J1212" s="93"/>
    </row>
    <row r="1213" spans="1:10" s="65" customFormat="1" ht="14" x14ac:dyDescent="0.35">
      <c r="A1213" s="145"/>
      <c r="B1213" s="93"/>
      <c r="C1213" s="93"/>
      <c r="D1213" s="93"/>
      <c r="E1213" s="95"/>
      <c r="F1213" s="95"/>
      <c r="G1213" s="95"/>
      <c r="H1213" s="93"/>
      <c r="I1213" s="93"/>
      <c r="J1213" s="93"/>
    </row>
    <row r="1214" spans="1:10" s="65" customFormat="1" ht="14" x14ac:dyDescent="0.35">
      <c r="A1214" s="145"/>
      <c r="B1214" s="93"/>
      <c r="C1214" s="93"/>
      <c r="D1214" s="93"/>
      <c r="E1214" s="95"/>
      <c r="F1214" s="95"/>
      <c r="G1214" s="95"/>
      <c r="H1214" s="93"/>
      <c r="I1214" s="93"/>
      <c r="J1214" s="93"/>
    </row>
    <row r="1215" spans="1:10" s="65" customFormat="1" ht="14" x14ac:dyDescent="0.35">
      <c r="A1215" s="145"/>
      <c r="B1215" s="93"/>
      <c r="C1215" s="93"/>
      <c r="D1215" s="93"/>
      <c r="E1215" s="95"/>
      <c r="F1215" s="95"/>
      <c r="G1215" s="95"/>
      <c r="H1215" s="93"/>
      <c r="I1215" s="93"/>
      <c r="J1215" s="93"/>
    </row>
    <row r="1216" spans="1:10" s="65" customFormat="1" ht="14" x14ac:dyDescent="0.35">
      <c r="A1216" s="145"/>
      <c r="B1216" s="93"/>
      <c r="C1216" s="93"/>
      <c r="D1216" s="93"/>
      <c r="E1216" s="95"/>
      <c r="F1216" s="95"/>
      <c r="G1216" s="95"/>
      <c r="H1216" s="93"/>
      <c r="I1216" s="93"/>
      <c r="J1216" s="93"/>
    </row>
    <row r="1217" spans="1:10" s="65" customFormat="1" ht="14" x14ac:dyDescent="0.35">
      <c r="A1217" s="145"/>
      <c r="B1217" s="93"/>
      <c r="C1217" s="93"/>
      <c r="D1217" s="93"/>
      <c r="E1217" s="95"/>
      <c r="F1217" s="95"/>
      <c r="G1217" s="95"/>
      <c r="H1217" s="93"/>
      <c r="I1217" s="93"/>
      <c r="J1217" s="93"/>
    </row>
    <row r="1218" spans="1:10" s="65" customFormat="1" ht="14" x14ac:dyDescent="0.35">
      <c r="A1218" s="145"/>
      <c r="B1218" s="93"/>
      <c r="C1218" s="93"/>
      <c r="D1218" s="93"/>
      <c r="E1218" s="95"/>
      <c r="F1218" s="95"/>
      <c r="G1218" s="95"/>
      <c r="H1218" s="93"/>
      <c r="I1218" s="93"/>
      <c r="J1218" s="93"/>
    </row>
    <row r="1219" spans="1:10" s="65" customFormat="1" ht="14" x14ac:dyDescent="0.35">
      <c r="A1219" s="145"/>
      <c r="B1219" s="93"/>
      <c r="C1219" s="93"/>
      <c r="D1219" s="93"/>
      <c r="E1219" s="95"/>
      <c r="F1219" s="95"/>
      <c r="G1219" s="95"/>
      <c r="H1219" s="93"/>
      <c r="I1219" s="93"/>
      <c r="J1219" s="93"/>
    </row>
    <row r="1220" spans="1:10" s="65" customFormat="1" ht="14" x14ac:dyDescent="0.35">
      <c r="A1220" s="145"/>
      <c r="B1220" s="93"/>
      <c r="C1220" s="93"/>
      <c r="D1220" s="93"/>
      <c r="E1220" s="95"/>
      <c r="F1220" s="95"/>
      <c r="G1220" s="95"/>
      <c r="H1220" s="93"/>
      <c r="I1220" s="93"/>
      <c r="J1220" s="93"/>
    </row>
    <row r="1221" spans="1:10" s="65" customFormat="1" ht="14" x14ac:dyDescent="0.35">
      <c r="A1221" s="145"/>
      <c r="B1221" s="93"/>
      <c r="C1221" s="93"/>
      <c r="D1221" s="93"/>
      <c r="E1221" s="95"/>
      <c r="F1221" s="95"/>
      <c r="G1221" s="95"/>
      <c r="H1221" s="93"/>
      <c r="I1221" s="93"/>
      <c r="J1221" s="93"/>
    </row>
    <row r="1222" spans="1:10" s="65" customFormat="1" ht="14" x14ac:dyDescent="0.35">
      <c r="A1222" s="145"/>
      <c r="B1222" s="93"/>
      <c r="C1222" s="93"/>
      <c r="D1222" s="93"/>
      <c r="E1222" s="95"/>
      <c r="F1222" s="95"/>
      <c r="G1222" s="95"/>
      <c r="H1222" s="93"/>
      <c r="I1222" s="93"/>
      <c r="J1222" s="93"/>
    </row>
    <row r="1223" spans="1:10" s="65" customFormat="1" ht="14" x14ac:dyDescent="0.35">
      <c r="A1223" s="145"/>
      <c r="B1223" s="93"/>
      <c r="C1223" s="93"/>
      <c r="D1223" s="93"/>
      <c r="E1223" s="95"/>
      <c r="F1223" s="95"/>
      <c r="G1223" s="95"/>
      <c r="H1223" s="93"/>
      <c r="I1223" s="93"/>
      <c r="J1223" s="93"/>
    </row>
    <row r="1224" spans="1:10" s="65" customFormat="1" ht="14" x14ac:dyDescent="0.35">
      <c r="A1224" s="145"/>
      <c r="B1224" s="93"/>
      <c r="C1224" s="93"/>
      <c r="D1224" s="93"/>
      <c r="E1224" s="95"/>
      <c r="F1224" s="95"/>
      <c r="G1224" s="95"/>
      <c r="H1224" s="93"/>
      <c r="I1224" s="93"/>
      <c r="J1224" s="93"/>
    </row>
    <row r="1225" spans="1:10" s="65" customFormat="1" ht="14" x14ac:dyDescent="0.35">
      <c r="A1225" s="145"/>
      <c r="B1225" s="93"/>
      <c r="C1225" s="93"/>
      <c r="D1225" s="93"/>
      <c r="E1225" s="95"/>
      <c r="F1225" s="95"/>
      <c r="G1225" s="95"/>
      <c r="H1225" s="93"/>
      <c r="I1225" s="93"/>
      <c r="J1225" s="93"/>
    </row>
    <row r="1226" spans="1:10" s="65" customFormat="1" ht="14" x14ac:dyDescent="0.35">
      <c r="A1226" s="145"/>
      <c r="B1226" s="93"/>
      <c r="C1226" s="93"/>
      <c r="D1226" s="93"/>
      <c r="E1226" s="95"/>
      <c r="F1226" s="95"/>
      <c r="G1226" s="95"/>
      <c r="H1226" s="93"/>
      <c r="I1226" s="93"/>
      <c r="J1226" s="93"/>
    </row>
    <row r="1227" spans="1:10" s="65" customFormat="1" ht="14" x14ac:dyDescent="0.35">
      <c r="A1227" s="145"/>
      <c r="B1227" s="93"/>
      <c r="C1227" s="93"/>
      <c r="D1227" s="93"/>
      <c r="E1227" s="95"/>
      <c r="F1227" s="95"/>
      <c r="G1227" s="95"/>
      <c r="H1227" s="93"/>
      <c r="I1227" s="93"/>
      <c r="J1227" s="93"/>
    </row>
    <row r="1228" spans="1:10" s="65" customFormat="1" ht="14" x14ac:dyDescent="0.35">
      <c r="A1228" s="145"/>
      <c r="B1228" s="93"/>
      <c r="C1228" s="93"/>
      <c r="D1228" s="93"/>
      <c r="E1228" s="95"/>
      <c r="F1228" s="95"/>
      <c r="G1228" s="95"/>
      <c r="H1228" s="93"/>
      <c r="I1228" s="93"/>
      <c r="J1228" s="93"/>
    </row>
    <row r="1229" spans="1:10" s="65" customFormat="1" ht="14" x14ac:dyDescent="0.35">
      <c r="A1229" s="145"/>
      <c r="B1229" s="93"/>
      <c r="C1229" s="93"/>
      <c r="D1229" s="93"/>
      <c r="E1229" s="95"/>
      <c r="F1229" s="95"/>
      <c r="G1229" s="95"/>
      <c r="H1229" s="93"/>
      <c r="I1229" s="93"/>
      <c r="J1229" s="93"/>
    </row>
    <row r="1230" spans="1:10" s="65" customFormat="1" ht="14" x14ac:dyDescent="0.35">
      <c r="A1230" s="145"/>
      <c r="B1230" s="93"/>
      <c r="C1230" s="93"/>
      <c r="D1230" s="93"/>
      <c r="E1230" s="95"/>
      <c r="F1230" s="95"/>
      <c r="G1230" s="95"/>
      <c r="H1230" s="93"/>
      <c r="I1230" s="93"/>
      <c r="J1230" s="93"/>
    </row>
    <row r="1231" spans="1:10" s="65" customFormat="1" ht="14" x14ac:dyDescent="0.35">
      <c r="A1231" s="145"/>
      <c r="B1231" s="93"/>
      <c r="C1231" s="93"/>
      <c r="D1231" s="93"/>
      <c r="E1231" s="95"/>
      <c r="F1231" s="95"/>
      <c r="G1231" s="95"/>
      <c r="H1231" s="93"/>
      <c r="I1231" s="93"/>
      <c r="J1231" s="93"/>
    </row>
    <row r="1232" spans="1:10" s="65" customFormat="1" ht="14" x14ac:dyDescent="0.35">
      <c r="A1232" s="145"/>
      <c r="B1232" s="93"/>
      <c r="C1232" s="93"/>
      <c r="D1232" s="93"/>
      <c r="E1232" s="95"/>
      <c r="F1232" s="95"/>
      <c r="G1232" s="95"/>
      <c r="H1232" s="93"/>
      <c r="I1232" s="93"/>
      <c r="J1232" s="93"/>
    </row>
    <row r="1233" spans="1:10" s="65" customFormat="1" ht="14" x14ac:dyDescent="0.35">
      <c r="A1233" s="145"/>
      <c r="B1233" s="93"/>
      <c r="C1233" s="93"/>
      <c r="D1233" s="93"/>
      <c r="E1233" s="95"/>
      <c r="F1233" s="95"/>
      <c r="G1233" s="95"/>
      <c r="H1233" s="93"/>
      <c r="I1233" s="93"/>
      <c r="J1233" s="93"/>
    </row>
    <row r="1234" spans="1:10" s="65" customFormat="1" ht="14" x14ac:dyDescent="0.35">
      <c r="A1234" s="145"/>
      <c r="B1234" s="93"/>
      <c r="C1234" s="93"/>
      <c r="D1234" s="93"/>
      <c r="E1234" s="95"/>
      <c r="F1234" s="95"/>
      <c r="G1234" s="95"/>
      <c r="H1234" s="93"/>
      <c r="I1234" s="93"/>
      <c r="J1234" s="93"/>
    </row>
    <row r="1235" spans="1:10" s="65" customFormat="1" ht="14" x14ac:dyDescent="0.35">
      <c r="A1235" s="145"/>
      <c r="B1235" s="93"/>
      <c r="C1235" s="93"/>
      <c r="D1235" s="93"/>
      <c r="E1235" s="95"/>
      <c r="F1235" s="95"/>
      <c r="G1235" s="95"/>
      <c r="H1235" s="93"/>
      <c r="I1235" s="93"/>
      <c r="J1235" s="93"/>
    </row>
    <row r="1236" spans="1:10" s="65" customFormat="1" ht="14" x14ac:dyDescent="0.35">
      <c r="A1236" s="145"/>
      <c r="B1236" s="93"/>
      <c r="C1236" s="93"/>
      <c r="D1236" s="93"/>
      <c r="E1236" s="95"/>
      <c r="F1236" s="95"/>
      <c r="G1236" s="95"/>
      <c r="H1236" s="93"/>
      <c r="I1236" s="93"/>
      <c r="J1236" s="93"/>
    </row>
    <row r="1237" spans="1:10" s="65" customFormat="1" ht="14" x14ac:dyDescent="0.35">
      <c r="A1237" s="145"/>
      <c r="B1237" s="93"/>
      <c r="C1237" s="93"/>
      <c r="D1237" s="93"/>
      <c r="E1237" s="95"/>
      <c r="F1237" s="95"/>
      <c r="G1237" s="95"/>
      <c r="H1237" s="93"/>
      <c r="I1237" s="93"/>
      <c r="J1237" s="93"/>
    </row>
    <row r="1238" spans="1:10" s="65" customFormat="1" ht="14" x14ac:dyDescent="0.35">
      <c r="A1238" s="145"/>
      <c r="B1238" s="93"/>
      <c r="C1238" s="93"/>
      <c r="D1238" s="93"/>
      <c r="E1238" s="95"/>
      <c r="F1238" s="95"/>
      <c r="G1238" s="95"/>
      <c r="H1238" s="93"/>
      <c r="I1238" s="93"/>
      <c r="J1238" s="93"/>
    </row>
    <row r="1239" spans="1:10" s="65" customFormat="1" ht="14" x14ac:dyDescent="0.35">
      <c r="A1239" s="145"/>
      <c r="B1239" s="93"/>
      <c r="C1239" s="93"/>
      <c r="D1239" s="93"/>
      <c r="E1239" s="95"/>
      <c r="F1239" s="95"/>
      <c r="G1239" s="95"/>
      <c r="H1239" s="93"/>
      <c r="I1239" s="93"/>
      <c r="J1239" s="93"/>
    </row>
    <row r="1240" spans="1:10" s="65" customFormat="1" ht="14" x14ac:dyDescent="0.35">
      <c r="A1240" s="145"/>
      <c r="B1240" s="93"/>
      <c r="C1240" s="93"/>
      <c r="D1240" s="93"/>
      <c r="E1240" s="95"/>
      <c r="F1240" s="95"/>
      <c r="G1240" s="95"/>
      <c r="H1240" s="93"/>
      <c r="I1240" s="93"/>
      <c r="J1240" s="93"/>
    </row>
    <row r="1241" spans="1:10" s="65" customFormat="1" ht="14" x14ac:dyDescent="0.35">
      <c r="A1241" s="145"/>
      <c r="B1241" s="93"/>
      <c r="C1241" s="93"/>
      <c r="D1241" s="93"/>
      <c r="E1241" s="95"/>
      <c r="F1241" s="95"/>
      <c r="G1241" s="95"/>
      <c r="H1241" s="93"/>
      <c r="I1241" s="93"/>
      <c r="J1241" s="93"/>
    </row>
    <row r="1242" spans="1:10" s="65" customFormat="1" ht="14" x14ac:dyDescent="0.35">
      <c r="A1242" s="145"/>
      <c r="B1242" s="93"/>
      <c r="C1242" s="93"/>
      <c r="D1242" s="93"/>
      <c r="E1242" s="95"/>
      <c r="F1242" s="95"/>
      <c r="G1242" s="95"/>
      <c r="H1242" s="93"/>
      <c r="I1242" s="93"/>
      <c r="J1242" s="93"/>
    </row>
    <row r="1243" spans="1:10" s="65" customFormat="1" ht="14" x14ac:dyDescent="0.35">
      <c r="A1243" s="145"/>
      <c r="B1243" s="93"/>
      <c r="C1243" s="93"/>
      <c r="D1243" s="93"/>
      <c r="E1243" s="95"/>
      <c r="F1243" s="95"/>
      <c r="G1243" s="95"/>
      <c r="H1243" s="93"/>
      <c r="I1243" s="93"/>
      <c r="J1243" s="93"/>
    </row>
    <row r="1244" spans="1:10" s="65" customFormat="1" ht="14" x14ac:dyDescent="0.35">
      <c r="A1244" s="145"/>
      <c r="B1244" s="93"/>
      <c r="C1244" s="93"/>
      <c r="D1244" s="93"/>
      <c r="E1244" s="95"/>
      <c r="F1244" s="95"/>
      <c r="G1244" s="95"/>
      <c r="H1244" s="93"/>
      <c r="I1244" s="93"/>
      <c r="J1244" s="93"/>
    </row>
    <row r="1245" spans="1:10" s="65" customFormat="1" ht="14" x14ac:dyDescent="0.35">
      <c r="A1245" s="145"/>
      <c r="B1245" s="93"/>
      <c r="C1245" s="93"/>
      <c r="D1245" s="93"/>
      <c r="E1245" s="95"/>
      <c r="F1245" s="95"/>
      <c r="G1245" s="95"/>
      <c r="H1245" s="93"/>
      <c r="I1245" s="93"/>
      <c r="J1245" s="93"/>
    </row>
    <row r="1246" spans="1:10" s="65" customFormat="1" ht="14" x14ac:dyDescent="0.35">
      <c r="A1246" s="145"/>
      <c r="B1246" s="93"/>
      <c r="C1246" s="93"/>
      <c r="D1246" s="93"/>
      <c r="E1246" s="95"/>
      <c r="F1246" s="95"/>
      <c r="G1246" s="95"/>
      <c r="H1246" s="93"/>
      <c r="I1246" s="93"/>
      <c r="J1246" s="93"/>
    </row>
    <row r="1247" spans="1:10" s="65" customFormat="1" ht="14" x14ac:dyDescent="0.35">
      <c r="A1247" s="145"/>
      <c r="B1247" s="93"/>
      <c r="C1247" s="93"/>
      <c r="D1247" s="93"/>
      <c r="E1247" s="95"/>
      <c r="F1247" s="95"/>
      <c r="G1247" s="95"/>
      <c r="H1247" s="93"/>
      <c r="I1247" s="93"/>
      <c r="J1247" s="93"/>
    </row>
    <row r="1248" spans="1:10" s="65" customFormat="1" ht="14" x14ac:dyDescent="0.35">
      <c r="A1248" s="145"/>
      <c r="B1248" s="93"/>
      <c r="C1248" s="93"/>
      <c r="D1248" s="93"/>
      <c r="E1248" s="95"/>
      <c r="F1248" s="95"/>
      <c r="G1248" s="95"/>
      <c r="H1248" s="93"/>
      <c r="I1248" s="93"/>
      <c r="J1248" s="93"/>
    </row>
    <row r="1249" spans="1:10" s="65" customFormat="1" ht="14" x14ac:dyDescent="0.35">
      <c r="A1249" s="145"/>
      <c r="B1249" s="93"/>
      <c r="C1249" s="93"/>
      <c r="D1249" s="93"/>
      <c r="E1249" s="95"/>
      <c r="F1249" s="95"/>
      <c r="G1249" s="95"/>
      <c r="H1249" s="93"/>
      <c r="I1249" s="93"/>
      <c r="J1249" s="93"/>
    </row>
    <row r="1250" spans="1:10" s="65" customFormat="1" ht="14" x14ac:dyDescent="0.35">
      <c r="A1250" s="145"/>
      <c r="B1250" s="93"/>
      <c r="C1250" s="93"/>
      <c r="D1250" s="93"/>
      <c r="E1250" s="95"/>
      <c r="F1250" s="95"/>
      <c r="G1250" s="95"/>
      <c r="H1250" s="93"/>
      <c r="I1250" s="93"/>
      <c r="J1250" s="93"/>
    </row>
    <row r="1251" spans="1:10" s="65" customFormat="1" ht="14" x14ac:dyDescent="0.35">
      <c r="A1251" s="145"/>
      <c r="B1251" s="93"/>
      <c r="C1251" s="93"/>
      <c r="D1251" s="93"/>
      <c r="E1251" s="95"/>
      <c r="F1251" s="95"/>
      <c r="G1251" s="95"/>
      <c r="H1251" s="93"/>
      <c r="I1251" s="93"/>
      <c r="J1251" s="93"/>
    </row>
    <row r="1252" spans="1:10" s="65" customFormat="1" ht="14" x14ac:dyDescent="0.35">
      <c r="A1252" s="145"/>
      <c r="B1252" s="93"/>
      <c r="C1252" s="93"/>
      <c r="D1252" s="93"/>
      <c r="E1252" s="95"/>
      <c r="F1252" s="95"/>
      <c r="G1252" s="95"/>
      <c r="H1252" s="93"/>
      <c r="I1252" s="93"/>
      <c r="J1252" s="93"/>
    </row>
    <row r="1253" spans="1:10" s="65" customFormat="1" ht="14" x14ac:dyDescent="0.35">
      <c r="A1253" s="145"/>
      <c r="B1253" s="93"/>
      <c r="C1253" s="93"/>
      <c r="D1253" s="93"/>
      <c r="E1253" s="95"/>
      <c r="F1253" s="95"/>
      <c r="G1253" s="95"/>
      <c r="H1253" s="93"/>
      <c r="I1253" s="93"/>
      <c r="J1253" s="93"/>
    </row>
    <row r="1254" spans="1:10" s="65" customFormat="1" ht="14" x14ac:dyDescent="0.35">
      <c r="A1254" s="145"/>
      <c r="B1254" s="93"/>
      <c r="C1254" s="93"/>
      <c r="D1254" s="93"/>
      <c r="E1254" s="95"/>
      <c r="F1254" s="95"/>
      <c r="G1254" s="95"/>
      <c r="H1254" s="93"/>
      <c r="I1254" s="93"/>
      <c r="J1254" s="93"/>
    </row>
    <row r="1255" spans="1:10" s="65" customFormat="1" ht="14" x14ac:dyDescent="0.35">
      <c r="A1255" s="145"/>
      <c r="B1255" s="93"/>
      <c r="C1255" s="93"/>
      <c r="D1255" s="93"/>
      <c r="E1255" s="95"/>
      <c r="F1255" s="95"/>
      <c r="G1255" s="95"/>
      <c r="H1255" s="93"/>
      <c r="I1255" s="93"/>
      <c r="J1255" s="93"/>
    </row>
    <row r="1256" spans="1:10" s="65" customFormat="1" ht="14" x14ac:dyDescent="0.35">
      <c r="A1256" s="145"/>
      <c r="B1256" s="93"/>
      <c r="C1256" s="93"/>
      <c r="D1256" s="93"/>
      <c r="E1256" s="95"/>
      <c r="F1256" s="95"/>
      <c r="G1256" s="95"/>
      <c r="H1256" s="93"/>
      <c r="I1256" s="93"/>
      <c r="J1256" s="93"/>
    </row>
    <row r="1257" spans="1:10" s="65" customFormat="1" ht="14" x14ac:dyDescent="0.35">
      <c r="A1257" s="145"/>
      <c r="B1257" s="93"/>
      <c r="C1257" s="93"/>
      <c r="D1257" s="93"/>
      <c r="E1257" s="95"/>
      <c r="F1257" s="95"/>
      <c r="G1257" s="95"/>
      <c r="H1257" s="93"/>
      <c r="I1257" s="93"/>
      <c r="J1257" s="93"/>
    </row>
    <row r="1258" spans="1:10" s="65" customFormat="1" ht="14" x14ac:dyDescent="0.35">
      <c r="A1258" s="145"/>
      <c r="B1258" s="93"/>
      <c r="C1258" s="93"/>
      <c r="D1258" s="93"/>
      <c r="E1258" s="95"/>
      <c r="F1258" s="95"/>
      <c r="G1258" s="95"/>
      <c r="H1258" s="93"/>
      <c r="I1258" s="93"/>
      <c r="J1258" s="93"/>
    </row>
    <row r="1259" spans="1:10" s="65" customFormat="1" ht="14" x14ac:dyDescent="0.35">
      <c r="A1259" s="145"/>
      <c r="B1259" s="93"/>
      <c r="C1259" s="93"/>
      <c r="D1259" s="93"/>
      <c r="E1259" s="95"/>
      <c r="F1259" s="95"/>
      <c r="G1259" s="95"/>
      <c r="H1259" s="93"/>
      <c r="I1259" s="93"/>
      <c r="J1259" s="93"/>
    </row>
    <row r="1260" spans="1:10" s="65" customFormat="1" ht="14" x14ac:dyDescent="0.35">
      <c r="A1260" s="145"/>
      <c r="B1260" s="93"/>
      <c r="C1260" s="93"/>
      <c r="D1260" s="93"/>
      <c r="E1260" s="95"/>
      <c r="F1260" s="95"/>
      <c r="G1260" s="95"/>
      <c r="H1260" s="93"/>
      <c r="I1260" s="93"/>
      <c r="J1260" s="93"/>
    </row>
    <row r="1261" spans="1:10" s="65" customFormat="1" ht="14" x14ac:dyDescent="0.35">
      <c r="A1261" s="145"/>
      <c r="B1261" s="93"/>
      <c r="C1261" s="93"/>
      <c r="D1261" s="93"/>
      <c r="E1261" s="95"/>
      <c r="F1261" s="95"/>
      <c r="G1261" s="95"/>
      <c r="H1261" s="93"/>
      <c r="I1261" s="93"/>
      <c r="J1261" s="93"/>
    </row>
    <row r="1262" spans="1:10" s="65" customFormat="1" ht="14" x14ac:dyDescent="0.35">
      <c r="A1262" s="145"/>
      <c r="B1262" s="93"/>
      <c r="C1262" s="93"/>
      <c r="D1262" s="93"/>
      <c r="E1262" s="95"/>
      <c r="F1262" s="95"/>
      <c r="G1262" s="95"/>
      <c r="H1262" s="93"/>
      <c r="I1262" s="93"/>
      <c r="J1262" s="93"/>
    </row>
    <row r="1263" spans="1:10" s="65" customFormat="1" ht="14" x14ac:dyDescent="0.35">
      <c r="A1263" s="145"/>
      <c r="B1263" s="93"/>
      <c r="C1263" s="93"/>
      <c r="D1263" s="93"/>
      <c r="E1263" s="95"/>
      <c r="F1263" s="95"/>
      <c r="G1263" s="95"/>
      <c r="H1263" s="93"/>
      <c r="I1263" s="93"/>
      <c r="J1263" s="93"/>
    </row>
    <row r="1264" spans="1:10" s="65" customFormat="1" ht="14" x14ac:dyDescent="0.35">
      <c r="A1264" s="145"/>
      <c r="B1264" s="93"/>
      <c r="C1264" s="93"/>
      <c r="D1264" s="93"/>
      <c r="E1264" s="95"/>
      <c r="F1264" s="95"/>
      <c r="G1264" s="95"/>
      <c r="H1264" s="93"/>
      <c r="I1264" s="93"/>
      <c r="J1264" s="93"/>
    </row>
    <row r="1265" spans="1:10" s="65" customFormat="1" ht="14" x14ac:dyDescent="0.35">
      <c r="A1265" s="145"/>
      <c r="B1265" s="93"/>
      <c r="C1265" s="93"/>
      <c r="D1265" s="93"/>
      <c r="E1265" s="95"/>
      <c r="F1265" s="95"/>
      <c r="G1265" s="95"/>
      <c r="H1265" s="93"/>
      <c r="I1265" s="93"/>
      <c r="J1265" s="93"/>
    </row>
    <row r="1266" spans="1:10" s="65" customFormat="1" ht="14" x14ac:dyDescent="0.35">
      <c r="A1266" s="145"/>
      <c r="B1266" s="93"/>
      <c r="C1266" s="93"/>
      <c r="D1266" s="93"/>
      <c r="E1266" s="95"/>
      <c r="F1266" s="95"/>
      <c r="G1266" s="95"/>
      <c r="H1266" s="93"/>
      <c r="I1266" s="93"/>
      <c r="J1266" s="93"/>
    </row>
    <row r="1267" spans="1:10" s="65" customFormat="1" ht="14" x14ac:dyDescent="0.35">
      <c r="A1267" s="145"/>
      <c r="B1267" s="93"/>
      <c r="C1267" s="93"/>
      <c r="D1267" s="93"/>
      <c r="E1267" s="95"/>
      <c r="F1267" s="95"/>
      <c r="G1267" s="95"/>
      <c r="H1267" s="93"/>
      <c r="I1267" s="93"/>
      <c r="J1267" s="93"/>
    </row>
    <row r="1268" spans="1:10" s="65" customFormat="1" ht="14" x14ac:dyDescent="0.35">
      <c r="A1268" s="145"/>
      <c r="B1268" s="93"/>
      <c r="C1268" s="93"/>
      <c r="D1268" s="93"/>
      <c r="E1268" s="95"/>
      <c r="F1268" s="95"/>
      <c r="G1268" s="95"/>
      <c r="H1268" s="93"/>
      <c r="I1268" s="93"/>
      <c r="J1268" s="93"/>
    </row>
    <row r="1269" spans="1:10" s="65" customFormat="1" ht="14" x14ac:dyDescent="0.35">
      <c r="A1269" s="145"/>
      <c r="E1269" s="102"/>
      <c r="F1269" s="102"/>
      <c r="G1269" s="102"/>
      <c r="I1269" s="93"/>
      <c r="J1269" s="93"/>
    </row>
    <row r="1270" spans="1:10" s="65" customFormat="1" ht="14" x14ac:dyDescent="0.35">
      <c r="A1270" s="145"/>
      <c r="E1270" s="102"/>
      <c r="F1270" s="102"/>
      <c r="G1270" s="102"/>
      <c r="I1270" s="93"/>
      <c r="J1270" s="93"/>
    </row>
    <row r="1271" spans="1:10" s="65" customFormat="1" ht="14" x14ac:dyDescent="0.35">
      <c r="A1271" s="145"/>
      <c r="E1271" s="102"/>
      <c r="F1271" s="102"/>
      <c r="G1271" s="102"/>
      <c r="I1271" s="93"/>
      <c r="J1271" s="93"/>
    </row>
    <row r="1272" spans="1:10" s="65" customFormat="1" ht="14" x14ac:dyDescent="0.35">
      <c r="A1272" s="145"/>
      <c r="E1272" s="102"/>
      <c r="F1272" s="102"/>
      <c r="G1272" s="102"/>
      <c r="I1272" s="93"/>
      <c r="J1272" s="93"/>
    </row>
    <row r="1273" spans="1:10" s="65" customFormat="1" ht="14" x14ac:dyDescent="0.35">
      <c r="A1273" s="145"/>
      <c r="E1273" s="102"/>
      <c r="F1273" s="102"/>
      <c r="G1273" s="102"/>
      <c r="I1273" s="93"/>
      <c r="J1273" s="93"/>
    </row>
    <row r="1274" spans="1:10" s="65" customFormat="1" ht="14" x14ac:dyDescent="0.35">
      <c r="A1274" s="145"/>
      <c r="E1274" s="102"/>
      <c r="F1274" s="102"/>
      <c r="G1274" s="102"/>
      <c r="I1274" s="93"/>
      <c r="J1274" s="93"/>
    </row>
    <row r="1275" spans="1:10" s="65" customFormat="1" ht="14" x14ac:dyDescent="0.35">
      <c r="A1275" s="145"/>
      <c r="E1275" s="102"/>
      <c r="F1275" s="102"/>
      <c r="G1275" s="102"/>
      <c r="I1275" s="93"/>
      <c r="J1275" s="93"/>
    </row>
    <row r="1276" spans="1:10" s="65" customFormat="1" ht="14" x14ac:dyDescent="0.35">
      <c r="A1276" s="145"/>
      <c r="E1276" s="102"/>
      <c r="F1276" s="102"/>
      <c r="G1276" s="102"/>
      <c r="I1276" s="93"/>
      <c r="J1276" s="93"/>
    </row>
    <row r="1277" spans="1:10" s="65" customFormat="1" ht="14" x14ac:dyDescent="0.35">
      <c r="A1277" s="145"/>
      <c r="E1277" s="102"/>
      <c r="F1277" s="102"/>
      <c r="G1277" s="102"/>
      <c r="I1277" s="93"/>
      <c r="J1277" s="93"/>
    </row>
    <row r="1278" spans="1:10" s="65" customFormat="1" ht="14" x14ac:dyDescent="0.35">
      <c r="A1278" s="145"/>
      <c r="E1278" s="102"/>
      <c r="F1278" s="102"/>
      <c r="G1278" s="102"/>
      <c r="I1278" s="93"/>
      <c r="J1278" s="93"/>
    </row>
    <row r="1279" spans="1:10" s="65" customFormat="1" ht="14" x14ac:dyDescent="0.35">
      <c r="A1279" s="145"/>
      <c r="E1279" s="102"/>
      <c r="F1279" s="102"/>
      <c r="G1279" s="102"/>
      <c r="I1279" s="93"/>
      <c r="J1279" s="93"/>
    </row>
    <row r="1280" spans="1:10" s="65" customFormat="1" ht="14" x14ac:dyDescent="0.35">
      <c r="A1280" s="145"/>
      <c r="E1280" s="102"/>
      <c r="F1280" s="102"/>
      <c r="G1280" s="102"/>
      <c r="I1280" s="93"/>
      <c r="J1280" s="93"/>
    </row>
    <row r="1281" spans="1:10" s="65" customFormat="1" ht="14" x14ac:dyDescent="0.35">
      <c r="A1281" s="145"/>
      <c r="E1281" s="102"/>
      <c r="F1281" s="102"/>
      <c r="G1281" s="102"/>
      <c r="I1281" s="93"/>
      <c r="J1281" s="93"/>
    </row>
    <row r="1282" spans="1:10" s="65" customFormat="1" ht="14" x14ac:dyDescent="0.35">
      <c r="A1282" s="145"/>
      <c r="E1282" s="102"/>
      <c r="F1282" s="102"/>
      <c r="G1282" s="102"/>
      <c r="I1282" s="93"/>
      <c r="J1282" s="93"/>
    </row>
    <row r="1283" spans="1:10" s="65" customFormat="1" ht="14" x14ac:dyDescent="0.35">
      <c r="A1283" s="145"/>
      <c r="E1283" s="102"/>
      <c r="F1283" s="102"/>
      <c r="G1283" s="102"/>
      <c r="I1283" s="93"/>
      <c r="J1283" s="93"/>
    </row>
    <row r="1284" spans="1:10" s="65" customFormat="1" ht="14" x14ac:dyDescent="0.35">
      <c r="A1284" s="145"/>
      <c r="E1284" s="102"/>
      <c r="F1284" s="102"/>
      <c r="G1284" s="102"/>
      <c r="I1284" s="93"/>
      <c r="J1284" s="93"/>
    </row>
    <row r="1285" spans="1:10" s="65" customFormat="1" ht="14" x14ac:dyDescent="0.35">
      <c r="A1285" s="145"/>
      <c r="E1285" s="102"/>
      <c r="F1285" s="102"/>
      <c r="G1285" s="102"/>
      <c r="I1285" s="93"/>
      <c r="J1285" s="93"/>
    </row>
    <row r="1286" spans="1:10" s="65" customFormat="1" ht="14" x14ac:dyDescent="0.35">
      <c r="A1286" s="145"/>
      <c r="E1286" s="102"/>
      <c r="F1286" s="102"/>
      <c r="G1286" s="102"/>
      <c r="I1286" s="93"/>
      <c r="J1286" s="93"/>
    </row>
    <row r="1287" spans="1:10" s="65" customFormat="1" ht="14" x14ac:dyDescent="0.35">
      <c r="A1287" s="145"/>
      <c r="E1287" s="102"/>
      <c r="F1287" s="102"/>
      <c r="G1287" s="102"/>
      <c r="I1287" s="93"/>
      <c r="J1287" s="93"/>
    </row>
    <row r="1288" spans="1:10" s="65" customFormat="1" ht="14" x14ac:dyDescent="0.35">
      <c r="A1288" s="145"/>
      <c r="E1288" s="102"/>
      <c r="F1288" s="102"/>
      <c r="G1288" s="102"/>
      <c r="I1288" s="93"/>
      <c r="J1288" s="93"/>
    </row>
    <row r="1289" spans="1:10" s="65" customFormat="1" ht="14" x14ac:dyDescent="0.35">
      <c r="A1289" s="145"/>
      <c r="E1289" s="102"/>
      <c r="F1289" s="102"/>
      <c r="G1289" s="102"/>
      <c r="I1289" s="93"/>
      <c r="J1289" s="93"/>
    </row>
    <row r="1290" spans="1:10" s="65" customFormat="1" ht="14" x14ac:dyDescent="0.35">
      <c r="A1290" s="145"/>
      <c r="E1290" s="102"/>
      <c r="F1290" s="102"/>
      <c r="G1290" s="102"/>
      <c r="I1290" s="93"/>
      <c r="J1290" s="93"/>
    </row>
    <row r="1291" spans="1:10" s="65" customFormat="1" ht="14" x14ac:dyDescent="0.35">
      <c r="A1291" s="145"/>
      <c r="E1291" s="102"/>
      <c r="F1291" s="102"/>
      <c r="G1291" s="102"/>
      <c r="I1291" s="93"/>
      <c r="J1291" s="93"/>
    </row>
    <row r="1292" spans="1:10" s="65" customFormat="1" ht="14" x14ac:dyDescent="0.35">
      <c r="A1292" s="145"/>
      <c r="E1292" s="102"/>
      <c r="F1292" s="102"/>
      <c r="G1292" s="102"/>
      <c r="I1292" s="93"/>
      <c r="J1292" s="93"/>
    </row>
    <row r="1293" spans="1:10" s="65" customFormat="1" ht="14" x14ac:dyDescent="0.35">
      <c r="A1293" s="145"/>
      <c r="E1293" s="102"/>
      <c r="F1293" s="102"/>
      <c r="G1293" s="102"/>
      <c r="I1293" s="93"/>
      <c r="J1293" s="93"/>
    </row>
    <row r="1294" spans="1:10" s="65" customFormat="1" ht="14" x14ac:dyDescent="0.35">
      <c r="A1294" s="145"/>
      <c r="E1294" s="102"/>
      <c r="F1294" s="102"/>
      <c r="G1294" s="102"/>
      <c r="I1294" s="93"/>
      <c r="J1294" s="93"/>
    </row>
    <row r="1295" spans="1:10" s="65" customFormat="1" ht="14" x14ac:dyDescent="0.35">
      <c r="A1295" s="145"/>
      <c r="E1295" s="102"/>
      <c r="F1295" s="102"/>
      <c r="G1295" s="102"/>
      <c r="I1295" s="93"/>
      <c r="J1295" s="93"/>
    </row>
    <row r="1296" spans="1:10" s="65" customFormat="1" ht="14" x14ac:dyDescent="0.35">
      <c r="A1296" s="145"/>
      <c r="E1296" s="102"/>
      <c r="F1296" s="102"/>
      <c r="G1296" s="102"/>
      <c r="I1296" s="93"/>
      <c r="J1296" s="93"/>
    </row>
    <row r="1297" spans="1:10" s="65" customFormat="1" ht="14" x14ac:dyDescent="0.35">
      <c r="A1297" s="145"/>
      <c r="E1297" s="102"/>
      <c r="F1297" s="102"/>
      <c r="G1297" s="102"/>
      <c r="I1297" s="93"/>
      <c r="J1297" s="93"/>
    </row>
    <row r="1298" spans="1:10" s="65" customFormat="1" ht="14" x14ac:dyDescent="0.35">
      <c r="A1298" s="145"/>
      <c r="E1298" s="102"/>
      <c r="F1298" s="102"/>
      <c r="G1298" s="102"/>
      <c r="I1298" s="93"/>
      <c r="J1298" s="93"/>
    </row>
    <row r="1299" spans="1:10" s="65" customFormat="1" ht="14" x14ac:dyDescent="0.35">
      <c r="A1299" s="145"/>
      <c r="E1299" s="102"/>
      <c r="F1299" s="102"/>
      <c r="G1299" s="102"/>
      <c r="I1299" s="93"/>
      <c r="J1299" s="93"/>
    </row>
    <row r="1300" spans="1:10" s="65" customFormat="1" ht="14" x14ac:dyDescent="0.35">
      <c r="A1300" s="145"/>
      <c r="E1300" s="102"/>
      <c r="F1300" s="102"/>
      <c r="G1300" s="102"/>
      <c r="I1300" s="93"/>
      <c r="J1300" s="93"/>
    </row>
    <row r="1301" spans="1:10" s="65" customFormat="1" ht="14" x14ac:dyDescent="0.35">
      <c r="A1301" s="145"/>
      <c r="E1301" s="102"/>
      <c r="F1301" s="102"/>
      <c r="G1301" s="102"/>
      <c r="I1301" s="93"/>
      <c r="J1301" s="93"/>
    </row>
    <row r="1302" spans="1:10" s="65" customFormat="1" ht="14" x14ac:dyDescent="0.35">
      <c r="A1302" s="145"/>
      <c r="E1302" s="102"/>
      <c r="F1302" s="102"/>
      <c r="G1302" s="102"/>
      <c r="I1302" s="93"/>
      <c r="J1302" s="93"/>
    </row>
    <row r="1303" spans="1:10" s="65" customFormat="1" ht="14" x14ac:dyDescent="0.35">
      <c r="A1303" s="145"/>
      <c r="E1303" s="102"/>
      <c r="F1303" s="102"/>
      <c r="G1303" s="102"/>
      <c r="I1303" s="93"/>
      <c r="J1303" s="93"/>
    </row>
    <row r="1304" spans="1:10" s="65" customFormat="1" ht="14" x14ac:dyDescent="0.35">
      <c r="A1304" s="145"/>
      <c r="E1304" s="102"/>
      <c r="F1304" s="102"/>
      <c r="G1304" s="102"/>
      <c r="I1304" s="93"/>
      <c r="J1304" s="93"/>
    </row>
    <row r="1305" spans="1:10" s="65" customFormat="1" ht="14" x14ac:dyDescent="0.35">
      <c r="A1305" s="145"/>
      <c r="E1305" s="102"/>
      <c r="F1305" s="102"/>
      <c r="G1305" s="102"/>
      <c r="I1305" s="93"/>
      <c r="J1305" s="93"/>
    </row>
    <row r="1306" spans="1:10" s="65" customFormat="1" ht="14" x14ac:dyDescent="0.35">
      <c r="A1306" s="145"/>
      <c r="E1306" s="102"/>
      <c r="F1306" s="102"/>
      <c r="G1306" s="102"/>
      <c r="I1306" s="93"/>
      <c r="J1306" s="93"/>
    </row>
    <row r="1307" spans="1:10" s="65" customFormat="1" ht="14" x14ac:dyDescent="0.35">
      <c r="A1307" s="145"/>
      <c r="E1307" s="102"/>
      <c r="F1307" s="102"/>
      <c r="G1307" s="102"/>
      <c r="I1307" s="93"/>
      <c r="J1307" s="93"/>
    </row>
    <row r="1308" spans="1:10" s="65" customFormat="1" ht="14" x14ac:dyDescent="0.35">
      <c r="A1308" s="145"/>
      <c r="E1308" s="102"/>
      <c r="F1308" s="102"/>
      <c r="G1308" s="102"/>
      <c r="I1308" s="93"/>
      <c r="J1308" s="93"/>
    </row>
    <row r="1309" spans="1:10" s="65" customFormat="1" ht="14" x14ac:dyDescent="0.35">
      <c r="A1309" s="145"/>
      <c r="E1309" s="102"/>
      <c r="F1309" s="102"/>
      <c r="G1309" s="102"/>
      <c r="I1309" s="93"/>
      <c r="J1309" s="93"/>
    </row>
    <row r="1310" spans="1:10" s="65" customFormat="1" ht="14" x14ac:dyDescent="0.35">
      <c r="A1310" s="145"/>
      <c r="E1310" s="102"/>
      <c r="F1310" s="102"/>
      <c r="G1310" s="102"/>
      <c r="I1310" s="93"/>
      <c r="J1310" s="93"/>
    </row>
    <row r="1311" spans="1:10" s="65" customFormat="1" ht="14" x14ac:dyDescent="0.35">
      <c r="A1311" s="145"/>
      <c r="E1311" s="102"/>
      <c r="F1311" s="102"/>
      <c r="G1311" s="102"/>
      <c r="I1311" s="93"/>
      <c r="J1311" s="93"/>
    </row>
    <row r="1312" spans="1:10" s="65" customFormat="1" ht="14" x14ac:dyDescent="0.35">
      <c r="A1312" s="145"/>
      <c r="E1312" s="102"/>
      <c r="F1312" s="102"/>
      <c r="G1312" s="102"/>
      <c r="I1312" s="93"/>
      <c r="J1312" s="93"/>
    </row>
    <row r="1313" spans="1:10" s="65" customFormat="1" ht="14" x14ac:dyDescent="0.35">
      <c r="A1313" s="145"/>
      <c r="E1313" s="102"/>
      <c r="F1313" s="102"/>
      <c r="G1313" s="102"/>
      <c r="I1313" s="93"/>
      <c r="J1313" s="93"/>
    </row>
    <row r="1314" spans="1:10" s="65" customFormat="1" ht="14" x14ac:dyDescent="0.35">
      <c r="A1314" s="145"/>
      <c r="E1314" s="102"/>
      <c r="F1314" s="102"/>
      <c r="G1314" s="102"/>
      <c r="I1314" s="93"/>
      <c r="J1314" s="93"/>
    </row>
    <row r="1315" spans="1:10" s="65" customFormat="1" ht="14" x14ac:dyDescent="0.35">
      <c r="A1315" s="145"/>
      <c r="E1315" s="102"/>
      <c r="F1315" s="102"/>
      <c r="G1315" s="102"/>
      <c r="I1315" s="93"/>
      <c r="J1315" s="93"/>
    </row>
    <row r="1316" spans="1:10" s="65" customFormat="1" ht="14" x14ac:dyDescent="0.35">
      <c r="A1316" s="145"/>
      <c r="E1316" s="102"/>
      <c r="F1316" s="102"/>
      <c r="G1316" s="102"/>
      <c r="I1316" s="93"/>
      <c r="J1316" s="93"/>
    </row>
    <row r="1317" spans="1:10" s="65" customFormat="1" ht="14" x14ac:dyDescent="0.35">
      <c r="A1317" s="145"/>
      <c r="E1317" s="102"/>
      <c r="F1317" s="102"/>
      <c r="G1317" s="102"/>
      <c r="I1317" s="93"/>
      <c r="J1317" s="93"/>
    </row>
    <row r="1318" spans="1:10" s="65" customFormat="1" ht="14" x14ac:dyDescent="0.35">
      <c r="A1318" s="145"/>
      <c r="E1318" s="102"/>
      <c r="F1318" s="102"/>
      <c r="G1318" s="102"/>
      <c r="I1318" s="93"/>
      <c r="J1318" s="93"/>
    </row>
    <row r="1319" spans="1:10" s="65" customFormat="1" ht="14" x14ac:dyDescent="0.35">
      <c r="A1319" s="145"/>
      <c r="E1319" s="102"/>
      <c r="F1319" s="102"/>
      <c r="G1319" s="102"/>
      <c r="I1319" s="93"/>
      <c r="J1319" s="93"/>
    </row>
    <row r="1320" spans="1:10" s="65" customFormat="1" ht="14" x14ac:dyDescent="0.35">
      <c r="A1320" s="145"/>
      <c r="E1320" s="102"/>
      <c r="F1320" s="102"/>
      <c r="G1320" s="102"/>
      <c r="I1320" s="93"/>
      <c r="J1320" s="93"/>
    </row>
    <row r="1321" spans="1:10" s="65" customFormat="1" ht="14" x14ac:dyDescent="0.35">
      <c r="A1321" s="145"/>
      <c r="E1321" s="102"/>
      <c r="F1321" s="102"/>
      <c r="G1321" s="102"/>
      <c r="I1321" s="93"/>
      <c r="J1321" s="93"/>
    </row>
    <row r="1322" spans="1:10" s="65" customFormat="1" ht="14" x14ac:dyDescent="0.35">
      <c r="A1322" s="145"/>
      <c r="E1322" s="102"/>
      <c r="F1322" s="102"/>
      <c r="G1322" s="102"/>
      <c r="I1322" s="93"/>
      <c r="J1322" s="93"/>
    </row>
    <row r="1323" spans="1:10" s="65" customFormat="1" ht="14" x14ac:dyDescent="0.35">
      <c r="A1323" s="145"/>
      <c r="E1323" s="102"/>
      <c r="F1323" s="102"/>
      <c r="G1323" s="102"/>
      <c r="I1323" s="93"/>
      <c r="J1323" s="93"/>
    </row>
    <row r="1324" spans="1:10" s="65" customFormat="1" ht="14" x14ac:dyDescent="0.35">
      <c r="A1324" s="145"/>
      <c r="E1324" s="102"/>
      <c r="F1324" s="102"/>
      <c r="G1324" s="102"/>
      <c r="I1324" s="93"/>
      <c r="J1324" s="93"/>
    </row>
    <row r="1325" spans="1:10" s="65" customFormat="1" ht="14" x14ac:dyDescent="0.35">
      <c r="A1325" s="145"/>
      <c r="E1325" s="102"/>
      <c r="F1325" s="102"/>
      <c r="G1325" s="102"/>
      <c r="I1325" s="93"/>
      <c r="J1325" s="93"/>
    </row>
    <row r="1326" spans="1:10" s="65" customFormat="1" ht="14" x14ac:dyDescent="0.35">
      <c r="A1326" s="145"/>
      <c r="E1326" s="102"/>
      <c r="F1326" s="102"/>
      <c r="G1326" s="102"/>
      <c r="I1326" s="93"/>
      <c r="J1326" s="93"/>
    </row>
    <row r="1327" spans="1:10" s="65" customFormat="1" ht="14" x14ac:dyDescent="0.35">
      <c r="A1327" s="145"/>
      <c r="E1327" s="102"/>
      <c r="F1327" s="102"/>
      <c r="G1327" s="102"/>
      <c r="I1327" s="93"/>
      <c r="J1327" s="93"/>
    </row>
    <row r="1328" spans="1:10" s="65" customFormat="1" ht="14" x14ac:dyDescent="0.35">
      <c r="A1328" s="145"/>
      <c r="E1328" s="102"/>
      <c r="F1328" s="102"/>
      <c r="G1328" s="102"/>
      <c r="I1328" s="93"/>
      <c r="J1328" s="93"/>
    </row>
    <row r="1329" spans="1:10" s="65" customFormat="1" ht="14" x14ac:dyDescent="0.35">
      <c r="A1329" s="145"/>
      <c r="E1329" s="102"/>
      <c r="F1329" s="102"/>
      <c r="G1329" s="102"/>
      <c r="I1329" s="93"/>
      <c r="J1329" s="93"/>
    </row>
    <row r="1330" spans="1:10" s="65" customFormat="1" ht="14" x14ac:dyDescent="0.35">
      <c r="A1330" s="145"/>
      <c r="E1330" s="102"/>
      <c r="F1330" s="102"/>
      <c r="G1330" s="102"/>
      <c r="I1330" s="93"/>
      <c r="J1330" s="93"/>
    </row>
    <row r="1331" spans="1:10" s="65" customFormat="1" ht="14" x14ac:dyDescent="0.35">
      <c r="A1331" s="145"/>
      <c r="E1331" s="102"/>
      <c r="F1331" s="102"/>
      <c r="G1331" s="102"/>
      <c r="I1331" s="93"/>
      <c r="J1331" s="93"/>
    </row>
    <row r="1332" spans="1:10" s="65" customFormat="1" ht="14" x14ac:dyDescent="0.35">
      <c r="A1332" s="145"/>
      <c r="E1332" s="102"/>
      <c r="F1332" s="102"/>
      <c r="G1332" s="102"/>
      <c r="I1332" s="93"/>
      <c r="J1332" s="93"/>
    </row>
    <row r="1333" spans="1:10" s="65" customFormat="1" ht="14" x14ac:dyDescent="0.35">
      <c r="A1333" s="145"/>
      <c r="E1333" s="102"/>
      <c r="F1333" s="102"/>
      <c r="G1333" s="102"/>
      <c r="I1333" s="93"/>
      <c r="J1333" s="93"/>
    </row>
    <row r="1334" spans="1:10" s="65" customFormat="1" ht="14" x14ac:dyDescent="0.35">
      <c r="A1334" s="145"/>
      <c r="E1334" s="102"/>
      <c r="F1334" s="102"/>
      <c r="G1334" s="102"/>
      <c r="I1334" s="93"/>
      <c r="J1334" s="93"/>
    </row>
    <row r="1335" spans="1:10" s="65" customFormat="1" ht="14" x14ac:dyDescent="0.35">
      <c r="A1335" s="145"/>
      <c r="E1335" s="102"/>
      <c r="F1335" s="102"/>
      <c r="G1335" s="102"/>
      <c r="I1335" s="93"/>
      <c r="J1335" s="93"/>
    </row>
    <row r="1336" spans="1:10" s="65" customFormat="1" ht="14" x14ac:dyDescent="0.35">
      <c r="A1336" s="145"/>
      <c r="E1336" s="102"/>
      <c r="F1336" s="102"/>
      <c r="G1336" s="102"/>
      <c r="I1336" s="93"/>
      <c r="J1336" s="93"/>
    </row>
    <row r="1337" spans="1:10" s="65" customFormat="1" ht="14" x14ac:dyDescent="0.35">
      <c r="A1337" s="145"/>
      <c r="E1337" s="102"/>
      <c r="F1337" s="102"/>
      <c r="G1337" s="102"/>
      <c r="I1337" s="93"/>
      <c r="J1337" s="93"/>
    </row>
    <row r="1338" spans="1:10" s="65" customFormat="1" ht="14" x14ac:dyDescent="0.35">
      <c r="A1338" s="145"/>
      <c r="E1338" s="102"/>
      <c r="F1338" s="102"/>
      <c r="G1338" s="102"/>
      <c r="I1338" s="93"/>
      <c r="J1338" s="93"/>
    </row>
    <row r="1339" spans="1:10" s="65" customFormat="1" ht="14" x14ac:dyDescent="0.35">
      <c r="A1339" s="145"/>
      <c r="E1339" s="102"/>
      <c r="F1339" s="102"/>
      <c r="G1339" s="102"/>
      <c r="I1339" s="93"/>
      <c r="J1339" s="93"/>
    </row>
    <row r="1340" spans="1:10" s="65" customFormat="1" ht="14" x14ac:dyDescent="0.35">
      <c r="A1340" s="145"/>
      <c r="E1340" s="102"/>
      <c r="F1340" s="102"/>
      <c r="G1340" s="102"/>
      <c r="I1340" s="93"/>
      <c r="J1340" s="93"/>
    </row>
    <row r="1341" spans="1:10" s="65" customFormat="1" ht="14" x14ac:dyDescent="0.35">
      <c r="A1341" s="145"/>
      <c r="E1341" s="102"/>
      <c r="F1341" s="102"/>
      <c r="G1341" s="102"/>
      <c r="I1341" s="93"/>
      <c r="J1341" s="93"/>
    </row>
    <row r="1342" spans="1:10" s="65" customFormat="1" ht="14" x14ac:dyDescent="0.35">
      <c r="A1342" s="145"/>
      <c r="E1342" s="102"/>
      <c r="F1342" s="102"/>
      <c r="G1342" s="102"/>
      <c r="I1342" s="93"/>
      <c r="J1342" s="93"/>
    </row>
    <row r="1343" spans="1:10" s="65" customFormat="1" ht="14" x14ac:dyDescent="0.35">
      <c r="A1343" s="145"/>
      <c r="E1343" s="102"/>
      <c r="F1343" s="102"/>
      <c r="G1343" s="102"/>
      <c r="I1343" s="93"/>
      <c r="J1343" s="93"/>
    </row>
    <row r="1344" spans="1:10" s="65" customFormat="1" ht="14" x14ac:dyDescent="0.35">
      <c r="A1344" s="145"/>
      <c r="E1344" s="102"/>
      <c r="F1344" s="102"/>
      <c r="G1344" s="102"/>
      <c r="I1344" s="93"/>
      <c r="J1344" s="93"/>
    </row>
    <row r="1345" spans="1:10" s="65" customFormat="1" ht="14" x14ac:dyDescent="0.35">
      <c r="A1345" s="145"/>
      <c r="E1345" s="102"/>
      <c r="F1345" s="102"/>
      <c r="G1345" s="102"/>
      <c r="I1345" s="93"/>
      <c r="J1345" s="93"/>
    </row>
    <row r="1346" spans="1:10" s="65" customFormat="1" ht="14" x14ac:dyDescent="0.35">
      <c r="A1346" s="145"/>
      <c r="E1346" s="102"/>
      <c r="F1346" s="102"/>
      <c r="G1346" s="102"/>
      <c r="I1346" s="93"/>
      <c r="J1346" s="93"/>
    </row>
    <row r="1347" spans="1:10" s="65" customFormat="1" ht="14" x14ac:dyDescent="0.35">
      <c r="A1347" s="145"/>
      <c r="E1347" s="102"/>
      <c r="F1347" s="102"/>
      <c r="G1347" s="102"/>
      <c r="I1347" s="93"/>
      <c r="J1347" s="93"/>
    </row>
    <row r="1348" spans="1:10" s="65" customFormat="1" ht="14" x14ac:dyDescent="0.35">
      <c r="A1348" s="145"/>
      <c r="E1348" s="102"/>
      <c r="F1348" s="102"/>
      <c r="G1348" s="102"/>
      <c r="I1348" s="93"/>
      <c r="J1348" s="93"/>
    </row>
    <row r="1349" spans="1:10" s="65" customFormat="1" ht="14" x14ac:dyDescent="0.35">
      <c r="A1349" s="145"/>
      <c r="E1349" s="102"/>
      <c r="F1349" s="102"/>
      <c r="G1349" s="102"/>
      <c r="I1349" s="93"/>
      <c r="J1349" s="93"/>
    </row>
    <row r="1350" spans="1:10" s="65" customFormat="1" ht="14" x14ac:dyDescent="0.35">
      <c r="A1350" s="145"/>
      <c r="E1350" s="102"/>
      <c r="F1350" s="102"/>
      <c r="G1350" s="102"/>
      <c r="I1350" s="93"/>
      <c r="J1350" s="93"/>
    </row>
    <row r="1351" spans="1:10" s="65" customFormat="1" ht="14" x14ac:dyDescent="0.35">
      <c r="A1351" s="145"/>
      <c r="E1351" s="102"/>
      <c r="F1351" s="102"/>
      <c r="G1351" s="102"/>
      <c r="I1351" s="93"/>
      <c r="J1351" s="93"/>
    </row>
    <row r="1352" spans="1:10" s="65" customFormat="1" ht="14" x14ac:dyDescent="0.35">
      <c r="A1352" s="145"/>
      <c r="E1352" s="102"/>
      <c r="F1352" s="102"/>
      <c r="G1352" s="102"/>
      <c r="I1352" s="93"/>
      <c r="J1352" s="93"/>
    </row>
    <row r="1353" spans="1:10" s="65" customFormat="1" ht="14" x14ac:dyDescent="0.35">
      <c r="A1353" s="145"/>
      <c r="E1353" s="102"/>
      <c r="F1353" s="102"/>
      <c r="G1353" s="102"/>
      <c r="I1353" s="93"/>
      <c r="J1353" s="93"/>
    </row>
    <row r="1354" spans="1:10" s="65" customFormat="1" ht="14" x14ac:dyDescent="0.35">
      <c r="A1354" s="145"/>
      <c r="E1354" s="102"/>
      <c r="F1354" s="102"/>
      <c r="G1354" s="102"/>
      <c r="I1354" s="93"/>
      <c r="J1354" s="93"/>
    </row>
    <row r="1355" spans="1:10" s="65" customFormat="1" ht="14" x14ac:dyDescent="0.35">
      <c r="A1355" s="145"/>
      <c r="E1355" s="102"/>
      <c r="F1355" s="102"/>
      <c r="G1355" s="102"/>
      <c r="I1355" s="93"/>
      <c r="J1355" s="93"/>
    </row>
    <row r="1356" spans="1:10" s="65" customFormat="1" ht="14" x14ac:dyDescent="0.35">
      <c r="A1356" s="145"/>
      <c r="E1356" s="102"/>
      <c r="F1356" s="102"/>
      <c r="G1356" s="102"/>
      <c r="I1356" s="93"/>
      <c r="J1356" s="93"/>
    </row>
    <row r="1357" spans="1:10" s="65" customFormat="1" ht="14" x14ac:dyDescent="0.35">
      <c r="A1357" s="145"/>
      <c r="E1357" s="102"/>
      <c r="F1357" s="102"/>
      <c r="G1357" s="102"/>
      <c r="I1357" s="93"/>
      <c r="J1357" s="93"/>
    </row>
    <row r="1358" spans="1:10" s="65" customFormat="1" ht="14" x14ac:dyDescent="0.35">
      <c r="A1358" s="145"/>
      <c r="E1358" s="102"/>
      <c r="F1358" s="102"/>
      <c r="G1358" s="102"/>
      <c r="I1358" s="93"/>
      <c r="J1358" s="93"/>
    </row>
    <row r="1359" spans="1:10" s="65" customFormat="1" ht="14" x14ac:dyDescent="0.35">
      <c r="A1359" s="145"/>
      <c r="E1359" s="102"/>
      <c r="F1359" s="102"/>
      <c r="G1359" s="102"/>
      <c r="I1359" s="93"/>
      <c r="J1359" s="93"/>
    </row>
    <row r="1360" spans="1:10" s="65" customFormat="1" ht="14" x14ac:dyDescent="0.35">
      <c r="A1360" s="145"/>
      <c r="E1360" s="102"/>
      <c r="F1360" s="102"/>
      <c r="G1360" s="102"/>
      <c r="I1360" s="93"/>
      <c r="J1360" s="93"/>
    </row>
    <row r="1361" spans="1:10" s="65" customFormat="1" ht="14" x14ac:dyDescent="0.35">
      <c r="A1361" s="145"/>
      <c r="E1361" s="102"/>
      <c r="F1361" s="102"/>
      <c r="G1361" s="102"/>
      <c r="I1361" s="93"/>
      <c r="J1361" s="93"/>
    </row>
    <row r="1362" spans="1:10" s="65" customFormat="1" ht="14" x14ac:dyDescent="0.35">
      <c r="A1362" s="145"/>
      <c r="E1362" s="102"/>
      <c r="F1362" s="102"/>
      <c r="G1362" s="102"/>
      <c r="I1362" s="93"/>
      <c r="J1362" s="93"/>
    </row>
    <row r="1363" spans="1:10" s="65" customFormat="1" ht="14" x14ac:dyDescent="0.35">
      <c r="A1363" s="145"/>
      <c r="E1363" s="102"/>
      <c r="F1363" s="102"/>
      <c r="G1363" s="102"/>
      <c r="I1363" s="93"/>
      <c r="J1363" s="93"/>
    </row>
    <row r="1364" spans="1:10" s="65" customFormat="1" ht="14" x14ac:dyDescent="0.35">
      <c r="A1364" s="145"/>
      <c r="E1364" s="102"/>
      <c r="F1364" s="102"/>
      <c r="G1364" s="102"/>
      <c r="I1364" s="93"/>
      <c r="J1364" s="93"/>
    </row>
    <row r="1365" spans="1:10" s="65" customFormat="1" ht="14" x14ac:dyDescent="0.35">
      <c r="A1365" s="145"/>
      <c r="E1365" s="102"/>
      <c r="F1365" s="102"/>
      <c r="G1365" s="102"/>
      <c r="I1365" s="93"/>
      <c r="J1365" s="93"/>
    </row>
    <row r="1366" spans="1:10" s="65" customFormat="1" ht="14" x14ac:dyDescent="0.35">
      <c r="A1366" s="145"/>
      <c r="E1366" s="102"/>
      <c r="F1366" s="102"/>
      <c r="G1366" s="102"/>
      <c r="I1366" s="93"/>
      <c r="J1366" s="93"/>
    </row>
    <row r="1367" spans="1:10" s="65" customFormat="1" ht="14" x14ac:dyDescent="0.35">
      <c r="A1367" s="145"/>
      <c r="E1367" s="102"/>
      <c r="F1367" s="102"/>
      <c r="G1367" s="102"/>
      <c r="I1367" s="93"/>
      <c r="J1367" s="93"/>
    </row>
    <row r="1368" spans="1:10" s="65" customFormat="1" ht="14" x14ac:dyDescent="0.35">
      <c r="A1368" s="145"/>
      <c r="E1368" s="102"/>
      <c r="F1368" s="102"/>
      <c r="G1368" s="102"/>
      <c r="I1368" s="93"/>
      <c r="J1368" s="93"/>
    </row>
    <row r="1369" spans="1:10" s="65" customFormat="1" ht="14" x14ac:dyDescent="0.35">
      <c r="A1369" s="145"/>
      <c r="E1369" s="102"/>
      <c r="F1369" s="102"/>
      <c r="G1369" s="102"/>
      <c r="I1369" s="93"/>
      <c r="J1369" s="93"/>
    </row>
    <row r="1370" spans="1:10" s="65" customFormat="1" ht="14" x14ac:dyDescent="0.35">
      <c r="A1370" s="145"/>
      <c r="E1370" s="102"/>
      <c r="F1370" s="102"/>
      <c r="G1370" s="102"/>
      <c r="I1370" s="93"/>
      <c r="J1370" s="93"/>
    </row>
    <row r="1371" spans="1:10" s="65" customFormat="1" ht="14" x14ac:dyDescent="0.35">
      <c r="A1371" s="145"/>
      <c r="E1371" s="102"/>
      <c r="F1371" s="102"/>
      <c r="G1371" s="102"/>
      <c r="I1371" s="93"/>
      <c r="J1371" s="93"/>
    </row>
    <row r="1372" spans="1:10" s="65" customFormat="1" ht="14" x14ac:dyDescent="0.35">
      <c r="A1372" s="145"/>
      <c r="E1372" s="102"/>
      <c r="F1372" s="102"/>
      <c r="G1372" s="102"/>
      <c r="I1372" s="93"/>
      <c r="J1372" s="93"/>
    </row>
    <row r="1373" spans="1:10" s="65" customFormat="1" ht="14" x14ac:dyDescent="0.35">
      <c r="A1373" s="145"/>
      <c r="E1373" s="102"/>
      <c r="F1373" s="102"/>
      <c r="G1373" s="102"/>
      <c r="I1373" s="93"/>
      <c r="J1373" s="93"/>
    </row>
    <row r="1374" spans="1:10" s="65" customFormat="1" ht="14" x14ac:dyDescent="0.35">
      <c r="A1374" s="145"/>
      <c r="E1374" s="102"/>
      <c r="F1374" s="102"/>
      <c r="G1374" s="102"/>
      <c r="I1374" s="93"/>
      <c r="J1374" s="93"/>
    </row>
    <row r="1375" spans="1:10" s="65" customFormat="1" ht="14" x14ac:dyDescent="0.35">
      <c r="A1375" s="145"/>
      <c r="E1375" s="102"/>
      <c r="F1375" s="102"/>
      <c r="G1375" s="102"/>
      <c r="I1375" s="93"/>
      <c r="J1375" s="93"/>
    </row>
    <row r="1376" spans="1:10" s="65" customFormat="1" ht="14" x14ac:dyDescent="0.35">
      <c r="A1376" s="145"/>
      <c r="E1376" s="102"/>
      <c r="F1376" s="102"/>
      <c r="G1376" s="102"/>
      <c r="I1376" s="93"/>
      <c r="J1376" s="93"/>
    </row>
    <row r="1377" spans="1:10" s="65" customFormat="1" ht="14" x14ac:dyDescent="0.35">
      <c r="A1377" s="145"/>
      <c r="E1377" s="102"/>
      <c r="F1377" s="102"/>
      <c r="G1377" s="102"/>
      <c r="I1377" s="93"/>
      <c r="J1377" s="93"/>
    </row>
    <row r="1378" spans="1:10" s="65" customFormat="1" ht="14" x14ac:dyDescent="0.35">
      <c r="A1378" s="145"/>
      <c r="E1378" s="102"/>
      <c r="F1378" s="102"/>
      <c r="G1378" s="102"/>
      <c r="I1378" s="93"/>
      <c r="J1378" s="93"/>
    </row>
    <row r="1379" spans="1:10" s="65" customFormat="1" ht="14" x14ac:dyDescent="0.35">
      <c r="A1379" s="145"/>
      <c r="E1379" s="102"/>
      <c r="F1379" s="102"/>
      <c r="G1379" s="102"/>
      <c r="I1379" s="93"/>
      <c r="J1379" s="93"/>
    </row>
    <row r="1380" spans="1:10" s="65" customFormat="1" ht="14" x14ac:dyDescent="0.35">
      <c r="A1380" s="145"/>
      <c r="E1380" s="102"/>
      <c r="F1380" s="102"/>
      <c r="G1380" s="102"/>
      <c r="I1380" s="93"/>
      <c r="J1380" s="93"/>
    </row>
    <row r="1381" spans="1:10" s="65" customFormat="1" ht="14" x14ac:dyDescent="0.35">
      <c r="A1381" s="145"/>
      <c r="E1381" s="102"/>
      <c r="F1381" s="102"/>
      <c r="G1381" s="102"/>
      <c r="I1381" s="93"/>
      <c r="J1381" s="93"/>
    </row>
    <row r="1382" spans="1:10" s="65" customFormat="1" ht="14" x14ac:dyDescent="0.35">
      <c r="A1382" s="145"/>
      <c r="E1382" s="102"/>
      <c r="F1382" s="102"/>
      <c r="G1382" s="102"/>
      <c r="I1382" s="93"/>
      <c r="J1382" s="93"/>
    </row>
    <row r="1383" spans="1:10" s="65" customFormat="1" ht="14" x14ac:dyDescent="0.35">
      <c r="A1383" s="145"/>
      <c r="E1383" s="102"/>
      <c r="F1383" s="102"/>
      <c r="G1383" s="102"/>
      <c r="I1383" s="93"/>
      <c r="J1383" s="93"/>
    </row>
    <row r="1384" spans="1:10" s="65" customFormat="1" ht="14" x14ac:dyDescent="0.35">
      <c r="A1384" s="145"/>
      <c r="E1384" s="102"/>
      <c r="F1384" s="102"/>
      <c r="G1384" s="102"/>
      <c r="I1384" s="93"/>
      <c r="J1384" s="93"/>
    </row>
    <row r="1385" spans="1:10" s="65" customFormat="1" ht="14" x14ac:dyDescent="0.35">
      <c r="A1385" s="145"/>
      <c r="E1385" s="102"/>
      <c r="F1385" s="102"/>
      <c r="G1385" s="102"/>
      <c r="I1385" s="93"/>
      <c r="J1385" s="93"/>
    </row>
    <row r="1386" spans="1:10" s="65" customFormat="1" ht="14" x14ac:dyDescent="0.35">
      <c r="A1386" s="145"/>
      <c r="E1386" s="102"/>
      <c r="F1386" s="102"/>
      <c r="G1386" s="102"/>
      <c r="I1386" s="93"/>
      <c r="J1386" s="93"/>
    </row>
    <row r="1387" spans="1:10" s="65" customFormat="1" ht="14" x14ac:dyDescent="0.35">
      <c r="A1387" s="145"/>
      <c r="E1387" s="102"/>
      <c r="F1387" s="102"/>
      <c r="G1387" s="102"/>
      <c r="I1387" s="93"/>
      <c r="J1387" s="93"/>
    </row>
    <row r="1388" spans="1:10" s="65" customFormat="1" ht="14" x14ac:dyDescent="0.35">
      <c r="A1388" s="145"/>
      <c r="E1388" s="102"/>
      <c r="F1388" s="102"/>
      <c r="G1388" s="102"/>
      <c r="I1388" s="93"/>
      <c r="J1388" s="93"/>
    </row>
    <row r="1389" spans="1:10" s="65" customFormat="1" ht="14" x14ac:dyDescent="0.35">
      <c r="A1389" s="145"/>
      <c r="E1389" s="102"/>
      <c r="F1389" s="102"/>
      <c r="G1389" s="102"/>
      <c r="I1389" s="93"/>
      <c r="J1389" s="93"/>
    </row>
    <row r="1390" spans="1:10" s="65" customFormat="1" ht="14" x14ac:dyDescent="0.35">
      <c r="A1390" s="145"/>
      <c r="E1390" s="102"/>
      <c r="F1390" s="102"/>
      <c r="G1390" s="102"/>
      <c r="I1390" s="93"/>
      <c r="J1390" s="93"/>
    </row>
    <row r="1391" spans="1:10" s="65" customFormat="1" ht="14" x14ac:dyDescent="0.35">
      <c r="A1391" s="145"/>
      <c r="E1391" s="102"/>
      <c r="F1391" s="102"/>
      <c r="G1391" s="102"/>
      <c r="I1391" s="93"/>
      <c r="J1391" s="93"/>
    </row>
    <row r="1392" spans="1:10" s="65" customFormat="1" ht="14" x14ac:dyDescent="0.35">
      <c r="A1392" s="145"/>
      <c r="E1392" s="102"/>
      <c r="F1392" s="102"/>
      <c r="G1392" s="102"/>
      <c r="I1392" s="93"/>
      <c r="J1392" s="93"/>
    </row>
    <row r="1393" spans="1:10" s="65" customFormat="1" ht="14" x14ac:dyDescent="0.35">
      <c r="A1393" s="145"/>
      <c r="E1393" s="102"/>
      <c r="F1393" s="102"/>
      <c r="G1393" s="102"/>
      <c r="I1393" s="93"/>
      <c r="J1393" s="93"/>
    </row>
    <row r="1394" spans="1:10" s="65" customFormat="1" ht="14" x14ac:dyDescent="0.35">
      <c r="A1394" s="145"/>
      <c r="E1394" s="102"/>
      <c r="F1394" s="102"/>
      <c r="G1394" s="102"/>
      <c r="I1394" s="93"/>
      <c r="J1394" s="93"/>
    </row>
    <row r="1395" spans="1:10" s="65" customFormat="1" ht="14" x14ac:dyDescent="0.35">
      <c r="A1395" s="145"/>
      <c r="E1395" s="102"/>
      <c r="F1395" s="102"/>
      <c r="G1395" s="102"/>
      <c r="I1395" s="93"/>
      <c r="J1395" s="93"/>
    </row>
    <row r="1396" spans="1:10" s="65" customFormat="1" ht="14" x14ac:dyDescent="0.35">
      <c r="A1396" s="145"/>
      <c r="E1396" s="102"/>
      <c r="F1396" s="102"/>
      <c r="G1396" s="102"/>
      <c r="I1396" s="93"/>
      <c r="J1396" s="93"/>
    </row>
    <row r="1397" spans="1:10" s="65" customFormat="1" ht="14" x14ac:dyDescent="0.35">
      <c r="A1397" s="145"/>
      <c r="E1397" s="102"/>
      <c r="F1397" s="102"/>
      <c r="G1397" s="102"/>
      <c r="I1397" s="93"/>
      <c r="J1397" s="93"/>
    </row>
    <row r="1398" spans="1:10" s="65" customFormat="1" ht="14" x14ac:dyDescent="0.35">
      <c r="A1398" s="145"/>
      <c r="E1398" s="102"/>
      <c r="F1398" s="102"/>
      <c r="G1398" s="102"/>
      <c r="I1398" s="93"/>
      <c r="J1398" s="93"/>
    </row>
    <row r="1399" spans="1:10" s="65" customFormat="1" ht="14" x14ac:dyDescent="0.35">
      <c r="A1399" s="145"/>
      <c r="E1399" s="102"/>
      <c r="F1399" s="102"/>
      <c r="G1399" s="102"/>
      <c r="I1399" s="93"/>
      <c r="J1399" s="93"/>
    </row>
    <row r="1400" spans="1:10" s="65" customFormat="1" ht="14" x14ac:dyDescent="0.35">
      <c r="A1400" s="145"/>
      <c r="E1400" s="102"/>
      <c r="F1400" s="102"/>
      <c r="G1400" s="102"/>
      <c r="I1400" s="93"/>
      <c r="J1400" s="93"/>
    </row>
    <row r="1401" spans="1:10" s="65" customFormat="1" ht="14" x14ac:dyDescent="0.35">
      <c r="A1401" s="145"/>
      <c r="E1401" s="102"/>
      <c r="F1401" s="102"/>
      <c r="G1401" s="102"/>
      <c r="I1401" s="93"/>
      <c r="J1401" s="93"/>
    </row>
    <row r="1402" spans="1:10" s="65" customFormat="1" ht="14" x14ac:dyDescent="0.35">
      <c r="A1402" s="145"/>
      <c r="E1402" s="102"/>
      <c r="F1402" s="102"/>
      <c r="G1402" s="102"/>
      <c r="I1402" s="93"/>
      <c r="J1402" s="93"/>
    </row>
    <row r="1403" spans="1:10" s="65" customFormat="1" ht="14" x14ac:dyDescent="0.35">
      <c r="A1403" s="145"/>
      <c r="E1403" s="102"/>
      <c r="F1403" s="102"/>
      <c r="G1403" s="102"/>
      <c r="I1403" s="93"/>
      <c r="J1403" s="93"/>
    </row>
    <row r="1404" spans="1:10" s="65" customFormat="1" ht="14" x14ac:dyDescent="0.35">
      <c r="A1404" s="145"/>
      <c r="E1404" s="102"/>
      <c r="F1404" s="102"/>
      <c r="G1404" s="102"/>
      <c r="I1404" s="93"/>
      <c r="J1404" s="93"/>
    </row>
    <row r="1405" spans="1:10" s="65" customFormat="1" ht="14" x14ac:dyDescent="0.35">
      <c r="A1405" s="145"/>
      <c r="E1405" s="102"/>
      <c r="F1405" s="102"/>
      <c r="G1405" s="102"/>
      <c r="I1405" s="93"/>
      <c r="J1405" s="93"/>
    </row>
    <row r="1406" spans="1:10" s="65" customFormat="1" ht="14" x14ac:dyDescent="0.35">
      <c r="A1406" s="145"/>
      <c r="E1406" s="102"/>
      <c r="F1406" s="102"/>
      <c r="G1406" s="102"/>
      <c r="I1406" s="93"/>
      <c r="J1406" s="93"/>
    </row>
    <row r="1407" spans="1:10" s="65" customFormat="1" ht="14" x14ac:dyDescent="0.35">
      <c r="A1407" s="145"/>
      <c r="E1407" s="102"/>
      <c r="F1407" s="102"/>
      <c r="G1407" s="102"/>
      <c r="I1407" s="93"/>
      <c r="J1407" s="93"/>
    </row>
    <row r="1408" spans="1:10" s="65" customFormat="1" ht="14" x14ac:dyDescent="0.35">
      <c r="A1408" s="145"/>
      <c r="E1408" s="102"/>
      <c r="F1408" s="102"/>
      <c r="G1408" s="102"/>
      <c r="I1408" s="93"/>
      <c r="J1408" s="93"/>
    </row>
    <row r="1409" spans="1:10" s="65" customFormat="1" ht="14" x14ac:dyDescent="0.35">
      <c r="A1409" s="145"/>
      <c r="E1409" s="102"/>
      <c r="F1409" s="102"/>
      <c r="G1409" s="102"/>
      <c r="I1409" s="93"/>
      <c r="J1409" s="93"/>
    </row>
    <row r="1410" spans="1:10" s="65" customFormat="1" ht="14" x14ac:dyDescent="0.35">
      <c r="A1410" s="145"/>
      <c r="E1410" s="102"/>
      <c r="F1410" s="102"/>
      <c r="G1410" s="102"/>
      <c r="I1410" s="93"/>
      <c r="J1410" s="93"/>
    </row>
    <row r="1411" spans="1:10" s="65" customFormat="1" ht="14" x14ac:dyDescent="0.35">
      <c r="A1411" s="145"/>
      <c r="E1411" s="102"/>
      <c r="F1411" s="102"/>
      <c r="G1411" s="102"/>
      <c r="I1411" s="93"/>
      <c r="J1411" s="93"/>
    </row>
    <row r="1412" spans="1:10" s="65" customFormat="1" ht="14" x14ac:dyDescent="0.35">
      <c r="A1412" s="145"/>
      <c r="E1412" s="102"/>
      <c r="F1412" s="102"/>
      <c r="G1412" s="102"/>
      <c r="I1412" s="93"/>
      <c r="J1412" s="93"/>
    </row>
    <row r="1413" spans="1:10" s="65" customFormat="1" ht="14" x14ac:dyDescent="0.35">
      <c r="A1413" s="145"/>
      <c r="E1413" s="102"/>
      <c r="F1413" s="102"/>
      <c r="G1413" s="102"/>
      <c r="I1413" s="93"/>
      <c r="J1413" s="93"/>
    </row>
    <row r="1414" spans="1:10" s="65" customFormat="1" ht="14" x14ac:dyDescent="0.35">
      <c r="A1414" s="145"/>
      <c r="E1414" s="102"/>
      <c r="F1414" s="102"/>
      <c r="G1414" s="102"/>
      <c r="I1414" s="93"/>
      <c r="J1414" s="93"/>
    </row>
    <row r="1415" spans="1:10" s="65" customFormat="1" ht="14" x14ac:dyDescent="0.35">
      <c r="A1415" s="145"/>
      <c r="E1415" s="102"/>
      <c r="F1415" s="102"/>
      <c r="G1415" s="102"/>
      <c r="I1415" s="93"/>
      <c r="J1415" s="93"/>
    </row>
    <row r="1416" spans="1:10" s="65" customFormat="1" ht="14" x14ac:dyDescent="0.35">
      <c r="A1416" s="145"/>
      <c r="E1416" s="102"/>
      <c r="F1416" s="102"/>
      <c r="G1416" s="102"/>
      <c r="I1416" s="93"/>
      <c r="J1416" s="93"/>
    </row>
    <row r="1417" spans="1:10" s="65" customFormat="1" ht="14" x14ac:dyDescent="0.35">
      <c r="A1417" s="145"/>
      <c r="E1417" s="102"/>
      <c r="F1417" s="102"/>
      <c r="G1417" s="102"/>
      <c r="I1417" s="93"/>
      <c r="J1417" s="93"/>
    </row>
    <row r="1418" spans="1:10" s="65" customFormat="1" ht="14" x14ac:dyDescent="0.35">
      <c r="A1418" s="145"/>
      <c r="E1418" s="102"/>
      <c r="F1418" s="102"/>
      <c r="G1418" s="102"/>
      <c r="I1418" s="93"/>
      <c r="J1418" s="93"/>
    </row>
    <row r="1419" spans="1:10" s="65" customFormat="1" ht="14" x14ac:dyDescent="0.35">
      <c r="A1419" s="145"/>
      <c r="E1419" s="102"/>
      <c r="F1419" s="102"/>
      <c r="G1419" s="102"/>
      <c r="I1419" s="93"/>
      <c r="J1419" s="93"/>
    </row>
    <row r="1420" spans="1:10" s="65" customFormat="1" ht="14" x14ac:dyDescent="0.35">
      <c r="A1420" s="145"/>
      <c r="E1420" s="102"/>
      <c r="F1420" s="102"/>
      <c r="G1420" s="102"/>
      <c r="I1420" s="93"/>
      <c r="J1420" s="93"/>
    </row>
    <row r="1421" spans="1:10" s="65" customFormat="1" ht="14" x14ac:dyDescent="0.35">
      <c r="A1421" s="145"/>
      <c r="E1421" s="102"/>
      <c r="F1421" s="102"/>
      <c r="G1421" s="102"/>
      <c r="I1421" s="93"/>
      <c r="J1421" s="93"/>
    </row>
    <row r="1422" spans="1:10" s="65" customFormat="1" ht="14" x14ac:dyDescent="0.35">
      <c r="A1422" s="145"/>
      <c r="E1422" s="102"/>
      <c r="F1422" s="102"/>
      <c r="G1422" s="102"/>
      <c r="I1422" s="93"/>
      <c r="J1422" s="93"/>
    </row>
    <row r="1423" spans="1:10" s="65" customFormat="1" ht="14" x14ac:dyDescent="0.35">
      <c r="A1423" s="145"/>
      <c r="E1423" s="102"/>
      <c r="F1423" s="102"/>
      <c r="G1423" s="102"/>
      <c r="I1423" s="93"/>
      <c r="J1423" s="93"/>
    </row>
    <row r="1424" spans="1:10" s="65" customFormat="1" ht="14" x14ac:dyDescent="0.35">
      <c r="A1424" s="145"/>
      <c r="E1424" s="102"/>
      <c r="F1424" s="102"/>
      <c r="G1424" s="102"/>
      <c r="I1424" s="93"/>
      <c r="J1424" s="93"/>
    </row>
    <row r="1425" spans="1:10" s="65" customFormat="1" ht="14" x14ac:dyDescent="0.35">
      <c r="A1425" s="145"/>
      <c r="E1425" s="102"/>
      <c r="F1425" s="102"/>
      <c r="G1425" s="102"/>
      <c r="I1425" s="93"/>
      <c r="J1425" s="93"/>
    </row>
    <row r="1426" spans="1:10" s="65" customFormat="1" ht="14" x14ac:dyDescent="0.35">
      <c r="A1426" s="145"/>
      <c r="E1426" s="102"/>
      <c r="F1426" s="102"/>
      <c r="G1426" s="102"/>
      <c r="I1426" s="93"/>
      <c r="J1426" s="93"/>
    </row>
    <row r="1427" spans="1:10" s="65" customFormat="1" ht="14" x14ac:dyDescent="0.35">
      <c r="A1427" s="145"/>
      <c r="E1427" s="102"/>
      <c r="F1427" s="102"/>
      <c r="G1427" s="102"/>
      <c r="I1427" s="93"/>
      <c r="J1427" s="93"/>
    </row>
    <row r="1428" spans="1:10" s="65" customFormat="1" ht="14" x14ac:dyDescent="0.35">
      <c r="A1428" s="145"/>
      <c r="E1428" s="102"/>
      <c r="F1428" s="102"/>
      <c r="G1428" s="102"/>
      <c r="I1428" s="93"/>
      <c r="J1428" s="93"/>
    </row>
    <row r="1429" spans="1:10" s="65" customFormat="1" ht="14" x14ac:dyDescent="0.35">
      <c r="A1429" s="145"/>
      <c r="E1429" s="102"/>
      <c r="F1429" s="102"/>
      <c r="G1429" s="102"/>
      <c r="I1429" s="93"/>
      <c r="J1429" s="93"/>
    </row>
    <row r="1430" spans="1:10" s="65" customFormat="1" ht="14" x14ac:dyDescent="0.35">
      <c r="A1430" s="145"/>
      <c r="E1430" s="102"/>
      <c r="F1430" s="102"/>
      <c r="G1430" s="102"/>
      <c r="I1430" s="93"/>
      <c r="J1430" s="93"/>
    </row>
    <row r="1431" spans="1:10" s="65" customFormat="1" ht="14" x14ac:dyDescent="0.35">
      <c r="A1431" s="145"/>
      <c r="E1431" s="102"/>
      <c r="F1431" s="102"/>
      <c r="G1431" s="102"/>
      <c r="I1431" s="93"/>
      <c r="J1431" s="93"/>
    </row>
    <row r="1432" spans="1:10" s="65" customFormat="1" ht="14" x14ac:dyDescent="0.35">
      <c r="A1432" s="145"/>
      <c r="E1432" s="102"/>
      <c r="F1432" s="102"/>
      <c r="G1432" s="102"/>
      <c r="I1432" s="93"/>
      <c r="J1432" s="93"/>
    </row>
    <row r="1433" spans="1:10" s="65" customFormat="1" ht="14" x14ac:dyDescent="0.35">
      <c r="A1433" s="145"/>
      <c r="E1433" s="102"/>
      <c r="F1433" s="102"/>
      <c r="G1433" s="102"/>
      <c r="I1433" s="93"/>
      <c r="J1433" s="93"/>
    </row>
    <row r="1434" spans="1:10" s="65" customFormat="1" ht="14" x14ac:dyDescent="0.35">
      <c r="A1434" s="145"/>
      <c r="E1434" s="102"/>
      <c r="F1434" s="102"/>
      <c r="G1434" s="102"/>
      <c r="I1434" s="93"/>
      <c r="J1434" s="93"/>
    </row>
    <row r="1435" spans="1:10" s="65" customFormat="1" ht="14" x14ac:dyDescent="0.35">
      <c r="A1435" s="145"/>
      <c r="E1435" s="102"/>
      <c r="F1435" s="102"/>
      <c r="G1435" s="102"/>
      <c r="I1435" s="93"/>
      <c r="J1435" s="93"/>
    </row>
    <row r="1436" spans="1:10" s="65" customFormat="1" ht="14" x14ac:dyDescent="0.35">
      <c r="A1436" s="145"/>
      <c r="E1436" s="102"/>
      <c r="F1436" s="102"/>
      <c r="G1436" s="102"/>
      <c r="I1436" s="93"/>
      <c r="J1436" s="93"/>
    </row>
    <row r="1437" spans="1:10" s="65" customFormat="1" ht="14" x14ac:dyDescent="0.35">
      <c r="A1437" s="145"/>
      <c r="E1437" s="102"/>
      <c r="F1437" s="102"/>
      <c r="G1437" s="102"/>
      <c r="I1437" s="93"/>
      <c r="J1437" s="93"/>
    </row>
    <row r="1438" spans="1:10" s="65" customFormat="1" ht="14" x14ac:dyDescent="0.35">
      <c r="A1438" s="145"/>
      <c r="E1438" s="102"/>
      <c r="F1438" s="102"/>
      <c r="G1438" s="102"/>
      <c r="I1438" s="93"/>
      <c r="J1438" s="93"/>
    </row>
    <row r="1439" spans="1:10" s="65" customFormat="1" ht="14" x14ac:dyDescent="0.35">
      <c r="A1439" s="145"/>
      <c r="E1439" s="102"/>
      <c r="F1439" s="102"/>
      <c r="G1439" s="102"/>
      <c r="I1439" s="93"/>
      <c r="J1439" s="93"/>
    </row>
    <row r="1440" spans="1:10" s="65" customFormat="1" ht="14" x14ac:dyDescent="0.35">
      <c r="A1440" s="145"/>
      <c r="E1440" s="102"/>
      <c r="F1440" s="102"/>
      <c r="G1440" s="102"/>
      <c r="I1440" s="93"/>
      <c r="J1440" s="93"/>
    </row>
    <row r="1441" spans="1:10" s="65" customFormat="1" ht="14" x14ac:dyDescent="0.35">
      <c r="A1441" s="145"/>
      <c r="E1441" s="102"/>
      <c r="F1441" s="102"/>
      <c r="G1441" s="102"/>
      <c r="I1441" s="93"/>
      <c r="J1441" s="93"/>
    </row>
    <row r="1442" spans="1:10" s="65" customFormat="1" ht="14" x14ac:dyDescent="0.35">
      <c r="A1442" s="145"/>
      <c r="E1442" s="102"/>
      <c r="F1442" s="102"/>
      <c r="G1442" s="102"/>
      <c r="I1442" s="93"/>
      <c r="J1442" s="93"/>
    </row>
    <row r="1443" spans="1:10" s="65" customFormat="1" ht="14" x14ac:dyDescent="0.35">
      <c r="A1443" s="145"/>
      <c r="E1443" s="102"/>
      <c r="F1443" s="102"/>
      <c r="G1443" s="102"/>
      <c r="I1443" s="93"/>
      <c r="J1443" s="93"/>
    </row>
    <row r="1444" spans="1:10" s="65" customFormat="1" ht="14" x14ac:dyDescent="0.35">
      <c r="A1444" s="145"/>
      <c r="E1444" s="102"/>
      <c r="F1444" s="102"/>
      <c r="G1444" s="102"/>
      <c r="I1444" s="93"/>
      <c r="J1444" s="93"/>
    </row>
    <row r="1445" spans="1:10" s="65" customFormat="1" ht="14" x14ac:dyDescent="0.35">
      <c r="A1445" s="145"/>
      <c r="E1445" s="102"/>
      <c r="F1445" s="102"/>
      <c r="G1445" s="102"/>
      <c r="I1445" s="93"/>
      <c r="J1445" s="93"/>
    </row>
    <row r="1446" spans="1:10" s="65" customFormat="1" ht="14" x14ac:dyDescent="0.35">
      <c r="A1446" s="145"/>
      <c r="E1446" s="102"/>
      <c r="F1446" s="102"/>
      <c r="G1446" s="102"/>
      <c r="I1446" s="93"/>
      <c r="J1446" s="93"/>
    </row>
    <row r="1447" spans="1:10" s="65" customFormat="1" ht="14" x14ac:dyDescent="0.35">
      <c r="A1447" s="145"/>
      <c r="E1447" s="102"/>
      <c r="F1447" s="102"/>
      <c r="G1447" s="102"/>
      <c r="I1447" s="93"/>
      <c r="J1447" s="93"/>
    </row>
    <row r="1448" spans="1:10" s="65" customFormat="1" ht="14" x14ac:dyDescent="0.35">
      <c r="A1448" s="145"/>
      <c r="E1448" s="102"/>
      <c r="F1448" s="102"/>
      <c r="G1448" s="102"/>
      <c r="I1448" s="93"/>
      <c r="J1448" s="93"/>
    </row>
    <row r="1449" spans="1:10" s="65" customFormat="1" ht="14" x14ac:dyDescent="0.35">
      <c r="A1449" s="145"/>
      <c r="E1449" s="102"/>
      <c r="F1449" s="102"/>
      <c r="G1449" s="102"/>
      <c r="I1449" s="93"/>
      <c r="J1449" s="93"/>
    </row>
    <row r="1450" spans="1:10" s="65" customFormat="1" ht="14" x14ac:dyDescent="0.35">
      <c r="A1450" s="145"/>
      <c r="E1450" s="102"/>
      <c r="F1450" s="102"/>
      <c r="G1450" s="102"/>
      <c r="I1450" s="93"/>
      <c r="J1450" s="93"/>
    </row>
    <row r="1451" spans="1:10" s="65" customFormat="1" ht="14" x14ac:dyDescent="0.35">
      <c r="A1451" s="145"/>
      <c r="E1451" s="102"/>
      <c r="F1451" s="102"/>
      <c r="G1451" s="102"/>
      <c r="I1451" s="93"/>
      <c r="J1451" s="93"/>
    </row>
    <row r="1452" spans="1:10" s="65" customFormat="1" ht="14" x14ac:dyDescent="0.35">
      <c r="A1452" s="145"/>
      <c r="E1452" s="102"/>
      <c r="F1452" s="102"/>
      <c r="G1452" s="102"/>
      <c r="I1452" s="93"/>
      <c r="J1452" s="93"/>
    </row>
    <row r="1453" spans="1:10" s="65" customFormat="1" ht="14" x14ac:dyDescent="0.35">
      <c r="A1453" s="145"/>
      <c r="E1453" s="102"/>
      <c r="F1453" s="102"/>
      <c r="G1453" s="102"/>
      <c r="I1453" s="93"/>
      <c r="J1453" s="93"/>
    </row>
    <row r="1454" spans="1:10" s="65" customFormat="1" ht="14" x14ac:dyDescent="0.35">
      <c r="A1454" s="145"/>
      <c r="E1454" s="102"/>
      <c r="F1454" s="102"/>
      <c r="G1454" s="102"/>
      <c r="I1454" s="93"/>
      <c r="J1454" s="93"/>
    </row>
    <row r="1455" spans="1:10" s="65" customFormat="1" ht="14" x14ac:dyDescent="0.35">
      <c r="A1455" s="145"/>
      <c r="E1455" s="102"/>
      <c r="F1455" s="102"/>
      <c r="G1455" s="102"/>
      <c r="I1455" s="93"/>
      <c r="J1455" s="93"/>
    </row>
    <row r="1456" spans="1:10" s="65" customFormat="1" ht="14" x14ac:dyDescent="0.35">
      <c r="A1456" s="145"/>
      <c r="E1456" s="102"/>
      <c r="F1456" s="102"/>
      <c r="G1456" s="102"/>
      <c r="I1456" s="93"/>
      <c r="J1456" s="93"/>
    </row>
    <row r="1457" spans="1:10" s="65" customFormat="1" ht="14" x14ac:dyDescent="0.35">
      <c r="A1457" s="145"/>
      <c r="E1457" s="102"/>
      <c r="F1457" s="102"/>
      <c r="G1457" s="102"/>
      <c r="I1457" s="93"/>
      <c r="J1457" s="93"/>
    </row>
    <row r="1458" spans="1:10" s="65" customFormat="1" ht="14" x14ac:dyDescent="0.35">
      <c r="A1458" s="145"/>
      <c r="E1458" s="102"/>
      <c r="F1458" s="102"/>
      <c r="G1458" s="102"/>
      <c r="I1458" s="93"/>
      <c r="J1458" s="93"/>
    </row>
    <row r="1459" spans="1:10" s="65" customFormat="1" ht="14" x14ac:dyDescent="0.35">
      <c r="A1459" s="145"/>
      <c r="E1459" s="102"/>
      <c r="F1459" s="102"/>
      <c r="G1459" s="102"/>
      <c r="I1459" s="93"/>
      <c r="J1459" s="93"/>
    </row>
    <row r="1460" spans="1:10" s="65" customFormat="1" ht="14" x14ac:dyDescent="0.35">
      <c r="A1460" s="145"/>
      <c r="E1460" s="102"/>
      <c r="F1460" s="102"/>
      <c r="G1460" s="102"/>
      <c r="I1460" s="93"/>
      <c r="J1460" s="93"/>
    </row>
    <row r="1461" spans="1:10" s="65" customFormat="1" ht="14" x14ac:dyDescent="0.35">
      <c r="A1461" s="145"/>
      <c r="E1461" s="102"/>
      <c r="F1461" s="102"/>
      <c r="G1461" s="102"/>
      <c r="I1461" s="93"/>
      <c r="J1461" s="93"/>
    </row>
    <row r="1462" spans="1:10" s="65" customFormat="1" ht="14" x14ac:dyDescent="0.35">
      <c r="A1462" s="145"/>
      <c r="E1462" s="102"/>
      <c r="F1462" s="102"/>
      <c r="G1462" s="102"/>
      <c r="I1462" s="93"/>
      <c r="J1462" s="93"/>
    </row>
    <row r="1463" spans="1:10" s="65" customFormat="1" ht="14" x14ac:dyDescent="0.35">
      <c r="A1463" s="145"/>
      <c r="E1463" s="102"/>
      <c r="F1463" s="102"/>
      <c r="G1463" s="102"/>
      <c r="I1463" s="93"/>
      <c r="J1463" s="93"/>
    </row>
    <row r="1464" spans="1:10" s="65" customFormat="1" ht="14" x14ac:dyDescent="0.35">
      <c r="A1464" s="145"/>
      <c r="E1464" s="102"/>
      <c r="F1464" s="102"/>
      <c r="G1464" s="102"/>
      <c r="I1464" s="93"/>
      <c r="J1464" s="93"/>
    </row>
    <row r="1465" spans="1:10" s="65" customFormat="1" ht="14" x14ac:dyDescent="0.35">
      <c r="A1465" s="145"/>
      <c r="E1465" s="102"/>
      <c r="F1465" s="102"/>
      <c r="G1465" s="102"/>
      <c r="I1465" s="93"/>
      <c r="J1465" s="93"/>
    </row>
    <row r="1466" spans="1:10" s="65" customFormat="1" ht="14" x14ac:dyDescent="0.35">
      <c r="A1466" s="145"/>
      <c r="E1466" s="102"/>
      <c r="F1466" s="102"/>
      <c r="G1466" s="102"/>
      <c r="I1466" s="93"/>
      <c r="J1466" s="93"/>
    </row>
    <row r="1467" spans="1:10" s="65" customFormat="1" ht="14" x14ac:dyDescent="0.35">
      <c r="A1467" s="145"/>
      <c r="E1467" s="102"/>
      <c r="F1467" s="102"/>
      <c r="G1467" s="102"/>
      <c r="I1467" s="93"/>
      <c r="J1467" s="93"/>
    </row>
    <row r="1468" spans="1:10" s="65" customFormat="1" ht="14" x14ac:dyDescent="0.35">
      <c r="A1468" s="145"/>
      <c r="E1468" s="102"/>
      <c r="F1468" s="102"/>
      <c r="G1468" s="102"/>
      <c r="I1468" s="93"/>
      <c r="J1468" s="93"/>
    </row>
    <row r="1469" spans="1:10" s="65" customFormat="1" ht="14" x14ac:dyDescent="0.35">
      <c r="A1469" s="145"/>
      <c r="E1469" s="102"/>
      <c r="F1469" s="102"/>
      <c r="G1469" s="102"/>
      <c r="I1469" s="93"/>
      <c r="J1469" s="93"/>
    </row>
    <row r="1470" spans="1:10" s="65" customFormat="1" ht="14" x14ac:dyDescent="0.35">
      <c r="A1470" s="145"/>
      <c r="E1470" s="102"/>
      <c r="F1470" s="102"/>
      <c r="G1470" s="102"/>
      <c r="I1470" s="93"/>
      <c r="J1470" s="93"/>
    </row>
    <row r="1471" spans="1:10" s="65" customFormat="1" ht="14" x14ac:dyDescent="0.35">
      <c r="A1471" s="145"/>
      <c r="E1471" s="102"/>
      <c r="F1471" s="102"/>
      <c r="G1471" s="102"/>
      <c r="I1471" s="93"/>
      <c r="J1471" s="93"/>
    </row>
    <row r="1472" spans="1:10" s="65" customFormat="1" ht="14" x14ac:dyDescent="0.35">
      <c r="A1472" s="145"/>
      <c r="E1472" s="102"/>
      <c r="F1472" s="102"/>
      <c r="G1472" s="102"/>
      <c r="I1472" s="93"/>
      <c r="J1472" s="93"/>
    </row>
    <row r="1473" spans="1:10" s="65" customFormat="1" ht="14" x14ac:dyDescent="0.35">
      <c r="A1473" s="145"/>
      <c r="E1473" s="102"/>
      <c r="F1473" s="102"/>
      <c r="G1473" s="102"/>
      <c r="I1473" s="93"/>
      <c r="J1473" s="93"/>
    </row>
    <row r="1474" spans="1:10" s="65" customFormat="1" ht="14" x14ac:dyDescent="0.35">
      <c r="A1474" s="145"/>
      <c r="E1474" s="102"/>
      <c r="F1474" s="102"/>
      <c r="G1474" s="102"/>
      <c r="I1474" s="93"/>
      <c r="J1474" s="93"/>
    </row>
    <row r="1475" spans="1:10" s="65" customFormat="1" ht="14" x14ac:dyDescent="0.35">
      <c r="A1475" s="145"/>
      <c r="E1475" s="102"/>
      <c r="F1475" s="102"/>
      <c r="G1475" s="102"/>
      <c r="I1475" s="93"/>
      <c r="J1475" s="93"/>
    </row>
    <row r="1476" spans="1:10" s="65" customFormat="1" ht="14" x14ac:dyDescent="0.35">
      <c r="A1476" s="145"/>
      <c r="E1476" s="102"/>
      <c r="F1476" s="102"/>
      <c r="G1476" s="102"/>
      <c r="I1476" s="93"/>
      <c r="J1476" s="93"/>
    </row>
    <row r="1477" spans="1:10" s="65" customFormat="1" ht="14" x14ac:dyDescent="0.35">
      <c r="A1477" s="145"/>
      <c r="E1477" s="102"/>
      <c r="F1477" s="102"/>
      <c r="G1477" s="102"/>
      <c r="I1477" s="93"/>
      <c r="J1477" s="93"/>
    </row>
    <row r="1478" spans="1:10" s="65" customFormat="1" ht="14" x14ac:dyDescent="0.35">
      <c r="A1478" s="145"/>
      <c r="E1478" s="102"/>
      <c r="F1478" s="102"/>
      <c r="G1478" s="102"/>
      <c r="I1478" s="93"/>
      <c r="J1478" s="93"/>
    </row>
    <row r="1479" spans="1:10" s="65" customFormat="1" ht="14" x14ac:dyDescent="0.35">
      <c r="A1479" s="145"/>
      <c r="E1479" s="102"/>
      <c r="F1479" s="102"/>
      <c r="G1479" s="102"/>
      <c r="I1479" s="93"/>
      <c r="J1479" s="93"/>
    </row>
    <row r="1480" spans="1:10" s="65" customFormat="1" ht="14" x14ac:dyDescent="0.35">
      <c r="A1480" s="145"/>
      <c r="E1480" s="102"/>
      <c r="F1480" s="102"/>
      <c r="G1480" s="102"/>
      <c r="I1480" s="93"/>
      <c r="J1480" s="93"/>
    </row>
    <row r="1481" spans="1:10" s="65" customFormat="1" ht="14" x14ac:dyDescent="0.35">
      <c r="A1481" s="145"/>
      <c r="E1481" s="102"/>
      <c r="F1481" s="102"/>
      <c r="G1481" s="102"/>
      <c r="I1481" s="93"/>
      <c r="J1481" s="93"/>
    </row>
    <row r="1482" spans="1:10" s="65" customFormat="1" ht="14" x14ac:dyDescent="0.35">
      <c r="A1482" s="145"/>
      <c r="E1482" s="102"/>
      <c r="F1482" s="102"/>
      <c r="G1482" s="102"/>
      <c r="I1482" s="93"/>
      <c r="J1482" s="93"/>
    </row>
    <row r="1483" spans="1:10" s="65" customFormat="1" ht="14" x14ac:dyDescent="0.35">
      <c r="A1483" s="145"/>
      <c r="E1483" s="102"/>
      <c r="F1483" s="102"/>
      <c r="G1483" s="102"/>
      <c r="I1483" s="93"/>
      <c r="J1483" s="93"/>
    </row>
    <row r="1484" spans="1:10" s="65" customFormat="1" ht="14" x14ac:dyDescent="0.35">
      <c r="A1484" s="145"/>
      <c r="E1484" s="102"/>
      <c r="F1484" s="102"/>
      <c r="G1484" s="102"/>
      <c r="I1484" s="93"/>
      <c r="J1484" s="93"/>
    </row>
    <row r="1485" spans="1:10" s="65" customFormat="1" ht="14" x14ac:dyDescent="0.35">
      <c r="A1485" s="145"/>
      <c r="E1485" s="102"/>
      <c r="F1485" s="102"/>
      <c r="G1485" s="102"/>
      <c r="I1485" s="93"/>
      <c r="J1485" s="93"/>
    </row>
    <row r="1486" spans="1:10" s="65" customFormat="1" ht="14" x14ac:dyDescent="0.35">
      <c r="A1486" s="145"/>
      <c r="E1486" s="102"/>
      <c r="F1486" s="102"/>
      <c r="G1486" s="102"/>
      <c r="I1486" s="93"/>
      <c r="J1486" s="93"/>
    </row>
    <row r="1487" spans="1:10" s="65" customFormat="1" ht="14" x14ac:dyDescent="0.35">
      <c r="A1487" s="145"/>
      <c r="E1487" s="102"/>
      <c r="F1487" s="102"/>
      <c r="G1487" s="102"/>
      <c r="I1487" s="93"/>
      <c r="J1487" s="93"/>
    </row>
    <row r="1488" spans="1:10" s="65" customFormat="1" ht="14" x14ac:dyDescent="0.35">
      <c r="A1488" s="145"/>
      <c r="E1488" s="102"/>
      <c r="F1488" s="102"/>
      <c r="G1488" s="102"/>
      <c r="I1488" s="93"/>
      <c r="J1488" s="93"/>
    </row>
    <row r="1489" spans="1:10" s="65" customFormat="1" ht="14" x14ac:dyDescent="0.35">
      <c r="A1489" s="145"/>
      <c r="E1489" s="102"/>
      <c r="F1489" s="102"/>
      <c r="G1489" s="102"/>
      <c r="I1489" s="93"/>
      <c r="J1489" s="93"/>
    </row>
    <row r="1490" spans="1:10" s="65" customFormat="1" ht="14" x14ac:dyDescent="0.35">
      <c r="A1490" s="145"/>
      <c r="E1490" s="102"/>
      <c r="F1490" s="102"/>
      <c r="G1490" s="102"/>
      <c r="I1490" s="93"/>
      <c r="J1490" s="93"/>
    </row>
    <row r="1491" spans="1:10" s="65" customFormat="1" ht="14" x14ac:dyDescent="0.35">
      <c r="A1491" s="145"/>
      <c r="E1491" s="102"/>
      <c r="F1491" s="102"/>
      <c r="G1491" s="102"/>
      <c r="I1491" s="93"/>
      <c r="J1491" s="93"/>
    </row>
    <row r="1492" spans="1:10" s="65" customFormat="1" ht="14" x14ac:dyDescent="0.35">
      <c r="A1492" s="145"/>
      <c r="E1492" s="102"/>
      <c r="F1492" s="102"/>
      <c r="G1492" s="102"/>
      <c r="I1492" s="93"/>
      <c r="J1492" s="93"/>
    </row>
    <row r="1493" spans="1:10" s="65" customFormat="1" ht="14" x14ac:dyDescent="0.35">
      <c r="A1493" s="145"/>
      <c r="E1493" s="102"/>
      <c r="F1493" s="102"/>
      <c r="G1493" s="102"/>
      <c r="I1493" s="93"/>
      <c r="J1493" s="93"/>
    </row>
    <row r="1494" spans="1:10" s="65" customFormat="1" ht="14" x14ac:dyDescent="0.35">
      <c r="A1494" s="145"/>
      <c r="E1494" s="102"/>
      <c r="F1494" s="102"/>
      <c r="G1494" s="102"/>
      <c r="I1494" s="93"/>
      <c r="J1494" s="93"/>
    </row>
    <row r="1495" spans="1:10" s="65" customFormat="1" ht="14" x14ac:dyDescent="0.35">
      <c r="A1495" s="145"/>
      <c r="E1495" s="102"/>
      <c r="F1495" s="102"/>
      <c r="G1495" s="102"/>
      <c r="I1495" s="93"/>
      <c r="J1495" s="93"/>
    </row>
    <row r="1496" spans="1:10" s="65" customFormat="1" ht="14" x14ac:dyDescent="0.35">
      <c r="A1496" s="145"/>
      <c r="E1496" s="102"/>
      <c r="F1496" s="102"/>
      <c r="G1496" s="102"/>
      <c r="I1496" s="93"/>
      <c r="J1496" s="93"/>
    </row>
    <row r="1497" spans="1:10" s="65" customFormat="1" ht="14" x14ac:dyDescent="0.35">
      <c r="A1497" s="145"/>
      <c r="E1497" s="102"/>
      <c r="F1497" s="102"/>
      <c r="G1497" s="102"/>
      <c r="I1497" s="93"/>
      <c r="J1497" s="93"/>
    </row>
    <row r="1498" spans="1:10" s="65" customFormat="1" ht="14" x14ac:dyDescent="0.35">
      <c r="A1498" s="145"/>
      <c r="E1498" s="102"/>
      <c r="F1498" s="102"/>
      <c r="G1498" s="102"/>
      <c r="I1498" s="93"/>
      <c r="J1498" s="93"/>
    </row>
    <row r="1499" spans="1:10" s="65" customFormat="1" ht="14" x14ac:dyDescent="0.35">
      <c r="A1499" s="145"/>
      <c r="E1499" s="102"/>
      <c r="F1499" s="102"/>
      <c r="G1499" s="102"/>
      <c r="I1499" s="93"/>
      <c r="J1499" s="93"/>
    </row>
    <row r="1500" spans="1:10" s="65" customFormat="1" ht="14" x14ac:dyDescent="0.35">
      <c r="A1500" s="145"/>
      <c r="E1500" s="102"/>
      <c r="F1500" s="102"/>
      <c r="G1500" s="102"/>
      <c r="I1500" s="93"/>
      <c r="J1500" s="93"/>
    </row>
    <row r="1501" spans="1:10" s="65" customFormat="1" ht="14" x14ac:dyDescent="0.35">
      <c r="A1501" s="145"/>
      <c r="E1501" s="102"/>
      <c r="F1501" s="102"/>
      <c r="G1501" s="102"/>
      <c r="I1501" s="93"/>
      <c r="J1501" s="93"/>
    </row>
    <row r="1502" spans="1:10" s="65" customFormat="1" ht="14" x14ac:dyDescent="0.35">
      <c r="A1502" s="145"/>
      <c r="E1502" s="102"/>
      <c r="F1502" s="102"/>
      <c r="G1502" s="102"/>
      <c r="I1502" s="93"/>
      <c r="J1502" s="93"/>
    </row>
    <row r="1503" spans="1:10" s="65" customFormat="1" ht="14" x14ac:dyDescent="0.35">
      <c r="A1503" s="145"/>
      <c r="E1503" s="102"/>
      <c r="F1503" s="102"/>
      <c r="G1503" s="102"/>
      <c r="I1503" s="93"/>
      <c r="J1503" s="93"/>
    </row>
    <row r="1504" spans="1:10" s="65" customFormat="1" ht="14" x14ac:dyDescent="0.35">
      <c r="A1504" s="145"/>
      <c r="E1504" s="102"/>
      <c r="F1504" s="102"/>
      <c r="G1504" s="102"/>
      <c r="I1504" s="93"/>
      <c r="J1504" s="93"/>
    </row>
    <row r="1505" spans="1:10" s="65" customFormat="1" ht="14" x14ac:dyDescent="0.35">
      <c r="A1505" s="145"/>
      <c r="E1505" s="102"/>
      <c r="F1505" s="102"/>
      <c r="G1505" s="102"/>
      <c r="I1505" s="93"/>
      <c r="J1505" s="93"/>
    </row>
    <row r="1506" spans="1:10" s="65" customFormat="1" ht="14" x14ac:dyDescent="0.35">
      <c r="A1506" s="145"/>
      <c r="E1506" s="102"/>
      <c r="F1506" s="102"/>
      <c r="G1506" s="102"/>
      <c r="I1506" s="93"/>
      <c r="J1506" s="93"/>
    </row>
    <row r="1507" spans="1:10" s="65" customFormat="1" ht="14" x14ac:dyDescent="0.35">
      <c r="A1507" s="145"/>
      <c r="E1507" s="102"/>
      <c r="F1507" s="102"/>
      <c r="G1507" s="102"/>
      <c r="I1507" s="93"/>
      <c r="J1507" s="93"/>
    </row>
    <row r="1508" spans="1:10" s="65" customFormat="1" ht="14" x14ac:dyDescent="0.35">
      <c r="A1508" s="145"/>
      <c r="E1508" s="102"/>
      <c r="F1508" s="102"/>
      <c r="G1508" s="102"/>
      <c r="I1508" s="93"/>
      <c r="J1508" s="93"/>
    </row>
    <row r="1509" spans="1:10" s="65" customFormat="1" ht="14" x14ac:dyDescent="0.35">
      <c r="A1509" s="145"/>
      <c r="E1509" s="102"/>
      <c r="F1509" s="102"/>
      <c r="G1509" s="102"/>
      <c r="I1509" s="93"/>
      <c r="J1509" s="93"/>
    </row>
    <row r="1510" spans="1:10" s="65" customFormat="1" ht="14" x14ac:dyDescent="0.35">
      <c r="A1510" s="145"/>
      <c r="E1510" s="102"/>
      <c r="F1510" s="102"/>
      <c r="G1510" s="102"/>
      <c r="I1510" s="93"/>
      <c r="J1510" s="93"/>
    </row>
    <row r="1511" spans="1:10" s="65" customFormat="1" ht="14" x14ac:dyDescent="0.35">
      <c r="A1511" s="145"/>
      <c r="E1511" s="102"/>
      <c r="F1511" s="102"/>
      <c r="G1511" s="102"/>
      <c r="I1511" s="93"/>
      <c r="J1511" s="93"/>
    </row>
    <row r="1512" spans="1:10" s="65" customFormat="1" ht="14" x14ac:dyDescent="0.35">
      <c r="A1512" s="145"/>
      <c r="E1512" s="102"/>
      <c r="F1512" s="102"/>
      <c r="G1512" s="102"/>
      <c r="I1512" s="93"/>
      <c r="J1512" s="93"/>
    </row>
    <row r="1513" spans="1:10" s="65" customFormat="1" ht="14" x14ac:dyDescent="0.35">
      <c r="A1513" s="145"/>
      <c r="E1513" s="102"/>
      <c r="F1513" s="102"/>
      <c r="G1513" s="102"/>
      <c r="I1513" s="93"/>
      <c r="J1513" s="93"/>
    </row>
    <row r="1514" spans="1:10" s="65" customFormat="1" ht="14" x14ac:dyDescent="0.35">
      <c r="A1514" s="145"/>
      <c r="E1514" s="102"/>
      <c r="F1514" s="102"/>
      <c r="G1514" s="102"/>
      <c r="I1514" s="93"/>
      <c r="J1514" s="93"/>
    </row>
    <row r="1515" spans="1:10" s="65" customFormat="1" ht="14" x14ac:dyDescent="0.35">
      <c r="A1515" s="145"/>
      <c r="E1515" s="102"/>
      <c r="F1515" s="102"/>
      <c r="G1515" s="102"/>
      <c r="I1515" s="93"/>
      <c r="J1515" s="93"/>
    </row>
    <row r="1516" spans="1:10" s="65" customFormat="1" ht="14" x14ac:dyDescent="0.35">
      <c r="A1516" s="145"/>
      <c r="E1516" s="102"/>
      <c r="F1516" s="102"/>
      <c r="G1516" s="102"/>
      <c r="I1516" s="93"/>
      <c r="J1516" s="93"/>
    </row>
    <row r="1517" spans="1:10" s="65" customFormat="1" ht="14" x14ac:dyDescent="0.35">
      <c r="A1517" s="145"/>
      <c r="E1517" s="102"/>
      <c r="F1517" s="102"/>
      <c r="G1517" s="102"/>
      <c r="I1517" s="93"/>
      <c r="J1517" s="93"/>
    </row>
    <row r="1518" spans="1:10" s="65" customFormat="1" ht="14" x14ac:dyDescent="0.35">
      <c r="A1518" s="145"/>
      <c r="E1518" s="102"/>
      <c r="F1518" s="102"/>
      <c r="G1518" s="102"/>
      <c r="I1518" s="93"/>
      <c r="J1518" s="93"/>
    </row>
    <row r="1519" spans="1:10" s="65" customFormat="1" ht="14" x14ac:dyDescent="0.35">
      <c r="A1519" s="145"/>
      <c r="E1519" s="102"/>
      <c r="F1519" s="102"/>
      <c r="G1519" s="102"/>
      <c r="I1519" s="93"/>
      <c r="J1519" s="93"/>
    </row>
    <row r="1520" spans="1:10" s="65" customFormat="1" ht="14" x14ac:dyDescent="0.35">
      <c r="A1520" s="145"/>
      <c r="E1520" s="102"/>
      <c r="F1520" s="102"/>
      <c r="G1520" s="102"/>
      <c r="I1520" s="93"/>
      <c r="J1520" s="93"/>
    </row>
    <row r="1521" spans="1:10" s="65" customFormat="1" ht="14" x14ac:dyDescent="0.35">
      <c r="A1521" s="145"/>
      <c r="E1521" s="102"/>
      <c r="F1521" s="102"/>
      <c r="G1521" s="102"/>
      <c r="I1521" s="93"/>
      <c r="J1521" s="93"/>
    </row>
    <row r="1522" spans="1:10" s="65" customFormat="1" ht="14" x14ac:dyDescent="0.35">
      <c r="A1522" s="145"/>
      <c r="E1522" s="102"/>
      <c r="F1522" s="102"/>
      <c r="G1522" s="102"/>
      <c r="I1522" s="93"/>
      <c r="J1522" s="93"/>
    </row>
    <row r="1523" spans="1:10" s="65" customFormat="1" ht="14" x14ac:dyDescent="0.35">
      <c r="A1523" s="145"/>
      <c r="E1523" s="102"/>
      <c r="F1523" s="102"/>
      <c r="G1523" s="102"/>
      <c r="I1523" s="93"/>
      <c r="J1523" s="93"/>
    </row>
    <row r="1524" spans="1:10" s="65" customFormat="1" ht="14" x14ac:dyDescent="0.35">
      <c r="A1524" s="145"/>
      <c r="E1524" s="102"/>
      <c r="F1524" s="102"/>
      <c r="G1524" s="102"/>
      <c r="I1524" s="93"/>
      <c r="J1524" s="93"/>
    </row>
    <row r="1525" spans="1:10" s="65" customFormat="1" ht="14" x14ac:dyDescent="0.35">
      <c r="A1525" s="145"/>
      <c r="E1525" s="102"/>
      <c r="F1525" s="102"/>
      <c r="G1525" s="102"/>
      <c r="I1525" s="93"/>
      <c r="J1525" s="93"/>
    </row>
    <row r="1526" spans="1:10" s="65" customFormat="1" ht="14" x14ac:dyDescent="0.35">
      <c r="A1526" s="145"/>
      <c r="E1526" s="102"/>
      <c r="F1526" s="102"/>
      <c r="G1526" s="102"/>
      <c r="I1526" s="93"/>
      <c r="J1526" s="93"/>
    </row>
    <row r="1527" spans="1:10" s="65" customFormat="1" ht="14" x14ac:dyDescent="0.35">
      <c r="A1527" s="145"/>
      <c r="E1527" s="102"/>
      <c r="F1527" s="102"/>
      <c r="G1527" s="102"/>
      <c r="I1527" s="93"/>
      <c r="J1527" s="93"/>
    </row>
    <row r="1528" spans="1:10" s="65" customFormat="1" ht="14" x14ac:dyDescent="0.35">
      <c r="A1528" s="145"/>
      <c r="E1528" s="102"/>
      <c r="F1528" s="102"/>
      <c r="G1528" s="102"/>
      <c r="I1528" s="93"/>
      <c r="J1528" s="93"/>
    </row>
    <row r="1529" spans="1:10" s="65" customFormat="1" ht="14" x14ac:dyDescent="0.35">
      <c r="A1529" s="145"/>
      <c r="E1529" s="102"/>
      <c r="F1529" s="102"/>
      <c r="G1529" s="102"/>
      <c r="I1529" s="93"/>
      <c r="J1529" s="93"/>
    </row>
    <row r="1530" spans="1:10" s="65" customFormat="1" ht="14" x14ac:dyDescent="0.35">
      <c r="A1530" s="145"/>
      <c r="E1530" s="102"/>
      <c r="F1530" s="102"/>
      <c r="G1530" s="102"/>
      <c r="I1530" s="93"/>
      <c r="J1530" s="93"/>
    </row>
    <row r="1531" spans="1:10" s="65" customFormat="1" ht="14" x14ac:dyDescent="0.35">
      <c r="A1531" s="145"/>
      <c r="E1531" s="102"/>
      <c r="F1531" s="102"/>
      <c r="G1531" s="102"/>
      <c r="I1531" s="93"/>
      <c r="J1531" s="93"/>
    </row>
    <row r="1532" spans="1:10" s="65" customFormat="1" ht="14" x14ac:dyDescent="0.35">
      <c r="A1532" s="145"/>
      <c r="E1532" s="102"/>
      <c r="F1532" s="102"/>
      <c r="G1532" s="102"/>
      <c r="I1532" s="93"/>
      <c r="J1532" s="93"/>
    </row>
    <row r="1533" spans="1:10" s="65" customFormat="1" ht="14" x14ac:dyDescent="0.35">
      <c r="A1533" s="145"/>
      <c r="E1533" s="102"/>
      <c r="F1533" s="102"/>
      <c r="G1533" s="102"/>
      <c r="I1533" s="93"/>
      <c r="J1533" s="93"/>
    </row>
    <row r="1534" spans="1:10" s="65" customFormat="1" ht="14" x14ac:dyDescent="0.35">
      <c r="A1534" s="145"/>
      <c r="E1534" s="102"/>
      <c r="F1534" s="102"/>
      <c r="G1534" s="102"/>
      <c r="I1534" s="93"/>
      <c r="J1534" s="93"/>
    </row>
    <row r="1535" spans="1:10" s="65" customFormat="1" ht="14" x14ac:dyDescent="0.35">
      <c r="A1535" s="145"/>
      <c r="E1535" s="102"/>
      <c r="F1535" s="102"/>
      <c r="G1535" s="102"/>
      <c r="I1535" s="93"/>
      <c r="J1535" s="93"/>
    </row>
    <row r="1536" spans="1:10" s="65" customFormat="1" ht="14" x14ac:dyDescent="0.35">
      <c r="A1536" s="145"/>
      <c r="E1536" s="102"/>
      <c r="F1536" s="102"/>
      <c r="G1536" s="102"/>
      <c r="I1536" s="93"/>
      <c r="J1536" s="93"/>
    </row>
    <row r="1537" spans="1:10" s="65" customFormat="1" ht="14" x14ac:dyDescent="0.35">
      <c r="A1537" s="145"/>
      <c r="E1537" s="102"/>
      <c r="F1537" s="102"/>
      <c r="G1537" s="102"/>
      <c r="I1537" s="93"/>
      <c r="J1537" s="93"/>
    </row>
    <row r="1538" spans="1:10" s="65" customFormat="1" ht="14" x14ac:dyDescent="0.35">
      <c r="A1538" s="145"/>
      <c r="E1538" s="102"/>
      <c r="F1538" s="102"/>
      <c r="G1538" s="102"/>
      <c r="I1538" s="93"/>
      <c r="J1538" s="93"/>
    </row>
    <row r="1539" spans="1:10" s="65" customFormat="1" ht="14" x14ac:dyDescent="0.35">
      <c r="A1539" s="145"/>
      <c r="E1539" s="102"/>
      <c r="F1539" s="102"/>
      <c r="G1539" s="102"/>
      <c r="I1539" s="93"/>
      <c r="J1539" s="93"/>
    </row>
    <row r="1540" spans="1:10" s="65" customFormat="1" ht="14" x14ac:dyDescent="0.35">
      <c r="A1540" s="145"/>
      <c r="E1540" s="102"/>
      <c r="F1540" s="102"/>
      <c r="G1540" s="102"/>
      <c r="I1540" s="93"/>
      <c r="J1540" s="93"/>
    </row>
    <row r="1541" spans="1:10" s="65" customFormat="1" ht="14" x14ac:dyDescent="0.35">
      <c r="A1541" s="145"/>
      <c r="E1541" s="102"/>
      <c r="F1541" s="102"/>
      <c r="G1541" s="102"/>
      <c r="I1541" s="93"/>
      <c r="J1541" s="93"/>
    </row>
    <row r="1542" spans="1:10" s="65" customFormat="1" ht="14" x14ac:dyDescent="0.35">
      <c r="A1542" s="145"/>
      <c r="E1542" s="102"/>
      <c r="F1542" s="102"/>
      <c r="G1542" s="102"/>
      <c r="I1542" s="93"/>
      <c r="J1542" s="93"/>
    </row>
    <row r="1543" spans="1:10" s="65" customFormat="1" ht="14" x14ac:dyDescent="0.35">
      <c r="A1543" s="145"/>
      <c r="E1543" s="102"/>
      <c r="F1543" s="102"/>
      <c r="G1543" s="102"/>
      <c r="I1543" s="93"/>
      <c r="J1543" s="93"/>
    </row>
    <row r="1544" spans="1:10" s="65" customFormat="1" ht="14" x14ac:dyDescent="0.35">
      <c r="A1544" s="145"/>
      <c r="E1544" s="102"/>
      <c r="F1544" s="102"/>
      <c r="G1544" s="102"/>
      <c r="I1544" s="93"/>
      <c r="J1544" s="93"/>
    </row>
    <row r="1545" spans="1:10" s="65" customFormat="1" ht="14" x14ac:dyDescent="0.35">
      <c r="A1545" s="145"/>
      <c r="E1545" s="102"/>
      <c r="F1545" s="102"/>
      <c r="G1545" s="102"/>
      <c r="I1545" s="93"/>
      <c r="J1545" s="93"/>
    </row>
    <row r="1546" spans="1:10" s="65" customFormat="1" ht="14" x14ac:dyDescent="0.35">
      <c r="A1546" s="145"/>
      <c r="E1546" s="102"/>
      <c r="F1546" s="102"/>
      <c r="G1546" s="102"/>
      <c r="I1546" s="93"/>
      <c r="J1546" s="93"/>
    </row>
    <row r="1547" spans="1:10" s="65" customFormat="1" ht="14" x14ac:dyDescent="0.35">
      <c r="A1547" s="145"/>
      <c r="E1547" s="102"/>
      <c r="F1547" s="102"/>
      <c r="G1547" s="102"/>
      <c r="I1547" s="93"/>
      <c r="J1547" s="93"/>
    </row>
    <row r="1548" spans="1:10" s="65" customFormat="1" ht="14" x14ac:dyDescent="0.35">
      <c r="A1548" s="145"/>
      <c r="E1548" s="102"/>
      <c r="F1548" s="102"/>
      <c r="G1548" s="102"/>
      <c r="I1548" s="93"/>
      <c r="J1548" s="93"/>
    </row>
    <row r="1549" spans="1:10" s="65" customFormat="1" ht="14" x14ac:dyDescent="0.35">
      <c r="A1549" s="145"/>
      <c r="E1549" s="102"/>
      <c r="F1549" s="102"/>
      <c r="G1549" s="102"/>
      <c r="I1549" s="93"/>
      <c r="J1549" s="93"/>
    </row>
    <row r="1550" spans="1:10" s="65" customFormat="1" ht="14" x14ac:dyDescent="0.35">
      <c r="A1550" s="145"/>
      <c r="E1550" s="102"/>
      <c r="F1550" s="102"/>
      <c r="G1550" s="102"/>
      <c r="I1550" s="93"/>
      <c r="J1550" s="93"/>
    </row>
    <row r="1551" spans="1:10" s="65" customFormat="1" ht="14" x14ac:dyDescent="0.35">
      <c r="A1551" s="145"/>
      <c r="E1551" s="102"/>
      <c r="F1551" s="102"/>
      <c r="G1551" s="102"/>
      <c r="I1551" s="93"/>
      <c r="J1551" s="93"/>
    </row>
    <row r="1552" spans="1:10" s="65" customFormat="1" ht="14" x14ac:dyDescent="0.35">
      <c r="A1552" s="145"/>
      <c r="E1552" s="102"/>
      <c r="F1552" s="102"/>
      <c r="G1552" s="102"/>
      <c r="I1552" s="93"/>
      <c r="J1552" s="93"/>
    </row>
    <row r="1553" spans="1:10" s="65" customFormat="1" ht="14" x14ac:dyDescent="0.35">
      <c r="A1553" s="145"/>
      <c r="E1553" s="102"/>
      <c r="F1553" s="102"/>
      <c r="G1553" s="102"/>
      <c r="I1553" s="93"/>
      <c r="J1553" s="93"/>
    </row>
    <row r="1554" spans="1:10" s="65" customFormat="1" ht="14" x14ac:dyDescent="0.35">
      <c r="A1554" s="145"/>
      <c r="E1554" s="102"/>
      <c r="F1554" s="102"/>
      <c r="G1554" s="102"/>
      <c r="I1554" s="93"/>
      <c r="J1554" s="93"/>
    </row>
    <row r="1555" spans="1:10" s="65" customFormat="1" ht="14" x14ac:dyDescent="0.35">
      <c r="A1555" s="145"/>
      <c r="E1555" s="102"/>
      <c r="F1555" s="102"/>
      <c r="G1555" s="102"/>
      <c r="I1555" s="93"/>
      <c r="J1555" s="93"/>
    </row>
    <row r="1556" spans="1:10" s="65" customFormat="1" ht="14" x14ac:dyDescent="0.35">
      <c r="A1556" s="145"/>
      <c r="E1556" s="102"/>
      <c r="F1556" s="102"/>
      <c r="G1556" s="102"/>
      <c r="I1556" s="93"/>
      <c r="J1556" s="93"/>
    </row>
    <row r="1557" spans="1:10" s="65" customFormat="1" ht="14" x14ac:dyDescent="0.35">
      <c r="A1557" s="145"/>
      <c r="E1557" s="102"/>
      <c r="F1557" s="102"/>
      <c r="G1557" s="102"/>
      <c r="I1557" s="93"/>
      <c r="J1557" s="93"/>
    </row>
    <row r="1558" spans="1:10" s="65" customFormat="1" ht="14" x14ac:dyDescent="0.35">
      <c r="A1558" s="145"/>
      <c r="E1558" s="102"/>
      <c r="F1558" s="102"/>
      <c r="G1558" s="102"/>
      <c r="I1558" s="93"/>
      <c r="J1558" s="93"/>
    </row>
    <row r="1559" spans="1:10" s="65" customFormat="1" ht="14" x14ac:dyDescent="0.35">
      <c r="A1559" s="145"/>
      <c r="E1559" s="102"/>
      <c r="F1559" s="102"/>
      <c r="G1559" s="102"/>
      <c r="I1559" s="93"/>
      <c r="J1559" s="93"/>
    </row>
    <row r="1560" spans="1:10" s="65" customFormat="1" ht="14" x14ac:dyDescent="0.35">
      <c r="A1560" s="145"/>
      <c r="E1560" s="102"/>
      <c r="F1560" s="102"/>
      <c r="G1560" s="102"/>
      <c r="I1560" s="93"/>
      <c r="J1560" s="93"/>
    </row>
    <row r="1561" spans="1:10" s="65" customFormat="1" ht="14" x14ac:dyDescent="0.35">
      <c r="A1561" s="145"/>
      <c r="E1561" s="102"/>
      <c r="F1561" s="102"/>
      <c r="G1561" s="102"/>
      <c r="I1561" s="93"/>
      <c r="J1561" s="93"/>
    </row>
    <row r="1562" spans="1:10" s="65" customFormat="1" ht="14" x14ac:dyDescent="0.35">
      <c r="A1562" s="145"/>
      <c r="E1562" s="102"/>
      <c r="F1562" s="102"/>
      <c r="G1562" s="102"/>
      <c r="I1562" s="93"/>
      <c r="J1562" s="93"/>
    </row>
    <row r="1563" spans="1:10" s="65" customFormat="1" ht="14" x14ac:dyDescent="0.35">
      <c r="A1563" s="145"/>
      <c r="E1563" s="102"/>
      <c r="F1563" s="102"/>
      <c r="G1563" s="102"/>
      <c r="I1563" s="93"/>
      <c r="J1563" s="93"/>
    </row>
    <row r="1564" spans="1:10" s="65" customFormat="1" ht="14" x14ac:dyDescent="0.35">
      <c r="A1564" s="145"/>
      <c r="E1564" s="102"/>
      <c r="F1564" s="102"/>
      <c r="G1564" s="102"/>
      <c r="I1564" s="93"/>
      <c r="J1564" s="93"/>
    </row>
    <row r="1565" spans="1:10" s="65" customFormat="1" ht="14" x14ac:dyDescent="0.35">
      <c r="A1565" s="145"/>
      <c r="E1565" s="102"/>
      <c r="F1565" s="102"/>
      <c r="G1565" s="102"/>
      <c r="I1565" s="93"/>
      <c r="J1565" s="93"/>
    </row>
    <row r="1566" spans="1:10" s="65" customFormat="1" ht="14" x14ac:dyDescent="0.35">
      <c r="A1566" s="145"/>
      <c r="E1566" s="102"/>
      <c r="F1566" s="102"/>
      <c r="G1566" s="102"/>
      <c r="I1566" s="93"/>
      <c r="J1566" s="93"/>
    </row>
    <row r="1567" spans="1:10" s="65" customFormat="1" ht="14" x14ac:dyDescent="0.35">
      <c r="A1567" s="145"/>
      <c r="E1567" s="102"/>
      <c r="F1567" s="102"/>
      <c r="G1567" s="102"/>
      <c r="I1567" s="93"/>
      <c r="J1567" s="93"/>
    </row>
    <row r="1568" spans="1:10" s="65" customFormat="1" ht="14" x14ac:dyDescent="0.35">
      <c r="A1568" s="145"/>
      <c r="E1568" s="102"/>
      <c r="F1568" s="102"/>
      <c r="G1568" s="102"/>
      <c r="I1568" s="93"/>
      <c r="J1568" s="93"/>
    </row>
    <row r="1569" spans="1:10" s="65" customFormat="1" ht="14" x14ac:dyDescent="0.35">
      <c r="A1569" s="145"/>
      <c r="E1569" s="102"/>
      <c r="F1569" s="102"/>
      <c r="G1569" s="102"/>
      <c r="I1569" s="93"/>
      <c r="J1569" s="93"/>
    </row>
    <row r="1570" spans="1:10" s="65" customFormat="1" ht="14" x14ac:dyDescent="0.35">
      <c r="A1570" s="145"/>
      <c r="E1570" s="102"/>
      <c r="F1570" s="102"/>
      <c r="G1570" s="102"/>
      <c r="I1570" s="93"/>
      <c r="J1570" s="93"/>
    </row>
    <row r="1571" spans="1:10" s="65" customFormat="1" ht="14" x14ac:dyDescent="0.35">
      <c r="A1571" s="145"/>
      <c r="E1571" s="102"/>
      <c r="F1571" s="102"/>
      <c r="G1571" s="102"/>
      <c r="I1571" s="93"/>
      <c r="J1571" s="93"/>
    </row>
    <row r="1572" spans="1:10" s="65" customFormat="1" ht="14" x14ac:dyDescent="0.35">
      <c r="A1572" s="145"/>
      <c r="E1572" s="102"/>
      <c r="F1572" s="102"/>
      <c r="G1572" s="102"/>
      <c r="I1572" s="93"/>
      <c r="J1572" s="93"/>
    </row>
    <row r="1573" spans="1:10" s="65" customFormat="1" ht="14" x14ac:dyDescent="0.35">
      <c r="A1573" s="145"/>
      <c r="E1573" s="102"/>
      <c r="F1573" s="102"/>
      <c r="G1573" s="102"/>
      <c r="I1573" s="93"/>
      <c r="J1573" s="93"/>
    </row>
    <row r="1574" spans="1:10" s="65" customFormat="1" ht="14" x14ac:dyDescent="0.35">
      <c r="A1574" s="145"/>
      <c r="E1574" s="102"/>
      <c r="F1574" s="102"/>
      <c r="G1574" s="102"/>
      <c r="I1574" s="93"/>
      <c r="J1574" s="93"/>
    </row>
    <row r="1575" spans="1:10" s="65" customFormat="1" ht="14" x14ac:dyDescent="0.35">
      <c r="A1575" s="145"/>
      <c r="E1575" s="102"/>
      <c r="F1575" s="102"/>
      <c r="G1575" s="102"/>
      <c r="I1575" s="93"/>
      <c r="J1575" s="93"/>
    </row>
    <row r="1576" spans="1:10" s="65" customFormat="1" ht="14" x14ac:dyDescent="0.35">
      <c r="A1576" s="145"/>
      <c r="E1576" s="102"/>
      <c r="F1576" s="102"/>
      <c r="G1576" s="102"/>
      <c r="I1576" s="93"/>
      <c r="J1576" s="93"/>
    </row>
    <row r="1577" spans="1:10" s="65" customFormat="1" ht="14" x14ac:dyDescent="0.35">
      <c r="A1577" s="145"/>
      <c r="E1577" s="102"/>
      <c r="F1577" s="102"/>
      <c r="G1577" s="102"/>
      <c r="I1577" s="93"/>
      <c r="J1577" s="93"/>
    </row>
    <row r="1578" spans="1:10" s="65" customFormat="1" ht="14" x14ac:dyDescent="0.35">
      <c r="A1578" s="145"/>
      <c r="E1578" s="102"/>
      <c r="F1578" s="102"/>
      <c r="G1578" s="102"/>
      <c r="I1578" s="93"/>
      <c r="J1578" s="93"/>
    </row>
    <row r="1579" spans="1:10" s="65" customFormat="1" ht="14" x14ac:dyDescent="0.35">
      <c r="A1579" s="145"/>
      <c r="E1579" s="102"/>
      <c r="F1579" s="102"/>
      <c r="G1579" s="102"/>
      <c r="I1579" s="93"/>
      <c r="J1579" s="93"/>
    </row>
    <row r="1580" spans="1:10" s="65" customFormat="1" ht="14" x14ac:dyDescent="0.35">
      <c r="A1580" s="145"/>
      <c r="E1580" s="102"/>
      <c r="F1580" s="102"/>
      <c r="G1580" s="102"/>
      <c r="I1580" s="93"/>
      <c r="J1580" s="93"/>
    </row>
    <row r="1581" spans="1:10" s="65" customFormat="1" ht="14" x14ac:dyDescent="0.35">
      <c r="A1581" s="145"/>
      <c r="E1581" s="102"/>
      <c r="F1581" s="102"/>
      <c r="G1581" s="102"/>
      <c r="I1581" s="93"/>
      <c r="J1581" s="93"/>
    </row>
    <row r="1582" spans="1:10" s="65" customFormat="1" ht="14" x14ac:dyDescent="0.35">
      <c r="A1582" s="145"/>
      <c r="E1582" s="102"/>
      <c r="F1582" s="102"/>
      <c r="G1582" s="102"/>
      <c r="I1582" s="93"/>
      <c r="J1582" s="93"/>
    </row>
    <row r="1583" spans="1:10" s="65" customFormat="1" ht="14" x14ac:dyDescent="0.35">
      <c r="A1583" s="145"/>
      <c r="E1583" s="102"/>
      <c r="F1583" s="102"/>
      <c r="G1583" s="102"/>
      <c r="I1583" s="93"/>
      <c r="J1583" s="93"/>
    </row>
    <row r="1584" spans="1:10" s="65" customFormat="1" ht="14" x14ac:dyDescent="0.35">
      <c r="A1584" s="145"/>
      <c r="E1584" s="102"/>
      <c r="F1584" s="102"/>
      <c r="G1584" s="102"/>
      <c r="I1584" s="93"/>
      <c r="J1584" s="93"/>
    </row>
    <row r="1585" spans="1:10" s="65" customFormat="1" ht="14" x14ac:dyDescent="0.35">
      <c r="A1585" s="145"/>
      <c r="E1585" s="102"/>
      <c r="F1585" s="102"/>
      <c r="G1585" s="102"/>
      <c r="I1585" s="93"/>
      <c r="J1585" s="93"/>
    </row>
    <row r="1586" spans="1:10" s="65" customFormat="1" ht="14" x14ac:dyDescent="0.35">
      <c r="A1586" s="145"/>
      <c r="E1586" s="102"/>
      <c r="F1586" s="102"/>
      <c r="G1586" s="102"/>
      <c r="I1586" s="93"/>
      <c r="J1586" s="93"/>
    </row>
    <row r="1587" spans="1:10" s="65" customFormat="1" ht="14" x14ac:dyDescent="0.35">
      <c r="A1587" s="145"/>
      <c r="E1587" s="102"/>
      <c r="F1587" s="102"/>
      <c r="G1587" s="102"/>
      <c r="I1587" s="93"/>
      <c r="J1587" s="93"/>
    </row>
    <row r="1588" spans="1:10" s="65" customFormat="1" ht="14" x14ac:dyDescent="0.35">
      <c r="A1588" s="145"/>
      <c r="E1588" s="102"/>
      <c r="F1588" s="102"/>
      <c r="G1588" s="102"/>
      <c r="I1588" s="93"/>
      <c r="J1588" s="93"/>
    </row>
    <row r="1589" spans="1:10" s="65" customFormat="1" ht="14" x14ac:dyDescent="0.35">
      <c r="A1589" s="145"/>
      <c r="E1589" s="102"/>
      <c r="F1589" s="102"/>
      <c r="G1589" s="102"/>
      <c r="I1589" s="93"/>
      <c r="J1589" s="93"/>
    </row>
    <row r="1590" spans="1:10" s="65" customFormat="1" ht="14" x14ac:dyDescent="0.35">
      <c r="A1590" s="145"/>
      <c r="E1590" s="102"/>
      <c r="F1590" s="102"/>
      <c r="G1590" s="102"/>
      <c r="I1590" s="93"/>
      <c r="J1590" s="93"/>
    </row>
    <row r="1591" spans="1:10" s="65" customFormat="1" ht="14" x14ac:dyDescent="0.35">
      <c r="A1591" s="145"/>
      <c r="E1591" s="102"/>
      <c r="F1591" s="102"/>
      <c r="G1591" s="102"/>
      <c r="I1591" s="93"/>
      <c r="J1591" s="93"/>
    </row>
    <row r="1592" spans="1:10" s="65" customFormat="1" ht="14" x14ac:dyDescent="0.35">
      <c r="A1592" s="145"/>
      <c r="E1592" s="102"/>
      <c r="F1592" s="102"/>
      <c r="G1592" s="102"/>
      <c r="I1592" s="93"/>
      <c r="J1592" s="93"/>
    </row>
    <row r="1593" spans="1:10" s="65" customFormat="1" ht="14" x14ac:dyDescent="0.35">
      <c r="A1593" s="145"/>
      <c r="E1593" s="102"/>
      <c r="F1593" s="102"/>
      <c r="G1593" s="102"/>
      <c r="I1593" s="93"/>
      <c r="J1593" s="93"/>
    </row>
    <row r="1594" spans="1:10" s="65" customFormat="1" ht="14" x14ac:dyDescent="0.35">
      <c r="A1594" s="145"/>
      <c r="E1594" s="102"/>
      <c r="F1594" s="102"/>
      <c r="G1594" s="102"/>
      <c r="I1594" s="93"/>
      <c r="J1594" s="93"/>
    </row>
    <row r="1595" spans="1:10" s="65" customFormat="1" ht="14" x14ac:dyDescent="0.35">
      <c r="A1595" s="145"/>
      <c r="E1595" s="102"/>
      <c r="F1595" s="102"/>
      <c r="G1595" s="102"/>
      <c r="I1595" s="93"/>
      <c r="J1595" s="93"/>
    </row>
    <row r="1596" spans="1:10" s="65" customFormat="1" ht="14" x14ac:dyDescent="0.35">
      <c r="A1596" s="145"/>
      <c r="E1596" s="102"/>
      <c r="F1596" s="102"/>
      <c r="G1596" s="102"/>
      <c r="I1596" s="93"/>
      <c r="J1596" s="93"/>
    </row>
    <row r="1597" spans="1:10" s="65" customFormat="1" ht="14" x14ac:dyDescent="0.35">
      <c r="A1597" s="145"/>
      <c r="E1597" s="102"/>
      <c r="F1597" s="102"/>
      <c r="G1597" s="102"/>
      <c r="I1597" s="93"/>
      <c r="J1597" s="93"/>
    </row>
    <row r="1598" spans="1:10" s="65" customFormat="1" ht="14" x14ac:dyDescent="0.35">
      <c r="A1598" s="145"/>
      <c r="E1598" s="102"/>
      <c r="F1598" s="102"/>
      <c r="G1598" s="102"/>
      <c r="I1598" s="93"/>
      <c r="J1598" s="93"/>
    </row>
    <row r="1599" spans="1:10" s="65" customFormat="1" ht="14" x14ac:dyDescent="0.35">
      <c r="A1599" s="145"/>
      <c r="E1599" s="102"/>
      <c r="F1599" s="102"/>
      <c r="G1599" s="102"/>
      <c r="I1599" s="93"/>
      <c r="J1599" s="93"/>
    </row>
    <row r="1600" spans="1:10" s="65" customFormat="1" ht="14" x14ac:dyDescent="0.35">
      <c r="A1600" s="145"/>
      <c r="E1600" s="102"/>
      <c r="F1600" s="102"/>
      <c r="G1600" s="102"/>
      <c r="I1600" s="93"/>
      <c r="J1600" s="93"/>
    </row>
    <row r="1601" spans="1:10" s="65" customFormat="1" ht="14" x14ac:dyDescent="0.35">
      <c r="A1601" s="145"/>
      <c r="E1601" s="102"/>
      <c r="F1601" s="102"/>
      <c r="G1601" s="102"/>
      <c r="I1601" s="93"/>
      <c r="J1601" s="93"/>
    </row>
    <row r="1602" spans="1:10" s="65" customFormat="1" ht="14" x14ac:dyDescent="0.35">
      <c r="A1602" s="145"/>
      <c r="E1602" s="102"/>
      <c r="F1602" s="102"/>
      <c r="G1602" s="102"/>
      <c r="I1602" s="93"/>
      <c r="J1602" s="93"/>
    </row>
    <row r="1603" spans="1:10" s="65" customFormat="1" ht="14" x14ac:dyDescent="0.35">
      <c r="A1603" s="145"/>
      <c r="E1603" s="102"/>
      <c r="F1603" s="102"/>
      <c r="G1603" s="102"/>
      <c r="I1603" s="93"/>
      <c r="J1603" s="93"/>
    </row>
    <row r="1604" spans="1:10" s="65" customFormat="1" ht="14" x14ac:dyDescent="0.35">
      <c r="A1604" s="145"/>
      <c r="E1604" s="102"/>
      <c r="F1604" s="102"/>
      <c r="G1604" s="102"/>
      <c r="I1604" s="93"/>
      <c r="J1604" s="93"/>
    </row>
    <row r="1605" spans="1:10" s="65" customFormat="1" ht="14" x14ac:dyDescent="0.35">
      <c r="A1605" s="145"/>
      <c r="E1605" s="102"/>
      <c r="F1605" s="102"/>
      <c r="G1605" s="102"/>
      <c r="I1605" s="93"/>
      <c r="J1605" s="93"/>
    </row>
    <row r="1606" spans="1:10" s="65" customFormat="1" ht="14" x14ac:dyDescent="0.35">
      <c r="A1606" s="145"/>
      <c r="E1606" s="102"/>
      <c r="F1606" s="102"/>
      <c r="G1606" s="102"/>
      <c r="I1606" s="93"/>
      <c r="J1606" s="93"/>
    </row>
    <row r="1607" spans="1:10" s="65" customFormat="1" ht="14" x14ac:dyDescent="0.35">
      <c r="A1607" s="145"/>
      <c r="E1607" s="102"/>
      <c r="F1607" s="102"/>
      <c r="G1607" s="102"/>
      <c r="I1607" s="93"/>
      <c r="J1607" s="93"/>
    </row>
    <row r="1608" spans="1:10" s="65" customFormat="1" ht="14" x14ac:dyDescent="0.35">
      <c r="A1608" s="145"/>
      <c r="E1608" s="102"/>
      <c r="F1608" s="102"/>
      <c r="G1608" s="102"/>
      <c r="I1608" s="93"/>
      <c r="J1608" s="93"/>
    </row>
    <row r="1609" spans="1:10" s="65" customFormat="1" ht="14" x14ac:dyDescent="0.35">
      <c r="A1609" s="145"/>
      <c r="E1609" s="102"/>
      <c r="F1609" s="102"/>
      <c r="G1609" s="102"/>
      <c r="I1609" s="93"/>
      <c r="J1609" s="93"/>
    </row>
    <row r="1610" spans="1:10" s="65" customFormat="1" ht="14" x14ac:dyDescent="0.35">
      <c r="A1610" s="145"/>
      <c r="E1610" s="102"/>
      <c r="F1610" s="102"/>
      <c r="G1610" s="102"/>
      <c r="I1610" s="93"/>
      <c r="J1610" s="93"/>
    </row>
    <row r="1611" spans="1:10" s="65" customFormat="1" ht="14" x14ac:dyDescent="0.35">
      <c r="A1611" s="145"/>
      <c r="E1611" s="102"/>
      <c r="F1611" s="102"/>
      <c r="G1611" s="102"/>
      <c r="I1611" s="93"/>
      <c r="J1611" s="93"/>
    </row>
    <row r="1612" spans="1:10" s="65" customFormat="1" ht="14" x14ac:dyDescent="0.35">
      <c r="A1612" s="145"/>
      <c r="E1612" s="102"/>
      <c r="F1612" s="102"/>
      <c r="G1612" s="102"/>
      <c r="I1612" s="93"/>
      <c r="J1612" s="93"/>
    </row>
    <row r="1613" spans="1:10" s="65" customFormat="1" ht="14" x14ac:dyDescent="0.35">
      <c r="A1613" s="145"/>
      <c r="E1613" s="102"/>
      <c r="F1613" s="102"/>
      <c r="G1613" s="102"/>
      <c r="I1613" s="93"/>
      <c r="J1613" s="93"/>
    </row>
    <row r="1614" spans="1:10" s="65" customFormat="1" ht="14" x14ac:dyDescent="0.35">
      <c r="A1614" s="145"/>
      <c r="E1614" s="102"/>
      <c r="F1614" s="102"/>
      <c r="G1614" s="102"/>
      <c r="I1614" s="93"/>
      <c r="J1614" s="93"/>
    </row>
    <row r="1615" spans="1:10" s="65" customFormat="1" ht="14" x14ac:dyDescent="0.35">
      <c r="A1615" s="145"/>
      <c r="E1615" s="102"/>
      <c r="F1615" s="102"/>
      <c r="G1615" s="102"/>
      <c r="I1615" s="93"/>
      <c r="J1615" s="93"/>
    </row>
    <row r="1616" spans="1:10" s="65" customFormat="1" ht="14" x14ac:dyDescent="0.35">
      <c r="A1616" s="145"/>
      <c r="E1616" s="102"/>
      <c r="F1616" s="102"/>
      <c r="G1616" s="102"/>
      <c r="I1616" s="93"/>
      <c r="J1616" s="93"/>
    </row>
    <row r="1617" spans="1:10" s="65" customFormat="1" ht="14" x14ac:dyDescent="0.35">
      <c r="A1617" s="145"/>
      <c r="E1617" s="102"/>
      <c r="F1617" s="102"/>
      <c r="G1617" s="102"/>
      <c r="I1617" s="93"/>
      <c r="J1617" s="93"/>
    </row>
    <row r="1618" spans="1:10" s="65" customFormat="1" ht="14" x14ac:dyDescent="0.35">
      <c r="A1618" s="145"/>
      <c r="E1618" s="102"/>
      <c r="F1618" s="102"/>
      <c r="G1618" s="102"/>
      <c r="I1618" s="93"/>
      <c r="J1618" s="93"/>
    </row>
    <row r="1619" spans="1:10" s="65" customFormat="1" ht="14" x14ac:dyDescent="0.35">
      <c r="A1619" s="145"/>
      <c r="E1619" s="102"/>
      <c r="F1619" s="102"/>
      <c r="G1619" s="102"/>
      <c r="I1619" s="93"/>
      <c r="J1619" s="93"/>
    </row>
    <row r="1620" spans="1:10" s="65" customFormat="1" ht="14" x14ac:dyDescent="0.35">
      <c r="A1620" s="145"/>
      <c r="E1620" s="102"/>
      <c r="F1620" s="102"/>
      <c r="G1620" s="102"/>
      <c r="I1620" s="93"/>
      <c r="J1620" s="93"/>
    </row>
    <row r="1621" spans="1:10" s="65" customFormat="1" ht="14" x14ac:dyDescent="0.35">
      <c r="A1621" s="145"/>
      <c r="E1621" s="102"/>
      <c r="F1621" s="102"/>
      <c r="G1621" s="102"/>
      <c r="I1621" s="93"/>
      <c r="J1621" s="93"/>
    </row>
    <row r="1622" spans="1:10" s="65" customFormat="1" ht="14" x14ac:dyDescent="0.35">
      <c r="A1622" s="145"/>
      <c r="E1622" s="102"/>
      <c r="F1622" s="102"/>
      <c r="G1622" s="102"/>
      <c r="I1622" s="93"/>
      <c r="J1622" s="93"/>
    </row>
    <row r="1623" spans="1:10" s="65" customFormat="1" ht="14" x14ac:dyDescent="0.35">
      <c r="A1623" s="145"/>
      <c r="E1623" s="102"/>
      <c r="F1623" s="102"/>
      <c r="G1623" s="102"/>
      <c r="I1623" s="93"/>
      <c r="J1623" s="93"/>
    </row>
    <row r="1624" spans="1:10" s="65" customFormat="1" ht="14" x14ac:dyDescent="0.35">
      <c r="A1624" s="145"/>
      <c r="E1624" s="102"/>
      <c r="F1624" s="102"/>
      <c r="G1624" s="102"/>
      <c r="I1624" s="93"/>
      <c r="J1624" s="93"/>
    </row>
    <row r="1625" spans="1:10" s="65" customFormat="1" ht="14" x14ac:dyDescent="0.35">
      <c r="A1625" s="145"/>
      <c r="E1625" s="102"/>
      <c r="F1625" s="102"/>
      <c r="G1625" s="102"/>
      <c r="I1625" s="93"/>
      <c r="J1625" s="93"/>
    </row>
    <row r="1626" spans="1:10" s="65" customFormat="1" ht="14" x14ac:dyDescent="0.35">
      <c r="A1626" s="145"/>
      <c r="E1626" s="102"/>
      <c r="F1626" s="102"/>
      <c r="G1626" s="102"/>
      <c r="I1626" s="93"/>
      <c r="J1626" s="93"/>
    </row>
    <row r="1627" spans="1:10" s="65" customFormat="1" ht="14" x14ac:dyDescent="0.35">
      <c r="A1627" s="145"/>
      <c r="E1627" s="102"/>
      <c r="F1627" s="102"/>
      <c r="G1627" s="102"/>
      <c r="I1627" s="93"/>
      <c r="J1627" s="93"/>
    </row>
    <row r="1628" spans="1:10" s="65" customFormat="1" ht="14" x14ac:dyDescent="0.35">
      <c r="A1628" s="145"/>
      <c r="E1628" s="102"/>
      <c r="F1628" s="102"/>
      <c r="G1628" s="102"/>
      <c r="I1628" s="93"/>
      <c r="J1628" s="93"/>
    </row>
    <row r="1629" spans="1:10" s="65" customFormat="1" ht="14" x14ac:dyDescent="0.35">
      <c r="A1629" s="145"/>
      <c r="E1629" s="102"/>
      <c r="F1629" s="102"/>
      <c r="G1629" s="102"/>
      <c r="I1629" s="93"/>
      <c r="J1629" s="93"/>
    </row>
    <row r="1630" spans="1:10" s="65" customFormat="1" ht="14" x14ac:dyDescent="0.35">
      <c r="A1630" s="145"/>
      <c r="E1630" s="102"/>
      <c r="F1630" s="102"/>
      <c r="G1630" s="102"/>
      <c r="I1630" s="93"/>
      <c r="J1630" s="93"/>
    </row>
    <row r="1631" spans="1:10" s="65" customFormat="1" ht="14" x14ac:dyDescent="0.35">
      <c r="A1631" s="145"/>
      <c r="E1631" s="102"/>
      <c r="F1631" s="102"/>
      <c r="G1631" s="102"/>
      <c r="I1631" s="93"/>
      <c r="J1631" s="93"/>
    </row>
    <row r="1632" spans="1:10" s="65" customFormat="1" ht="14" x14ac:dyDescent="0.35">
      <c r="A1632" s="145"/>
      <c r="E1632" s="102"/>
      <c r="F1632" s="102"/>
      <c r="G1632" s="102"/>
      <c r="I1632" s="93"/>
      <c r="J1632" s="93"/>
    </row>
    <row r="1633" spans="1:10" s="65" customFormat="1" ht="14" x14ac:dyDescent="0.35">
      <c r="A1633" s="145"/>
      <c r="E1633" s="102"/>
      <c r="F1633" s="102"/>
      <c r="G1633" s="102"/>
      <c r="I1633" s="93"/>
      <c r="J1633" s="93"/>
    </row>
    <row r="1634" spans="1:10" s="65" customFormat="1" ht="14" x14ac:dyDescent="0.35">
      <c r="A1634" s="145"/>
      <c r="E1634" s="102"/>
      <c r="F1634" s="102"/>
      <c r="G1634" s="102"/>
      <c r="I1634" s="93"/>
      <c r="J1634" s="93"/>
    </row>
    <row r="1635" spans="1:10" s="65" customFormat="1" ht="14" x14ac:dyDescent="0.35">
      <c r="A1635" s="145"/>
      <c r="E1635" s="102"/>
      <c r="F1635" s="102"/>
      <c r="G1635" s="102"/>
      <c r="I1635" s="93"/>
      <c r="J1635" s="93"/>
    </row>
    <row r="1636" spans="1:10" s="65" customFormat="1" ht="14" x14ac:dyDescent="0.35">
      <c r="A1636" s="145"/>
      <c r="E1636" s="102"/>
      <c r="F1636" s="102"/>
      <c r="G1636" s="102"/>
      <c r="I1636" s="93"/>
      <c r="J1636" s="93"/>
    </row>
    <row r="1637" spans="1:10" s="65" customFormat="1" ht="14" x14ac:dyDescent="0.35">
      <c r="A1637" s="145"/>
      <c r="E1637" s="102"/>
      <c r="F1637" s="102"/>
      <c r="G1637" s="102"/>
      <c r="I1637" s="93"/>
      <c r="J1637" s="93"/>
    </row>
    <row r="1638" spans="1:10" s="65" customFormat="1" ht="14" x14ac:dyDescent="0.35">
      <c r="A1638" s="145"/>
      <c r="E1638" s="102"/>
      <c r="F1638" s="102"/>
      <c r="G1638" s="102"/>
      <c r="I1638" s="93"/>
      <c r="J1638" s="93"/>
    </row>
    <row r="1639" spans="1:10" s="65" customFormat="1" ht="14" x14ac:dyDescent="0.35">
      <c r="A1639" s="145"/>
      <c r="E1639" s="102"/>
      <c r="F1639" s="102"/>
      <c r="G1639" s="102"/>
      <c r="I1639" s="93"/>
      <c r="J1639" s="93"/>
    </row>
    <row r="1640" spans="1:10" s="65" customFormat="1" ht="14" x14ac:dyDescent="0.35">
      <c r="A1640" s="145"/>
      <c r="E1640" s="102"/>
      <c r="F1640" s="102"/>
      <c r="G1640" s="102"/>
      <c r="I1640" s="93"/>
      <c r="J1640" s="93"/>
    </row>
    <row r="1641" spans="1:10" s="65" customFormat="1" ht="14" x14ac:dyDescent="0.35">
      <c r="A1641" s="145"/>
      <c r="E1641" s="102"/>
      <c r="F1641" s="102"/>
      <c r="G1641" s="102"/>
      <c r="I1641" s="93"/>
      <c r="J1641" s="93"/>
    </row>
    <row r="1642" spans="1:10" s="65" customFormat="1" ht="14" x14ac:dyDescent="0.35">
      <c r="A1642" s="145"/>
      <c r="E1642" s="102"/>
      <c r="F1642" s="102"/>
      <c r="G1642" s="102"/>
      <c r="I1642" s="93"/>
      <c r="J1642" s="93"/>
    </row>
    <row r="1643" spans="1:10" s="65" customFormat="1" ht="14" x14ac:dyDescent="0.35">
      <c r="A1643" s="145"/>
      <c r="E1643" s="102"/>
      <c r="F1643" s="102"/>
      <c r="G1643" s="102"/>
      <c r="I1643" s="93"/>
      <c r="J1643" s="93"/>
    </row>
    <row r="1644" spans="1:10" s="65" customFormat="1" ht="14" x14ac:dyDescent="0.35">
      <c r="A1644" s="145"/>
      <c r="E1644" s="102"/>
      <c r="F1644" s="102"/>
      <c r="G1644" s="102"/>
      <c r="I1644" s="93"/>
      <c r="J1644" s="93"/>
    </row>
    <row r="1645" spans="1:10" s="65" customFormat="1" ht="14" x14ac:dyDescent="0.35">
      <c r="A1645" s="145"/>
      <c r="E1645" s="102"/>
      <c r="F1645" s="102"/>
      <c r="G1645" s="102"/>
      <c r="I1645" s="93"/>
      <c r="J1645" s="93"/>
    </row>
    <row r="1646" spans="1:10" s="65" customFormat="1" ht="14" x14ac:dyDescent="0.35">
      <c r="A1646" s="145"/>
      <c r="E1646" s="102"/>
      <c r="F1646" s="102"/>
      <c r="G1646" s="102"/>
      <c r="I1646" s="93"/>
      <c r="J1646" s="93"/>
    </row>
    <row r="1647" spans="1:10" s="65" customFormat="1" ht="14" x14ac:dyDescent="0.35">
      <c r="A1647" s="145"/>
      <c r="E1647" s="102"/>
      <c r="F1647" s="102"/>
      <c r="G1647" s="102"/>
      <c r="I1647" s="93"/>
      <c r="J1647" s="93"/>
    </row>
    <row r="1648" spans="1:10" s="65" customFormat="1" ht="14" x14ac:dyDescent="0.35">
      <c r="A1648" s="145"/>
      <c r="E1648" s="102"/>
      <c r="F1648" s="102"/>
      <c r="G1648" s="102"/>
      <c r="I1648" s="93"/>
      <c r="J1648" s="93"/>
    </row>
    <row r="1649" spans="1:10" s="65" customFormat="1" ht="14" x14ac:dyDescent="0.35">
      <c r="A1649" s="145"/>
      <c r="E1649" s="102"/>
      <c r="F1649" s="102"/>
      <c r="G1649" s="102"/>
      <c r="I1649" s="93"/>
      <c r="J1649" s="93"/>
    </row>
    <row r="1650" spans="1:10" s="65" customFormat="1" ht="14" x14ac:dyDescent="0.35">
      <c r="A1650" s="145"/>
      <c r="E1650" s="102"/>
      <c r="F1650" s="102"/>
      <c r="G1650" s="102"/>
      <c r="I1650" s="93"/>
      <c r="J1650" s="93"/>
    </row>
    <row r="1651" spans="1:10" s="65" customFormat="1" ht="14" x14ac:dyDescent="0.35">
      <c r="A1651" s="145"/>
      <c r="E1651" s="102"/>
      <c r="F1651" s="102"/>
      <c r="G1651" s="102"/>
      <c r="I1651" s="93"/>
      <c r="J1651" s="93"/>
    </row>
    <row r="1652" spans="1:10" s="65" customFormat="1" ht="14" x14ac:dyDescent="0.35">
      <c r="A1652" s="145"/>
      <c r="E1652" s="102"/>
      <c r="F1652" s="102"/>
      <c r="G1652" s="102"/>
      <c r="I1652" s="93"/>
      <c r="J1652" s="93"/>
    </row>
    <row r="1653" spans="1:10" s="65" customFormat="1" ht="14" x14ac:dyDescent="0.35">
      <c r="A1653" s="145"/>
      <c r="E1653" s="102"/>
      <c r="F1653" s="102"/>
      <c r="G1653" s="102"/>
      <c r="I1653" s="93"/>
      <c r="J1653" s="93"/>
    </row>
    <row r="1654" spans="1:10" s="65" customFormat="1" ht="14" x14ac:dyDescent="0.35">
      <c r="A1654" s="145"/>
      <c r="E1654" s="102"/>
      <c r="F1654" s="102"/>
      <c r="G1654" s="102"/>
      <c r="I1654" s="93"/>
      <c r="J1654" s="93"/>
    </row>
    <row r="1655" spans="1:10" s="65" customFormat="1" ht="14" x14ac:dyDescent="0.35">
      <c r="A1655" s="145"/>
      <c r="E1655" s="102"/>
      <c r="F1655" s="102"/>
      <c r="G1655" s="102"/>
      <c r="I1655" s="93"/>
      <c r="J1655" s="93"/>
    </row>
    <row r="1656" spans="1:10" s="65" customFormat="1" ht="14" x14ac:dyDescent="0.35">
      <c r="A1656" s="145"/>
      <c r="E1656" s="102"/>
      <c r="F1656" s="102"/>
      <c r="G1656" s="102"/>
      <c r="I1656" s="93"/>
      <c r="J1656" s="93"/>
    </row>
    <row r="1657" spans="1:10" s="65" customFormat="1" ht="14" x14ac:dyDescent="0.35">
      <c r="A1657" s="145"/>
      <c r="E1657" s="102"/>
      <c r="F1657" s="102"/>
      <c r="G1657" s="102"/>
      <c r="I1657" s="93"/>
      <c r="J1657" s="93"/>
    </row>
    <row r="1658" spans="1:10" s="65" customFormat="1" ht="14" x14ac:dyDescent="0.35">
      <c r="A1658" s="145"/>
      <c r="E1658" s="102"/>
      <c r="F1658" s="102"/>
      <c r="G1658" s="102"/>
      <c r="I1658" s="93"/>
      <c r="J1658" s="93"/>
    </row>
    <row r="1659" spans="1:10" s="65" customFormat="1" ht="14" x14ac:dyDescent="0.35">
      <c r="A1659" s="145"/>
      <c r="E1659" s="102"/>
      <c r="F1659" s="102"/>
      <c r="G1659" s="102"/>
      <c r="I1659" s="93"/>
      <c r="J1659" s="93"/>
    </row>
    <row r="1660" spans="1:10" s="65" customFormat="1" ht="14" x14ac:dyDescent="0.35">
      <c r="A1660" s="145"/>
      <c r="E1660" s="102"/>
      <c r="F1660" s="102"/>
      <c r="G1660" s="102"/>
      <c r="I1660" s="93"/>
      <c r="J1660" s="93"/>
    </row>
    <row r="1661" spans="1:10" s="65" customFormat="1" ht="14" x14ac:dyDescent="0.35">
      <c r="A1661" s="145"/>
      <c r="E1661" s="102"/>
      <c r="F1661" s="102"/>
      <c r="G1661" s="102"/>
      <c r="I1661" s="93"/>
      <c r="J1661" s="93"/>
    </row>
    <row r="1662" spans="1:10" s="65" customFormat="1" ht="14" x14ac:dyDescent="0.35">
      <c r="A1662" s="145"/>
      <c r="E1662" s="102"/>
      <c r="F1662" s="102"/>
      <c r="G1662" s="102"/>
      <c r="I1662" s="93"/>
      <c r="J1662" s="93"/>
    </row>
    <row r="1663" spans="1:10" s="65" customFormat="1" ht="14" x14ac:dyDescent="0.35">
      <c r="A1663" s="145"/>
      <c r="E1663" s="102"/>
      <c r="F1663" s="102"/>
      <c r="G1663" s="102"/>
      <c r="I1663" s="93"/>
      <c r="J1663" s="93"/>
    </row>
    <row r="1664" spans="1:10" s="65" customFormat="1" ht="14" x14ac:dyDescent="0.35">
      <c r="A1664" s="145"/>
      <c r="E1664" s="102"/>
      <c r="F1664" s="102"/>
      <c r="G1664" s="102"/>
      <c r="I1664" s="93"/>
      <c r="J1664" s="93"/>
    </row>
    <row r="1665" spans="1:10" s="65" customFormat="1" ht="14" x14ac:dyDescent="0.35">
      <c r="A1665" s="145"/>
      <c r="E1665" s="102"/>
      <c r="F1665" s="102"/>
      <c r="G1665" s="102"/>
      <c r="I1665" s="93"/>
      <c r="J1665" s="93"/>
    </row>
    <row r="1666" spans="1:10" s="65" customFormat="1" ht="14" x14ac:dyDescent="0.35">
      <c r="A1666" s="145"/>
      <c r="E1666" s="102"/>
      <c r="F1666" s="102"/>
      <c r="G1666" s="102"/>
      <c r="I1666" s="93"/>
      <c r="J1666" s="93"/>
    </row>
    <row r="1667" spans="1:10" s="65" customFormat="1" ht="14" x14ac:dyDescent="0.35">
      <c r="A1667" s="145"/>
      <c r="E1667" s="102"/>
      <c r="F1667" s="102"/>
      <c r="G1667" s="102"/>
      <c r="I1667" s="93"/>
      <c r="J1667" s="93"/>
    </row>
    <row r="1668" spans="1:10" s="65" customFormat="1" ht="14" x14ac:dyDescent="0.35">
      <c r="A1668" s="145"/>
      <c r="E1668" s="102"/>
      <c r="F1668" s="102"/>
      <c r="G1668" s="102"/>
      <c r="I1668" s="93"/>
      <c r="J1668" s="93"/>
    </row>
    <row r="1669" spans="1:10" s="65" customFormat="1" ht="14" x14ac:dyDescent="0.35">
      <c r="A1669" s="145"/>
      <c r="E1669" s="102"/>
      <c r="F1669" s="102"/>
      <c r="G1669" s="102"/>
      <c r="I1669" s="93"/>
      <c r="J1669" s="93"/>
    </row>
    <row r="1670" spans="1:10" s="65" customFormat="1" ht="14" x14ac:dyDescent="0.35">
      <c r="A1670" s="145"/>
      <c r="E1670" s="102"/>
      <c r="F1670" s="102"/>
      <c r="G1670" s="102"/>
      <c r="I1670" s="93"/>
      <c r="J1670" s="93"/>
    </row>
    <row r="1671" spans="1:10" s="65" customFormat="1" ht="14" x14ac:dyDescent="0.35">
      <c r="A1671" s="145"/>
      <c r="E1671" s="102"/>
      <c r="F1671" s="102"/>
      <c r="G1671" s="102"/>
      <c r="I1671" s="93"/>
      <c r="J1671" s="93"/>
    </row>
    <row r="1672" spans="1:10" s="65" customFormat="1" ht="14" x14ac:dyDescent="0.35">
      <c r="A1672" s="145"/>
      <c r="E1672" s="102"/>
      <c r="F1672" s="102"/>
      <c r="G1672" s="102"/>
      <c r="I1672" s="93"/>
      <c r="J1672" s="93"/>
    </row>
    <row r="1673" spans="1:10" s="65" customFormat="1" ht="14" x14ac:dyDescent="0.35">
      <c r="A1673" s="145"/>
      <c r="E1673" s="102"/>
      <c r="F1673" s="102"/>
      <c r="G1673" s="102"/>
      <c r="I1673" s="93"/>
      <c r="J1673" s="93"/>
    </row>
    <row r="1674" spans="1:10" s="65" customFormat="1" ht="14" x14ac:dyDescent="0.35">
      <c r="A1674" s="145"/>
      <c r="E1674" s="102"/>
      <c r="F1674" s="102"/>
      <c r="G1674" s="102"/>
      <c r="I1674" s="93"/>
      <c r="J1674" s="93"/>
    </row>
    <row r="1675" spans="1:10" s="65" customFormat="1" ht="14" x14ac:dyDescent="0.35">
      <c r="A1675" s="145"/>
      <c r="E1675" s="102"/>
      <c r="F1675" s="102"/>
      <c r="G1675" s="102"/>
      <c r="I1675" s="93"/>
      <c r="J1675" s="93"/>
    </row>
    <row r="1676" spans="1:10" s="65" customFormat="1" ht="14" x14ac:dyDescent="0.35">
      <c r="A1676" s="145"/>
      <c r="E1676" s="102"/>
      <c r="F1676" s="102"/>
      <c r="G1676" s="102"/>
      <c r="I1676" s="93"/>
      <c r="J1676" s="93"/>
    </row>
    <row r="1677" spans="1:10" s="65" customFormat="1" ht="14" x14ac:dyDescent="0.35">
      <c r="A1677" s="145"/>
      <c r="E1677" s="102"/>
      <c r="F1677" s="102"/>
      <c r="G1677" s="102"/>
      <c r="I1677" s="93"/>
      <c r="J1677" s="93"/>
    </row>
    <row r="1678" spans="1:10" s="65" customFormat="1" ht="14" x14ac:dyDescent="0.35">
      <c r="A1678" s="145"/>
      <c r="E1678" s="102"/>
      <c r="F1678" s="102"/>
      <c r="G1678" s="102"/>
      <c r="I1678" s="93"/>
      <c r="J1678" s="93"/>
    </row>
    <row r="1679" spans="1:10" s="65" customFormat="1" ht="14" x14ac:dyDescent="0.35">
      <c r="A1679" s="145"/>
      <c r="E1679" s="102"/>
      <c r="F1679" s="102"/>
      <c r="G1679" s="102"/>
      <c r="I1679" s="93"/>
      <c r="J1679" s="93"/>
    </row>
    <row r="1680" spans="1:10" s="65" customFormat="1" ht="14" x14ac:dyDescent="0.35">
      <c r="A1680" s="145"/>
      <c r="E1680" s="102"/>
      <c r="F1680" s="102"/>
      <c r="G1680" s="102"/>
      <c r="I1680" s="93"/>
      <c r="J1680" s="93"/>
    </row>
    <row r="1681" spans="1:10" s="65" customFormat="1" ht="14" x14ac:dyDescent="0.35">
      <c r="A1681" s="145"/>
      <c r="E1681" s="102"/>
      <c r="F1681" s="102"/>
      <c r="G1681" s="102"/>
      <c r="I1681" s="93"/>
      <c r="J1681" s="93"/>
    </row>
    <row r="1682" spans="1:10" s="65" customFormat="1" ht="14" x14ac:dyDescent="0.35">
      <c r="A1682" s="145"/>
      <c r="E1682" s="102"/>
      <c r="F1682" s="102"/>
      <c r="G1682" s="102"/>
      <c r="I1682" s="93"/>
      <c r="J1682" s="93"/>
    </row>
    <row r="1683" spans="1:10" s="65" customFormat="1" ht="14" x14ac:dyDescent="0.35">
      <c r="A1683" s="145"/>
      <c r="E1683" s="102"/>
      <c r="F1683" s="102"/>
      <c r="G1683" s="102"/>
      <c r="I1683" s="93"/>
      <c r="J1683" s="93"/>
    </row>
    <row r="1684" spans="1:10" s="65" customFormat="1" ht="14" x14ac:dyDescent="0.35">
      <c r="A1684" s="145"/>
      <c r="E1684" s="102"/>
      <c r="F1684" s="102"/>
      <c r="G1684" s="102"/>
      <c r="I1684" s="93"/>
      <c r="J1684" s="93"/>
    </row>
    <row r="1685" spans="1:10" s="65" customFormat="1" ht="14" x14ac:dyDescent="0.35">
      <c r="A1685" s="145"/>
      <c r="E1685" s="102"/>
      <c r="F1685" s="102"/>
      <c r="G1685" s="102"/>
      <c r="I1685" s="93"/>
      <c r="J1685" s="93"/>
    </row>
    <row r="1686" spans="1:10" s="65" customFormat="1" ht="14" x14ac:dyDescent="0.35">
      <c r="A1686" s="145"/>
      <c r="E1686" s="102"/>
      <c r="F1686" s="102"/>
      <c r="G1686" s="102"/>
      <c r="I1686" s="93"/>
      <c r="J1686" s="93"/>
    </row>
    <row r="1687" spans="1:10" s="65" customFormat="1" ht="14" x14ac:dyDescent="0.35">
      <c r="A1687" s="145"/>
      <c r="E1687" s="102"/>
      <c r="F1687" s="102"/>
      <c r="G1687" s="102"/>
      <c r="I1687" s="93"/>
      <c r="J1687" s="93"/>
    </row>
    <row r="1688" spans="1:10" s="65" customFormat="1" ht="14" x14ac:dyDescent="0.35">
      <c r="A1688" s="145"/>
      <c r="E1688" s="102"/>
      <c r="F1688" s="102"/>
      <c r="G1688" s="102"/>
      <c r="I1688" s="93"/>
      <c r="J1688" s="93"/>
    </row>
    <row r="1689" spans="1:10" s="65" customFormat="1" ht="14" x14ac:dyDescent="0.35">
      <c r="A1689" s="145"/>
      <c r="E1689" s="102"/>
      <c r="F1689" s="102"/>
      <c r="G1689" s="102"/>
      <c r="I1689" s="93"/>
      <c r="J1689" s="93"/>
    </row>
    <row r="1690" spans="1:10" s="65" customFormat="1" ht="14" x14ac:dyDescent="0.35">
      <c r="A1690" s="145"/>
      <c r="E1690" s="102"/>
      <c r="F1690" s="102"/>
      <c r="G1690" s="102"/>
      <c r="I1690" s="93"/>
      <c r="J1690" s="93"/>
    </row>
    <row r="1691" spans="1:10" s="65" customFormat="1" ht="14" x14ac:dyDescent="0.35">
      <c r="A1691" s="145"/>
      <c r="E1691" s="102"/>
      <c r="F1691" s="102"/>
      <c r="G1691" s="102"/>
      <c r="I1691" s="93"/>
      <c r="J1691" s="93"/>
    </row>
    <row r="1692" spans="1:10" s="65" customFormat="1" ht="14" x14ac:dyDescent="0.35">
      <c r="A1692" s="145"/>
      <c r="E1692" s="102"/>
      <c r="F1692" s="102"/>
      <c r="G1692" s="102"/>
      <c r="I1692" s="93"/>
      <c r="J1692" s="93"/>
    </row>
    <row r="1693" spans="1:10" s="65" customFormat="1" ht="14" x14ac:dyDescent="0.35">
      <c r="A1693" s="145"/>
      <c r="E1693" s="102"/>
      <c r="F1693" s="102"/>
      <c r="G1693" s="102"/>
      <c r="I1693" s="93"/>
      <c r="J1693" s="93"/>
    </row>
    <row r="1694" spans="1:10" s="65" customFormat="1" ht="14" x14ac:dyDescent="0.35">
      <c r="A1694" s="145"/>
      <c r="E1694" s="102"/>
      <c r="F1694" s="102"/>
      <c r="G1694" s="102"/>
      <c r="I1694" s="93"/>
      <c r="J1694" s="93"/>
    </row>
    <row r="1695" spans="1:10" s="65" customFormat="1" ht="14" x14ac:dyDescent="0.35">
      <c r="A1695" s="145"/>
      <c r="E1695" s="102"/>
      <c r="F1695" s="102"/>
      <c r="G1695" s="102"/>
      <c r="I1695" s="93"/>
      <c r="J1695" s="93"/>
    </row>
    <row r="1696" spans="1:10" s="65" customFormat="1" ht="14" x14ac:dyDescent="0.35">
      <c r="A1696" s="145"/>
      <c r="E1696" s="102"/>
      <c r="F1696" s="102"/>
      <c r="G1696" s="102"/>
      <c r="I1696" s="93"/>
      <c r="J1696" s="93"/>
    </row>
    <row r="1697" spans="1:10" s="65" customFormat="1" ht="14" x14ac:dyDescent="0.35">
      <c r="A1697" s="145"/>
      <c r="E1697" s="102"/>
      <c r="F1697" s="102"/>
      <c r="G1697" s="102"/>
      <c r="I1697" s="93"/>
      <c r="J1697" s="93"/>
    </row>
    <row r="1698" spans="1:10" s="65" customFormat="1" ht="14" x14ac:dyDescent="0.35">
      <c r="A1698" s="145"/>
      <c r="E1698" s="102"/>
      <c r="F1698" s="102"/>
      <c r="G1698" s="102"/>
      <c r="I1698" s="93"/>
      <c r="J1698" s="93"/>
    </row>
    <row r="1699" spans="1:10" s="65" customFormat="1" ht="14" x14ac:dyDescent="0.35">
      <c r="A1699" s="145"/>
      <c r="E1699" s="102"/>
      <c r="F1699" s="102"/>
      <c r="G1699" s="102"/>
      <c r="I1699" s="93"/>
      <c r="J1699" s="93"/>
    </row>
    <row r="1700" spans="1:10" s="65" customFormat="1" ht="14" x14ac:dyDescent="0.35">
      <c r="A1700" s="145"/>
      <c r="E1700" s="102"/>
      <c r="F1700" s="102"/>
      <c r="G1700" s="102"/>
      <c r="I1700" s="93"/>
      <c r="J1700" s="93"/>
    </row>
    <row r="1701" spans="1:10" s="65" customFormat="1" ht="14" x14ac:dyDescent="0.35">
      <c r="A1701" s="145"/>
      <c r="E1701" s="102"/>
      <c r="F1701" s="102"/>
      <c r="G1701" s="102"/>
      <c r="I1701" s="93"/>
      <c r="J1701" s="93"/>
    </row>
    <row r="1702" spans="1:10" s="65" customFormat="1" ht="14" x14ac:dyDescent="0.35">
      <c r="A1702" s="145"/>
      <c r="E1702" s="102"/>
      <c r="F1702" s="102"/>
      <c r="G1702" s="102"/>
      <c r="I1702" s="93"/>
      <c r="J1702" s="93"/>
    </row>
    <row r="1703" spans="1:10" s="65" customFormat="1" ht="14" x14ac:dyDescent="0.35">
      <c r="A1703" s="145"/>
      <c r="E1703" s="102"/>
      <c r="F1703" s="102"/>
      <c r="G1703" s="102"/>
      <c r="I1703" s="93"/>
      <c r="J1703" s="93"/>
    </row>
    <row r="1704" spans="1:10" s="65" customFormat="1" ht="14" x14ac:dyDescent="0.35">
      <c r="A1704" s="145"/>
      <c r="E1704" s="102"/>
      <c r="F1704" s="102"/>
      <c r="G1704" s="102"/>
      <c r="I1704" s="93"/>
      <c r="J1704" s="93"/>
    </row>
    <row r="1705" spans="1:10" s="65" customFormat="1" ht="14" x14ac:dyDescent="0.35">
      <c r="A1705" s="145"/>
      <c r="E1705" s="102"/>
      <c r="F1705" s="102"/>
      <c r="G1705" s="102"/>
      <c r="I1705" s="93"/>
      <c r="J1705" s="93"/>
    </row>
    <row r="1706" spans="1:10" s="65" customFormat="1" ht="14" x14ac:dyDescent="0.35">
      <c r="A1706" s="145"/>
      <c r="E1706" s="102"/>
      <c r="F1706" s="102"/>
      <c r="G1706" s="102"/>
      <c r="I1706" s="93"/>
      <c r="J1706" s="93"/>
    </row>
    <row r="1707" spans="1:10" s="65" customFormat="1" ht="14" x14ac:dyDescent="0.35">
      <c r="A1707" s="145"/>
      <c r="E1707" s="102"/>
      <c r="F1707" s="102"/>
      <c r="G1707" s="102"/>
      <c r="I1707" s="93"/>
      <c r="J1707" s="93"/>
    </row>
    <row r="1708" spans="1:10" s="65" customFormat="1" ht="14" x14ac:dyDescent="0.35">
      <c r="A1708" s="145"/>
      <c r="E1708" s="102"/>
      <c r="F1708" s="102"/>
      <c r="G1708" s="102"/>
      <c r="I1708" s="93"/>
      <c r="J1708" s="93"/>
    </row>
    <row r="1709" spans="1:10" s="65" customFormat="1" ht="14" x14ac:dyDescent="0.35">
      <c r="A1709" s="145"/>
      <c r="E1709" s="102"/>
      <c r="F1709" s="102"/>
      <c r="G1709" s="102"/>
      <c r="I1709" s="93"/>
      <c r="J1709" s="93"/>
    </row>
    <row r="1710" spans="1:10" s="65" customFormat="1" ht="14" x14ac:dyDescent="0.35">
      <c r="A1710" s="145"/>
      <c r="E1710" s="102"/>
      <c r="F1710" s="102"/>
      <c r="G1710" s="102"/>
      <c r="I1710" s="93"/>
      <c r="J1710" s="93"/>
    </row>
    <row r="1711" spans="1:10" s="65" customFormat="1" ht="14" x14ac:dyDescent="0.35">
      <c r="A1711" s="145"/>
      <c r="E1711" s="102"/>
      <c r="F1711" s="102"/>
      <c r="G1711" s="102"/>
      <c r="I1711" s="93"/>
      <c r="J1711" s="93"/>
    </row>
    <row r="1712" spans="1:10" s="65" customFormat="1" ht="14" x14ac:dyDescent="0.35">
      <c r="A1712" s="145"/>
      <c r="E1712" s="102"/>
      <c r="F1712" s="102"/>
      <c r="G1712" s="102"/>
      <c r="I1712" s="93"/>
      <c r="J1712" s="93"/>
    </row>
    <row r="1713" spans="1:10" s="65" customFormat="1" ht="14" x14ac:dyDescent="0.35">
      <c r="A1713" s="145"/>
      <c r="E1713" s="102"/>
      <c r="F1713" s="102"/>
      <c r="G1713" s="102"/>
      <c r="I1713" s="93"/>
      <c r="J1713" s="93"/>
    </row>
    <row r="1714" spans="1:10" s="65" customFormat="1" ht="14" x14ac:dyDescent="0.35">
      <c r="A1714" s="145"/>
      <c r="E1714" s="102"/>
      <c r="F1714" s="102"/>
      <c r="G1714" s="102"/>
      <c r="I1714" s="93"/>
      <c r="J1714" s="93"/>
    </row>
    <row r="1715" spans="1:10" s="65" customFormat="1" ht="14" x14ac:dyDescent="0.35">
      <c r="A1715" s="145"/>
      <c r="E1715" s="102"/>
      <c r="F1715" s="102"/>
      <c r="G1715" s="102"/>
      <c r="I1715" s="93"/>
      <c r="J1715" s="93"/>
    </row>
    <row r="1716" spans="1:10" s="65" customFormat="1" ht="14" x14ac:dyDescent="0.35">
      <c r="A1716" s="145"/>
      <c r="E1716" s="102"/>
      <c r="F1716" s="102"/>
      <c r="G1716" s="102"/>
      <c r="I1716" s="93"/>
      <c r="J1716" s="93"/>
    </row>
    <row r="1717" spans="1:10" s="65" customFormat="1" ht="14" x14ac:dyDescent="0.35">
      <c r="A1717" s="145"/>
      <c r="E1717" s="102"/>
      <c r="F1717" s="102"/>
      <c r="G1717" s="102"/>
      <c r="I1717" s="93"/>
      <c r="J1717" s="93"/>
    </row>
    <row r="1718" spans="1:10" s="65" customFormat="1" ht="14" x14ac:dyDescent="0.35">
      <c r="A1718" s="145"/>
      <c r="E1718" s="102"/>
      <c r="F1718" s="102"/>
      <c r="G1718" s="102"/>
      <c r="I1718" s="93"/>
      <c r="J1718" s="93"/>
    </row>
    <row r="1719" spans="1:10" s="65" customFormat="1" ht="14" x14ac:dyDescent="0.35">
      <c r="A1719" s="145"/>
      <c r="E1719" s="102"/>
      <c r="F1719" s="102"/>
      <c r="G1719" s="102"/>
      <c r="I1719" s="93"/>
      <c r="J1719" s="93"/>
    </row>
    <row r="1720" spans="1:10" s="65" customFormat="1" ht="14" x14ac:dyDescent="0.35">
      <c r="A1720" s="145"/>
      <c r="E1720" s="102"/>
      <c r="F1720" s="102"/>
      <c r="G1720" s="102"/>
      <c r="I1720" s="93"/>
      <c r="J1720" s="93"/>
    </row>
    <row r="1721" spans="1:10" s="65" customFormat="1" ht="14" x14ac:dyDescent="0.35">
      <c r="A1721" s="145"/>
      <c r="E1721" s="102"/>
      <c r="F1721" s="102"/>
      <c r="G1721" s="102"/>
      <c r="I1721" s="93"/>
      <c r="J1721" s="93"/>
    </row>
    <row r="1722" spans="1:10" s="65" customFormat="1" ht="14" x14ac:dyDescent="0.35">
      <c r="A1722" s="145"/>
      <c r="E1722" s="102"/>
      <c r="F1722" s="102"/>
      <c r="G1722" s="102"/>
      <c r="I1722" s="93"/>
      <c r="J1722" s="93"/>
    </row>
    <row r="1723" spans="1:10" s="65" customFormat="1" ht="14" x14ac:dyDescent="0.35">
      <c r="A1723" s="145"/>
      <c r="E1723" s="102"/>
      <c r="F1723" s="102"/>
      <c r="G1723" s="102"/>
      <c r="I1723" s="93"/>
      <c r="J1723" s="93"/>
    </row>
    <row r="1724" spans="1:10" s="65" customFormat="1" ht="14" x14ac:dyDescent="0.35">
      <c r="A1724" s="145"/>
      <c r="E1724" s="102"/>
      <c r="F1724" s="102"/>
      <c r="G1724" s="102"/>
      <c r="I1724" s="93"/>
      <c r="J1724" s="93"/>
    </row>
    <row r="1725" spans="1:10" s="65" customFormat="1" ht="14" x14ac:dyDescent="0.35">
      <c r="A1725" s="145"/>
      <c r="E1725" s="102"/>
      <c r="F1725" s="102"/>
      <c r="G1725" s="102"/>
      <c r="I1725" s="93"/>
      <c r="J1725" s="93"/>
    </row>
    <row r="1726" spans="1:10" s="65" customFormat="1" ht="14" x14ac:dyDescent="0.35">
      <c r="A1726" s="145"/>
      <c r="E1726" s="102"/>
      <c r="F1726" s="102"/>
      <c r="G1726" s="102"/>
      <c r="I1726" s="93"/>
      <c r="J1726" s="93"/>
    </row>
    <row r="1727" spans="1:10" s="65" customFormat="1" ht="14" x14ac:dyDescent="0.35">
      <c r="A1727" s="145"/>
      <c r="E1727" s="102"/>
      <c r="F1727" s="102"/>
      <c r="G1727" s="102"/>
      <c r="I1727" s="93"/>
      <c r="J1727" s="93"/>
    </row>
    <row r="1728" spans="1:10" s="65" customFormat="1" ht="14" x14ac:dyDescent="0.35">
      <c r="A1728" s="145"/>
      <c r="E1728" s="102"/>
      <c r="F1728" s="102"/>
      <c r="G1728" s="102"/>
      <c r="I1728" s="93"/>
      <c r="J1728" s="93"/>
    </row>
    <row r="1729" spans="1:10" s="65" customFormat="1" ht="14" x14ac:dyDescent="0.35">
      <c r="A1729" s="145"/>
      <c r="E1729" s="102"/>
      <c r="F1729" s="102"/>
      <c r="G1729" s="102"/>
      <c r="I1729" s="93"/>
      <c r="J1729" s="93"/>
    </row>
    <row r="1730" spans="1:10" s="65" customFormat="1" ht="14" x14ac:dyDescent="0.35">
      <c r="A1730" s="145"/>
      <c r="E1730" s="102"/>
      <c r="F1730" s="102"/>
      <c r="G1730" s="102"/>
      <c r="I1730" s="93"/>
      <c r="J1730" s="93"/>
    </row>
    <row r="1731" spans="1:10" s="65" customFormat="1" ht="14" x14ac:dyDescent="0.35">
      <c r="A1731" s="145"/>
      <c r="E1731" s="102"/>
      <c r="F1731" s="102"/>
      <c r="G1731" s="102"/>
      <c r="I1731" s="93"/>
      <c r="J1731" s="93"/>
    </row>
    <row r="1732" spans="1:10" s="65" customFormat="1" ht="14" x14ac:dyDescent="0.35">
      <c r="A1732" s="145"/>
      <c r="E1732" s="102"/>
      <c r="F1732" s="102"/>
      <c r="G1732" s="102"/>
      <c r="I1732" s="93"/>
      <c r="J1732" s="93"/>
    </row>
    <row r="1733" spans="1:10" s="65" customFormat="1" ht="14" x14ac:dyDescent="0.35">
      <c r="A1733" s="145"/>
      <c r="E1733" s="102"/>
      <c r="F1733" s="102"/>
      <c r="G1733" s="102"/>
      <c r="I1733" s="93"/>
      <c r="J1733" s="93"/>
    </row>
    <row r="1734" spans="1:10" s="65" customFormat="1" ht="14" x14ac:dyDescent="0.35">
      <c r="A1734" s="145"/>
      <c r="E1734" s="102"/>
      <c r="F1734" s="102"/>
      <c r="G1734" s="102"/>
      <c r="I1734" s="93"/>
      <c r="J1734" s="93"/>
    </row>
    <row r="1735" spans="1:10" s="65" customFormat="1" ht="14" x14ac:dyDescent="0.35">
      <c r="A1735" s="145"/>
      <c r="E1735" s="102"/>
      <c r="F1735" s="102"/>
      <c r="G1735" s="102"/>
      <c r="I1735" s="93"/>
      <c r="J1735" s="93"/>
    </row>
    <row r="1736" spans="1:10" s="65" customFormat="1" ht="14" x14ac:dyDescent="0.35">
      <c r="A1736" s="145"/>
      <c r="E1736" s="102"/>
      <c r="F1736" s="102"/>
      <c r="G1736" s="102"/>
      <c r="I1736" s="93"/>
      <c r="J1736" s="93"/>
    </row>
    <row r="1737" spans="1:10" s="65" customFormat="1" ht="14" x14ac:dyDescent="0.35">
      <c r="A1737" s="145"/>
      <c r="E1737" s="102"/>
      <c r="F1737" s="102"/>
      <c r="G1737" s="102"/>
      <c r="I1737" s="93"/>
      <c r="J1737" s="93"/>
    </row>
    <row r="1738" spans="1:10" s="65" customFormat="1" ht="14" x14ac:dyDescent="0.35">
      <c r="A1738" s="145"/>
      <c r="E1738" s="102"/>
      <c r="F1738" s="102"/>
      <c r="G1738" s="102"/>
      <c r="I1738" s="93"/>
      <c r="J1738" s="93"/>
    </row>
    <row r="1739" spans="1:10" s="65" customFormat="1" ht="14" x14ac:dyDescent="0.35">
      <c r="A1739" s="145"/>
      <c r="E1739" s="102"/>
      <c r="F1739" s="102"/>
      <c r="G1739" s="102"/>
      <c r="I1739" s="93"/>
      <c r="J1739" s="93"/>
    </row>
    <row r="1740" spans="1:10" s="65" customFormat="1" ht="14" x14ac:dyDescent="0.35">
      <c r="A1740" s="145"/>
      <c r="E1740" s="102"/>
      <c r="F1740" s="102"/>
      <c r="G1740" s="102"/>
      <c r="I1740" s="93"/>
      <c r="J1740" s="93"/>
    </row>
    <row r="1741" spans="1:10" s="65" customFormat="1" ht="14" x14ac:dyDescent="0.35">
      <c r="A1741" s="145"/>
      <c r="E1741" s="102"/>
      <c r="F1741" s="102"/>
      <c r="G1741" s="102"/>
      <c r="I1741" s="93"/>
      <c r="J1741" s="93"/>
    </row>
    <row r="1742" spans="1:10" s="65" customFormat="1" ht="14" x14ac:dyDescent="0.35">
      <c r="A1742" s="145"/>
      <c r="E1742" s="102"/>
      <c r="F1742" s="102"/>
      <c r="G1742" s="102"/>
      <c r="I1742" s="93"/>
      <c r="J1742" s="93"/>
    </row>
    <row r="1743" spans="1:10" s="65" customFormat="1" ht="14" x14ac:dyDescent="0.35">
      <c r="A1743" s="145"/>
      <c r="E1743" s="102"/>
      <c r="F1743" s="102"/>
      <c r="G1743" s="102"/>
      <c r="I1743" s="93"/>
      <c r="J1743" s="93"/>
    </row>
    <row r="1744" spans="1:10" s="65" customFormat="1" ht="14" x14ac:dyDescent="0.35">
      <c r="A1744" s="145"/>
      <c r="E1744" s="102"/>
      <c r="F1744" s="102"/>
      <c r="G1744" s="102"/>
      <c r="I1744" s="93"/>
      <c r="J1744" s="93"/>
    </row>
    <row r="1745" spans="1:10" s="65" customFormat="1" ht="14" x14ac:dyDescent="0.35">
      <c r="A1745" s="145"/>
      <c r="E1745" s="102"/>
      <c r="F1745" s="102"/>
      <c r="G1745" s="102"/>
      <c r="I1745" s="93"/>
      <c r="J1745" s="93"/>
    </row>
    <row r="1746" spans="1:10" s="65" customFormat="1" ht="14" x14ac:dyDescent="0.35">
      <c r="A1746" s="145"/>
      <c r="E1746" s="102"/>
      <c r="F1746" s="102"/>
      <c r="G1746" s="102"/>
      <c r="I1746" s="93"/>
      <c r="J1746" s="93"/>
    </row>
    <row r="1747" spans="1:10" s="65" customFormat="1" ht="14" x14ac:dyDescent="0.35">
      <c r="A1747" s="145"/>
      <c r="E1747" s="102"/>
      <c r="F1747" s="102"/>
      <c r="G1747" s="102"/>
      <c r="I1747" s="93"/>
      <c r="J1747" s="93"/>
    </row>
    <row r="1748" spans="1:10" s="65" customFormat="1" ht="14" x14ac:dyDescent="0.35">
      <c r="A1748" s="145"/>
      <c r="E1748" s="102"/>
      <c r="F1748" s="102"/>
      <c r="G1748" s="102"/>
      <c r="I1748" s="93"/>
      <c r="J1748" s="93"/>
    </row>
    <row r="1749" spans="1:10" s="65" customFormat="1" ht="14" x14ac:dyDescent="0.35">
      <c r="A1749" s="145"/>
      <c r="E1749" s="102"/>
      <c r="F1749" s="102"/>
      <c r="G1749" s="102"/>
      <c r="I1749" s="93"/>
      <c r="J1749" s="93"/>
    </row>
    <row r="1750" spans="1:10" s="65" customFormat="1" ht="14" x14ac:dyDescent="0.35">
      <c r="A1750" s="145"/>
      <c r="E1750" s="102"/>
      <c r="F1750" s="102"/>
      <c r="G1750" s="102"/>
      <c r="I1750" s="93"/>
      <c r="J1750" s="93"/>
    </row>
    <row r="1751" spans="1:10" s="65" customFormat="1" ht="14" x14ac:dyDescent="0.35">
      <c r="A1751" s="145"/>
      <c r="E1751" s="102"/>
      <c r="F1751" s="102"/>
      <c r="G1751" s="102"/>
      <c r="I1751" s="93"/>
      <c r="J1751" s="93"/>
    </row>
    <row r="1752" spans="1:10" s="65" customFormat="1" ht="14" x14ac:dyDescent="0.35">
      <c r="A1752" s="145"/>
      <c r="E1752" s="102"/>
      <c r="F1752" s="102"/>
      <c r="G1752" s="102"/>
      <c r="I1752" s="93"/>
      <c r="J1752" s="93"/>
    </row>
    <row r="1753" spans="1:10" s="65" customFormat="1" ht="14" x14ac:dyDescent="0.35">
      <c r="A1753" s="145"/>
      <c r="E1753" s="102"/>
      <c r="F1753" s="102"/>
      <c r="G1753" s="102"/>
      <c r="I1753" s="93"/>
      <c r="J1753" s="93"/>
    </row>
    <row r="1754" spans="1:10" s="65" customFormat="1" ht="14" x14ac:dyDescent="0.35">
      <c r="A1754" s="145"/>
      <c r="E1754" s="102"/>
      <c r="F1754" s="102"/>
      <c r="G1754" s="102"/>
      <c r="I1754" s="93"/>
      <c r="J1754" s="93"/>
    </row>
    <row r="1755" spans="1:10" s="65" customFormat="1" ht="14" x14ac:dyDescent="0.35">
      <c r="A1755" s="145"/>
      <c r="E1755" s="102"/>
      <c r="F1755" s="102"/>
      <c r="G1755" s="102"/>
      <c r="I1755" s="93"/>
      <c r="J1755" s="93"/>
    </row>
    <row r="1756" spans="1:10" s="65" customFormat="1" ht="14" x14ac:dyDescent="0.35">
      <c r="A1756" s="145"/>
      <c r="E1756" s="102"/>
      <c r="F1756" s="102"/>
      <c r="G1756" s="102"/>
      <c r="I1756" s="93"/>
      <c r="J1756" s="93"/>
    </row>
    <row r="1757" spans="1:10" s="65" customFormat="1" ht="14" x14ac:dyDescent="0.35">
      <c r="A1757" s="145"/>
      <c r="E1757" s="102"/>
      <c r="F1757" s="102"/>
      <c r="G1757" s="102"/>
      <c r="I1757" s="93"/>
      <c r="J1757" s="93"/>
    </row>
    <row r="1758" spans="1:10" s="65" customFormat="1" ht="14" x14ac:dyDescent="0.35">
      <c r="A1758" s="145"/>
      <c r="E1758" s="102"/>
      <c r="F1758" s="102"/>
      <c r="G1758" s="102"/>
      <c r="I1758" s="93"/>
      <c r="J1758" s="93"/>
    </row>
    <row r="1759" spans="1:10" s="65" customFormat="1" ht="14" x14ac:dyDescent="0.35">
      <c r="A1759" s="145"/>
      <c r="E1759" s="102"/>
      <c r="F1759" s="102"/>
      <c r="G1759" s="102"/>
      <c r="I1759" s="93"/>
      <c r="J1759" s="93"/>
    </row>
    <row r="1760" spans="1:10" s="65" customFormat="1" ht="14" x14ac:dyDescent="0.35">
      <c r="A1760" s="145"/>
      <c r="E1760" s="102"/>
      <c r="F1760" s="102"/>
      <c r="G1760" s="102"/>
      <c r="I1760" s="93"/>
      <c r="J1760" s="93"/>
    </row>
    <row r="1761" spans="1:10" s="65" customFormat="1" ht="14" x14ac:dyDescent="0.35">
      <c r="A1761" s="145"/>
      <c r="E1761" s="102"/>
      <c r="F1761" s="102"/>
      <c r="G1761" s="102"/>
      <c r="I1761" s="93"/>
      <c r="J1761" s="93"/>
    </row>
    <row r="1762" spans="1:10" s="65" customFormat="1" ht="14" x14ac:dyDescent="0.35">
      <c r="A1762" s="145"/>
      <c r="E1762" s="102"/>
      <c r="F1762" s="102"/>
      <c r="G1762" s="102"/>
      <c r="I1762" s="93"/>
      <c r="J1762" s="93"/>
    </row>
    <row r="1763" spans="1:10" s="65" customFormat="1" ht="14" x14ac:dyDescent="0.35">
      <c r="A1763" s="145"/>
      <c r="E1763" s="102"/>
      <c r="F1763" s="102"/>
      <c r="G1763" s="102"/>
      <c r="I1763" s="93"/>
      <c r="J1763" s="93"/>
    </row>
    <row r="1764" spans="1:10" s="65" customFormat="1" ht="14" x14ac:dyDescent="0.35">
      <c r="A1764" s="145"/>
      <c r="E1764" s="102"/>
      <c r="F1764" s="102"/>
      <c r="G1764" s="102"/>
      <c r="I1764" s="93"/>
      <c r="J1764" s="93"/>
    </row>
    <row r="1765" spans="1:10" s="65" customFormat="1" ht="14" x14ac:dyDescent="0.35">
      <c r="A1765" s="145"/>
      <c r="E1765" s="102"/>
      <c r="F1765" s="102"/>
      <c r="G1765" s="102"/>
      <c r="I1765" s="93"/>
      <c r="J1765" s="93"/>
    </row>
    <row r="1766" spans="1:10" s="65" customFormat="1" ht="14" x14ac:dyDescent="0.35">
      <c r="A1766" s="145"/>
      <c r="E1766" s="102"/>
      <c r="F1766" s="102"/>
      <c r="G1766" s="102"/>
      <c r="I1766" s="93"/>
      <c r="J1766" s="93"/>
    </row>
    <row r="1767" spans="1:10" s="65" customFormat="1" ht="14" x14ac:dyDescent="0.35">
      <c r="A1767" s="145"/>
      <c r="E1767" s="102"/>
      <c r="F1767" s="102"/>
      <c r="G1767" s="102"/>
      <c r="I1767" s="93"/>
      <c r="J1767" s="93"/>
    </row>
    <row r="1768" spans="1:10" s="65" customFormat="1" ht="14" x14ac:dyDescent="0.35">
      <c r="A1768" s="145"/>
      <c r="E1768" s="102"/>
      <c r="F1768" s="102"/>
      <c r="G1768" s="102"/>
      <c r="I1768" s="93"/>
      <c r="J1768" s="93"/>
    </row>
    <row r="1769" spans="1:10" s="65" customFormat="1" ht="14" x14ac:dyDescent="0.35">
      <c r="A1769" s="145"/>
      <c r="E1769" s="102"/>
      <c r="F1769" s="102"/>
      <c r="G1769" s="102"/>
      <c r="I1769" s="93"/>
      <c r="J1769" s="93"/>
    </row>
    <row r="1770" spans="1:10" s="65" customFormat="1" ht="14" x14ac:dyDescent="0.35">
      <c r="A1770" s="145"/>
      <c r="E1770" s="102"/>
      <c r="F1770" s="102"/>
      <c r="G1770" s="102"/>
      <c r="I1770" s="93"/>
      <c r="J1770" s="93"/>
    </row>
    <row r="1771" spans="1:10" s="65" customFormat="1" ht="14" x14ac:dyDescent="0.35">
      <c r="A1771" s="145"/>
      <c r="E1771" s="102"/>
      <c r="F1771" s="102"/>
      <c r="G1771" s="102"/>
      <c r="I1771" s="93"/>
      <c r="J1771" s="93"/>
    </row>
    <row r="1772" spans="1:10" s="65" customFormat="1" ht="14" x14ac:dyDescent="0.35">
      <c r="A1772" s="145"/>
      <c r="E1772" s="102"/>
      <c r="F1772" s="102"/>
      <c r="G1772" s="102"/>
      <c r="I1772" s="93"/>
      <c r="J1772" s="93"/>
    </row>
    <row r="1773" spans="1:10" s="65" customFormat="1" ht="14" x14ac:dyDescent="0.35">
      <c r="A1773" s="145"/>
      <c r="E1773" s="102"/>
      <c r="F1773" s="102"/>
      <c r="G1773" s="102"/>
      <c r="I1773" s="93"/>
      <c r="J1773" s="93"/>
    </row>
    <row r="1774" spans="1:10" s="65" customFormat="1" ht="14" x14ac:dyDescent="0.35">
      <c r="A1774" s="145"/>
      <c r="E1774" s="102"/>
      <c r="F1774" s="102"/>
      <c r="G1774" s="102"/>
      <c r="I1774" s="93"/>
      <c r="J1774" s="93"/>
    </row>
    <row r="1775" spans="1:10" s="65" customFormat="1" ht="14" x14ac:dyDescent="0.35">
      <c r="A1775" s="145"/>
      <c r="E1775" s="102"/>
      <c r="F1775" s="102"/>
      <c r="G1775" s="102"/>
      <c r="I1775" s="93"/>
      <c r="J1775" s="93"/>
    </row>
    <row r="1776" spans="1:10" s="65" customFormat="1" ht="14" x14ac:dyDescent="0.35">
      <c r="A1776" s="145"/>
      <c r="E1776" s="102"/>
      <c r="F1776" s="102"/>
      <c r="G1776" s="102"/>
      <c r="I1776" s="93"/>
      <c r="J1776" s="93"/>
    </row>
    <row r="1777" spans="1:10" s="65" customFormat="1" ht="14" x14ac:dyDescent="0.35">
      <c r="A1777" s="145"/>
      <c r="E1777" s="102"/>
      <c r="F1777" s="102"/>
      <c r="G1777" s="102"/>
      <c r="I1777" s="93"/>
      <c r="J1777" s="93"/>
    </row>
    <row r="1778" spans="1:10" s="65" customFormat="1" ht="14" x14ac:dyDescent="0.35">
      <c r="A1778" s="145"/>
      <c r="E1778" s="102"/>
      <c r="F1778" s="102"/>
      <c r="G1778" s="102"/>
      <c r="I1778" s="93"/>
      <c r="J1778" s="93"/>
    </row>
    <row r="1779" spans="1:10" s="65" customFormat="1" ht="14" x14ac:dyDescent="0.35">
      <c r="A1779" s="145"/>
      <c r="E1779" s="102"/>
      <c r="F1779" s="102"/>
      <c r="G1779" s="102"/>
      <c r="I1779" s="93"/>
      <c r="J1779" s="93"/>
    </row>
    <row r="1780" spans="1:10" s="65" customFormat="1" ht="14" x14ac:dyDescent="0.35">
      <c r="A1780" s="145"/>
      <c r="E1780" s="102"/>
      <c r="F1780" s="102"/>
      <c r="G1780" s="102"/>
      <c r="I1780" s="93"/>
      <c r="J1780" s="93"/>
    </row>
    <row r="1781" spans="1:10" s="65" customFormat="1" ht="14" x14ac:dyDescent="0.35">
      <c r="A1781" s="145"/>
      <c r="E1781" s="102"/>
      <c r="F1781" s="102"/>
      <c r="G1781" s="102"/>
      <c r="I1781" s="93"/>
      <c r="J1781" s="93"/>
    </row>
    <row r="1782" spans="1:10" s="65" customFormat="1" ht="14" x14ac:dyDescent="0.35">
      <c r="A1782" s="145"/>
      <c r="E1782" s="102"/>
      <c r="F1782" s="102"/>
      <c r="G1782" s="102"/>
      <c r="I1782" s="93"/>
      <c r="J1782" s="93"/>
    </row>
    <row r="1783" spans="1:10" s="65" customFormat="1" ht="14" x14ac:dyDescent="0.35">
      <c r="A1783" s="145"/>
      <c r="E1783" s="102"/>
      <c r="F1783" s="102"/>
      <c r="G1783" s="102"/>
      <c r="I1783" s="93"/>
      <c r="J1783" s="93"/>
    </row>
    <row r="1784" spans="1:10" s="65" customFormat="1" ht="14" x14ac:dyDescent="0.35">
      <c r="A1784" s="145"/>
      <c r="E1784" s="102"/>
      <c r="F1784" s="102"/>
      <c r="G1784" s="102"/>
      <c r="I1784" s="93"/>
      <c r="J1784" s="93"/>
    </row>
    <row r="1785" spans="1:10" s="65" customFormat="1" ht="14" x14ac:dyDescent="0.35">
      <c r="A1785" s="145"/>
      <c r="E1785" s="102"/>
      <c r="F1785" s="102"/>
      <c r="G1785" s="102"/>
      <c r="I1785" s="93"/>
      <c r="J1785" s="93"/>
    </row>
    <row r="1786" spans="1:10" s="65" customFormat="1" ht="14" x14ac:dyDescent="0.35">
      <c r="A1786" s="145"/>
      <c r="E1786" s="102"/>
      <c r="F1786" s="102"/>
      <c r="G1786" s="102"/>
      <c r="I1786" s="93"/>
      <c r="J1786" s="93"/>
    </row>
    <row r="1787" spans="1:10" s="65" customFormat="1" ht="14" x14ac:dyDescent="0.35">
      <c r="A1787" s="145"/>
      <c r="E1787" s="102"/>
      <c r="F1787" s="102"/>
      <c r="G1787" s="102"/>
      <c r="I1787" s="93"/>
      <c r="J1787" s="93"/>
    </row>
    <row r="1788" spans="1:10" s="65" customFormat="1" ht="14" x14ac:dyDescent="0.35">
      <c r="A1788" s="145"/>
      <c r="E1788" s="102"/>
      <c r="F1788" s="102"/>
      <c r="G1788" s="102"/>
      <c r="I1788" s="93"/>
      <c r="J1788" s="93"/>
    </row>
    <row r="1789" spans="1:10" s="65" customFormat="1" ht="14" x14ac:dyDescent="0.35">
      <c r="A1789" s="145"/>
      <c r="E1789" s="102"/>
      <c r="F1789" s="102"/>
      <c r="G1789" s="102"/>
      <c r="I1789" s="93"/>
      <c r="J1789" s="93"/>
    </row>
    <row r="1790" spans="1:10" s="65" customFormat="1" ht="14" x14ac:dyDescent="0.35">
      <c r="A1790" s="145"/>
      <c r="E1790" s="102"/>
      <c r="F1790" s="102"/>
      <c r="G1790" s="102"/>
      <c r="I1790" s="93"/>
      <c r="J1790" s="93"/>
    </row>
    <row r="1791" spans="1:10" s="65" customFormat="1" ht="14" x14ac:dyDescent="0.35">
      <c r="A1791" s="145"/>
      <c r="E1791" s="102"/>
      <c r="F1791" s="102"/>
      <c r="G1791" s="102"/>
      <c r="I1791" s="93"/>
      <c r="J1791" s="93"/>
    </row>
    <row r="1792" spans="1:10" s="65" customFormat="1" ht="14" x14ac:dyDescent="0.35">
      <c r="A1792" s="145"/>
      <c r="E1792" s="102"/>
      <c r="F1792" s="102"/>
      <c r="G1792" s="102"/>
      <c r="I1792" s="93"/>
      <c r="J1792" s="93"/>
    </row>
    <row r="1793" spans="1:10" s="65" customFormat="1" ht="14" x14ac:dyDescent="0.35">
      <c r="A1793" s="145"/>
      <c r="E1793" s="102"/>
      <c r="F1793" s="102"/>
      <c r="G1793" s="102"/>
      <c r="I1793" s="93"/>
      <c r="J1793" s="93"/>
    </row>
    <row r="1794" spans="1:10" s="65" customFormat="1" ht="14" x14ac:dyDescent="0.35">
      <c r="A1794" s="145"/>
      <c r="E1794" s="102"/>
      <c r="F1794" s="102"/>
      <c r="G1794" s="102"/>
      <c r="I1794" s="93"/>
      <c r="J1794" s="93"/>
    </row>
    <row r="1795" spans="1:10" s="65" customFormat="1" ht="14" x14ac:dyDescent="0.35">
      <c r="A1795" s="145"/>
      <c r="E1795" s="102"/>
      <c r="F1795" s="102"/>
      <c r="G1795" s="102"/>
      <c r="I1795" s="93"/>
      <c r="J1795" s="93"/>
    </row>
    <row r="1796" spans="1:10" s="65" customFormat="1" ht="14" x14ac:dyDescent="0.35">
      <c r="A1796" s="145"/>
      <c r="E1796" s="102"/>
      <c r="F1796" s="102"/>
      <c r="G1796" s="102"/>
      <c r="I1796" s="93"/>
      <c r="J1796" s="93"/>
    </row>
    <row r="1797" spans="1:10" s="65" customFormat="1" ht="14" x14ac:dyDescent="0.35">
      <c r="A1797" s="145"/>
      <c r="E1797" s="102"/>
      <c r="F1797" s="102"/>
      <c r="G1797" s="102"/>
      <c r="I1797" s="93"/>
      <c r="J1797" s="93"/>
    </row>
    <row r="1798" spans="1:10" s="65" customFormat="1" ht="14" x14ac:dyDescent="0.35">
      <c r="A1798" s="145"/>
      <c r="E1798" s="102"/>
      <c r="F1798" s="102"/>
      <c r="G1798" s="102"/>
      <c r="I1798" s="93"/>
      <c r="J1798" s="93"/>
    </row>
    <row r="1799" spans="1:10" s="65" customFormat="1" ht="14" x14ac:dyDescent="0.35">
      <c r="A1799" s="145"/>
      <c r="E1799" s="102"/>
      <c r="F1799" s="102"/>
      <c r="G1799" s="102"/>
      <c r="I1799" s="93"/>
      <c r="J1799" s="93"/>
    </row>
    <row r="1800" spans="1:10" s="65" customFormat="1" ht="14" x14ac:dyDescent="0.35">
      <c r="A1800" s="145"/>
      <c r="E1800" s="102"/>
      <c r="F1800" s="102"/>
      <c r="G1800" s="102"/>
      <c r="I1800" s="93"/>
      <c r="J1800" s="93"/>
    </row>
    <row r="1801" spans="1:10" s="65" customFormat="1" ht="14" x14ac:dyDescent="0.35">
      <c r="A1801" s="145"/>
      <c r="E1801" s="102"/>
      <c r="F1801" s="102"/>
      <c r="G1801" s="102"/>
      <c r="I1801" s="93"/>
      <c r="J1801" s="93"/>
    </row>
    <row r="1802" spans="1:10" s="65" customFormat="1" ht="14" x14ac:dyDescent="0.35">
      <c r="A1802" s="145"/>
      <c r="E1802" s="102"/>
      <c r="F1802" s="102"/>
      <c r="G1802" s="102"/>
      <c r="I1802" s="93"/>
      <c r="J1802" s="93"/>
    </row>
    <row r="1803" spans="1:10" s="65" customFormat="1" ht="14" x14ac:dyDescent="0.35">
      <c r="A1803" s="145"/>
      <c r="E1803" s="102"/>
      <c r="F1803" s="102"/>
      <c r="G1803" s="102"/>
      <c r="I1803" s="93"/>
      <c r="J1803" s="93"/>
    </row>
    <row r="1804" spans="1:10" s="65" customFormat="1" ht="14" x14ac:dyDescent="0.35">
      <c r="A1804" s="145"/>
      <c r="E1804" s="102"/>
      <c r="F1804" s="102"/>
      <c r="G1804" s="102"/>
      <c r="I1804" s="93"/>
      <c r="J1804" s="93"/>
    </row>
    <row r="1805" spans="1:10" s="65" customFormat="1" ht="14" x14ac:dyDescent="0.35">
      <c r="A1805" s="145"/>
      <c r="E1805" s="102"/>
      <c r="F1805" s="102"/>
      <c r="G1805" s="102"/>
      <c r="I1805" s="93"/>
      <c r="J1805" s="93"/>
    </row>
    <row r="1806" spans="1:10" s="65" customFormat="1" ht="14" x14ac:dyDescent="0.35">
      <c r="A1806" s="145"/>
      <c r="E1806" s="102"/>
      <c r="F1806" s="102"/>
      <c r="G1806" s="102"/>
      <c r="I1806" s="93"/>
      <c r="J1806" s="93"/>
    </row>
    <row r="1807" spans="1:10" s="65" customFormat="1" ht="14" x14ac:dyDescent="0.35">
      <c r="A1807" s="145"/>
      <c r="E1807" s="102"/>
      <c r="F1807" s="102"/>
      <c r="G1807" s="102"/>
      <c r="I1807" s="93"/>
      <c r="J1807" s="93"/>
    </row>
    <row r="1808" spans="1:10" s="65" customFormat="1" ht="14" x14ac:dyDescent="0.35">
      <c r="A1808" s="145"/>
      <c r="E1808" s="102"/>
      <c r="F1808" s="102"/>
      <c r="G1808" s="102"/>
      <c r="I1808" s="93"/>
      <c r="J1808" s="93"/>
    </row>
    <row r="1809" spans="1:10" s="65" customFormat="1" ht="14" x14ac:dyDescent="0.35">
      <c r="A1809" s="145"/>
      <c r="E1809" s="102"/>
      <c r="F1809" s="102"/>
      <c r="G1809" s="102"/>
      <c r="I1809" s="93"/>
      <c r="J1809" s="93"/>
    </row>
    <row r="1810" spans="1:10" s="65" customFormat="1" ht="14" x14ac:dyDescent="0.35">
      <c r="A1810" s="145"/>
      <c r="E1810" s="102"/>
      <c r="F1810" s="102"/>
      <c r="G1810" s="102"/>
      <c r="I1810" s="93"/>
      <c r="J1810" s="93"/>
    </row>
    <row r="1811" spans="1:10" s="65" customFormat="1" ht="14" x14ac:dyDescent="0.35">
      <c r="A1811" s="145"/>
      <c r="E1811" s="102"/>
      <c r="F1811" s="102"/>
      <c r="G1811" s="102"/>
      <c r="I1811" s="93"/>
      <c r="J1811" s="93"/>
    </row>
    <row r="1812" spans="1:10" s="65" customFormat="1" ht="14" x14ac:dyDescent="0.35">
      <c r="A1812" s="145"/>
      <c r="E1812" s="102"/>
      <c r="F1812" s="102"/>
      <c r="G1812" s="102"/>
      <c r="I1812" s="93"/>
      <c r="J1812" s="93"/>
    </row>
    <row r="1813" spans="1:10" s="65" customFormat="1" ht="14" x14ac:dyDescent="0.35">
      <c r="A1813" s="145"/>
      <c r="E1813" s="102"/>
      <c r="F1813" s="102"/>
      <c r="G1813" s="102"/>
      <c r="I1813" s="93"/>
      <c r="J1813" s="93"/>
    </row>
    <row r="1814" spans="1:10" s="65" customFormat="1" ht="14" x14ac:dyDescent="0.35">
      <c r="A1814" s="145"/>
      <c r="E1814" s="102"/>
      <c r="F1814" s="102"/>
      <c r="G1814" s="102"/>
      <c r="I1814" s="93"/>
      <c r="J1814" s="93"/>
    </row>
    <row r="1815" spans="1:10" s="65" customFormat="1" ht="14" x14ac:dyDescent="0.35">
      <c r="A1815" s="145"/>
      <c r="E1815" s="102"/>
      <c r="F1815" s="102"/>
      <c r="G1815" s="102"/>
      <c r="I1815" s="93"/>
      <c r="J1815" s="93"/>
    </row>
    <row r="1816" spans="1:10" s="65" customFormat="1" ht="14" x14ac:dyDescent="0.35">
      <c r="A1816" s="145"/>
      <c r="E1816" s="102"/>
      <c r="F1816" s="102"/>
      <c r="G1816" s="102"/>
      <c r="I1816" s="93"/>
      <c r="J1816" s="93"/>
    </row>
    <row r="1817" spans="1:10" s="65" customFormat="1" ht="14" x14ac:dyDescent="0.35">
      <c r="A1817" s="145"/>
      <c r="E1817" s="102"/>
      <c r="F1817" s="102"/>
      <c r="G1817" s="102"/>
      <c r="I1817" s="93"/>
      <c r="J1817" s="93"/>
    </row>
    <row r="1818" spans="1:10" s="65" customFormat="1" ht="14" x14ac:dyDescent="0.35">
      <c r="A1818" s="145"/>
      <c r="E1818" s="102"/>
      <c r="F1818" s="102"/>
      <c r="G1818" s="102"/>
      <c r="I1818" s="93"/>
      <c r="J1818" s="93"/>
    </row>
    <row r="1819" spans="1:10" s="65" customFormat="1" ht="14" x14ac:dyDescent="0.35">
      <c r="A1819" s="145"/>
      <c r="E1819" s="102"/>
      <c r="F1819" s="102"/>
      <c r="G1819" s="102"/>
      <c r="I1819" s="93"/>
      <c r="J1819" s="93"/>
    </row>
    <row r="1820" spans="1:10" s="65" customFormat="1" ht="14" x14ac:dyDescent="0.35">
      <c r="A1820" s="145"/>
      <c r="E1820" s="102"/>
      <c r="F1820" s="102"/>
      <c r="G1820" s="102"/>
      <c r="I1820" s="93"/>
      <c r="J1820" s="93"/>
    </row>
    <row r="1821" spans="1:10" s="65" customFormat="1" ht="14" x14ac:dyDescent="0.35">
      <c r="A1821" s="145"/>
      <c r="E1821" s="102"/>
      <c r="F1821" s="102"/>
      <c r="G1821" s="102"/>
      <c r="I1821" s="93"/>
      <c r="J1821" s="93"/>
    </row>
    <row r="1822" spans="1:10" s="65" customFormat="1" ht="14" x14ac:dyDescent="0.35">
      <c r="A1822" s="145"/>
      <c r="E1822" s="102"/>
      <c r="F1822" s="102"/>
      <c r="G1822" s="102"/>
      <c r="I1822" s="93"/>
      <c r="J1822" s="93"/>
    </row>
    <row r="1823" spans="1:10" s="65" customFormat="1" ht="14" x14ac:dyDescent="0.35">
      <c r="A1823" s="145"/>
      <c r="E1823" s="102"/>
      <c r="F1823" s="102"/>
      <c r="G1823" s="102"/>
      <c r="I1823" s="93"/>
      <c r="J1823" s="93"/>
    </row>
    <row r="1824" spans="1:10" s="65" customFormat="1" ht="14" x14ac:dyDescent="0.35">
      <c r="A1824" s="145"/>
      <c r="E1824" s="102"/>
      <c r="F1824" s="102"/>
      <c r="G1824" s="102"/>
      <c r="I1824" s="93"/>
      <c r="J1824" s="93"/>
    </row>
    <row r="1825" spans="1:10" s="65" customFormat="1" ht="14" x14ac:dyDescent="0.35">
      <c r="A1825" s="145"/>
      <c r="E1825" s="102"/>
      <c r="F1825" s="102"/>
      <c r="G1825" s="102"/>
      <c r="I1825" s="93"/>
      <c r="J1825" s="93"/>
    </row>
    <row r="1826" spans="1:10" s="65" customFormat="1" ht="14" x14ac:dyDescent="0.35">
      <c r="A1826" s="145"/>
      <c r="E1826" s="102"/>
      <c r="F1826" s="102"/>
      <c r="G1826" s="102"/>
      <c r="I1826" s="93"/>
      <c r="J1826" s="93"/>
    </row>
    <row r="1827" spans="1:10" s="65" customFormat="1" ht="14" x14ac:dyDescent="0.35">
      <c r="A1827" s="145"/>
      <c r="E1827" s="102"/>
      <c r="F1827" s="102"/>
      <c r="G1827" s="102"/>
      <c r="I1827" s="93"/>
      <c r="J1827" s="93"/>
    </row>
    <row r="1828" spans="1:10" s="65" customFormat="1" ht="14" x14ac:dyDescent="0.35">
      <c r="A1828" s="145"/>
      <c r="E1828" s="102"/>
      <c r="F1828" s="102"/>
      <c r="G1828" s="102"/>
      <c r="I1828" s="93"/>
      <c r="J1828" s="93"/>
    </row>
    <row r="1829" spans="1:10" s="65" customFormat="1" ht="14" x14ac:dyDescent="0.35">
      <c r="A1829" s="145"/>
      <c r="E1829" s="102"/>
      <c r="F1829" s="102"/>
      <c r="G1829" s="102"/>
      <c r="I1829" s="93"/>
      <c r="J1829" s="93"/>
    </row>
    <row r="1830" spans="1:10" s="65" customFormat="1" ht="14" x14ac:dyDescent="0.35">
      <c r="A1830" s="145"/>
      <c r="E1830" s="102"/>
      <c r="F1830" s="102"/>
      <c r="G1830" s="102"/>
      <c r="I1830" s="93"/>
      <c r="J1830" s="93"/>
    </row>
    <row r="1831" spans="1:10" s="65" customFormat="1" ht="14" x14ac:dyDescent="0.35">
      <c r="A1831" s="145"/>
      <c r="E1831" s="102"/>
      <c r="F1831" s="102"/>
      <c r="G1831" s="102"/>
      <c r="I1831" s="93"/>
      <c r="J1831" s="93"/>
    </row>
    <row r="1832" spans="1:10" s="65" customFormat="1" ht="14" x14ac:dyDescent="0.35">
      <c r="A1832" s="145"/>
      <c r="E1832" s="102"/>
      <c r="F1832" s="102"/>
      <c r="G1832" s="102"/>
      <c r="I1832" s="93"/>
      <c r="J1832" s="93"/>
    </row>
    <row r="1833" spans="1:10" s="65" customFormat="1" ht="14" x14ac:dyDescent="0.35">
      <c r="A1833" s="145"/>
      <c r="E1833" s="102"/>
      <c r="F1833" s="102"/>
      <c r="G1833" s="102"/>
      <c r="I1833" s="93"/>
      <c r="J1833" s="93"/>
    </row>
    <row r="1834" spans="1:10" s="65" customFormat="1" ht="14" x14ac:dyDescent="0.35">
      <c r="A1834" s="145"/>
      <c r="E1834" s="102"/>
      <c r="F1834" s="102"/>
      <c r="G1834" s="102"/>
      <c r="I1834" s="93"/>
      <c r="J1834" s="93"/>
    </row>
    <row r="1835" spans="1:10" s="65" customFormat="1" ht="14" x14ac:dyDescent="0.35">
      <c r="A1835" s="145"/>
      <c r="E1835" s="102"/>
      <c r="F1835" s="102"/>
      <c r="G1835" s="102"/>
      <c r="I1835" s="93"/>
      <c r="J1835" s="93"/>
    </row>
    <row r="1836" spans="1:10" s="65" customFormat="1" ht="14" x14ac:dyDescent="0.35">
      <c r="A1836" s="145"/>
      <c r="E1836" s="102"/>
      <c r="F1836" s="102"/>
      <c r="G1836" s="102"/>
      <c r="I1836" s="93"/>
      <c r="J1836" s="93"/>
    </row>
    <row r="1837" spans="1:10" s="65" customFormat="1" ht="14" x14ac:dyDescent="0.35">
      <c r="A1837" s="145"/>
      <c r="E1837" s="102"/>
      <c r="F1837" s="102"/>
      <c r="G1837" s="102"/>
      <c r="I1837" s="93"/>
      <c r="J1837" s="93"/>
    </row>
    <row r="1838" spans="1:10" s="65" customFormat="1" ht="14" x14ac:dyDescent="0.35">
      <c r="A1838" s="145"/>
      <c r="E1838" s="102"/>
      <c r="F1838" s="102"/>
      <c r="G1838" s="102"/>
      <c r="I1838" s="93"/>
      <c r="J1838" s="93"/>
    </row>
    <row r="1839" spans="1:10" s="65" customFormat="1" ht="14" x14ac:dyDescent="0.35">
      <c r="A1839" s="145"/>
      <c r="E1839" s="102"/>
      <c r="F1839" s="102"/>
      <c r="G1839" s="102"/>
      <c r="I1839" s="93"/>
      <c r="J1839" s="93"/>
    </row>
    <row r="1840" spans="1:10" s="65" customFormat="1" ht="14" x14ac:dyDescent="0.35">
      <c r="A1840" s="145"/>
      <c r="E1840" s="102"/>
      <c r="F1840" s="102"/>
      <c r="G1840" s="102"/>
      <c r="I1840" s="93"/>
      <c r="J1840" s="93"/>
    </row>
    <row r="1841" spans="1:10" s="65" customFormat="1" ht="14" x14ac:dyDescent="0.35">
      <c r="A1841" s="145"/>
      <c r="E1841" s="102"/>
      <c r="F1841" s="102"/>
      <c r="G1841" s="102"/>
      <c r="I1841" s="93"/>
      <c r="J1841" s="93"/>
    </row>
    <row r="1842" spans="1:10" s="65" customFormat="1" ht="14" x14ac:dyDescent="0.35">
      <c r="A1842" s="145"/>
      <c r="E1842" s="102"/>
      <c r="F1842" s="102"/>
      <c r="G1842" s="102"/>
      <c r="I1842" s="93"/>
      <c r="J1842" s="93"/>
    </row>
    <row r="1843" spans="1:10" s="65" customFormat="1" ht="14" x14ac:dyDescent="0.35">
      <c r="A1843" s="145"/>
      <c r="E1843" s="102"/>
      <c r="F1843" s="102"/>
      <c r="G1843" s="102"/>
      <c r="I1843" s="93"/>
      <c r="J1843" s="93"/>
    </row>
    <row r="1844" spans="1:10" s="65" customFormat="1" ht="14" x14ac:dyDescent="0.35">
      <c r="A1844" s="145"/>
      <c r="E1844" s="102"/>
      <c r="F1844" s="102"/>
      <c r="G1844" s="102"/>
      <c r="I1844" s="93"/>
      <c r="J1844" s="93"/>
    </row>
    <row r="1845" spans="1:10" s="65" customFormat="1" ht="14" x14ac:dyDescent="0.35">
      <c r="A1845" s="145"/>
      <c r="E1845" s="102"/>
      <c r="F1845" s="102"/>
      <c r="G1845" s="102"/>
      <c r="I1845" s="93"/>
      <c r="J1845" s="93"/>
    </row>
    <row r="1846" spans="1:10" s="65" customFormat="1" ht="14" x14ac:dyDescent="0.35">
      <c r="A1846" s="145"/>
      <c r="E1846" s="102"/>
      <c r="F1846" s="102"/>
      <c r="G1846" s="102"/>
      <c r="I1846" s="93"/>
      <c r="J1846" s="93"/>
    </row>
    <row r="1847" spans="1:10" s="65" customFormat="1" ht="14" x14ac:dyDescent="0.35">
      <c r="A1847" s="145"/>
      <c r="E1847" s="102"/>
      <c r="F1847" s="102"/>
      <c r="G1847" s="102"/>
      <c r="I1847" s="93"/>
      <c r="J1847" s="93"/>
    </row>
    <row r="1848" spans="1:10" s="65" customFormat="1" ht="14" x14ac:dyDescent="0.35">
      <c r="A1848" s="145"/>
      <c r="E1848" s="102"/>
      <c r="F1848" s="102"/>
      <c r="G1848" s="102"/>
      <c r="I1848" s="93"/>
      <c r="J1848" s="93"/>
    </row>
    <row r="1849" spans="1:10" s="65" customFormat="1" ht="14" x14ac:dyDescent="0.35">
      <c r="A1849" s="145"/>
      <c r="E1849" s="102"/>
      <c r="F1849" s="102"/>
      <c r="G1849" s="102"/>
      <c r="I1849" s="93"/>
      <c r="J1849" s="93"/>
    </row>
    <row r="1850" spans="1:10" s="65" customFormat="1" ht="14" x14ac:dyDescent="0.35">
      <c r="A1850" s="145"/>
      <c r="E1850" s="102"/>
      <c r="F1850" s="102"/>
      <c r="G1850" s="102"/>
      <c r="I1850" s="93"/>
      <c r="J1850" s="93"/>
    </row>
    <row r="1851" spans="1:10" s="65" customFormat="1" ht="14" x14ac:dyDescent="0.35">
      <c r="A1851" s="145"/>
      <c r="E1851" s="102"/>
      <c r="F1851" s="102"/>
      <c r="G1851" s="102"/>
      <c r="I1851" s="93"/>
      <c r="J1851" s="93"/>
    </row>
    <row r="1852" spans="1:10" s="65" customFormat="1" ht="14" x14ac:dyDescent="0.35">
      <c r="A1852" s="145"/>
      <c r="E1852" s="102"/>
      <c r="F1852" s="102"/>
      <c r="G1852" s="102"/>
      <c r="I1852" s="93"/>
      <c r="J1852" s="93"/>
    </row>
    <row r="1853" spans="1:10" s="65" customFormat="1" ht="14" x14ac:dyDescent="0.35">
      <c r="A1853" s="145"/>
      <c r="E1853" s="102"/>
      <c r="F1853" s="102"/>
      <c r="G1853" s="102"/>
      <c r="I1853" s="93"/>
      <c r="J1853" s="93"/>
    </row>
    <row r="1854" spans="1:10" s="65" customFormat="1" ht="14" x14ac:dyDescent="0.35">
      <c r="A1854" s="145"/>
      <c r="E1854" s="102"/>
      <c r="F1854" s="102"/>
      <c r="G1854" s="102"/>
      <c r="I1854" s="93"/>
      <c r="J1854" s="93"/>
    </row>
    <row r="1855" spans="1:10" s="65" customFormat="1" ht="14" x14ac:dyDescent="0.35">
      <c r="A1855" s="145"/>
      <c r="E1855" s="102"/>
      <c r="F1855" s="102"/>
      <c r="G1855" s="102"/>
      <c r="I1855" s="93"/>
      <c r="J1855" s="93"/>
    </row>
    <row r="1856" spans="1:10" s="65" customFormat="1" ht="14" x14ac:dyDescent="0.35">
      <c r="A1856" s="145"/>
      <c r="E1856" s="102"/>
      <c r="F1856" s="102"/>
      <c r="G1856" s="102"/>
      <c r="I1856" s="93"/>
      <c r="J1856" s="93"/>
    </row>
    <row r="1857" spans="1:10" s="65" customFormat="1" ht="14" x14ac:dyDescent="0.35">
      <c r="A1857" s="145"/>
      <c r="E1857" s="102"/>
      <c r="F1857" s="102"/>
      <c r="G1857" s="102"/>
      <c r="I1857" s="93"/>
      <c r="J1857" s="93"/>
    </row>
    <row r="1858" spans="1:10" s="65" customFormat="1" ht="14" x14ac:dyDescent="0.35">
      <c r="A1858" s="145"/>
      <c r="E1858" s="102"/>
      <c r="F1858" s="102"/>
      <c r="G1858" s="102"/>
      <c r="I1858" s="93"/>
      <c r="J1858" s="93"/>
    </row>
    <row r="1859" spans="1:10" s="65" customFormat="1" ht="14" x14ac:dyDescent="0.35">
      <c r="A1859" s="145"/>
      <c r="E1859" s="102"/>
      <c r="F1859" s="102"/>
      <c r="G1859" s="102"/>
      <c r="I1859" s="93"/>
      <c r="J1859" s="93"/>
    </row>
    <row r="1860" spans="1:10" s="65" customFormat="1" ht="14" x14ac:dyDescent="0.35">
      <c r="A1860" s="145"/>
      <c r="E1860" s="102"/>
      <c r="F1860" s="102"/>
      <c r="G1860" s="102"/>
      <c r="I1860" s="93"/>
      <c r="J1860" s="93"/>
    </row>
    <row r="1861" spans="1:10" s="65" customFormat="1" ht="14" x14ac:dyDescent="0.35">
      <c r="A1861" s="145"/>
      <c r="E1861" s="102"/>
      <c r="F1861" s="102"/>
      <c r="G1861" s="102"/>
      <c r="I1861" s="93"/>
      <c r="J1861" s="93"/>
    </row>
    <row r="1862" spans="1:10" s="65" customFormat="1" ht="14" x14ac:dyDescent="0.35">
      <c r="A1862" s="145"/>
      <c r="E1862" s="102"/>
      <c r="F1862" s="102"/>
      <c r="G1862" s="102"/>
      <c r="I1862" s="93"/>
      <c r="J1862" s="93"/>
    </row>
    <row r="1863" spans="1:10" s="65" customFormat="1" ht="14" x14ac:dyDescent="0.35">
      <c r="A1863" s="145"/>
      <c r="E1863" s="102"/>
      <c r="F1863" s="102"/>
      <c r="G1863" s="102"/>
      <c r="I1863" s="93"/>
      <c r="J1863" s="93"/>
    </row>
    <row r="1864" spans="1:10" s="65" customFormat="1" ht="14" x14ac:dyDescent="0.35">
      <c r="A1864" s="145"/>
      <c r="E1864" s="102"/>
      <c r="F1864" s="102"/>
      <c r="G1864" s="102"/>
      <c r="I1864" s="93"/>
      <c r="J1864" s="93"/>
    </row>
    <row r="1865" spans="1:10" s="65" customFormat="1" ht="14" x14ac:dyDescent="0.35">
      <c r="A1865" s="145"/>
      <c r="E1865" s="102"/>
      <c r="F1865" s="102"/>
      <c r="G1865" s="102"/>
      <c r="I1865" s="93"/>
      <c r="J1865" s="93"/>
    </row>
    <row r="1866" spans="1:10" s="65" customFormat="1" ht="14" x14ac:dyDescent="0.35">
      <c r="A1866" s="145"/>
      <c r="E1866" s="102"/>
      <c r="F1866" s="102"/>
      <c r="G1866" s="102"/>
      <c r="I1866" s="93"/>
      <c r="J1866" s="93"/>
    </row>
    <row r="1867" spans="1:10" s="65" customFormat="1" ht="14" x14ac:dyDescent="0.35">
      <c r="A1867" s="145"/>
      <c r="E1867" s="102"/>
      <c r="F1867" s="102"/>
      <c r="G1867" s="102"/>
      <c r="I1867" s="93"/>
      <c r="J1867" s="93"/>
    </row>
    <row r="1868" spans="1:10" s="65" customFormat="1" ht="14" x14ac:dyDescent="0.35">
      <c r="A1868" s="145"/>
      <c r="E1868" s="102"/>
      <c r="F1868" s="102"/>
      <c r="G1868" s="102"/>
      <c r="I1868" s="93"/>
      <c r="J1868" s="93"/>
    </row>
    <row r="1869" spans="1:10" s="65" customFormat="1" ht="14" x14ac:dyDescent="0.35">
      <c r="A1869" s="145"/>
      <c r="E1869" s="102"/>
      <c r="F1869" s="102"/>
      <c r="G1869" s="102"/>
      <c r="I1869" s="93"/>
      <c r="J1869" s="93"/>
    </row>
    <row r="1870" spans="1:10" s="65" customFormat="1" ht="14" x14ac:dyDescent="0.35">
      <c r="A1870" s="145"/>
      <c r="E1870" s="102"/>
      <c r="F1870" s="102"/>
      <c r="G1870" s="102"/>
      <c r="I1870" s="93"/>
      <c r="J1870" s="93"/>
    </row>
    <row r="1871" spans="1:10" s="65" customFormat="1" ht="14" x14ac:dyDescent="0.35">
      <c r="A1871" s="145"/>
      <c r="E1871" s="102"/>
      <c r="F1871" s="102"/>
      <c r="G1871" s="102"/>
      <c r="I1871" s="93"/>
      <c r="J1871" s="93"/>
    </row>
    <row r="1872" spans="1:10" s="65" customFormat="1" ht="14" x14ac:dyDescent="0.35">
      <c r="A1872" s="145"/>
      <c r="E1872" s="102"/>
      <c r="F1872" s="102"/>
      <c r="G1872" s="102"/>
      <c r="I1872" s="93"/>
      <c r="J1872" s="93"/>
    </row>
    <row r="1873" spans="1:10" s="65" customFormat="1" ht="14" x14ac:dyDescent="0.35">
      <c r="A1873" s="145"/>
      <c r="E1873" s="102"/>
      <c r="F1873" s="102"/>
      <c r="G1873" s="102"/>
      <c r="I1873" s="93"/>
      <c r="J1873" s="93"/>
    </row>
    <row r="1874" spans="1:10" s="65" customFormat="1" ht="14" x14ac:dyDescent="0.35">
      <c r="A1874" s="145"/>
      <c r="E1874" s="102"/>
      <c r="F1874" s="102"/>
      <c r="G1874" s="102"/>
      <c r="I1874" s="93"/>
      <c r="J1874" s="93"/>
    </row>
    <row r="1875" spans="1:10" s="65" customFormat="1" ht="14" x14ac:dyDescent="0.35">
      <c r="A1875" s="145"/>
      <c r="E1875" s="102"/>
      <c r="F1875" s="102"/>
      <c r="G1875" s="102"/>
      <c r="I1875" s="93"/>
      <c r="J1875" s="93"/>
    </row>
    <row r="1876" spans="1:10" s="65" customFormat="1" ht="14" x14ac:dyDescent="0.35">
      <c r="A1876" s="145"/>
      <c r="E1876" s="102"/>
      <c r="F1876" s="102"/>
      <c r="G1876" s="102"/>
      <c r="I1876" s="93"/>
      <c r="J1876" s="93"/>
    </row>
    <row r="1877" spans="1:10" s="65" customFormat="1" ht="14" x14ac:dyDescent="0.35">
      <c r="A1877" s="145"/>
      <c r="E1877" s="102"/>
      <c r="F1877" s="102"/>
      <c r="G1877" s="102"/>
      <c r="I1877" s="93"/>
      <c r="J1877" s="93"/>
    </row>
    <row r="1878" spans="1:10" s="65" customFormat="1" ht="14" x14ac:dyDescent="0.35">
      <c r="A1878" s="145"/>
      <c r="E1878" s="102"/>
      <c r="F1878" s="102"/>
      <c r="G1878" s="102"/>
      <c r="I1878" s="93"/>
      <c r="J1878" s="93"/>
    </row>
    <row r="1879" spans="1:10" s="65" customFormat="1" ht="14" x14ac:dyDescent="0.35">
      <c r="A1879" s="145"/>
      <c r="E1879" s="102"/>
      <c r="F1879" s="102"/>
      <c r="G1879" s="102"/>
      <c r="I1879" s="93"/>
      <c r="J1879" s="93"/>
    </row>
    <row r="1880" spans="1:10" s="65" customFormat="1" ht="14" x14ac:dyDescent="0.35">
      <c r="A1880" s="145"/>
      <c r="E1880" s="102"/>
      <c r="F1880" s="102"/>
      <c r="G1880" s="102"/>
      <c r="I1880" s="93"/>
      <c r="J1880" s="93"/>
    </row>
    <row r="1881" spans="1:10" s="65" customFormat="1" ht="14" x14ac:dyDescent="0.35">
      <c r="A1881" s="145"/>
      <c r="E1881" s="102"/>
      <c r="F1881" s="102"/>
      <c r="G1881" s="102"/>
      <c r="I1881" s="93"/>
      <c r="J1881" s="93"/>
    </row>
    <row r="1882" spans="1:10" s="65" customFormat="1" ht="14" x14ac:dyDescent="0.35">
      <c r="A1882" s="145"/>
      <c r="E1882" s="102"/>
      <c r="F1882" s="102"/>
      <c r="G1882" s="102"/>
      <c r="I1882" s="93"/>
      <c r="J1882" s="93"/>
    </row>
    <row r="1883" spans="1:10" s="65" customFormat="1" ht="14" x14ac:dyDescent="0.35">
      <c r="A1883" s="145"/>
      <c r="E1883" s="102"/>
      <c r="F1883" s="102"/>
      <c r="G1883" s="102"/>
      <c r="I1883" s="93"/>
      <c r="J1883" s="93"/>
    </row>
    <row r="1884" spans="1:10" s="65" customFormat="1" ht="14" x14ac:dyDescent="0.35">
      <c r="A1884" s="145"/>
      <c r="E1884" s="102"/>
      <c r="F1884" s="102"/>
      <c r="G1884" s="102"/>
      <c r="I1884" s="93"/>
      <c r="J1884" s="93"/>
    </row>
    <row r="1885" spans="1:10" s="65" customFormat="1" ht="14" x14ac:dyDescent="0.35">
      <c r="A1885" s="145"/>
      <c r="E1885" s="102"/>
      <c r="F1885" s="102"/>
      <c r="G1885" s="102"/>
      <c r="I1885" s="93"/>
      <c r="J1885" s="93"/>
    </row>
    <row r="1886" spans="1:10" s="65" customFormat="1" ht="14" x14ac:dyDescent="0.35">
      <c r="A1886" s="145"/>
      <c r="E1886" s="102"/>
      <c r="F1886" s="102"/>
      <c r="G1886" s="102"/>
      <c r="I1886" s="93"/>
      <c r="J1886" s="93"/>
    </row>
    <row r="1887" spans="1:10" s="65" customFormat="1" ht="14" x14ac:dyDescent="0.35">
      <c r="A1887" s="145"/>
      <c r="E1887" s="102"/>
      <c r="F1887" s="102"/>
      <c r="G1887" s="102"/>
      <c r="I1887" s="93"/>
      <c r="J1887" s="93"/>
    </row>
    <row r="1888" spans="1:10" s="65" customFormat="1" ht="14" x14ac:dyDescent="0.35">
      <c r="A1888" s="145"/>
      <c r="E1888" s="102"/>
      <c r="F1888" s="102"/>
      <c r="G1888" s="102"/>
      <c r="I1888" s="93"/>
      <c r="J1888" s="93"/>
    </row>
    <row r="1889" spans="1:10" s="65" customFormat="1" ht="14" x14ac:dyDescent="0.35">
      <c r="A1889" s="145"/>
      <c r="E1889" s="102"/>
      <c r="F1889" s="102"/>
      <c r="G1889" s="102"/>
      <c r="I1889" s="93"/>
      <c r="J1889" s="93"/>
    </row>
    <row r="1890" spans="1:10" s="65" customFormat="1" ht="14" x14ac:dyDescent="0.35">
      <c r="A1890" s="145"/>
      <c r="E1890" s="102"/>
      <c r="F1890" s="102"/>
      <c r="G1890" s="102"/>
      <c r="I1890" s="93"/>
      <c r="J1890" s="93"/>
    </row>
    <row r="1891" spans="1:10" s="65" customFormat="1" ht="14" x14ac:dyDescent="0.35">
      <c r="A1891" s="145"/>
      <c r="E1891" s="102"/>
      <c r="F1891" s="102"/>
      <c r="G1891" s="102"/>
      <c r="I1891" s="93"/>
      <c r="J1891" s="93"/>
    </row>
    <row r="1892" spans="1:10" s="65" customFormat="1" ht="14" x14ac:dyDescent="0.35">
      <c r="A1892" s="145"/>
      <c r="E1892" s="102"/>
      <c r="F1892" s="102"/>
      <c r="G1892" s="102"/>
      <c r="I1892" s="93"/>
      <c r="J1892" s="93"/>
    </row>
    <row r="1893" spans="1:10" s="65" customFormat="1" ht="14" x14ac:dyDescent="0.35">
      <c r="A1893" s="145"/>
      <c r="E1893" s="102"/>
      <c r="F1893" s="102"/>
      <c r="G1893" s="102"/>
      <c r="I1893" s="93"/>
      <c r="J1893" s="93"/>
    </row>
    <row r="1894" spans="1:10" s="65" customFormat="1" ht="14" x14ac:dyDescent="0.35">
      <c r="A1894" s="145"/>
      <c r="E1894" s="102"/>
      <c r="F1894" s="102"/>
      <c r="G1894" s="102"/>
      <c r="I1894" s="93"/>
      <c r="J1894" s="93"/>
    </row>
    <row r="1895" spans="1:10" s="65" customFormat="1" ht="14" x14ac:dyDescent="0.35">
      <c r="A1895" s="145"/>
      <c r="E1895" s="102"/>
      <c r="F1895" s="102"/>
      <c r="G1895" s="102"/>
      <c r="I1895" s="93"/>
      <c r="J1895" s="93"/>
    </row>
    <row r="1896" spans="1:10" s="65" customFormat="1" ht="14" x14ac:dyDescent="0.35">
      <c r="A1896" s="145"/>
      <c r="E1896" s="102"/>
      <c r="F1896" s="102"/>
      <c r="G1896" s="102"/>
      <c r="I1896" s="93"/>
      <c r="J1896" s="93"/>
    </row>
    <row r="1897" spans="1:10" s="65" customFormat="1" ht="14" x14ac:dyDescent="0.35">
      <c r="A1897" s="145"/>
      <c r="E1897" s="102"/>
      <c r="F1897" s="102"/>
      <c r="G1897" s="102"/>
      <c r="I1897" s="93"/>
      <c r="J1897" s="93"/>
    </row>
    <row r="1898" spans="1:10" s="65" customFormat="1" ht="14" x14ac:dyDescent="0.35">
      <c r="A1898" s="145"/>
      <c r="E1898" s="102"/>
      <c r="F1898" s="102"/>
      <c r="G1898" s="102"/>
      <c r="I1898" s="93"/>
      <c r="J1898" s="93"/>
    </row>
    <row r="1899" spans="1:10" s="65" customFormat="1" ht="14" x14ac:dyDescent="0.35">
      <c r="A1899" s="145"/>
      <c r="E1899" s="102"/>
      <c r="F1899" s="102"/>
      <c r="G1899" s="102"/>
      <c r="I1899" s="93"/>
      <c r="J1899" s="93"/>
    </row>
    <row r="1900" spans="1:10" s="65" customFormat="1" ht="14" x14ac:dyDescent="0.35">
      <c r="A1900" s="145"/>
      <c r="E1900" s="102"/>
      <c r="F1900" s="102"/>
      <c r="G1900" s="102"/>
      <c r="I1900" s="93"/>
      <c r="J1900" s="93"/>
    </row>
    <row r="1901" spans="1:10" s="65" customFormat="1" ht="14" x14ac:dyDescent="0.35">
      <c r="A1901" s="145"/>
      <c r="E1901" s="102"/>
      <c r="F1901" s="102"/>
      <c r="G1901" s="102"/>
      <c r="I1901" s="93"/>
      <c r="J1901" s="93"/>
    </row>
    <row r="1902" spans="1:10" s="65" customFormat="1" ht="14" x14ac:dyDescent="0.35">
      <c r="A1902" s="145"/>
      <c r="E1902" s="102"/>
      <c r="F1902" s="102"/>
      <c r="G1902" s="102"/>
      <c r="I1902" s="93"/>
      <c r="J1902" s="93"/>
    </row>
    <row r="1903" spans="1:10" s="65" customFormat="1" ht="14" x14ac:dyDescent="0.35">
      <c r="A1903" s="145"/>
      <c r="E1903" s="102"/>
      <c r="F1903" s="102"/>
      <c r="G1903" s="102"/>
      <c r="I1903" s="93"/>
      <c r="J1903" s="93"/>
    </row>
    <row r="1904" spans="1:10" s="65" customFormat="1" ht="14" x14ac:dyDescent="0.35">
      <c r="A1904" s="145"/>
      <c r="E1904" s="102"/>
      <c r="F1904" s="102"/>
      <c r="G1904" s="102"/>
      <c r="I1904" s="93"/>
      <c r="J1904" s="93"/>
    </row>
    <row r="1905" spans="1:10" s="65" customFormat="1" ht="14" x14ac:dyDescent="0.35">
      <c r="A1905" s="145"/>
      <c r="E1905" s="102"/>
      <c r="F1905" s="102"/>
      <c r="G1905" s="102"/>
      <c r="I1905" s="93"/>
      <c r="J1905" s="93"/>
    </row>
    <row r="1906" spans="1:10" s="65" customFormat="1" ht="14" x14ac:dyDescent="0.35">
      <c r="A1906" s="145"/>
      <c r="E1906" s="102"/>
      <c r="F1906" s="102"/>
      <c r="G1906" s="102"/>
      <c r="I1906" s="93"/>
      <c r="J1906" s="93"/>
    </row>
    <row r="1907" spans="1:10" s="65" customFormat="1" ht="14" x14ac:dyDescent="0.35">
      <c r="A1907" s="145"/>
      <c r="E1907" s="102"/>
      <c r="F1907" s="102"/>
      <c r="G1907" s="102"/>
      <c r="I1907" s="93"/>
      <c r="J1907" s="93"/>
    </row>
    <row r="1908" spans="1:10" s="65" customFormat="1" ht="14" x14ac:dyDescent="0.35">
      <c r="A1908" s="145"/>
      <c r="E1908" s="102"/>
      <c r="F1908" s="102"/>
      <c r="G1908" s="102"/>
      <c r="I1908" s="93"/>
      <c r="J1908" s="93"/>
    </row>
    <row r="1909" spans="1:10" s="65" customFormat="1" ht="14" x14ac:dyDescent="0.35">
      <c r="A1909" s="145"/>
      <c r="E1909" s="102"/>
      <c r="F1909" s="102"/>
      <c r="G1909" s="102"/>
      <c r="I1909" s="93"/>
      <c r="J1909" s="93"/>
    </row>
    <row r="1910" spans="1:10" s="65" customFormat="1" ht="14" x14ac:dyDescent="0.35">
      <c r="A1910" s="145"/>
      <c r="E1910" s="102"/>
      <c r="F1910" s="102"/>
      <c r="G1910" s="102"/>
      <c r="I1910" s="93"/>
      <c r="J1910" s="93"/>
    </row>
    <row r="1911" spans="1:10" s="65" customFormat="1" ht="14" x14ac:dyDescent="0.35">
      <c r="A1911" s="145"/>
      <c r="E1911" s="102"/>
      <c r="F1911" s="102"/>
      <c r="G1911" s="102"/>
      <c r="I1911" s="93"/>
      <c r="J1911" s="93"/>
    </row>
    <row r="1912" spans="1:10" s="65" customFormat="1" ht="14" x14ac:dyDescent="0.35">
      <c r="A1912" s="145"/>
      <c r="E1912" s="102"/>
      <c r="F1912" s="102"/>
      <c r="G1912" s="102"/>
      <c r="I1912" s="93"/>
      <c r="J1912" s="93"/>
    </row>
    <row r="1913" spans="1:10" s="65" customFormat="1" ht="14" x14ac:dyDescent="0.35">
      <c r="A1913" s="145"/>
      <c r="E1913" s="102"/>
      <c r="F1913" s="102"/>
      <c r="G1913" s="102"/>
      <c r="I1913" s="93"/>
      <c r="J1913" s="93"/>
    </row>
    <row r="1914" spans="1:10" s="65" customFormat="1" ht="14" x14ac:dyDescent="0.35">
      <c r="A1914" s="145"/>
      <c r="E1914" s="102"/>
      <c r="F1914" s="102"/>
      <c r="G1914" s="102"/>
      <c r="I1914" s="93"/>
      <c r="J1914" s="93"/>
    </row>
    <row r="1915" spans="1:10" s="65" customFormat="1" ht="14" x14ac:dyDescent="0.35">
      <c r="A1915" s="145"/>
      <c r="E1915" s="102"/>
      <c r="F1915" s="102"/>
      <c r="G1915" s="102"/>
      <c r="I1915" s="93"/>
      <c r="J1915" s="93"/>
    </row>
    <row r="1916" spans="1:10" s="65" customFormat="1" ht="14" x14ac:dyDescent="0.35">
      <c r="A1916" s="145"/>
      <c r="E1916" s="102"/>
      <c r="F1916" s="102"/>
      <c r="G1916" s="102"/>
      <c r="I1916" s="93"/>
      <c r="J1916" s="93"/>
    </row>
    <row r="1917" spans="1:10" s="65" customFormat="1" ht="14" x14ac:dyDescent="0.35">
      <c r="A1917" s="145"/>
      <c r="E1917" s="102"/>
      <c r="F1917" s="102"/>
      <c r="G1917" s="102"/>
      <c r="I1917" s="93"/>
      <c r="J1917" s="93"/>
    </row>
    <row r="1918" spans="1:10" s="65" customFormat="1" ht="14" x14ac:dyDescent="0.35">
      <c r="A1918" s="145"/>
      <c r="E1918" s="102"/>
      <c r="F1918" s="102"/>
      <c r="G1918" s="102"/>
      <c r="I1918" s="93"/>
      <c r="J1918" s="93"/>
    </row>
    <row r="1919" spans="1:10" s="65" customFormat="1" ht="14" x14ac:dyDescent="0.35">
      <c r="A1919" s="145"/>
      <c r="E1919" s="102"/>
      <c r="F1919" s="102"/>
      <c r="G1919" s="102"/>
      <c r="I1919" s="93"/>
      <c r="J1919" s="93"/>
    </row>
    <row r="1920" spans="1:10" s="65" customFormat="1" ht="14" x14ac:dyDescent="0.35">
      <c r="A1920" s="145"/>
      <c r="E1920" s="102"/>
      <c r="F1920" s="102"/>
      <c r="G1920" s="102"/>
      <c r="I1920" s="93"/>
      <c r="J1920" s="93"/>
    </row>
    <row r="1921" spans="1:10" s="65" customFormat="1" ht="14" x14ac:dyDescent="0.35">
      <c r="A1921" s="145"/>
      <c r="E1921" s="102"/>
      <c r="F1921" s="102"/>
      <c r="G1921" s="102"/>
      <c r="I1921" s="93"/>
      <c r="J1921" s="93"/>
    </row>
    <row r="1922" spans="1:10" s="65" customFormat="1" ht="14" x14ac:dyDescent="0.35">
      <c r="A1922" s="145"/>
      <c r="E1922" s="102"/>
      <c r="F1922" s="102"/>
      <c r="G1922" s="102"/>
      <c r="I1922" s="93"/>
      <c r="J1922" s="93"/>
    </row>
    <row r="1923" spans="1:10" s="65" customFormat="1" ht="14" x14ac:dyDescent="0.35">
      <c r="A1923" s="145"/>
      <c r="E1923" s="102"/>
      <c r="F1923" s="102"/>
      <c r="G1923" s="102"/>
      <c r="I1923" s="93"/>
      <c r="J1923" s="93"/>
    </row>
    <row r="1924" spans="1:10" s="65" customFormat="1" ht="14" x14ac:dyDescent="0.35">
      <c r="A1924" s="145"/>
      <c r="E1924" s="102"/>
      <c r="F1924" s="102"/>
      <c r="G1924" s="102"/>
      <c r="I1924" s="93"/>
      <c r="J1924" s="93"/>
    </row>
    <row r="1925" spans="1:10" s="65" customFormat="1" ht="14" x14ac:dyDescent="0.35">
      <c r="A1925" s="145"/>
      <c r="E1925" s="102"/>
      <c r="F1925" s="102"/>
      <c r="G1925" s="102"/>
      <c r="I1925" s="93"/>
      <c r="J1925" s="93"/>
    </row>
    <row r="1926" spans="1:10" s="65" customFormat="1" ht="14" x14ac:dyDescent="0.35">
      <c r="A1926" s="145"/>
      <c r="E1926" s="102"/>
      <c r="F1926" s="102"/>
      <c r="G1926" s="102"/>
      <c r="I1926" s="93"/>
      <c r="J1926" s="93"/>
    </row>
    <row r="1927" spans="1:10" s="65" customFormat="1" ht="14" x14ac:dyDescent="0.35">
      <c r="A1927" s="145"/>
      <c r="E1927" s="102"/>
      <c r="F1927" s="102"/>
      <c r="G1927" s="102"/>
      <c r="I1927" s="93"/>
      <c r="J1927" s="93"/>
    </row>
    <row r="1928" spans="1:10" s="65" customFormat="1" ht="14" x14ac:dyDescent="0.35">
      <c r="A1928" s="145"/>
      <c r="E1928" s="102"/>
      <c r="F1928" s="102"/>
      <c r="G1928" s="102"/>
      <c r="I1928" s="93"/>
      <c r="J1928" s="93"/>
    </row>
    <row r="1929" spans="1:10" s="65" customFormat="1" ht="14" x14ac:dyDescent="0.35">
      <c r="A1929" s="145"/>
      <c r="E1929" s="102"/>
      <c r="F1929" s="102"/>
      <c r="G1929" s="102"/>
      <c r="I1929" s="93"/>
      <c r="J1929" s="93"/>
    </row>
    <row r="1930" spans="1:10" s="65" customFormat="1" ht="14" x14ac:dyDescent="0.35">
      <c r="A1930" s="145"/>
      <c r="E1930" s="102"/>
      <c r="F1930" s="102"/>
      <c r="G1930" s="102"/>
      <c r="I1930" s="93"/>
      <c r="J1930" s="93"/>
    </row>
    <row r="1931" spans="1:10" s="65" customFormat="1" ht="14" x14ac:dyDescent="0.35">
      <c r="A1931" s="145"/>
      <c r="E1931" s="102"/>
      <c r="F1931" s="102"/>
      <c r="G1931" s="102"/>
      <c r="I1931" s="93"/>
      <c r="J1931" s="93"/>
    </row>
    <row r="1932" spans="1:10" s="65" customFormat="1" ht="14" x14ac:dyDescent="0.35">
      <c r="A1932" s="145"/>
      <c r="E1932" s="102"/>
      <c r="F1932" s="102"/>
      <c r="G1932" s="102"/>
      <c r="I1932" s="93"/>
      <c r="J1932" s="93"/>
    </row>
    <row r="1933" spans="1:10" s="65" customFormat="1" ht="14" x14ac:dyDescent="0.35">
      <c r="A1933" s="145"/>
      <c r="E1933" s="102"/>
      <c r="F1933" s="102"/>
      <c r="G1933" s="102"/>
      <c r="I1933" s="93"/>
      <c r="J1933" s="93"/>
    </row>
    <row r="1934" spans="1:10" s="65" customFormat="1" ht="14" x14ac:dyDescent="0.35">
      <c r="A1934" s="145"/>
      <c r="E1934" s="102"/>
      <c r="F1934" s="102"/>
      <c r="G1934" s="102"/>
      <c r="I1934" s="93"/>
      <c r="J1934" s="93"/>
    </row>
    <row r="1935" spans="1:10" s="65" customFormat="1" ht="14" x14ac:dyDescent="0.35">
      <c r="A1935" s="145"/>
      <c r="E1935" s="102"/>
      <c r="F1935" s="102"/>
      <c r="G1935" s="102"/>
      <c r="I1935" s="93"/>
      <c r="J1935" s="93"/>
    </row>
    <row r="1936" spans="1:10" s="65" customFormat="1" ht="14" x14ac:dyDescent="0.35">
      <c r="A1936" s="145"/>
      <c r="E1936" s="102"/>
      <c r="F1936" s="102"/>
      <c r="G1936" s="102"/>
      <c r="I1936" s="93"/>
      <c r="J1936" s="93"/>
    </row>
    <row r="1937" spans="1:10" s="65" customFormat="1" ht="14" x14ac:dyDescent="0.35">
      <c r="A1937" s="145"/>
      <c r="E1937" s="102"/>
      <c r="F1937" s="102"/>
      <c r="G1937" s="102"/>
      <c r="I1937" s="93"/>
      <c r="J1937" s="93"/>
    </row>
    <row r="1938" spans="1:10" s="65" customFormat="1" ht="14" x14ac:dyDescent="0.35">
      <c r="A1938" s="145"/>
      <c r="E1938" s="102"/>
      <c r="F1938" s="102"/>
      <c r="G1938" s="102"/>
      <c r="I1938" s="93"/>
      <c r="J1938" s="93"/>
    </row>
    <row r="1939" spans="1:10" s="65" customFormat="1" ht="14" x14ac:dyDescent="0.35">
      <c r="A1939" s="145"/>
      <c r="E1939" s="102"/>
      <c r="F1939" s="102"/>
      <c r="G1939" s="102"/>
      <c r="I1939" s="93"/>
      <c r="J1939" s="93"/>
    </row>
    <row r="1940" spans="1:10" s="65" customFormat="1" ht="14" x14ac:dyDescent="0.35">
      <c r="A1940" s="145"/>
      <c r="E1940" s="102"/>
      <c r="F1940" s="102"/>
      <c r="G1940" s="102"/>
      <c r="I1940" s="93"/>
      <c r="J1940" s="93"/>
    </row>
    <row r="1941" spans="1:10" s="65" customFormat="1" ht="14" x14ac:dyDescent="0.35">
      <c r="A1941" s="145"/>
      <c r="E1941" s="102"/>
      <c r="F1941" s="102"/>
      <c r="G1941" s="102"/>
      <c r="I1941" s="93"/>
      <c r="J1941" s="93"/>
    </row>
    <row r="1942" spans="1:10" s="65" customFormat="1" ht="14" x14ac:dyDescent="0.35">
      <c r="A1942" s="145"/>
      <c r="E1942" s="102"/>
      <c r="F1942" s="102"/>
      <c r="G1942" s="102"/>
      <c r="I1942" s="93"/>
      <c r="J1942" s="93"/>
    </row>
    <row r="1943" spans="1:10" s="65" customFormat="1" ht="14" x14ac:dyDescent="0.35">
      <c r="A1943" s="145"/>
      <c r="E1943" s="102"/>
      <c r="F1943" s="102"/>
      <c r="G1943" s="102"/>
      <c r="I1943" s="93"/>
      <c r="J1943" s="93"/>
    </row>
    <row r="1944" spans="1:10" s="65" customFormat="1" ht="14" x14ac:dyDescent="0.35">
      <c r="A1944" s="145"/>
      <c r="E1944" s="102"/>
      <c r="F1944" s="102"/>
      <c r="G1944" s="102"/>
      <c r="I1944" s="93"/>
      <c r="J1944" s="93"/>
    </row>
    <row r="1945" spans="1:10" s="65" customFormat="1" ht="14" x14ac:dyDescent="0.35">
      <c r="A1945" s="145"/>
      <c r="E1945" s="102"/>
      <c r="F1945" s="102"/>
      <c r="G1945" s="102"/>
      <c r="I1945" s="93"/>
      <c r="J1945" s="93"/>
    </row>
    <row r="1946" spans="1:10" s="65" customFormat="1" ht="14" x14ac:dyDescent="0.35">
      <c r="A1946" s="145"/>
      <c r="E1946" s="102"/>
      <c r="F1946" s="102"/>
      <c r="G1946" s="102"/>
      <c r="I1946" s="93"/>
      <c r="J1946" s="93"/>
    </row>
    <row r="1947" spans="1:10" s="65" customFormat="1" ht="14" x14ac:dyDescent="0.35">
      <c r="A1947" s="145"/>
      <c r="E1947" s="102"/>
      <c r="F1947" s="102"/>
      <c r="G1947" s="102"/>
      <c r="I1947" s="93"/>
      <c r="J1947" s="93"/>
    </row>
    <row r="1948" spans="1:10" s="65" customFormat="1" ht="14" x14ac:dyDescent="0.35">
      <c r="A1948" s="145"/>
      <c r="E1948" s="102"/>
      <c r="F1948" s="102"/>
      <c r="G1948" s="102"/>
      <c r="I1948" s="93"/>
      <c r="J1948" s="93"/>
    </row>
    <row r="1949" spans="1:10" s="65" customFormat="1" ht="14" x14ac:dyDescent="0.35">
      <c r="A1949" s="145"/>
      <c r="E1949" s="102"/>
      <c r="F1949" s="102"/>
      <c r="G1949" s="102"/>
      <c r="I1949" s="93"/>
      <c r="J1949" s="93"/>
    </row>
    <row r="1950" spans="1:10" s="65" customFormat="1" ht="14" x14ac:dyDescent="0.35">
      <c r="A1950" s="145"/>
      <c r="E1950" s="102"/>
      <c r="F1950" s="102"/>
      <c r="G1950" s="102"/>
      <c r="I1950" s="93"/>
      <c r="J1950" s="93"/>
    </row>
    <row r="1951" spans="1:10" s="65" customFormat="1" ht="14" x14ac:dyDescent="0.35">
      <c r="A1951" s="145"/>
      <c r="E1951" s="102"/>
      <c r="F1951" s="102"/>
      <c r="G1951" s="102"/>
      <c r="I1951" s="93"/>
      <c r="J1951" s="93"/>
    </row>
    <row r="1952" spans="1:10" s="65" customFormat="1" ht="14" x14ac:dyDescent="0.35">
      <c r="A1952" s="145"/>
      <c r="E1952" s="102"/>
      <c r="F1952" s="102"/>
      <c r="G1952" s="102"/>
      <c r="I1952" s="93"/>
      <c r="J1952" s="93"/>
    </row>
    <row r="1953" spans="1:10" s="65" customFormat="1" ht="14" x14ac:dyDescent="0.35">
      <c r="A1953" s="145"/>
      <c r="E1953" s="102"/>
      <c r="F1953" s="102"/>
      <c r="G1953" s="102"/>
      <c r="I1953" s="93"/>
      <c r="J1953" s="93"/>
    </row>
    <row r="1954" spans="1:10" s="65" customFormat="1" ht="14" x14ac:dyDescent="0.35">
      <c r="A1954" s="145"/>
      <c r="E1954" s="102"/>
      <c r="F1954" s="102"/>
      <c r="G1954" s="102"/>
      <c r="I1954" s="93"/>
      <c r="J1954" s="93"/>
    </row>
    <row r="1955" spans="1:10" s="65" customFormat="1" ht="14" x14ac:dyDescent="0.35">
      <c r="A1955" s="145"/>
      <c r="E1955" s="102"/>
      <c r="F1955" s="102"/>
      <c r="G1955" s="102"/>
      <c r="I1955" s="93"/>
      <c r="J1955" s="93"/>
    </row>
    <row r="1956" spans="1:10" s="65" customFormat="1" ht="14" x14ac:dyDescent="0.35">
      <c r="A1956" s="145"/>
      <c r="E1956" s="102"/>
      <c r="F1956" s="102"/>
      <c r="G1956" s="102"/>
      <c r="I1956" s="93"/>
      <c r="J1956" s="93"/>
    </row>
    <row r="1957" spans="1:10" s="65" customFormat="1" ht="14" x14ac:dyDescent="0.35">
      <c r="A1957" s="145"/>
      <c r="E1957" s="102"/>
      <c r="F1957" s="102"/>
      <c r="G1957" s="102"/>
      <c r="I1957" s="93"/>
      <c r="J1957" s="93"/>
    </row>
    <row r="1958" spans="1:10" s="65" customFormat="1" ht="14" x14ac:dyDescent="0.35">
      <c r="A1958" s="145"/>
      <c r="E1958" s="102"/>
      <c r="F1958" s="102"/>
      <c r="G1958" s="102"/>
      <c r="I1958" s="93"/>
      <c r="J1958" s="93"/>
    </row>
    <row r="1959" spans="1:10" s="65" customFormat="1" ht="14" x14ac:dyDescent="0.35">
      <c r="A1959" s="145"/>
      <c r="E1959" s="102"/>
      <c r="F1959" s="102"/>
      <c r="G1959" s="102"/>
      <c r="I1959" s="93"/>
      <c r="J1959" s="93"/>
    </row>
    <row r="1960" spans="1:10" s="65" customFormat="1" ht="14" x14ac:dyDescent="0.35">
      <c r="A1960" s="145"/>
      <c r="E1960" s="102"/>
      <c r="F1960" s="102"/>
      <c r="G1960" s="102"/>
      <c r="I1960" s="93"/>
      <c r="J1960" s="93"/>
    </row>
    <row r="1961" spans="1:10" s="65" customFormat="1" ht="14" x14ac:dyDescent="0.35">
      <c r="A1961" s="145"/>
      <c r="E1961" s="102"/>
      <c r="F1961" s="102"/>
      <c r="G1961" s="102"/>
      <c r="I1961" s="93"/>
      <c r="J1961" s="93"/>
    </row>
    <row r="1962" spans="1:10" s="65" customFormat="1" ht="14" x14ac:dyDescent="0.35">
      <c r="A1962" s="145"/>
      <c r="E1962" s="102"/>
      <c r="F1962" s="102"/>
      <c r="G1962" s="102"/>
      <c r="I1962" s="93"/>
      <c r="J1962" s="93"/>
    </row>
    <row r="1963" spans="1:10" s="65" customFormat="1" ht="14" x14ac:dyDescent="0.35">
      <c r="A1963" s="145"/>
      <c r="E1963" s="102"/>
      <c r="F1963" s="102"/>
      <c r="G1963" s="102"/>
      <c r="I1963" s="93"/>
      <c r="J1963" s="93"/>
    </row>
    <row r="1964" spans="1:10" s="65" customFormat="1" ht="14" x14ac:dyDescent="0.35">
      <c r="A1964" s="145"/>
      <c r="E1964" s="102"/>
      <c r="F1964" s="102"/>
      <c r="G1964" s="102"/>
      <c r="I1964" s="93"/>
      <c r="J1964" s="93"/>
    </row>
    <row r="1965" spans="1:10" s="65" customFormat="1" ht="14" x14ac:dyDescent="0.35">
      <c r="A1965" s="145"/>
      <c r="E1965" s="102"/>
      <c r="F1965" s="102"/>
      <c r="G1965" s="102"/>
      <c r="I1965" s="93"/>
      <c r="J1965" s="93"/>
    </row>
    <row r="1966" spans="1:10" s="65" customFormat="1" ht="14" x14ac:dyDescent="0.35">
      <c r="A1966" s="145"/>
      <c r="E1966" s="102"/>
      <c r="F1966" s="102"/>
      <c r="G1966" s="102"/>
      <c r="I1966" s="93"/>
      <c r="J1966" s="93"/>
    </row>
    <row r="1967" spans="1:10" s="65" customFormat="1" ht="14" x14ac:dyDescent="0.35">
      <c r="A1967" s="145"/>
      <c r="E1967" s="102"/>
      <c r="F1967" s="102"/>
      <c r="G1967" s="102"/>
      <c r="I1967" s="93"/>
      <c r="J1967" s="93"/>
    </row>
    <row r="1968" spans="1:10" s="65" customFormat="1" ht="14" x14ac:dyDescent="0.35">
      <c r="A1968" s="145"/>
      <c r="E1968" s="102"/>
      <c r="F1968" s="102"/>
      <c r="G1968" s="102"/>
      <c r="I1968" s="93"/>
      <c r="J1968" s="93"/>
    </row>
    <row r="1969" spans="1:10" s="65" customFormat="1" ht="14" x14ac:dyDescent="0.35">
      <c r="A1969" s="145"/>
      <c r="E1969" s="102"/>
      <c r="F1969" s="102"/>
      <c r="G1969" s="102"/>
      <c r="I1969" s="93"/>
      <c r="J1969" s="93"/>
    </row>
    <row r="1970" spans="1:10" s="65" customFormat="1" ht="14" x14ac:dyDescent="0.35">
      <c r="A1970" s="145"/>
      <c r="E1970" s="102"/>
      <c r="F1970" s="102"/>
      <c r="G1970" s="102"/>
      <c r="I1970" s="93"/>
      <c r="J1970" s="93"/>
    </row>
    <row r="1971" spans="1:10" s="65" customFormat="1" ht="14" x14ac:dyDescent="0.35">
      <c r="A1971" s="145"/>
      <c r="E1971" s="102"/>
      <c r="F1971" s="102"/>
      <c r="G1971" s="102"/>
      <c r="I1971" s="93"/>
      <c r="J1971" s="93"/>
    </row>
    <row r="1972" spans="1:10" s="65" customFormat="1" ht="14" x14ac:dyDescent="0.35">
      <c r="A1972" s="145"/>
      <c r="E1972" s="102"/>
      <c r="F1972" s="102"/>
      <c r="G1972" s="102"/>
      <c r="I1972" s="93"/>
      <c r="J1972" s="93"/>
    </row>
    <row r="1973" spans="1:10" s="65" customFormat="1" ht="14" x14ac:dyDescent="0.35">
      <c r="A1973" s="145"/>
      <c r="E1973" s="102"/>
      <c r="F1973" s="102"/>
      <c r="G1973" s="102"/>
      <c r="I1973" s="93"/>
      <c r="J1973" s="93"/>
    </row>
    <row r="1974" spans="1:10" s="65" customFormat="1" ht="14" x14ac:dyDescent="0.35">
      <c r="A1974" s="145"/>
      <c r="E1974" s="102"/>
      <c r="F1974" s="102"/>
      <c r="G1974" s="102"/>
      <c r="I1974" s="93"/>
      <c r="J1974" s="93"/>
    </row>
    <row r="1975" spans="1:10" s="65" customFormat="1" ht="14" x14ac:dyDescent="0.35">
      <c r="A1975" s="145"/>
      <c r="E1975" s="102"/>
      <c r="F1975" s="102"/>
      <c r="G1975" s="102"/>
      <c r="I1975" s="93"/>
      <c r="J1975" s="93"/>
    </row>
    <row r="1976" spans="1:10" s="65" customFormat="1" ht="14" x14ac:dyDescent="0.35">
      <c r="A1976" s="145"/>
      <c r="E1976" s="102"/>
      <c r="F1976" s="102"/>
      <c r="G1976" s="102"/>
      <c r="I1976" s="93"/>
      <c r="J1976" s="93"/>
    </row>
    <row r="1977" spans="1:10" s="65" customFormat="1" ht="14" x14ac:dyDescent="0.35">
      <c r="A1977" s="145"/>
      <c r="E1977" s="102"/>
      <c r="F1977" s="102"/>
      <c r="G1977" s="102"/>
      <c r="I1977" s="93"/>
      <c r="J1977" s="93"/>
    </row>
    <row r="1978" spans="1:10" s="65" customFormat="1" ht="14" x14ac:dyDescent="0.35">
      <c r="A1978" s="145"/>
      <c r="E1978" s="102"/>
      <c r="F1978" s="102"/>
      <c r="G1978" s="102"/>
      <c r="I1978" s="93"/>
      <c r="J1978" s="93"/>
    </row>
    <row r="1979" spans="1:10" s="65" customFormat="1" ht="14" x14ac:dyDescent="0.35">
      <c r="A1979" s="145"/>
      <c r="E1979" s="102"/>
      <c r="F1979" s="102"/>
      <c r="G1979" s="102"/>
      <c r="I1979" s="93"/>
      <c r="J1979" s="93"/>
    </row>
    <row r="1980" spans="1:10" s="65" customFormat="1" ht="14" x14ac:dyDescent="0.35">
      <c r="A1980" s="145"/>
      <c r="E1980" s="102"/>
      <c r="F1980" s="102"/>
      <c r="G1980" s="102"/>
      <c r="I1980" s="93"/>
      <c r="J1980" s="93"/>
    </row>
    <row r="1981" spans="1:10" s="65" customFormat="1" ht="14" x14ac:dyDescent="0.35">
      <c r="A1981" s="145"/>
      <c r="E1981" s="102"/>
      <c r="F1981" s="102"/>
      <c r="G1981" s="102"/>
      <c r="I1981" s="93"/>
      <c r="J1981" s="93"/>
    </row>
    <row r="1982" spans="1:10" s="65" customFormat="1" ht="14" x14ac:dyDescent="0.35">
      <c r="A1982" s="145"/>
      <c r="E1982" s="102"/>
      <c r="F1982" s="102"/>
      <c r="G1982" s="102"/>
      <c r="I1982" s="93"/>
      <c r="J1982" s="93"/>
    </row>
    <row r="1983" spans="1:10" s="65" customFormat="1" ht="14" x14ac:dyDescent="0.35">
      <c r="A1983" s="145"/>
      <c r="E1983" s="102"/>
      <c r="F1983" s="102"/>
      <c r="G1983" s="102"/>
      <c r="I1983" s="93"/>
      <c r="J1983" s="93"/>
    </row>
    <row r="1984" spans="1:10" s="65" customFormat="1" ht="14" x14ac:dyDescent="0.35">
      <c r="A1984" s="145"/>
      <c r="E1984" s="102"/>
      <c r="F1984" s="102"/>
      <c r="G1984" s="102"/>
      <c r="I1984" s="93"/>
      <c r="J1984" s="93"/>
    </row>
    <row r="1985" spans="1:10" s="65" customFormat="1" ht="14" x14ac:dyDescent="0.35">
      <c r="A1985" s="145"/>
      <c r="E1985" s="102"/>
      <c r="F1985" s="102"/>
      <c r="G1985" s="102"/>
      <c r="I1985" s="93"/>
      <c r="J1985" s="93"/>
    </row>
    <row r="1986" spans="1:10" s="65" customFormat="1" ht="14" x14ac:dyDescent="0.35">
      <c r="A1986" s="145"/>
      <c r="E1986" s="102"/>
      <c r="F1986" s="102"/>
      <c r="G1986" s="102"/>
      <c r="I1986" s="93"/>
      <c r="J1986" s="93"/>
    </row>
    <row r="1987" spans="1:10" s="65" customFormat="1" ht="14" x14ac:dyDescent="0.35">
      <c r="A1987" s="145"/>
      <c r="E1987" s="102"/>
      <c r="F1987" s="102"/>
      <c r="G1987" s="102"/>
      <c r="I1987" s="93"/>
      <c r="J1987" s="93"/>
    </row>
    <row r="1988" spans="1:10" s="65" customFormat="1" ht="14" x14ac:dyDescent="0.35">
      <c r="A1988" s="145"/>
      <c r="E1988" s="102"/>
      <c r="F1988" s="102"/>
      <c r="G1988" s="102"/>
      <c r="I1988" s="93"/>
      <c r="J1988" s="93"/>
    </row>
    <row r="1989" spans="1:10" s="65" customFormat="1" ht="14" x14ac:dyDescent="0.35">
      <c r="A1989" s="145"/>
      <c r="E1989" s="102"/>
      <c r="F1989" s="102"/>
      <c r="G1989" s="102"/>
      <c r="I1989" s="93"/>
      <c r="J1989" s="93"/>
    </row>
    <row r="1990" spans="1:10" s="65" customFormat="1" ht="14" x14ac:dyDescent="0.35">
      <c r="A1990" s="145"/>
      <c r="E1990" s="102"/>
      <c r="F1990" s="102"/>
      <c r="G1990" s="102"/>
      <c r="I1990" s="93"/>
      <c r="J1990" s="93"/>
    </row>
    <row r="1991" spans="1:10" s="65" customFormat="1" ht="14" x14ac:dyDescent="0.35">
      <c r="A1991" s="145"/>
      <c r="E1991" s="102"/>
      <c r="F1991" s="102"/>
      <c r="G1991" s="102"/>
      <c r="I1991" s="93"/>
      <c r="J1991" s="93"/>
    </row>
    <row r="1992" spans="1:10" s="65" customFormat="1" ht="14" x14ac:dyDescent="0.35">
      <c r="A1992" s="145"/>
      <c r="E1992" s="102"/>
      <c r="F1992" s="102"/>
      <c r="G1992" s="102"/>
      <c r="I1992" s="93"/>
      <c r="J1992" s="93"/>
    </row>
    <row r="1993" spans="1:10" s="65" customFormat="1" ht="14" x14ac:dyDescent="0.35">
      <c r="A1993" s="145"/>
      <c r="E1993" s="102"/>
      <c r="F1993" s="102"/>
      <c r="G1993" s="102"/>
      <c r="I1993" s="93"/>
      <c r="J1993" s="93"/>
    </row>
    <row r="1994" spans="1:10" s="65" customFormat="1" ht="14" x14ac:dyDescent="0.35">
      <c r="A1994" s="145"/>
      <c r="E1994" s="102"/>
      <c r="F1994" s="102"/>
      <c r="G1994" s="102"/>
      <c r="I1994" s="93"/>
      <c r="J1994" s="93"/>
    </row>
    <row r="1995" spans="1:10" s="65" customFormat="1" ht="14" x14ac:dyDescent="0.35">
      <c r="A1995" s="145"/>
      <c r="E1995" s="102"/>
      <c r="F1995" s="102"/>
      <c r="G1995" s="102"/>
      <c r="I1995" s="93"/>
      <c r="J1995" s="93"/>
    </row>
    <row r="1996" spans="1:10" s="65" customFormat="1" ht="14" x14ac:dyDescent="0.35">
      <c r="A1996" s="145"/>
      <c r="E1996" s="102"/>
      <c r="F1996" s="102"/>
      <c r="G1996" s="102"/>
      <c r="I1996" s="93"/>
      <c r="J1996" s="93"/>
    </row>
    <row r="1997" spans="1:10" s="65" customFormat="1" ht="14" x14ac:dyDescent="0.35">
      <c r="A1997" s="145"/>
      <c r="E1997" s="102"/>
      <c r="F1997" s="102"/>
      <c r="G1997" s="102"/>
      <c r="I1997" s="93"/>
      <c r="J1997" s="93"/>
    </row>
    <row r="1998" spans="1:10" s="65" customFormat="1" ht="14" x14ac:dyDescent="0.35">
      <c r="A1998" s="145"/>
      <c r="E1998" s="102"/>
      <c r="F1998" s="102"/>
      <c r="G1998" s="102"/>
      <c r="I1998" s="93"/>
      <c r="J1998" s="93"/>
    </row>
    <row r="1999" spans="1:10" s="65" customFormat="1" ht="14" x14ac:dyDescent="0.35">
      <c r="A1999" s="145"/>
      <c r="E1999" s="102"/>
      <c r="F1999" s="102"/>
      <c r="G1999" s="102"/>
      <c r="I1999" s="93"/>
      <c r="J1999" s="93"/>
    </row>
    <row r="2000" spans="1:10" s="65" customFormat="1" ht="14" x14ac:dyDescent="0.35">
      <c r="A2000" s="145"/>
      <c r="E2000" s="102"/>
      <c r="F2000" s="102"/>
      <c r="G2000" s="102"/>
      <c r="I2000" s="93"/>
      <c r="J2000" s="93"/>
    </row>
    <row r="2001" spans="1:10" s="65" customFormat="1" ht="14" x14ac:dyDescent="0.35">
      <c r="A2001" s="145"/>
      <c r="E2001" s="102"/>
      <c r="F2001" s="102"/>
      <c r="G2001" s="102"/>
      <c r="I2001" s="93"/>
      <c r="J2001" s="93"/>
    </row>
    <row r="2002" spans="1:10" s="65" customFormat="1" ht="14" x14ac:dyDescent="0.35">
      <c r="A2002" s="145"/>
      <c r="E2002" s="102"/>
      <c r="F2002" s="102"/>
      <c r="G2002" s="102"/>
      <c r="I2002" s="93"/>
      <c r="J2002" s="93"/>
    </row>
    <row r="2003" spans="1:10" s="65" customFormat="1" ht="14" x14ac:dyDescent="0.35">
      <c r="A2003" s="145"/>
      <c r="E2003" s="102"/>
      <c r="F2003" s="102"/>
      <c r="G2003" s="102"/>
      <c r="I2003" s="93"/>
      <c r="J2003" s="93"/>
    </row>
    <row r="2004" spans="1:10" s="65" customFormat="1" ht="14" x14ac:dyDescent="0.35">
      <c r="A2004" s="145"/>
      <c r="E2004" s="102"/>
      <c r="F2004" s="102"/>
      <c r="G2004" s="102"/>
      <c r="I2004" s="93"/>
      <c r="J2004" s="93"/>
    </row>
    <row r="2005" spans="1:10" s="65" customFormat="1" ht="14" x14ac:dyDescent="0.35">
      <c r="A2005" s="145"/>
      <c r="E2005" s="102"/>
      <c r="F2005" s="102"/>
      <c r="G2005" s="102"/>
      <c r="I2005" s="93"/>
      <c r="J2005" s="93"/>
    </row>
    <row r="2006" spans="1:10" s="65" customFormat="1" ht="14" x14ac:dyDescent="0.35">
      <c r="A2006" s="145"/>
      <c r="E2006" s="102"/>
      <c r="F2006" s="102"/>
      <c r="G2006" s="102"/>
      <c r="I2006" s="93"/>
      <c r="J2006" s="93"/>
    </row>
    <row r="2007" spans="1:10" s="65" customFormat="1" ht="14" x14ac:dyDescent="0.35">
      <c r="A2007" s="145"/>
      <c r="E2007" s="102"/>
      <c r="F2007" s="102"/>
      <c r="G2007" s="102"/>
      <c r="I2007" s="93"/>
      <c r="J2007" s="93"/>
    </row>
    <row r="2008" spans="1:10" s="65" customFormat="1" ht="14" x14ac:dyDescent="0.35">
      <c r="A2008" s="145"/>
      <c r="E2008" s="102"/>
      <c r="F2008" s="102"/>
      <c r="G2008" s="102"/>
      <c r="I2008" s="93"/>
      <c r="J2008" s="93"/>
    </row>
    <row r="2009" spans="1:10" s="65" customFormat="1" ht="14" x14ac:dyDescent="0.35">
      <c r="A2009" s="145"/>
      <c r="E2009" s="102"/>
      <c r="F2009" s="102"/>
      <c r="G2009" s="102"/>
      <c r="I2009" s="93"/>
      <c r="J2009" s="93"/>
    </row>
    <row r="2010" spans="1:10" s="65" customFormat="1" ht="14" x14ac:dyDescent="0.35">
      <c r="A2010" s="145"/>
      <c r="E2010" s="102"/>
      <c r="F2010" s="102"/>
      <c r="G2010" s="102"/>
      <c r="I2010" s="93"/>
      <c r="J2010" s="93"/>
    </row>
    <row r="2011" spans="1:10" s="65" customFormat="1" ht="14" x14ac:dyDescent="0.35">
      <c r="A2011" s="145"/>
      <c r="E2011" s="102"/>
      <c r="F2011" s="102"/>
      <c r="G2011" s="102"/>
      <c r="I2011" s="93"/>
      <c r="J2011" s="93"/>
    </row>
    <row r="2012" spans="1:10" s="65" customFormat="1" ht="14" x14ac:dyDescent="0.35">
      <c r="A2012" s="145"/>
      <c r="E2012" s="102"/>
      <c r="F2012" s="102"/>
      <c r="G2012" s="102"/>
      <c r="I2012" s="93"/>
      <c r="J2012" s="93"/>
    </row>
    <row r="2013" spans="1:10" s="65" customFormat="1" ht="14" x14ac:dyDescent="0.35">
      <c r="A2013" s="145"/>
      <c r="E2013" s="102"/>
      <c r="F2013" s="102"/>
      <c r="G2013" s="102"/>
      <c r="I2013" s="93"/>
      <c r="J2013" s="93"/>
    </row>
    <row r="2014" spans="1:10" s="65" customFormat="1" ht="14" x14ac:dyDescent="0.35">
      <c r="A2014" s="145"/>
      <c r="E2014" s="102"/>
      <c r="F2014" s="102"/>
      <c r="G2014" s="102"/>
      <c r="I2014" s="93"/>
      <c r="J2014" s="93"/>
    </row>
    <row r="2015" spans="1:10" s="65" customFormat="1" ht="14" x14ac:dyDescent="0.35">
      <c r="A2015" s="145"/>
      <c r="E2015" s="102"/>
      <c r="F2015" s="102"/>
      <c r="G2015" s="102"/>
      <c r="I2015" s="93"/>
      <c r="J2015" s="93"/>
    </row>
    <row r="2016" spans="1:10" s="65" customFormat="1" ht="14" x14ac:dyDescent="0.35">
      <c r="A2016" s="145"/>
      <c r="E2016" s="102"/>
      <c r="F2016" s="102"/>
      <c r="G2016" s="102"/>
      <c r="I2016" s="93"/>
      <c r="J2016" s="93"/>
    </row>
    <row r="2017" spans="1:10" s="65" customFormat="1" ht="14" x14ac:dyDescent="0.35">
      <c r="A2017" s="145"/>
      <c r="E2017" s="102"/>
      <c r="F2017" s="102"/>
      <c r="G2017" s="102"/>
      <c r="I2017" s="93"/>
      <c r="J2017" s="93"/>
    </row>
    <row r="2018" spans="1:10" s="65" customFormat="1" ht="14" x14ac:dyDescent="0.35">
      <c r="A2018" s="145"/>
      <c r="E2018" s="102"/>
      <c r="F2018" s="102"/>
      <c r="G2018" s="102"/>
      <c r="I2018" s="93"/>
      <c r="J2018" s="93"/>
    </row>
    <row r="2019" spans="1:10" s="65" customFormat="1" ht="14" x14ac:dyDescent="0.35">
      <c r="A2019" s="145"/>
      <c r="E2019" s="102"/>
      <c r="F2019" s="102"/>
      <c r="G2019" s="102"/>
      <c r="I2019" s="93"/>
      <c r="J2019" s="93"/>
    </row>
    <row r="2020" spans="1:10" s="65" customFormat="1" ht="14" x14ac:dyDescent="0.35">
      <c r="A2020" s="145"/>
      <c r="E2020" s="102"/>
      <c r="F2020" s="102"/>
      <c r="G2020" s="102"/>
      <c r="I2020" s="93"/>
      <c r="J2020" s="93"/>
    </row>
    <row r="2021" spans="1:10" s="65" customFormat="1" ht="14" x14ac:dyDescent="0.35">
      <c r="A2021" s="145"/>
      <c r="E2021" s="102"/>
      <c r="F2021" s="102"/>
      <c r="G2021" s="102"/>
      <c r="I2021" s="93"/>
      <c r="J2021" s="93"/>
    </row>
    <row r="2022" spans="1:10" s="65" customFormat="1" ht="14" x14ac:dyDescent="0.35">
      <c r="A2022" s="145"/>
      <c r="E2022" s="102"/>
      <c r="F2022" s="102"/>
      <c r="G2022" s="102"/>
      <c r="I2022" s="93"/>
      <c r="J2022" s="93"/>
    </row>
    <row r="2023" spans="1:10" s="65" customFormat="1" ht="14" x14ac:dyDescent="0.35">
      <c r="A2023" s="145"/>
      <c r="E2023" s="102"/>
      <c r="F2023" s="102"/>
      <c r="G2023" s="102"/>
      <c r="I2023" s="93"/>
      <c r="J2023" s="93"/>
    </row>
    <row r="2024" spans="1:10" s="65" customFormat="1" ht="14" x14ac:dyDescent="0.35">
      <c r="A2024" s="145"/>
      <c r="E2024" s="102"/>
      <c r="F2024" s="102"/>
      <c r="G2024" s="102"/>
      <c r="I2024" s="93"/>
      <c r="J2024" s="93"/>
    </row>
    <row r="2025" spans="1:10" s="65" customFormat="1" ht="14" x14ac:dyDescent="0.35">
      <c r="A2025" s="145"/>
      <c r="E2025" s="102"/>
      <c r="F2025" s="102"/>
      <c r="G2025" s="102"/>
      <c r="I2025" s="93"/>
      <c r="J2025" s="93"/>
    </row>
    <row r="2026" spans="1:10" s="65" customFormat="1" ht="14" x14ac:dyDescent="0.35">
      <c r="A2026" s="145"/>
      <c r="E2026" s="102"/>
      <c r="F2026" s="102"/>
      <c r="G2026" s="102"/>
      <c r="I2026" s="93"/>
      <c r="J2026" s="93"/>
    </row>
    <row r="2027" spans="1:10" s="65" customFormat="1" ht="14" x14ac:dyDescent="0.35">
      <c r="A2027" s="145"/>
      <c r="E2027" s="102"/>
      <c r="F2027" s="102"/>
      <c r="G2027" s="102"/>
      <c r="I2027" s="93"/>
      <c r="J2027" s="93"/>
    </row>
    <row r="2028" spans="1:10" s="65" customFormat="1" ht="14" x14ac:dyDescent="0.35">
      <c r="A2028" s="145"/>
      <c r="E2028" s="102"/>
      <c r="F2028" s="102"/>
      <c r="G2028" s="102"/>
      <c r="I2028" s="93"/>
      <c r="J2028" s="93"/>
    </row>
    <row r="2029" spans="1:10" s="65" customFormat="1" ht="14" x14ac:dyDescent="0.35">
      <c r="A2029" s="145"/>
      <c r="E2029" s="102"/>
      <c r="F2029" s="102"/>
      <c r="G2029" s="102"/>
      <c r="I2029" s="93"/>
      <c r="J2029" s="93"/>
    </row>
    <row r="2030" spans="1:10" s="65" customFormat="1" ht="14" x14ac:dyDescent="0.35">
      <c r="A2030" s="145"/>
      <c r="E2030" s="102"/>
      <c r="F2030" s="102"/>
      <c r="G2030" s="102"/>
      <c r="I2030" s="93"/>
      <c r="J2030" s="93"/>
    </row>
    <row r="2031" spans="1:10" s="65" customFormat="1" ht="14" x14ac:dyDescent="0.35">
      <c r="A2031" s="145"/>
      <c r="E2031" s="102"/>
      <c r="F2031" s="102"/>
      <c r="G2031" s="102"/>
      <c r="I2031" s="93"/>
      <c r="J2031" s="93"/>
    </row>
    <row r="2032" spans="1:10" s="65" customFormat="1" ht="14" x14ac:dyDescent="0.35">
      <c r="A2032" s="145"/>
      <c r="E2032" s="102"/>
      <c r="F2032" s="102"/>
      <c r="G2032" s="102"/>
      <c r="I2032" s="93"/>
      <c r="J2032" s="93"/>
    </row>
    <row r="2033" spans="1:10" s="65" customFormat="1" ht="14" x14ac:dyDescent="0.35">
      <c r="A2033" s="145"/>
      <c r="E2033" s="102"/>
      <c r="F2033" s="102"/>
      <c r="G2033" s="102"/>
      <c r="I2033" s="93"/>
      <c r="J2033" s="93"/>
    </row>
    <row r="2034" spans="1:10" s="65" customFormat="1" ht="14" x14ac:dyDescent="0.35">
      <c r="A2034" s="145"/>
      <c r="E2034" s="102"/>
      <c r="F2034" s="102"/>
      <c r="G2034" s="102"/>
      <c r="I2034" s="93"/>
      <c r="J2034" s="93"/>
    </row>
    <row r="2035" spans="1:10" s="65" customFormat="1" ht="14" x14ac:dyDescent="0.35">
      <c r="A2035" s="145"/>
      <c r="E2035" s="102"/>
      <c r="F2035" s="102"/>
      <c r="G2035" s="102"/>
      <c r="I2035" s="93"/>
      <c r="J2035" s="93"/>
    </row>
    <row r="2036" spans="1:10" s="65" customFormat="1" ht="14" x14ac:dyDescent="0.35">
      <c r="A2036" s="145"/>
      <c r="E2036" s="102"/>
      <c r="F2036" s="102"/>
      <c r="G2036" s="102"/>
      <c r="I2036" s="93"/>
      <c r="J2036" s="93"/>
    </row>
    <row r="2037" spans="1:10" s="65" customFormat="1" ht="14" x14ac:dyDescent="0.35">
      <c r="A2037" s="145"/>
      <c r="E2037" s="102"/>
      <c r="F2037" s="102"/>
      <c r="G2037" s="102"/>
      <c r="I2037" s="93"/>
      <c r="J2037" s="93"/>
    </row>
    <row r="2038" spans="1:10" s="65" customFormat="1" ht="14" x14ac:dyDescent="0.35">
      <c r="A2038" s="145"/>
      <c r="E2038" s="102"/>
      <c r="F2038" s="102"/>
      <c r="G2038" s="102"/>
      <c r="I2038" s="93"/>
      <c r="J2038" s="93"/>
    </row>
    <row r="2039" spans="1:10" s="65" customFormat="1" ht="14" x14ac:dyDescent="0.35">
      <c r="A2039" s="145"/>
      <c r="E2039" s="102"/>
      <c r="F2039" s="102"/>
      <c r="G2039" s="102"/>
      <c r="I2039" s="93"/>
      <c r="J2039" s="93"/>
    </row>
    <row r="2040" spans="1:10" s="65" customFormat="1" ht="14" x14ac:dyDescent="0.35">
      <c r="A2040" s="145"/>
      <c r="E2040" s="102"/>
      <c r="F2040" s="102"/>
      <c r="G2040" s="102"/>
      <c r="I2040" s="93"/>
      <c r="J2040" s="93"/>
    </row>
    <row r="2041" spans="1:10" s="65" customFormat="1" ht="14" x14ac:dyDescent="0.35">
      <c r="A2041" s="145"/>
      <c r="E2041" s="102"/>
      <c r="F2041" s="102"/>
      <c r="G2041" s="102"/>
      <c r="I2041" s="93"/>
      <c r="J2041" s="93"/>
    </row>
    <row r="2042" spans="1:10" s="65" customFormat="1" ht="14" x14ac:dyDescent="0.35">
      <c r="A2042" s="145"/>
      <c r="E2042" s="102"/>
      <c r="F2042" s="102"/>
      <c r="G2042" s="102"/>
      <c r="I2042" s="93"/>
      <c r="J2042" s="93"/>
    </row>
    <row r="2043" spans="1:10" s="65" customFormat="1" ht="14" x14ac:dyDescent="0.35">
      <c r="A2043" s="145"/>
      <c r="E2043" s="102"/>
      <c r="F2043" s="102"/>
      <c r="G2043" s="102"/>
      <c r="I2043" s="93"/>
      <c r="J2043" s="93"/>
    </row>
    <row r="2044" spans="1:10" s="65" customFormat="1" ht="14" x14ac:dyDescent="0.35">
      <c r="A2044" s="145"/>
      <c r="E2044" s="102"/>
      <c r="F2044" s="102"/>
      <c r="G2044" s="102"/>
      <c r="I2044" s="93"/>
      <c r="J2044" s="93"/>
    </row>
    <row r="2045" spans="1:10" s="65" customFormat="1" ht="14" x14ac:dyDescent="0.35">
      <c r="A2045" s="145"/>
      <c r="E2045" s="102"/>
      <c r="F2045" s="102"/>
      <c r="G2045" s="102"/>
      <c r="I2045" s="93"/>
      <c r="J2045" s="93"/>
    </row>
    <row r="2046" spans="1:10" s="65" customFormat="1" ht="14" x14ac:dyDescent="0.35">
      <c r="A2046" s="145"/>
      <c r="E2046" s="102"/>
      <c r="F2046" s="102"/>
      <c r="G2046" s="102"/>
      <c r="I2046" s="93"/>
      <c r="J2046" s="93"/>
    </row>
    <row r="2047" spans="1:10" s="65" customFormat="1" ht="14" x14ac:dyDescent="0.35">
      <c r="A2047" s="145"/>
      <c r="E2047" s="102"/>
      <c r="F2047" s="102"/>
      <c r="G2047" s="102"/>
      <c r="I2047" s="93"/>
      <c r="J2047" s="93"/>
    </row>
    <row r="2048" spans="1:10" s="65" customFormat="1" ht="14" x14ac:dyDescent="0.35">
      <c r="A2048" s="145"/>
      <c r="E2048" s="102"/>
      <c r="F2048" s="102"/>
      <c r="G2048" s="102"/>
      <c r="I2048" s="93"/>
      <c r="J2048" s="93"/>
    </row>
    <row r="2049" spans="1:10" s="65" customFormat="1" ht="14" x14ac:dyDescent="0.35">
      <c r="A2049" s="145"/>
      <c r="E2049" s="102"/>
      <c r="F2049" s="102"/>
      <c r="G2049" s="102"/>
      <c r="I2049" s="93"/>
      <c r="J2049" s="93"/>
    </row>
    <row r="2050" spans="1:10" s="65" customFormat="1" ht="14" x14ac:dyDescent="0.35">
      <c r="A2050" s="145"/>
      <c r="E2050" s="102"/>
      <c r="F2050" s="102"/>
      <c r="G2050" s="102"/>
      <c r="I2050" s="93"/>
      <c r="J2050" s="93"/>
    </row>
    <row r="2051" spans="1:10" s="65" customFormat="1" ht="14" x14ac:dyDescent="0.35">
      <c r="A2051" s="145"/>
      <c r="E2051" s="102"/>
      <c r="F2051" s="102"/>
      <c r="G2051" s="102"/>
      <c r="I2051" s="93"/>
      <c r="J2051" s="93"/>
    </row>
    <row r="2052" spans="1:10" s="65" customFormat="1" ht="14" x14ac:dyDescent="0.35">
      <c r="A2052" s="145"/>
      <c r="E2052" s="102"/>
      <c r="F2052" s="102"/>
      <c r="G2052" s="102"/>
      <c r="I2052" s="93"/>
      <c r="J2052" s="93"/>
    </row>
    <row r="2053" spans="1:10" s="65" customFormat="1" ht="14" x14ac:dyDescent="0.35">
      <c r="A2053" s="145"/>
      <c r="E2053" s="102"/>
      <c r="F2053" s="102"/>
      <c r="G2053" s="102"/>
      <c r="I2053" s="93"/>
      <c r="J2053" s="93"/>
    </row>
    <row r="2054" spans="1:10" s="65" customFormat="1" ht="14" x14ac:dyDescent="0.35">
      <c r="A2054" s="145"/>
      <c r="E2054" s="102"/>
      <c r="F2054" s="102"/>
      <c r="G2054" s="102"/>
      <c r="I2054" s="93"/>
      <c r="J2054" s="93"/>
    </row>
    <row r="2055" spans="1:10" s="65" customFormat="1" ht="14" x14ac:dyDescent="0.35">
      <c r="A2055" s="145"/>
      <c r="E2055" s="102"/>
      <c r="F2055" s="102"/>
      <c r="G2055" s="102"/>
      <c r="I2055" s="93"/>
      <c r="J2055" s="93"/>
    </row>
    <row r="2056" spans="1:10" s="65" customFormat="1" ht="14" x14ac:dyDescent="0.35">
      <c r="A2056" s="145"/>
      <c r="E2056" s="102"/>
      <c r="F2056" s="102"/>
      <c r="G2056" s="102"/>
      <c r="I2056" s="93"/>
      <c r="J2056" s="93"/>
    </row>
    <row r="2057" spans="1:10" s="65" customFormat="1" ht="14" x14ac:dyDescent="0.35">
      <c r="A2057" s="145"/>
      <c r="E2057" s="102"/>
      <c r="F2057" s="102"/>
      <c r="G2057" s="102"/>
      <c r="I2057" s="93"/>
      <c r="J2057" s="93"/>
    </row>
    <row r="2058" spans="1:10" s="65" customFormat="1" ht="14" x14ac:dyDescent="0.35">
      <c r="A2058" s="145"/>
      <c r="E2058" s="102"/>
      <c r="F2058" s="102"/>
      <c r="G2058" s="102"/>
      <c r="I2058" s="93"/>
      <c r="J2058" s="93"/>
    </row>
    <row r="2059" spans="1:10" s="65" customFormat="1" ht="14" x14ac:dyDescent="0.35">
      <c r="A2059" s="145"/>
      <c r="E2059" s="102"/>
      <c r="F2059" s="102"/>
      <c r="G2059" s="102"/>
      <c r="I2059" s="93"/>
      <c r="J2059" s="93"/>
    </row>
    <row r="2060" spans="1:10" s="65" customFormat="1" ht="14" x14ac:dyDescent="0.35">
      <c r="A2060" s="145"/>
      <c r="E2060" s="102"/>
      <c r="F2060" s="102"/>
      <c r="G2060" s="102"/>
      <c r="I2060" s="93"/>
      <c r="J2060" s="93"/>
    </row>
    <row r="2061" spans="1:10" s="65" customFormat="1" ht="14" x14ac:dyDescent="0.35">
      <c r="A2061" s="145"/>
      <c r="E2061" s="102"/>
      <c r="F2061" s="102"/>
      <c r="G2061" s="102"/>
      <c r="I2061" s="93"/>
      <c r="J2061" s="93"/>
    </row>
    <row r="2062" spans="1:10" s="65" customFormat="1" ht="14" x14ac:dyDescent="0.35">
      <c r="A2062" s="145"/>
      <c r="E2062" s="102"/>
      <c r="F2062" s="102"/>
      <c r="G2062" s="102"/>
      <c r="I2062" s="93"/>
      <c r="J2062" s="93"/>
    </row>
    <row r="2063" spans="1:10" s="65" customFormat="1" ht="14" x14ac:dyDescent="0.35">
      <c r="A2063" s="145"/>
      <c r="E2063" s="102"/>
      <c r="F2063" s="102"/>
      <c r="G2063" s="102"/>
      <c r="I2063" s="93"/>
      <c r="J2063" s="93"/>
    </row>
    <row r="2064" spans="1:10" s="65" customFormat="1" ht="14" x14ac:dyDescent="0.35">
      <c r="A2064" s="145"/>
      <c r="E2064" s="102"/>
      <c r="F2064" s="102"/>
      <c r="G2064" s="102"/>
      <c r="I2064" s="93"/>
      <c r="J2064" s="93"/>
    </row>
    <row r="2065" spans="1:10" s="65" customFormat="1" ht="14" x14ac:dyDescent="0.35">
      <c r="A2065" s="145"/>
      <c r="E2065" s="102"/>
      <c r="F2065" s="102"/>
      <c r="G2065" s="102"/>
      <c r="I2065" s="93"/>
      <c r="J2065" s="93"/>
    </row>
    <row r="2066" spans="1:10" s="65" customFormat="1" ht="14" x14ac:dyDescent="0.35">
      <c r="A2066" s="145"/>
      <c r="E2066" s="102"/>
      <c r="F2066" s="102"/>
      <c r="G2066" s="102"/>
      <c r="I2066" s="93"/>
      <c r="J2066" s="93"/>
    </row>
    <row r="2067" spans="1:10" s="65" customFormat="1" ht="14" x14ac:dyDescent="0.35">
      <c r="A2067" s="145"/>
      <c r="E2067" s="102"/>
      <c r="F2067" s="102"/>
      <c r="G2067" s="102"/>
      <c r="I2067" s="93"/>
      <c r="J2067" s="93"/>
    </row>
    <row r="2068" spans="1:10" s="65" customFormat="1" ht="14" x14ac:dyDescent="0.35">
      <c r="A2068" s="145"/>
      <c r="E2068" s="102"/>
      <c r="F2068" s="102"/>
      <c r="G2068" s="102"/>
      <c r="I2068" s="93"/>
      <c r="J2068" s="93"/>
    </row>
    <row r="2069" spans="1:10" s="65" customFormat="1" ht="14" x14ac:dyDescent="0.35">
      <c r="A2069" s="145"/>
      <c r="E2069" s="102"/>
      <c r="F2069" s="102"/>
      <c r="G2069" s="102"/>
      <c r="I2069" s="93"/>
      <c r="J2069" s="93"/>
    </row>
    <row r="2070" spans="1:10" s="65" customFormat="1" ht="14" x14ac:dyDescent="0.35">
      <c r="A2070" s="145"/>
      <c r="E2070" s="102"/>
      <c r="F2070" s="102"/>
      <c r="G2070" s="102"/>
      <c r="I2070" s="93"/>
      <c r="J2070" s="93"/>
    </row>
    <row r="2071" spans="1:10" s="65" customFormat="1" ht="14" x14ac:dyDescent="0.35">
      <c r="A2071" s="145"/>
      <c r="E2071" s="102"/>
      <c r="F2071" s="102"/>
      <c r="G2071" s="102"/>
      <c r="I2071" s="93"/>
      <c r="J2071" s="93"/>
    </row>
    <row r="2072" spans="1:10" s="65" customFormat="1" ht="14" x14ac:dyDescent="0.35">
      <c r="A2072" s="145"/>
      <c r="E2072" s="102"/>
      <c r="F2072" s="102"/>
      <c r="G2072" s="102"/>
      <c r="I2072" s="93"/>
      <c r="J2072" s="93"/>
    </row>
    <row r="2073" spans="1:10" s="65" customFormat="1" ht="14" x14ac:dyDescent="0.35">
      <c r="A2073" s="145"/>
      <c r="E2073" s="102"/>
      <c r="F2073" s="102"/>
      <c r="G2073" s="102"/>
      <c r="I2073" s="93"/>
      <c r="J2073" s="93"/>
    </row>
    <row r="2074" spans="1:10" s="65" customFormat="1" ht="14" x14ac:dyDescent="0.35">
      <c r="A2074" s="145"/>
      <c r="E2074" s="102"/>
      <c r="F2074" s="102"/>
      <c r="G2074" s="102"/>
      <c r="I2074" s="93"/>
      <c r="J2074" s="93"/>
    </row>
    <row r="2075" spans="1:10" s="65" customFormat="1" ht="14" x14ac:dyDescent="0.35">
      <c r="A2075" s="145"/>
      <c r="E2075" s="102"/>
      <c r="F2075" s="102"/>
      <c r="G2075" s="102"/>
      <c r="I2075" s="93"/>
      <c r="J2075" s="93"/>
    </row>
    <row r="2076" spans="1:10" s="65" customFormat="1" ht="14" x14ac:dyDescent="0.35">
      <c r="A2076" s="145"/>
      <c r="E2076" s="102"/>
      <c r="F2076" s="102"/>
      <c r="G2076" s="102"/>
      <c r="I2076" s="93"/>
      <c r="J2076" s="93"/>
    </row>
    <row r="2077" spans="1:10" s="65" customFormat="1" ht="14" x14ac:dyDescent="0.35">
      <c r="A2077" s="145"/>
      <c r="E2077" s="102"/>
      <c r="F2077" s="102"/>
      <c r="G2077" s="102"/>
      <c r="I2077" s="93"/>
      <c r="J2077" s="93"/>
    </row>
    <row r="2078" spans="1:10" s="65" customFormat="1" ht="14" x14ac:dyDescent="0.35">
      <c r="A2078" s="145"/>
      <c r="E2078" s="102"/>
      <c r="F2078" s="102"/>
      <c r="G2078" s="102"/>
      <c r="I2078" s="93"/>
      <c r="J2078" s="93"/>
    </row>
    <row r="2079" spans="1:10" s="65" customFormat="1" ht="14" x14ac:dyDescent="0.35">
      <c r="A2079" s="145"/>
      <c r="E2079" s="102"/>
      <c r="F2079" s="102"/>
      <c r="G2079" s="102"/>
      <c r="I2079" s="93"/>
      <c r="J2079" s="93"/>
    </row>
    <row r="2080" spans="1:10" s="65" customFormat="1" ht="14" x14ac:dyDescent="0.35">
      <c r="A2080" s="145"/>
      <c r="E2080" s="102"/>
      <c r="F2080" s="102"/>
      <c r="G2080" s="102"/>
      <c r="I2080" s="93"/>
      <c r="J2080" s="93"/>
    </row>
    <row r="2081" spans="1:10" s="65" customFormat="1" ht="14" x14ac:dyDescent="0.35">
      <c r="A2081" s="145"/>
      <c r="E2081" s="102"/>
      <c r="F2081" s="102"/>
      <c r="G2081" s="102"/>
      <c r="I2081" s="93"/>
      <c r="J2081" s="93"/>
    </row>
    <row r="2082" spans="1:10" s="65" customFormat="1" ht="14" x14ac:dyDescent="0.35">
      <c r="A2082" s="145"/>
      <c r="E2082" s="102"/>
      <c r="F2082" s="102"/>
      <c r="G2082" s="102"/>
      <c r="I2082" s="93"/>
      <c r="J2082" s="93"/>
    </row>
    <row r="2083" spans="1:10" s="65" customFormat="1" ht="14" x14ac:dyDescent="0.35">
      <c r="A2083" s="145"/>
      <c r="E2083" s="102"/>
      <c r="F2083" s="102"/>
      <c r="G2083" s="102"/>
      <c r="I2083" s="93"/>
      <c r="J2083" s="93"/>
    </row>
    <row r="2084" spans="1:10" s="65" customFormat="1" ht="14" x14ac:dyDescent="0.35">
      <c r="A2084" s="145"/>
      <c r="E2084" s="102"/>
      <c r="F2084" s="102"/>
      <c r="G2084" s="102"/>
      <c r="I2084" s="93"/>
      <c r="J2084" s="93"/>
    </row>
    <row r="2085" spans="1:10" s="65" customFormat="1" ht="14" x14ac:dyDescent="0.35">
      <c r="A2085" s="145"/>
      <c r="E2085" s="102"/>
      <c r="F2085" s="102"/>
      <c r="G2085" s="102"/>
      <c r="I2085" s="93"/>
      <c r="J2085" s="93"/>
    </row>
    <row r="2086" spans="1:10" s="65" customFormat="1" ht="14" x14ac:dyDescent="0.35">
      <c r="A2086" s="145"/>
      <c r="E2086" s="102"/>
      <c r="F2086" s="102"/>
      <c r="G2086" s="102"/>
      <c r="I2086" s="93"/>
      <c r="J2086" s="93"/>
    </row>
    <row r="2087" spans="1:10" s="65" customFormat="1" ht="14" x14ac:dyDescent="0.35">
      <c r="A2087" s="145"/>
      <c r="E2087" s="102"/>
      <c r="F2087" s="102"/>
      <c r="G2087" s="102"/>
      <c r="I2087" s="93"/>
      <c r="J2087" s="93"/>
    </row>
    <row r="2088" spans="1:10" s="65" customFormat="1" ht="14" x14ac:dyDescent="0.35">
      <c r="A2088" s="145"/>
      <c r="E2088" s="102"/>
      <c r="F2088" s="102"/>
      <c r="G2088" s="102"/>
      <c r="I2088" s="93"/>
      <c r="J2088" s="93"/>
    </row>
    <row r="2089" spans="1:10" s="65" customFormat="1" ht="14" x14ac:dyDescent="0.35">
      <c r="A2089" s="145"/>
      <c r="E2089" s="102"/>
      <c r="F2089" s="102"/>
      <c r="G2089" s="102"/>
      <c r="I2089" s="93"/>
      <c r="J2089" s="93"/>
    </row>
    <row r="2090" spans="1:10" s="65" customFormat="1" ht="14" x14ac:dyDescent="0.35">
      <c r="A2090" s="145"/>
      <c r="E2090" s="102"/>
      <c r="F2090" s="102"/>
      <c r="G2090" s="102"/>
      <c r="I2090" s="93"/>
      <c r="J2090" s="93"/>
    </row>
    <row r="2091" spans="1:10" s="65" customFormat="1" ht="14" x14ac:dyDescent="0.35">
      <c r="A2091" s="145"/>
      <c r="E2091" s="102"/>
      <c r="F2091" s="102"/>
      <c r="G2091" s="102"/>
      <c r="I2091" s="93"/>
      <c r="J2091" s="93"/>
    </row>
    <row r="2092" spans="1:10" s="65" customFormat="1" ht="14" x14ac:dyDescent="0.35">
      <c r="A2092" s="145"/>
      <c r="E2092" s="102"/>
      <c r="F2092" s="102"/>
      <c r="G2092" s="102"/>
      <c r="I2092" s="93"/>
      <c r="J2092" s="93"/>
    </row>
    <row r="2093" spans="1:10" s="65" customFormat="1" ht="14" x14ac:dyDescent="0.35">
      <c r="A2093" s="145"/>
      <c r="E2093" s="102"/>
      <c r="F2093" s="102"/>
      <c r="G2093" s="102"/>
      <c r="I2093" s="93"/>
      <c r="J2093" s="93"/>
    </row>
    <row r="2094" spans="1:10" s="65" customFormat="1" ht="14" x14ac:dyDescent="0.35">
      <c r="A2094" s="145"/>
      <c r="E2094" s="102"/>
      <c r="F2094" s="102"/>
      <c r="G2094" s="102"/>
      <c r="I2094" s="93"/>
      <c r="J2094" s="93"/>
    </row>
    <row r="2095" spans="1:10" s="65" customFormat="1" ht="14" x14ac:dyDescent="0.35">
      <c r="A2095" s="145"/>
      <c r="E2095" s="102"/>
      <c r="F2095" s="102"/>
      <c r="G2095" s="102"/>
      <c r="I2095" s="93"/>
      <c r="J2095" s="93"/>
    </row>
    <row r="2096" spans="1:10" s="65" customFormat="1" ht="14" x14ac:dyDescent="0.35">
      <c r="A2096" s="145"/>
      <c r="E2096" s="102"/>
      <c r="F2096" s="102"/>
      <c r="G2096" s="102"/>
      <c r="I2096" s="93"/>
      <c r="J2096" s="93"/>
    </row>
    <row r="2097" spans="1:10" s="65" customFormat="1" ht="14" x14ac:dyDescent="0.35">
      <c r="A2097" s="145"/>
      <c r="E2097" s="102"/>
      <c r="F2097" s="102"/>
      <c r="G2097" s="102"/>
      <c r="I2097" s="93"/>
      <c r="J2097" s="93"/>
    </row>
    <row r="2098" spans="1:10" s="65" customFormat="1" ht="14" x14ac:dyDescent="0.35">
      <c r="A2098" s="145"/>
      <c r="E2098" s="102"/>
      <c r="F2098" s="102"/>
      <c r="G2098" s="102"/>
      <c r="I2098" s="93"/>
      <c r="J2098" s="93"/>
    </row>
    <row r="2099" spans="1:10" s="65" customFormat="1" ht="14" x14ac:dyDescent="0.35">
      <c r="A2099" s="145"/>
      <c r="E2099" s="102"/>
      <c r="F2099" s="102"/>
      <c r="G2099" s="102"/>
      <c r="I2099" s="93"/>
      <c r="J2099" s="93"/>
    </row>
    <row r="2100" spans="1:10" s="65" customFormat="1" ht="14" x14ac:dyDescent="0.35">
      <c r="A2100" s="145"/>
      <c r="E2100" s="102"/>
      <c r="F2100" s="102"/>
      <c r="G2100" s="102"/>
      <c r="I2100" s="93"/>
      <c r="J2100" s="93"/>
    </row>
    <row r="2101" spans="1:10" s="65" customFormat="1" ht="14" x14ac:dyDescent="0.35">
      <c r="A2101" s="145"/>
      <c r="E2101" s="102"/>
      <c r="F2101" s="102"/>
      <c r="G2101" s="102"/>
      <c r="I2101" s="93"/>
      <c r="J2101" s="93"/>
    </row>
    <row r="2102" spans="1:10" s="65" customFormat="1" ht="14" x14ac:dyDescent="0.35">
      <c r="A2102" s="145"/>
      <c r="E2102" s="102"/>
      <c r="F2102" s="102"/>
      <c r="G2102" s="102"/>
      <c r="I2102" s="93"/>
      <c r="J2102" s="93"/>
    </row>
    <row r="2103" spans="1:10" s="65" customFormat="1" ht="14" x14ac:dyDescent="0.35">
      <c r="A2103" s="145"/>
      <c r="E2103" s="102"/>
      <c r="F2103" s="102"/>
      <c r="G2103" s="102"/>
      <c r="I2103" s="93"/>
      <c r="J2103" s="93"/>
    </row>
    <row r="2104" spans="1:10" s="65" customFormat="1" ht="14" x14ac:dyDescent="0.35">
      <c r="A2104" s="145"/>
      <c r="E2104" s="102"/>
      <c r="F2104" s="102"/>
      <c r="G2104" s="102"/>
      <c r="I2104" s="93"/>
      <c r="J2104" s="93"/>
    </row>
    <row r="2105" spans="1:10" s="65" customFormat="1" ht="14" x14ac:dyDescent="0.35">
      <c r="A2105" s="145"/>
      <c r="E2105" s="102"/>
      <c r="F2105" s="102"/>
      <c r="G2105" s="102"/>
      <c r="I2105" s="93"/>
      <c r="J2105" s="93"/>
    </row>
    <row r="2106" spans="1:10" s="65" customFormat="1" ht="14" x14ac:dyDescent="0.35">
      <c r="A2106" s="145"/>
      <c r="E2106" s="102"/>
      <c r="F2106" s="102"/>
      <c r="G2106" s="102"/>
      <c r="I2106" s="93"/>
      <c r="J2106" s="93"/>
    </row>
    <row r="2107" spans="1:10" s="65" customFormat="1" ht="14" x14ac:dyDescent="0.35">
      <c r="A2107" s="145"/>
      <c r="E2107" s="102"/>
      <c r="F2107" s="102"/>
      <c r="G2107" s="102"/>
      <c r="I2107" s="93"/>
      <c r="J2107" s="93"/>
    </row>
    <row r="2108" spans="1:10" s="65" customFormat="1" ht="14" x14ac:dyDescent="0.35">
      <c r="A2108" s="145"/>
      <c r="E2108" s="102"/>
      <c r="F2108" s="102"/>
      <c r="G2108" s="102"/>
      <c r="I2108" s="93"/>
      <c r="J2108" s="93"/>
    </row>
    <row r="2109" spans="1:10" s="65" customFormat="1" ht="14" x14ac:dyDescent="0.35">
      <c r="A2109" s="145"/>
      <c r="E2109" s="102"/>
      <c r="F2109" s="102"/>
      <c r="G2109" s="102"/>
      <c r="I2109" s="93"/>
      <c r="J2109" s="93"/>
    </row>
    <row r="2110" spans="1:10" s="65" customFormat="1" ht="14" x14ac:dyDescent="0.35">
      <c r="A2110" s="145"/>
      <c r="E2110" s="102"/>
      <c r="F2110" s="102"/>
      <c r="G2110" s="102"/>
      <c r="I2110" s="93"/>
      <c r="J2110" s="93"/>
    </row>
    <row r="2111" spans="1:10" s="65" customFormat="1" ht="14" x14ac:dyDescent="0.35">
      <c r="A2111" s="145"/>
      <c r="E2111" s="102"/>
      <c r="F2111" s="102"/>
      <c r="G2111" s="102"/>
      <c r="I2111" s="93"/>
      <c r="J2111" s="93"/>
    </row>
    <row r="2112" spans="1:10" s="65" customFormat="1" ht="14" x14ac:dyDescent="0.35">
      <c r="A2112" s="145"/>
      <c r="E2112" s="102"/>
      <c r="F2112" s="102"/>
      <c r="G2112" s="102"/>
      <c r="I2112" s="93"/>
      <c r="J2112" s="93"/>
    </row>
    <row r="2113" spans="1:10" s="65" customFormat="1" ht="14" x14ac:dyDescent="0.35">
      <c r="A2113" s="145"/>
      <c r="E2113" s="102"/>
      <c r="F2113" s="102"/>
      <c r="G2113" s="102"/>
      <c r="I2113" s="93"/>
      <c r="J2113" s="93"/>
    </row>
    <row r="2114" spans="1:10" s="65" customFormat="1" ht="14" x14ac:dyDescent="0.35">
      <c r="A2114" s="145"/>
      <c r="E2114" s="102"/>
      <c r="F2114" s="102"/>
      <c r="G2114" s="102"/>
      <c r="I2114" s="93"/>
      <c r="J2114" s="93"/>
    </row>
    <row r="2115" spans="1:10" s="65" customFormat="1" ht="14" x14ac:dyDescent="0.35">
      <c r="A2115" s="145"/>
      <c r="E2115" s="102"/>
      <c r="F2115" s="102"/>
      <c r="G2115" s="102"/>
      <c r="I2115" s="93"/>
      <c r="J2115" s="93"/>
    </row>
    <row r="2116" spans="1:10" s="65" customFormat="1" ht="14" x14ac:dyDescent="0.35">
      <c r="A2116" s="145"/>
      <c r="E2116" s="102"/>
      <c r="F2116" s="102"/>
      <c r="G2116" s="102"/>
      <c r="I2116" s="93"/>
      <c r="J2116" s="93"/>
    </row>
    <row r="2117" spans="1:10" s="65" customFormat="1" ht="14" x14ac:dyDescent="0.35">
      <c r="A2117" s="145"/>
      <c r="E2117" s="102"/>
      <c r="F2117" s="102"/>
      <c r="G2117" s="102"/>
      <c r="I2117" s="93"/>
      <c r="J2117" s="93"/>
    </row>
    <row r="2118" spans="1:10" s="65" customFormat="1" ht="14" x14ac:dyDescent="0.35">
      <c r="A2118" s="145"/>
      <c r="E2118" s="102"/>
      <c r="F2118" s="102"/>
      <c r="G2118" s="102"/>
      <c r="I2118" s="93"/>
      <c r="J2118" s="93"/>
    </row>
    <row r="2119" spans="1:10" s="65" customFormat="1" ht="14" x14ac:dyDescent="0.35">
      <c r="A2119" s="145"/>
      <c r="E2119" s="102"/>
      <c r="F2119" s="102"/>
      <c r="G2119" s="102"/>
      <c r="I2119" s="93"/>
      <c r="J2119" s="93"/>
    </row>
    <row r="2120" spans="1:10" s="65" customFormat="1" ht="14" x14ac:dyDescent="0.35">
      <c r="A2120" s="145"/>
      <c r="E2120" s="102"/>
      <c r="F2120" s="102"/>
      <c r="G2120" s="102"/>
      <c r="I2120" s="93"/>
      <c r="J2120" s="93"/>
    </row>
    <row r="2121" spans="1:10" s="65" customFormat="1" ht="14" x14ac:dyDescent="0.35">
      <c r="A2121" s="145"/>
      <c r="E2121" s="102"/>
      <c r="F2121" s="102"/>
      <c r="G2121" s="102"/>
      <c r="I2121" s="93"/>
      <c r="J2121" s="93"/>
    </row>
    <row r="2122" spans="1:10" s="65" customFormat="1" ht="14" x14ac:dyDescent="0.35">
      <c r="A2122" s="145"/>
      <c r="E2122" s="102"/>
      <c r="F2122" s="102"/>
      <c r="G2122" s="102"/>
      <c r="I2122" s="93"/>
      <c r="J2122" s="93"/>
    </row>
    <row r="2123" spans="1:10" s="65" customFormat="1" ht="14" x14ac:dyDescent="0.35">
      <c r="A2123" s="145"/>
      <c r="E2123" s="102"/>
      <c r="F2123" s="102"/>
      <c r="G2123" s="102"/>
      <c r="I2123" s="93"/>
      <c r="J2123" s="93"/>
    </row>
    <row r="2124" spans="1:10" s="65" customFormat="1" ht="14" x14ac:dyDescent="0.35">
      <c r="A2124" s="145"/>
      <c r="E2124" s="102"/>
      <c r="F2124" s="102"/>
      <c r="G2124" s="102"/>
      <c r="I2124" s="93"/>
      <c r="J2124" s="93"/>
    </row>
    <row r="2125" spans="1:10" s="65" customFormat="1" ht="14" x14ac:dyDescent="0.35">
      <c r="A2125" s="145"/>
      <c r="E2125" s="102"/>
      <c r="F2125" s="102"/>
      <c r="G2125" s="102"/>
      <c r="I2125" s="93"/>
      <c r="J2125" s="93"/>
    </row>
    <row r="2126" spans="1:10" s="65" customFormat="1" ht="14" x14ac:dyDescent="0.35">
      <c r="A2126" s="145"/>
      <c r="E2126" s="102"/>
      <c r="F2126" s="102"/>
      <c r="G2126" s="102"/>
      <c r="I2126" s="93"/>
      <c r="J2126" s="93"/>
    </row>
    <row r="2127" spans="1:10" s="65" customFormat="1" ht="14" x14ac:dyDescent="0.35">
      <c r="A2127" s="145"/>
      <c r="E2127" s="102"/>
      <c r="F2127" s="102"/>
      <c r="G2127" s="102"/>
      <c r="I2127" s="93"/>
      <c r="J2127" s="93"/>
    </row>
    <row r="2128" spans="1:10" s="65" customFormat="1" ht="14" x14ac:dyDescent="0.35">
      <c r="A2128" s="145"/>
      <c r="E2128" s="102"/>
      <c r="F2128" s="102"/>
      <c r="G2128" s="102"/>
      <c r="I2128" s="93"/>
      <c r="J2128" s="93"/>
    </row>
    <row r="2129" spans="1:10" s="65" customFormat="1" ht="14" x14ac:dyDescent="0.35">
      <c r="A2129" s="145"/>
      <c r="E2129" s="102"/>
      <c r="F2129" s="102"/>
      <c r="G2129" s="102"/>
      <c r="I2129" s="93"/>
      <c r="J2129" s="93"/>
    </row>
    <row r="2130" spans="1:10" s="65" customFormat="1" ht="14" x14ac:dyDescent="0.35">
      <c r="A2130" s="145"/>
      <c r="E2130" s="102"/>
      <c r="F2130" s="102"/>
      <c r="G2130" s="102"/>
      <c r="I2130" s="93"/>
      <c r="J2130" s="93"/>
    </row>
    <row r="2131" spans="1:10" s="65" customFormat="1" ht="14" x14ac:dyDescent="0.35">
      <c r="A2131" s="145"/>
      <c r="E2131" s="102"/>
      <c r="F2131" s="102"/>
      <c r="G2131" s="102"/>
      <c r="I2131" s="93"/>
      <c r="J2131" s="93"/>
    </row>
    <row r="2132" spans="1:10" s="65" customFormat="1" ht="14" x14ac:dyDescent="0.35">
      <c r="A2132" s="145"/>
      <c r="E2132" s="102"/>
      <c r="F2132" s="102"/>
      <c r="G2132" s="102"/>
      <c r="I2132" s="93"/>
      <c r="J2132" s="93"/>
    </row>
    <row r="2133" spans="1:10" s="65" customFormat="1" ht="14" x14ac:dyDescent="0.35">
      <c r="A2133" s="145"/>
      <c r="E2133" s="102"/>
      <c r="F2133" s="102"/>
      <c r="G2133" s="102"/>
      <c r="I2133" s="93"/>
      <c r="J2133" s="93"/>
    </row>
    <row r="2134" spans="1:10" s="65" customFormat="1" ht="14" x14ac:dyDescent="0.35">
      <c r="A2134" s="145"/>
      <c r="E2134" s="102"/>
      <c r="F2134" s="102"/>
      <c r="G2134" s="102"/>
      <c r="I2134" s="93"/>
      <c r="J2134" s="93"/>
    </row>
    <row r="2135" spans="1:10" s="65" customFormat="1" ht="14" x14ac:dyDescent="0.35">
      <c r="A2135" s="145"/>
      <c r="E2135" s="102"/>
      <c r="F2135" s="102"/>
      <c r="G2135" s="102"/>
      <c r="I2135" s="93"/>
      <c r="J2135" s="93"/>
    </row>
    <row r="2136" spans="1:10" s="65" customFormat="1" ht="14" x14ac:dyDescent="0.35">
      <c r="A2136" s="145"/>
      <c r="E2136" s="102"/>
      <c r="F2136" s="102"/>
      <c r="G2136" s="102"/>
      <c r="I2136" s="93"/>
      <c r="J2136" s="93"/>
    </row>
    <row r="2137" spans="1:10" s="65" customFormat="1" ht="14" x14ac:dyDescent="0.35">
      <c r="A2137" s="145"/>
      <c r="E2137" s="102"/>
      <c r="F2137" s="102"/>
      <c r="G2137" s="102"/>
      <c r="I2137" s="93"/>
      <c r="J2137" s="93"/>
    </row>
    <row r="2138" spans="1:10" s="65" customFormat="1" ht="14" x14ac:dyDescent="0.35">
      <c r="A2138" s="145"/>
      <c r="E2138" s="102"/>
      <c r="F2138" s="102"/>
      <c r="G2138" s="102"/>
      <c r="I2138" s="93"/>
      <c r="J2138" s="93"/>
    </row>
    <row r="2139" spans="1:10" s="65" customFormat="1" ht="14" x14ac:dyDescent="0.35">
      <c r="A2139" s="145"/>
      <c r="E2139" s="102"/>
      <c r="F2139" s="102"/>
      <c r="G2139" s="102"/>
      <c r="I2139" s="93"/>
      <c r="J2139" s="93"/>
    </row>
    <row r="2140" spans="1:10" s="65" customFormat="1" ht="14" x14ac:dyDescent="0.35">
      <c r="A2140" s="145"/>
      <c r="E2140" s="102"/>
      <c r="F2140" s="102"/>
      <c r="G2140" s="102"/>
      <c r="I2140" s="93"/>
      <c r="J2140" s="93"/>
    </row>
    <row r="2141" spans="1:10" s="65" customFormat="1" ht="14" x14ac:dyDescent="0.35">
      <c r="A2141" s="145"/>
      <c r="E2141" s="102"/>
      <c r="F2141" s="102"/>
      <c r="G2141" s="102"/>
      <c r="I2141" s="93"/>
      <c r="J2141" s="93"/>
    </row>
    <row r="2142" spans="1:10" s="65" customFormat="1" ht="14" x14ac:dyDescent="0.35">
      <c r="A2142" s="145"/>
      <c r="E2142" s="102"/>
      <c r="F2142" s="102"/>
      <c r="G2142" s="102"/>
      <c r="I2142" s="93"/>
      <c r="J2142" s="93"/>
    </row>
    <row r="2143" spans="1:10" s="65" customFormat="1" ht="14" x14ac:dyDescent="0.35">
      <c r="A2143" s="145"/>
      <c r="E2143" s="102"/>
      <c r="F2143" s="102"/>
      <c r="G2143" s="102"/>
      <c r="I2143" s="93"/>
      <c r="J2143" s="93"/>
    </row>
    <row r="2144" spans="1:10" s="65" customFormat="1" ht="14" x14ac:dyDescent="0.35">
      <c r="A2144" s="145"/>
      <c r="E2144" s="102"/>
      <c r="F2144" s="102"/>
      <c r="G2144" s="102"/>
      <c r="I2144" s="93"/>
      <c r="J2144" s="93"/>
    </row>
    <row r="2145" spans="1:10" s="65" customFormat="1" ht="14" x14ac:dyDescent="0.35">
      <c r="A2145" s="145"/>
      <c r="E2145" s="102"/>
      <c r="F2145" s="102"/>
      <c r="G2145" s="102"/>
      <c r="I2145" s="93"/>
      <c r="J2145" s="93"/>
    </row>
    <row r="2146" spans="1:10" s="65" customFormat="1" ht="14" x14ac:dyDescent="0.35">
      <c r="A2146" s="145"/>
      <c r="E2146" s="102"/>
      <c r="F2146" s="102"/>
      <c r="G2146" s="102"/>
      <c r="I2146" s="93"/>
      <c r="J2146" s="93"/>
    </row>
    <row r="2147" spans="1:10" s="65" customFormat="1" ht="14" x14ac:dyDescent="0.35">
      <c r="A2147" s="145"/>
      <c r="E2147" s="102"/>
      <c r="F2147" s="102"/>
      <c r="G2147" s="102"/>
      <c r="I2147" s="93"/>
      <c r="J2147" s="93"/>
    </row>
    <row r="2148" spans="1:10" s="65" customFormat="1" ht="14" x14ac:dyDescent="0.35">
      <c r="A2148" s="145"/>
      <c r="E2148" s="102"/>
      <c r="F2148" s="102"/>
      <c r="G2148" s="102"/>
      <c r="I2148" s="93"/>
      <c r="J2148" s="93"/>
    </row>
    <row r="2149" spans="1:10" s="65" customFormat="1" ht="14" x14ac:dyDescent="0.35">
      <c r="A2149" s="145"/>
      <c r="E2149" s="102"/>
      <c r="F2149" s="102"/>
      <c r="G2149" s="102"/>
      <c r="I2149" s="93"/>
      <c r="J2149" s="93"/>
    </row>
    <row r="2150" spans="1:10" s="65" customFormat="1" ht="14" x14ac:dyDescent="0.35">
      <c r="A2150" s="145"/>
      <c r="E2150" s="102"/>
      <c r="F2150" s="102"/>
      <c r="G2150" s="102"/>
      <c r="I2150" s="93"/>
      <c r="J2150" s="93"/>
    </row>
    <row r="2151" spans="1:10" s="65" customFormat="1" ht="14" x14ac:dyDescent="0.35">
      <c r="A2151" s="145"/>
      <c r="E2151" s="102"/>
      <c r="F2151" s="102"/>
      <c r="G2151" s="102"/>
      <c r="I2151" s="93"/>
      <c r="J2151" s="93"/>
    </row>
    <row r="2152" spans="1:10" s="65" customFormat="1" ht="14" x14ac:dyDescent="0.35">
      <c r="A2152" s="145"/>
      <c r="E2152" s="102"/>
      <c r="F2152" s="102"/>
      <c r="G2152" s="102"/>
      <c r="I2152" s="93"/>
      <c r="J2152" s="93"/>
    </row>
    <row r="2153" spans="1:10" s="65" customFormat="1" ht="14" x14ac:dyDescent="0.35">
      <c r="A2153" s="145"/>
      <c r="E2153" s="102"/>
      <c r="F2153" s="102"/>
      <c r="G2153" s="102"/>
      <c r="I2153" s="93"/>
      <c r="J2153" s="93"/>
    </row>
    <row r="2154" spans="1:10" s="65" customFormat="1" ht="14" x14ac:dyDescent="0.35">
      <c r="A2154" s="145"/>
      <c r="E2154" s="102"/>
      <c r="F2154" s="102"/>
      <c r="G2154" s="102"/>
      <c r="I2154" s="93"/>
      <c r="J2154" s="93"/>
    </row>
    <row r="2155" spans="1:10" s="65" customFormat="1" ht="14" x14ac:dyDescent="0.35">
      <c r="A2155" s="145"/>
      <c r="E2155" s="102"/>
      <c r="F2155" s="102"/>
      <c r="G2155" s="102"/>
      <c r="I2155" s="93"/>
      <c r="J2155" s="93"/>
    </row>
    <row r="2156" spans="1:10" s="65" customFormat="1" ht="14" x14ac:dyDescent="0.35">
      <c r="A2156" s="145"/>
      <c r="E2156" s="102"/>
      <c r="F2156" s="102"/>
      <c r="G2156" s="102"/>
      <c r="I2156" s="93"/>
      <c r="J2156" s="93"/>
    </row>
    <row r="2157" spans="1:10" s="65" customFormat="1" ht="14" x14ac:dyDescent="0.35">
      <c r="A2157" s="145"/>
      <c r="E2157" s="102"/>
      <c r="F2157" s="102"/>
      <c r="G2157" s="102"/>
      <c r="I2157" s="93"/>
      <c r="J2157" s="93"/>
    </row>
    <row r="2158" spans="1:10" s="65" customFormat="1" ht="14" x14ac:dyDescent="0.35">
      <c r="A2158" s="145"/>
      <c r="E2158" s="102"/>
      <c r="F2158" s="102"/>
      <c r="G2158" s="102"/>
      <c r="I2158" s="93"/>
      <c r="J2158" s="93"/>
    </row>
    <row r="2159" spans="1:10" s="65" customFormat="1" ht="14" x14ac:dyDescent="0.35">
      <c r="A2159" s="145"/>
      <c r="E2159" s="102"/>
      <c r="F2159" s="102"/>
      <c r="G2159" s="102"/>
      <c r="I2159" s="93"/>
      <c r="J2159" s="93"/>
    </row>
    <row r="2160" spans="1:10" s="65" customFormat="1" ht="14" x14ac:dyDescent="0.35">
      <c r="A2160" s="145"/>
      <c r="E2160" s="102"/>
      <c r="F2160" s="102"/>
      <c r="G2160" s="102"/>
      <c r="I2160" s="93"/>
      <c r="J2160" s="93"/>
    </row>
    <row r="2161" spans="1:10" s="65" customFormat="1" ht="14" x14ac:dyDescent="0.35">
      <c r="A2161" s="145"/>
      <c r="E2161" s="102"/>
      <c r="F2161" s="102"/>
      <c r="G2161" s="102"/>
      <c r="I2161" s="93"/>
      <c r="J2161" s="93"/>
    </row>
    <row r="2162" spans="1:10" s="65" customFormat="1" ht="14" x14ac:dyDescent="0.35">
      <c r="A2162" s="145"/>
      <c r="E2162" s="102"/>
      <c r="F2162" s="102"/>
      <c r="G2162" s="102"/>
      <c r="I2162" s="93"/>
      <c r="J2162" s="93"/>
    </row>
    <row r="2163" spans="1:10" s="65" customFormat="1" ht="14" x14ac:dyDescent="0.35">
      <c r="A2163" s="145"/>
      <c r="E2163" s="102"/>
      <c r="F2163" s="102"/>
      <c r="G2163" s="102"/>
      <c r="I2163" s="93"/>
      <c r="J2163" s="93"/>
    </row>
    <row r="2164" spans="1:10" s="65" customFormat="1" ht="14" x14ac:dyDescent="0.35">
      <c r="A2164" s="145"/>
      <c r="E2164" s="102"/>
      <c r="F2164" s="102"/>
      <c r="G2164" s="102"/>
      <c r="I2164" s="93"/>
      <c r="J2164" s="93"/>
    </row>
    <row r="2165" spans="1:10" s="65" customFormat="1" ht="14" x14ac:dyDescent="0.35">
      <c r="A2165" s="145"/>
      <c r="E2165" s="102"/>
      <c r="F2165" s="102"/>
      <c r="G2165" s="102"/>
      <c r="I2165" s="93"/>
      <c r="J2165" s="93"/>
    </row>
    <row r="2166" spans="1:10" s="65" customFormat="1" ht="14" x14ac:dyDescent="0.35">
      <c r="A2166" s="145"/>
      <c r="E2166" s="102"/>
      <c r="F2166" s="102"/>
      <c r="G2166" s="102"/>
      <c r="I2166" s="93"/>
      <c r="J2166" s="93"/>
    </row>
    <row r="2167" spans="1:10" s="65" customFormat="1" ht="14" x14ac:dyDescent="0.35">
      <c r="A2167" s="145"/>
      <c r="E2167" s="102"/>
      <c r="F2167" s="102"/>
      <c r="G2167" s="102"/>
      <c r="I2167" s="93"/>
      <c r="J2167" s="93"/>
    </row>
    <row r="2168" spans="1:10" s="65" customFormat="1" ht="14" x14ac:dyDescent="0.35">
      <c r="A2168" s="145"/>
      <c r="E2168" s="102"/>
      <c r="F2168" s="102"/>
      <c r="G2168" s="102"/>
      <c r="I2168" s="93"/>
      <c r="J2168" s="93"/>
    </row>
    <row r="2169" spans="1:10" s="65" customFormat="1" ht="14" x14ac:dyDescent="0.35">
      <c r="A2169" s="145"/>
      <c r="E2169" s="102"/>
      <c r="F2169" s="102"/>
      <c r="G2169" s="102"/>
      <c r="I2169" s="93"/>
      <c r="J2169" s="93"/>
    </row>
    <row r="2170" spans="1:10" s="65" customFormat="1" ht="14" x14ac:dyDescent="0.35">
      <c r="A2170" s="145"/>
      <c r="E2170" s="102"/>
      <c r="F2170" s="102"/>
      <c r="G2170" s="102"/>
      <c r="I2170" s="93"/>
      <c r="J2170" s="93"/>
    </row>
    <row r="2171" spans="1:10" s="65" customFormat="1" ht="14" x14ac:dyDescent="0.35">
      <c r="A2171" s="145"/>
      <c r="E2171" s="102"/>
      <c r="F2171" s="102"/>
      <c r="G2171" s="102"/>
      <c r="I2171" s="93"/>
      <c r="J2171" s="93"/>
    </row>
    <row r="2172" spans="1:10" s="65" customFormat="1" ht="14" x14ac:dyDescent="0.35">
      <c r="A2172" s="145"/>
      <c r="E2172" s="102"/>
      <c r="F2172" s="102"/>
      <c r="G2172" s="102"/>
      <c r="I2172" s="93"/>
      <c r="J2172" s="93"/>
    </row>
    <row r="2173" spans="1:10" s="65" customFormat="1" ht="14" x14ac:dyDescent="0.35">
      <c r="A2173" s="145"/>
      <c r="E2173" s="102"/>
      <c r="F2173" s="102"/>
      <c r="G2173" s="102"/>
      <c r="I2173" s="93"/>
      <c r="J2173" s="93"/>
    </row>
    <row r="2174" spans="1:10" s="65" customFormat="1" ht="14" x14ac:dyDescent="0.35">
      <c r="A2174" s="145"/>
      <c r="E2174" s="102"/>
      <c r="F2174" s="102"/>
      <c r="G2174" s="102"/>
      <c r="I2174" s="93"/>
      <c r="J2174" s="93"/>
    </row>
    <row r="2175" spans="1:10" s="65" customFormat="1" ht="14" x14ac:dyDescent="0.35">
      <c r="A2175" s="145"/>
      <c r="E2175" s="102"/>
      <c r="F2175" s="102"/>
      <c r="G2175" s="102"/>
      <c r="I2175" s="93"/>
      <c r="J2175" s="93"/>
    </row>
    <row r="2176" spans="1:10" s="65" customFormat="1" ht="14" x14ac:dyDescent="0.35">
      <c r="A2176" s="145"/>
      <c r="E2176" s="102"/>
      <c r="F2176" s="102"/>
      <c r="G2176" s="102"/>
      <c r="I2176" s="93"/>
      <c r="J2176" s="93"/>
    </row>
    <row r="2177" spans="1:10" s="65" customFormat="1" ht="14" x14ac:dyDescent="0.35">
      <c r="A2177" s="145"/>
      <c r="E2177" s="102"/>
      <c r="F2177" s="102"/>
      <c r="G2177" s="102"/>
      <c r="I2177" s="93"/>
      <c r="J2177" s="93"/>
    </row>
    <row r="2178" spans="1:10" s="65" customFormat="1" ht="14" x14ac:dyDescent="0.35">
      <c r="A2178" s="145"/>
      <c r="E2178" s="102"/>
      <c r="F2178" s="102"/>
      <c r="G2178" s="102"/>
      <c r="I2178" s="93"/>
      <c r="J2178" s="93"/>
    </row>
    <row r="2179" spans="1:10" s="65" customFormat="1" ht="14" x14ac:dyDescent="0.35">
      <c r="A2179" s="145"/>
      <c r="E2179" s="102"/>
      <c r="F2179" s="102"/>
      <c r="G2179" s="102"/>
      <c r="I2179" s="93"/>
      <c r="J2179" s="93"/>
    </row>
    <row r="2180" spans="1:10" s="65" customFormat="1" ht="14" x14ac:dyDescent="0.35">
      <c r="A2180" s="145"/>
      <c r="E2180" s="102"/>
      <c r="F2180" s="102"/>
      <c r="G2180" s="102"/>
      <c r="I2180" s="93"/>
      <c r="J2180" s="93"/>
    </row>
    <row r="2181" spans="1:10" s="65" customFormat="1" ht="14" x14ac:dyDescent="0.35">
      <c r="A2181" s="145"/>
      <c r="E2181" s="102"/>
      <c r="F2181" s="102"/>
      <c r="G2181" s="102"/>
      <c r="I2181" s="93"/>
      <c r="J2181" s="93"/>
    </row>
    <row r="2182" spans="1:10" s="65" customFormat="1" ht="14" x14ac:dyDescent="0.35">
      <c r="A2182" s="145"/>
      <c r="E2182" s="102"/>
      <c r="F2182" s="102"/>
      <c r="G2182" s="102"/>
      <c r="I2182" s="93"/>
      <c r="J2182" s="93"/>
    </row>
    <row r="2183" spans="1:10" s="65" customFormat="1" ht="14" x14ac:dyDescent="0.35">
      <c r="A2183" s="145"/>
      <c r="E2183" s="102"/>
      <c r="F2183" s="102"/>
      <c r="G2183" s="102"/>
      <c r="I2183" s="93"/>
      <c r="J2183" s="93"/>
    </row>
    <row r="2184" spans="1:10" s="65" customFormat="1" ht="14" x14ac:dyDescent="0.35">
      <c r="A2184" s="145"/>
      <c r="E2184" s="102"/>
      <c r="F2184" s="102"/>
      <c r="G2184" s="102"/>
      <c r="I2184" s="93"/>
      <c r="J2184" s="93"/>
    </row>
    <row r="2185" spans="1:10" s="65" customFormat="1" ht="14" x14ac:dyDescent="0.35">
      <c r="A2185" s="145"/>
      <c r="E2185" s="102"/>
      <c r="F2185" s="102"/>
      <c r="G2185" s="102"/>
      <c r="I2185" s="93"/>
      <c r="J2185" s="93"/>
    </row>
    <row r="2186" spans="1:10" s="65" customFormat="1" ht="14" x14ac:dyDescent="0.35">
      <c r="A2186" s="145"/>
      <c r="E2186" s="102"/>
      <c r="F2186" s="102"/>
      <c r="G2186" s="102"/>
      <c r="I2186" s="93"/>
      <c r="J2186" s="93"/>
    </row>
    <row r="2187" spans="1:10" s="65" customFormat="1" ht="14" x14ac:dyDescent="0.35">
      <c r="A2187" s="145"/>
      <c r="E2187" s="102"/>
      <c r="F2187" s="102"/>
      <c r="G2187" s="102"/>
      <c r="I2187" s="93"/>
      <c r="J2187" s="93"/>
    </row>
    <row r="2188" spans="1:10" s="65" customFormat="1" ht="14" x14ac:dyDescent="0.35">
      <c r="A2188" s="145"/>
      <c r="E2188" s="102"/>
      <c r="F2188" s="102"/>
      <c r="G2188" s="102"/>
      <c r="I2188" s="93"/>
      <c r="J2188" s="93"/>
    </row>
    <row r="2189" spans="1:10" s="65" customFormat="1" ht="14" x14ac:dyDescent="0.35">
      <c r="A2189" s="145"/>
      <c r="E2189" s="102"/>
      <c r="F2189" s="102"/>
      <c r="G2189" s="102"/>
      <c r="I2189" s="93"/>
      <c r="J2189" s="93"/>
    </row>
    <row r="2190" spans="1:10" s="65" customFormat="1" ht="14" x14ac:dyDescent="0.35">
      <c r="A2190" s="145"/>
      <c r="E2190" s="102"/>
      <c r="F2190" s="102"/>
      <c r="G2190" s="102"/>
      <c r="I2190" s="93"/>
      <c r="J2190" s="93"/>
    </row>
    <row r="2191" spans="1:10" s="65" customFormat="1" ht="14" x14ac:dyDescent="0.35">
      <c r="A2191" s="145"/>
      <c r="E2191" s="102"/>
      <c r="F2191" s="102"/>
      <c r="G2191" s="102"/>
      <c r="I2191" s="93"/>
      <c r="J2191" s="93"/>
    </row>
    <row r="2192" spans="1:10" s="65" customFormat="1" ht="14" x14ac:dyDescent="0.35">
      <c r="A2192" s="145"/>
      <c r="E2192" s="102"/>
      <c r="F2192" s="102"/>
      <c r="G2192" s="102"/>
      <c r="I2192" s="93"/>
      <c r="J2192" s="93"/>
    </row>
    <row r="2193" spans="1:10" s="65" customFormat="1" ht="14" x14ac:dyDescent="0.35">
      <c r="A2193" s="145"/>
      <c r="E2193" s="102"/>
      <c r="F2193" s="102"/>
      <c r="G2193" s="102"/>
      <c r="I2193" s="93"/>
      <c r="J2193" s="93"/>
    </row>
    <row r="2194" spans="1:10" s="65" customFormat="1" ht="14" x14ac:dyDescent="0.35">
      <c r="A2194" s="145"/>
      <c r="E2194" s="102"/>
      <c r="F2194" s="102"/>
      <c r="G2194" s="102"/>
      <c r="I2194" s="93"/>
      <c r="J2194" s="93"/>
    </row>
    <row r="2195" spans="1:10" s="65" customFormat="1" ht="14" x14ac:dyDescent="0.35">
      <c r="A2195" s="145"/>
      <c r="E2195" s="102"/>
      <c r="F2195" s="102"/>
      <c r="G2195" s="102"/>
      <c r="I2195" s="93"/>
      <c r="J2195" s="93"/>
    </row>
    <row r="2196" spans="1:10" s="65" customFormat="1" ht="14" x14ac:dyDescent="0.35">
      <c r="A2196" s="145"/>
      <c r="E2196" s="102"/>
      <c r="F2196" s="102"/>
      <c r="G2196" s="102"/>
      <c r="I2196" s="93"/>
      <c r="J2196" s="93"/>
    </row>
    <row r="2197" spans="1:10" s="65" customFormat="1" ht="14" x14ac:dyDescent="0.35">
      <c r="A2197" s="145"/>
      <c r="E2197" s="102"/>
      <c r="F2197" s="102"/>
      <c r="G2197" s="102"/>
      <c r="I2197" s="93"/>
      <c r="J2197" s="93"/>
    </row>
    <row r="2198" spans="1:10" s="65" customFormat="1" ht="14" x14ac:dyDescent="0.35">
      <c r="A2198" s="145"/>
      <c r="E2198" s="102"/>
      <c r="F2198" s="102"/>
      <c r="G2198" s="102"/>
      <c r="I2198" s="93"/>
      <c r="J2198" s="93"/>
    </row>
    <row r="2199" spans="1:10" s="65" customFormat="1" ht="14" x14ac:dyDescent="0.35">
      <c r="A2199" s="145"/>
      <c r="E2199" s="102"/>
      <c r="F2199" s="102"/>
      <c r="G2199" s="102"/>
      <c r="I2199" s="93"/>
      <c r="J2199" s="93"/>
    </row>
    <row r="2200" spans="1:10" s="65" customFormat="1" ht="14" x14ac:dyDescent="0.35">
      <c r="A2200" s="145"/>
      <c r="E2200" s="102"/>
      <c r="F2200" s="102"/>
      <c r="G2200" s="102"/>
      <c r="I2200" s="93"/>
      <c r="J2200" s="93"/>
    </row>
    <row r="2201" spans="1:10" s="65" customFormat="1" ht="14" x14ac:dyDescent="0.35">
      <c r="A2201" s="145"/>
      <c r="E2201" s="102"/>
      <c r="F2201" s="102"/>
      <c r="G2201" s="102"/>
      <c r="I2201" s="93"/>
      <c r="J2201" s="93"/>
    </row>
    <row r="2202" spans="1:10" s="65" customFormat="1" ht="14" x14ac:dyDescent="0.35">
      <c r="A2202" s="145"/>
      <c r="E2202" s="102"/>
      <c r="F2202" s="102"/>
      <c r="G2202" s="102"/>
      <c r="I2202" s="93"/>
      <c r="J2202" s="93"/>
    </row>
    <row r="2203" spans="1:10" s="65" customFormat="1" ht="14" x14ac:dyDescent="0.35">
      <c r="A2203" s="145"/>
      <c r="E2203" s="102"/>
      <c r="F2203" s="102"/>
      <c r="G2203" s="102"/>
      <c r="I2203" s="93"/>
      <c r="J2203" s="93"/>
    </row>
    <row r="2204" spans="1:10" s="65" customFormat="1" ht="14" x14ac:dyDescent="0.35">
      <c r="A2204" s="145"/>
      <c r="E2204" s="102"/>
      <c r="F2204" s="102"/>
      <c r="G2204" s="102"/>
      <c r="I2204" s="93"/>
      <c r="J2204" s="93"/>
    </row>
    <row r="2205" spans="1:10" s="65" customFormat="1" ht="14" x14ac:dyDescent="0.35">
      <c r="A2205" s="145"/>
      <c r="E2205" s="102"/>
      <c r="F2205" s="102"/>
      <c r="G2205" s="102"/>
      <c r="I2205" s="93"/>
      <c r="J2205" s="93"/>
    </row>
    <row r="2206" spans="1:10" s="65" customFormat="1" ht="14" x14ac:dyDescent="0.35">
      <c r="A2206" s="145"/>
      <c r="E2206" s="102"/>
      <c r="F2206" s="102"/>
      <c r="G2206" s="102"/>
      <c r="I2206" s="93"/>
      <c r="J2206" s="93"/>
    </row>
    <row r="2207" spans="1:10" s="65" customFormat="1" ht="14" x14ac:dyDescent="0.35">
      <c r="A2207" s="145"/>
      <c r="E2207" s="102"/>
      <c r="F2207" s="102"/>
      <c r="G2207" s="102"/>
      <c r="I2207" s="93"/>
      <c r="J2207" s="93"/>
    </row>
    <row r="2208" spans="1:10" s="65" customFormat="1" ht="14" x14ac:dyDescent="0.35">
      <c r="A2208" s="145"/>
      <c r="E2208" s="102"/>
      <c r="F2208" s="102"/>
      <c r="G2208" s="102"/>
      <c r="I2208" s="93"/>
      <c r="J2208" s="93"/>
    </row>
    <row r="2209" spans="1:10" s="65" customFormat="1" ht="14" x14ac:dyDescent="0.35">
      <c r="A2209" s="145"/>
      <c r="E2209" s="102"/>
      <c r="F2209" s="102"/>
      <c r="G2209" s="102"/>
      <c r="I2209" s="93"/>
      <c r="J2209" s="93"/>
    </row>
    <row r="2210" spans="1:10" s="65" customFormat="1" ht="14" x14ac:dyDescent="0.35">
      <c r="A2210" s="145"/>
      <c r="E2210" s="102"/>
      <c r="F2210" s="102"/>
      <c r="G2210" s="102"/>
      <c r="I2210" s="93"/>
      <c r="J2210" s="93"/>
    </row>
    <row r="2211" spans="1:10" s="65" customFormat="1" ht="14" x14ac:dyDescent="0.35">
      <c r="A2211" s="145"/>
      <c r="E2211" s="102"/>
      <c r="F2211" s="102"/>
      <c r="G2211" s="102"/>
      <c r="I2211" s="93"/>
      <c r="J2211" s="93"/>
    </row>
    <row r="2212" spans="1:10" s="65" customFormat="1" ht="14" x14ac:dyDescent="0.35">
      <c r="A2212" s="145"/>
      <c r="E2212" s="102"/>
      <c r="F2212" s="102"/>
      <c r="G2212" s="102"/>
      <c r="I2212" s="93"/>
      <c r="J2212" s="93"/>
    </row>
    <row r="2213" spans="1:10" s="65" customFormat="1" ht="14" x14ac:dyDescent="0.35">
      <c r="A2213" s="145"/>
      <c r="E2213" s="102"/>
      <c r="F2213" s="102"/>
      <c r="G2213" s="102"/>
      <c r="I2213" s="93"/>
      <c r="J2213" s="93"/>
    </row>
    <row r="2214" spans="1:10" s="65" customFormat="1" ht="14" x14ac:dyDescent="0.35">
      <c r="A2214" s="145"/>
      <c r="E2214" s="102"/>
      <c r="F2214" s="102"/>
      <c r="G2214" s="102"/>
      <c r="I2214" s="93"/>
      <c r="J2214" s="93"/>
    </row>
    <row r="2215" spans="1:10" s="65" customFormat="1" ht="14" x14ac:dyDescent="0.35">
      <c r="A2215" s="145"/>
      <c r="E2215" s="102"/>
      <c r="F2215" s="102"/>
      <c r="G2215" s="102"/>
      <c r="I2215" s="93"/>
      <c r="J2215" s="93"/>
    </row>
    <row r="2216" spans="1:10" s="65" customFormat="1" ht="14" x14ac:dyDescent="0.35">
      <c r="A2216" s="145"/>
      <c r="E2216" s="102"/>
      <c r="F2216" s="102"/>
      <c r="G2216" s="102"/>
      <c r="I2216" s="93"/>
      <c r="J2216" s="93"/>
    </row>
    <row r="2217" spans="1:10" s="65" customFormat="1" ht="14" x14ac:dyDescent="0.35">
      <c r="A2217" s="145"/>
      <c r="E2217" s="102"/>
      <c r="F2217" s="102"/>
      <c r="G2217" s="102"/>
      <c r="I2217" s="93"/>
      <c r="J2217" s="93"/>
    </row>
    <row r="2218" spans="1:10" s="65" customFormat="1" ht="14" x14ac:dyDescent="0.35">
      <c r="A2218" s="145"/>
      <c r="E2218" s="102"/>
      <c r="F2218" s="102"/>
      <c r="G2218" s="102"/>
      <c r="I2218" s="93"/>
      <c r="J2218" s="93"/>
    </row>
    <row r="2219" spans="1:10" s="65" customFormat="1" ht="14" x14ac:dyDescent="0.35">
      <c r="A2219" s="145"/>
      <c r="E2219" s="102"/>
      <c r="F2219" s="102"/>
      <c r="G2219" s="102"/>
      <c r="I2219" s="93"/>
      <c r="J2219" s="93"/>
    </row>
    <row r="2220" spans="1:10" s="65" customFormat="1" ht="14" x14ac:dyDescent="0.35">
      <c r="A2220" s="145"/>
      <c r="E2220" s="102"/>
      <c r="F2220" s="102"/>
      <c r="G2220" s="102"/>
      <c r="I2220" s="93"/>
      <c r="J2220" s="93"/>
    </row>
    <row r="2221" spans="1:10" s="65" customFormat="1" ht="14" x14ac:dyDescent="0.35">
      <c r="A2221" s="145"/>
      <c r="E2221" s="102"/>
      <c r="F2221" s="102"/>
      <c r="G2221" s="102"/>
      <c r="I2221" s="93"/>
      <c r="J2221" s="93"/>
    </row>
    <row r="2222" spans="1:10" s="65" customFormat="1" ht="14" x14ac:dyDescent="0.35">
      <c r="A2222" s="145"/>
      <c r="E2222" s="102"/>
      <c r="F2222" s="102"/>
      <c r="G2222" s="102"/>
      <c r="I2222" s="93"/>
      <c r="J2222" s="93"/>
    </row>
    <row r="2223" spans="1:10" s="65" customFormat="1" ht="14" x14ac:dyDescent="0.35">
      <c r="A2223" s="145"/>
      <c r="E2223" s="102"/>
      <c r="F2223" s="102"/>
      <c r="G2223" s="102"/>
      <c r="I2223" s="93"/>
      <c r="J2223" s="93"/>
    </row>
    <row r="2224" spans="1:10" s="65" customFormat="1" ht="14" x14ac:dyDescent="0.35">
      <c r="A2224" s="145"/>
      <c r="E2224" s="102"/>
      <c r="F2224" s="102"/>
      <c r="G2224" s="102"/>
      <c r="I2224" s="93"/>
      <c r="J2224" s="93"/>
    </row>
    <row r="2225" spans="1:10" s="65" customFormat="1" ht="14" x14ac:dyDescent="0.35">
      <c r="A2225" s="145"/>
      <c r="E2225" s="102"/>
      <c r="F2225" s="102"/>
      <c r="G2225" s="102"/>
      <c r="I2225" s="93"/>
      <c r="J2225" s="93"/>
    </row>
    <row r="2226" spans="1:10" s="65" customFormat="1" ht="14" x14ac:dyDescent="0.35">
      <c r="A2226" s="145"/>
      <c r="E2226" s="102"/>
      <c r="F2226" s="102"/>
      <c r="G2226" s="102"/>
      <c r="I2226" s="93"/>
      <c r="J2226" s="93"/>
    </row>
    <row r="2227" spans="1:10" s="65" customFormat="1" ht="14" x14ac:dyDescent="0.35">
      <c r="A2227" s="145"/>
      <c r="E2227" s="102"/>
      <c r="F2227" s="102"/>
      <c r="G2227" s="102"/>
      <c r="I2227" s="93"/>
      <c r="J2227" s="93"/>
    </row>
    <row r="2228" spans="1:10" s="65" customFormat="1" ht="14" x14ac:dyDescent="0.35">
      <c r="A2228" s="145"/>
      <c r="E2228" s="102"/>
      <c r="F2228" s="102"/>
      <c r="G2228" s="102"/>
      <c r="I2228" s="93"/>
      <c r="J2228" s="93"/>
    </row>
    <row r="2229" spans="1:10" s="65" customFormat="1" ht="14" x14ac:dyDescent="0.35">
      <c r="A2229" s="145"/>
      <c r="E2229" s="102"/>
      <c r="F2229" s="102"/>
      <c r="G2229" s="102"/>
      <c r="I2229" s="93"/>
      <c r="J2229" s="93"/>
    </row>
    <row r="2230" spans="1:10" s="65" customFormat="1" ht="14" x14ac:dyDescent="0.35">
      <c r="A2230" s="145"/>
      <c r="E2230" s="102"/>
      <c r="F2230" s="102"/>
      <c r="G2230" s="102"/>
      <c r="I2230" s="93"/>
      <c r="J2230" s="93"/>
    </row>
    <row r="2231" spans="1:10" s="65" customFormat="1" ht="14" x14ac:dyDescent="0.35">
      <c r="A2231" s="145"/>
      <c r="E2231" s="102"/>
      <c r="F2231" s="102"/>
      <c r="G2231" s="102"/>
      <c r="I2231" s="93"/>
      <c r="J2231" s="93"/>
    </row>
    <row r="2232" spans="1:10" s="65" customFormat="1" ht="14" x14ac:dyDescent="0.35">
      <c r="A2232" s="145"/>
      <c r="E2232" s="102"/>
      <c r="F2232" s="102"/>
      <c r="G2232" s="102"/>
      <c r="I2232" s="93"/>
      <c r="J2232" s="93"/>
    </row>
    <row r="2233" spans="1:10" s="65" customFormat="1" ht="14" x14ac:dyDescent="0.35">
      <c r="A2233" s="145"/>
      <c r="E2233" s="102"/>
      <c r="F2233" s="102"/>
      <c r="G2233" s="102"/>
      <c r="I2233" s="93"/>
      <c r="J2233" s="93"/>
    </row>
    <row r="2234" spans="1:10" s="65" customFormat="1" ht="14" x14ac:dyDescent="0.35">
      <c r="A2234" s="145"/>
      <c r="E2234" s="102"/>
      <c r="F2234" s="102"/>
      <c r="G2234" s="102"/>
      <c r="I2234" s="93"/>
      <c r="J2234" s="93"/>
    </row>
    <row r="2235" spans="1:10" s="65" customFormat="1" ht="14" x14ac:dyDescent="0.35">
      <c r="A2235" s="145"/>
      <c r="E2235" s="102"/>
      <c r="F2235" s="102"/>
      <c r="G2235" s="102"/>
      <c r="I2235" s="93"/>
      <c r="J2235" s="93"/>
    </row>
    <row r="2236" spans="1:10" s="65" customFormat="1" ht="14" x14ac:dyDescent="0.35">
      <c r="A2236" s="145"/>
      <c r="E2236" s="102"/>
      <c r="F2236" s="102"/>
      <c r="G2236" s="102"/>
      <c r="I2236" s="93"/>
      <c r="J2236" s="93"/>
    </row>
    <row r="2237" spans="1:10" s="65" customFormat="1" ht="14" x14ac:dyDescent="0.35">
      <c r="A2237" s="145"/>
      <c r="E2237" s="102"/>
      <c r="F2237" s="102"/>
      <c r="G2237" s="102"/>
      <c r="I2237" s="93"/>
      <c r="J2237" s="93"/>
    </row>
    <row r="2238" spans="1:10" s="65" customFormat="1" ht="14" x14ac:dyDescent="0.35">
      <c r="A2238" s="145"/>
      <c r="E2238" s="102"/>
      <c r="F2238" s="102"/>
      <c r="G2238" s="102"/>
      <c r="I2238" s="93"/>
      <c r="J2238" s="93"/>
    </row>
    <row r="2239" spans="1:10" s="65" customFormat="1" ht="14" x14ac:dyDescent="0.35">
      <c r="A2239" s="145"/>
      <c r="E2239" s="102"/>
      <c r="F2239" s="102"/>
      <c r="G2239" s="102"/>
      <c r="I2239" s="93"/>
      <c r="J2239" s="93"/>
    </row>
    <row r="2240" spans="1:10" s="65" customFormat="1" ht="14" x14ac:dyDescent="0.35">
      <c r="A2240" s="145"/>
      <c r="E2240" s="102"/>
      <c r="F2240" s="102"/>
      <c r="G2240" s="102"/>
      <c r="I2240" s="93"/>
      <c r="J2240" s="93"/>
    </row>
    <row r="2241" spans="1:10" s="65" customFormat="1" ht="14" x14ac:dyDescent="0.35">
      <c r="A2241" s="145"/>
      <c r="E2241" s="102"/>
      <c r="F2241" s="102"/>
      <c r="G2241" s="102"/>
      <c r="I2241" s="93"/>
      <c r="J2241" s="93"/>
    </row>
    <row r="2242" spans="1:10" s="65" customFormat="1" ht="14" x14ac:dyDescent="0.35">
      <c r="A2242" s="145"/>
      <c r="E2242" s="102"/>
      <c r="F2242" s="102"/>
      <c r="G2242" s="102"/>
      <c r="I2242" s="93"/>
      <c r="J2242" s="93"/>
    </row>
    <row r="2243" spans="1:10" s="65" customFormat="1" ht="14" x14ac:dyDescent="0.35">
      <c r="A2243" s="145"/>
      <c r="E2243" s="102"/>
      <c r="F2243" s="102"/>
      <c r="G2243" s="102"/>
      <c r="I2243" s="93"/>
      <c r="J2243" s="93"/>
    </row>
    <row r="2244" spans="1:10" s="65" customFormat="1" ht="14" x14ac:dyDescent="0.35">
      <c r="A2244" s="145"/>
      <c r="E2244" s="102"/>
      <c r="F2244" s="102"/>
      <c r="G2244" s="102"/>
      <c r="I2244" s="93"/>
      <c r="J2244" s="93"/>
    </row>
    <row r="2245" spans="1:10" s="65" customFormat="1" ht="14" x14ac:dyDescent="0.35">
      <c r="A2245" s="145"/>
      <c r="E2245" s="102"/>
      <c r="F2245" s="102"/>
      <c r="G2245" s="102"/>
      <c r="I2245" s="93"/>
      <c r="J2245" s="93"/>
    </row>
    <row r="2246" spans="1:10" s="65" customFormat="1" ht="14" x14ac:dyDescent="0.35">
      <c r="A2246" s="145"/>
      <c r="E2246" s="102"/>
      <c r="F2246" s="102"/>
      <c r="G2246" s="102"/>
      <c r="I2246" s="93"/>
      <c r="J2246" s="93"/>
    </row>
    <row r="2247" spans="1:10" s="65" customFormat="1" ht="14" x14ac:dyDescent="0.35">
      <c r="A2247" s="145"/>
      <c r="E2247" s="102"/>
      <c r="F2247" s="102"/>
      <c r="G2247" s="102"/>
      <c r="I2247" s="93"/>
      <c r="J2247" s="93"/>
    </row>
    <row r="2248" spans="1:10" s="65" customFormat="1" ht="14" x14ac:dyDescent="0.35">
      <c r="A2248" s="145"/>
      <c r="E2248" s="102"/>
      <c r="F2248" s="102"/>
      <c r="G2248" s="102"/>
      <c r="I2248" s="93"/>
      <c r="J2248" s="93"/>
    </row>
    <row r="2249" spans="1:10" s="65" customFormat="1" ht="14" x14ac:dyDescent="0.35">
      <c r="A2249" s="145"/>
      <c r="E2249" s="102"/>
      <c r="F2249" s="102"/>
      <c r="G2249" s="102"/>
      <c r="I2249" s="93"/>
      <c r="J2249" s="93"/>
    </row>
    <row r="2250" spans="1:10" s="65" customFormat="1" ht="14" x14ac:dyDescent="0.35">
      <c r="A2250" s="145"/>
      <c r="E2250" s="102"/>
      <c r="F2250" s="102"/>
      <c r="G2250" s="102"/>
      <c r="I2250" s="93"/>
      <c r="J2250" s="93"/>
    </row>
    <row r="2251" spans="1:10" s="65" customFormat="1" ht="14" x14ac:dyDescent="0.35">
      <c r="A2251" s="145"/>
      <c r="E2251" s="102"/>
      <c r="F2251" s="102"/>
      <c r="G2251" s="102"/>
      <c r="I2251" s="93"/>
      <c r="J2251" s="93"/>
    </row>
    <row r="2252" spans="1:10" s="65" customFormat="1" ht="14" x14ac:dyDescent="0.35">
      <c r="A2252" s="145"/>
      <c r="E2252" s="102"/>
      <c r="F2252" s="102"/>
      <c r="G2252" s="102"/>
      <c r="I2252" s="93"/>
      <c r="J2252" s="93"/>
    </row>
    <row r="2253" spans="1:10" s="65" customFormat="1" ht="14" x14ac:dyDescent="0.35">
      <c r="A2253" s="145"/>
      <c r="E2253" s="102"/>
      <c r="F2253" s="102"/>
      <c r="G2253" s="102"/>
      <c r="I2253" s="93"/>
      <c r="J2253" s="93"/>
    </row>
    <row r="2254" spans="1:10" s="65" customFormat="1" ht="14" x14ac:dyDescent="0.35">
      <c r="A2254" s="145"/>
      <c r="E2254" s="102"/>
      <c r="F2254" s="102"/>
      <c r="G2254" s="102"/>
      <c r="I2254" s="93"/>
      <c r="J2254" s="93"/>
    </row>
    <row r="2255" spans="1:10" s="65" customFormat="1" ht="14" x14ac:dyDescent="0.35">
      <c r="A2255" s="145"/>
      <c r="E2255" s="102"/>
      <c r="F2255" s="102"/>
      <c r="G2255" s="102"/>
      <c r="I2255" s="93"/>
      <c r="J2255" s="93"/>
    </row>
    <row r="2256" spans="1:10" s="65" customFormat="1" ht="14" x14ac:dyDescent="0.35">
      <c r="A2256" s="145"/>
      <c r="E2256" s="102"/>
      <c r="F2256" s="102"/>
      <c r="G2256" s="102"/>
      <c r="I2256" s="93"/>
      <c r="J2256" s="93"/>
    </row>
    <row r="2257" spans="1:10" s="65" customFormat="1" ht="14" x14ac:dyDescent="0.35">
      <c r="A2257" s="145"/>
      <c r="E2257" s="102"/>
      <c r="F2257" s="102"/>
      <c r="G2257" s="102"/>
      <c r="I2257" s="93"/>
      <c r="J2257" s="93"/>
    </row>
    <row r="2258" spans="1:10" s="65" customFormat="1" ht="14" x14ac:dyDescent="0.35">
      <c r="A2258" s="145"/>
      <c r="E2258" s="102"/>
      <c r="F2258" s="102"/>
      <c r="G2258" s="102"/>
      <c r="I2258" s="93"/>
      <c r="J2258" s="93"/>
    </row>
    <row r="2259" spans="1:10" s="65" customFormat="1" ht="14" x14ac:dyDescent="0.35">
      <c r="A2259" s="145"/>
      <c r="E2259" s="102"/>
      <c r="F2259" s="102"/>
      <c r="G2259" s="102"/>
      <c r="I2259" s="93"/>
      <c r="J2259" s="93"/>
    </row>
    <row r="2260" spans="1:10" s="65" customFormat="1" ht="14" x14ac:dyDescent="0.35">
      <c r="A2260" s="145"/>
      <c r="E2260" s="102"/>
      <c r="F2260" s="102"/>
      <c r="G2260" s="102"/>
      <c r="I2260" s="93"/>
      <c r="J2260" s="93"/>
    </row>
    <row r="2261" spans="1:10" s="65" customFormat="1" ht="14" x14ac:dyDescent="0.35">
      <c r="A2261" s="145"/>
      <c r="E2261" s="102"/>
      <c r="F2261" s="102"/>
      <c r="G2261" s="102"/>
      <c r="I2261" s="93"/>
      <c r="J2261" s="93"/>
    </row>
    <row r="2262" spans="1:10" s="65" customFormat="1" ht="14" x14ac:dyDescent="0.35">
      <c r="A2262" s="145"/>
      <c r="E2262" s="102"/>
      <c r="F2262" s="102"/>
      <c r="G2262" s="102"/>
      <c r="I2262" s="93"/>
      <c r="J2262" s="93"/>
    </row>
    <row r="2263" spans="1:10" s="65" customFormat="1" ht="14" x14ac:dyDescent="0.35">
      <c r="A2263" s="145"/>
      <c r="E2263" s="102"/>
      <c r="F2263" s="102"/>
      <c r="G2263" s="102"/>
      <c r="I2263" s="93"/>
      <c r="J2263" s="93"/>
    </row>
    <row r="2264" spans="1:10" s="65" customFormat="1" ht="14" x14ac:dyDescent="0.35">
      <c r="A2264" s="145"/>
      <c r="E2264" s="102"/>
      <c r="F2264" s="102"/>
      <c r="G2264" s="102"/>
      <c r="I2264" s="93"/>
      <c r="J2264" s="93"/>
    </row>
    <row r="2265" spans="1:10" s="65" customFormat="1" ht="14" x14ac:dyDescent="0.35">
      <c r="A2265" s="145"/>
      <c r="E2265" s="102"/>
      <c r="F2265" s="102"/>
      <c r="G2265" s="102"/>
      <c r="I2265" s="93"/>
      <c r="J2265" s="93"/>
    </row>
    <row r="2266" spans="1:10" s="65" customFormat="1" ht="14" x14ac:dyDescent="0.35">
      <c r="A2266" s="145"/>
      <c r="E2266" s="102"/>
      <c r="F2266" s="102"/>
      <c r="G2266" s="102"/>
      <c r="I2266" s="93"/>
      <c r="J2266" s="93"/>
    </row>
    <row r="2267" spans="1:10" s="65" customFormat="1" ht="14" x14ac:dyDescent="0.35">
      <c r="A2267" s="145"/>
      <c r="E2267" s="102"/>
      <c r="F2267" s="102"/>
      <c r="G2267" s="102"/>
      <c r="I2267" s="93"/>
      <c r="J2267" s="93"/>
    </row>
    <row r="2268" spans="1:10" s="65" customFormat="1" ht="14" x14ac:dyDescent="0.35">
      <c r="A2268" s="145"/>
      <c r="E2268" s="102"/>
      <c r="F2268" s="102"/>
      <c r="G2268" s="102"/>
      <c r="I2268" s="93"/>
      <c r="J2268" s="93"/>
    </row>
    <row r="2269" spans="1:10" s="65" customFormat="1" ht="14" x14ac:dyDescent="0.35">
      <c r="A2269" s="145"/>
      <c r="E2269" s="102"/>
      <c r="F2269" s="102"/>
      <c r="G2269" s="102"/>
      <c r="I2269" s="93"/>
      <c r="J2269" s="93"/>
    </row>
    <row r="2270" spans="1:10" s="65" customFormat="1" ht="14" x14ac:dyDescent="0.35">
      <c r="A2270" s="145"/>
      <c r="E2270" s="102"/>
      <c r="F2270" s="102"/>
      <c r="G2270" s="102"/>
      <c r="I2270" s="93"/>
      <c r="J2270" s="93"/>
    </row>
    <row r="2271" spans="1:10" s="65" customFormat="1" ht="14" x14ac:dyDescent="0.35">
      <c r="A2271" s="145"/>
      <c r="E2271" s="102"/>
      <c r="F2271" s="102"/>
      <c r="G2271" s="102"/>
      <c r="I2271" s="93"/>
      <c r="J2271" s="93"/>
    </row>
    <row r="2272" spans="1:10" s="65" customFormat="1" ht="14" x14ac:dyDescent="0.35">
      <c r="A2272" s="145"/>
      <c r="E2272" s="102"/>
      <c r="F2272" s="102"/>
      <c r="G2272" s="102"/>
      <c r="I2272" s="93"/>
      <c r="J2272" s="93"/>
    </row>
    <row r="2273" spans="1:10" s="65" customFormat="1" ht="14" x14ac:dyDescent="0.35">
      <c r="A2273" s="145"/>
      <c r="E2273" s="102"/>
      <c r="F2273" s="102"/>
      <c r="G2273" s="102"/>
      <c r="I2273" s="93"/>
      <c r="J2273" s="93"/>
    </row>
    <row r="2274" spans="1:10" s="65" customFormat="1" ht="14" x14ac:dyDescent="0.35">
      <c r="A2274" s="145"/>
      <c r="E2274" s="102"/>
      <c r="F2274" s="102"/>
      <c r="G2274" s="102"/>
      <c r="I2274" s="93"/>
      <c r="J2274" s="93"/>
    </row>
    <row r="2275" spans="1:10" s="65" customFormat="1" ht="14" x14ac:dyDescent="0.35">
      <c r="A2275" s="145"/>
      <c r="E2275" s="102"/>
      <c r="F2275" s="102"/>
      <c r="G2275" s="102"/>
      <c r="I2275" s="93"/>
      <c r="J2275" s="93"/>
    </row>
    <row r="2276" spans="1:10" s="65" customFormat="1" ht="14" x14ac:dyDescent="0.35">
      <c r="A2276" s="145"/>
      <c r="E2276" s="102"/>
      <c r="F2276" s="102"/>
      <c r="G2276" s="102"/>
      <c r="I2276" s="93"/>
      <c r="J2276" s="93"/>
    </row>
    <row r="2277" spans="1:10" s="65" customFormat="1" ht="14" x14ac:dyDescent="0.35">
      <c r="A2277" s="145"/>
      <c r="E2277" s="102"/>
      <c r="F2277" s="102"/>
      <c r="G2277" s="102"/>
      <c r="I2277" s="93"/>
      <c r="J2277" s="93"/>
    </row>
    <row r="2278" spans="1:10" s="65" customFormat="1" ht="14" x14ac:dyDescent="0.35">
      <c r="A2278" s="145"/>
      <c r="E2278" s="102"/>
      <c r="F2278" s="102"/>
      <c r="G2278" s="102"/>
      <c r="I2278" s="93"/>
      <c r="J2278" s="93"/>
    </row>
    <row r="2279" spans="1:10" s="65" customFormat="1" ht="14" x14ac:dyDescent="0.35">
      <c r="A2279" s="145"/>
      <c r="E2279" s="102"/>
      <c r="F2279" s="102"/>
      <c r="G2279" s="102"/>
      <c r="I2279" s="93"/>
      <c r="J2279" s="93"/>
    </row>
    <row r="2280" spans="1:10" s="65" customFormat="1" ht="14" x14ac:dyDescent="0.35">
      <c r="A2280" s="145"/>
      <c r="E2280" s="102"/>
      <c r="F2280" s="102"/>
      <c r="G2280" s="102"/>
      <c r="I2280" s="93"/>
      <c r="J2280" s="93"/>
    </row>
    <row r="2281" spans="1:10" s="65" customFormat="1" ht="14" x14ac:dyDescent="0.35">
      <c r="A2281" s="145"/>
      <c r="E2281" s="102"/>
      <c r="F2281" s="102"/>
      <c r="G2281" s="102"/>
      <c r="I2281" s="93"/>
      <c r="J2281" s="93"/>
    </row>
    <row r="2282" spans="1:10" s="65" customFormat="1" ht="14" x14ac:dyDescent="0.35">
      <c r="A2282" s="145"/>
      <c r="E2282" s="102"/>
      <c r="F2282" s="102"/>
      <c r="G2282" s="102"/>
      <c r="I2282" s="93"/>
      <c r="J2282" s="93"/>
    </row>
    <row r="2283" spans="1:10" s="65" customFormat="1" ht="14" x14ac:dyDescent="0.35">
      <c r="A2283" s="145"/>
      <c r="E2283" s="102"/>
      <c r="F2283" s="102"/>
      <c r="G2283" s="102"/>
      <c r="I2283" s="93"/>
      <c r="J2283" s="93"/>
    </row>
    <row r="2284" spans="1:10" s="65" customFormat="1" ht="14" x14ac:dyDescent="0.35">
      <c r="A2284" s="145"/>
      <c r="E2284" s="102"/>
      <c r="F2284" s="102"/>
      <c r="G2284" s="102"/>
      <c r="I2284" s="93"/>
      <c r="J2284" s="93"/>
    </row>
    <row r="2285" spans="1:10" s="65" customFormat="1" ht="14" x14ac:dyDescent="0.35">
      <c r="A2285" s="145"/>
      <c r="E2285" s="102"/>
      <c r="F2285" s="102"/>
      <c r="G2285" s="102"/>
      <c r="I2285" s="93"/>
      <c r="J2285" s="93"/>
    </row>
    <row r="2286" spans="1:10" s="65" customFormat="1" ht="14" x14ac:dyDescent="0.35">
      <c r="A2286" s="145"/>
      <c r="E2286" s="102"/>
      <c r="F2286" s="102"/>
      <c r="G2286" s="102"/>
      <c r="I2286" s="93"/>
      <c r="J2286" s="93"/>
    </row>
    <row r="2287" spans="1:10" s="65" customFormat="1" ht="14" x14ac:dyDescent="0.35">
      <c r="A2287" s="145"/>
      <c r="E2287" s="102"/>
      <c r="F2287" s="102"/>
      <c r="G2287" s="102"/>
      <c r="I2287" s="93"/>
      <c r="J2287" s="93"/>
    </row>
    <row r="2288" spans="1:10" s="65" customFormat="1" ht="14" x14ac:dyDescent="0.35">
      <c r="A2288" s="145"/>
      <c r="E2288" s="102"/>
      <c r="F2288" s="102"/>
      <c r="G2288" s="102"/>
      <c r="I2288" s="93"/>
      <c r="J2288" s="93"/>
    </row>
    <row r="2289" spans="1:10" s="65" customFormat="1" ht="14" x14ac:dyDescent="0.35">
      <c r="A2289" s="145"/>
      <c r="E2289" s="102"/>
      <c r="F2289" s="102"/>
      <c r="G2289" s="102"/>
      <c r="I2289" s="93"/>
      <c r="J2289" s="93"/>
    </row>
    <row r="2290" spans="1:10" s="65" customFormat="1" ht="14" x14ac:dyDescent="0.35">
      <c r="A2290" s="145"/>
      <c r="E2290" s="102"/>
      <c r="F2290" s="102"/>
      <c r="G2290" s="102"/>
      <c r="I2290" s="93"/>
      <c r="J2290" s="93"/>
    </row>
    <row r="2291" spans="1:10" s="65" customFormat="1" ht="14" x14ac:dyDescent="0.35">
      <c r="A2291" s="145"/>
      <c r="E2291" s="102"/>
      <c r="F2291" s="102"/>
      <c r="G2291" s="102"/>
      <c r="I2291" s="93"/>
      <c r="J2291" s="93"/>
    </row>
    <row r="2292" spans="1:10" s="65" customFormat="1" ht="14" x14ac:dyDescent="0.35">
      <c r="A2292" s="145"/>
      <c r="E2292" s="102"/>
      <c r="F2292" s="102"/>
      <c r="G2292" s="102"/>
      <c r="I2292" s="93"/>
      <c r="J2292" s="93"/>
    </row>
    <row r="2293" spans="1:10" s="65" customFormat="1" ht="14" x14ac:dyDescent="0.35">
      <c r="A2293" s="145"/>
      <c r="E2293" s="102"/>
      <c r="F2293" s="102"/>
      <c r="G2293" s="102"/>
      <c r="I2293" s="93"/>
      <c r="J2293" s="93"/>
    </row>
    <row r="2294" spans="1:10" s="65" customFormat="1" ht="14" x14ac:dyDescent="0.35">
      <c r="A2294" s="145"/>
      <c r="E2294" s="102"/>
      <c r="F2294" s="102"/>
      <c r="G2294" s="102"/>
      <c r="I2294" s="93"/>
      <c r="J2294" s="93"/>
    </row>
    <row r="2295" spans="1:10" s="65" customFormat="1" ht="14" x14ac:dyDescent="0.35">
      <c r="A2295" s="145"/>
      <c r="E2295" s="102"/>
      <c r="F2295" s="102"/>
      <c r="G2295" s="102"/>
      <c r="I2295" s="93"/>
      <c r="J2295" s="93"/>
    </row>
    <row r="2296" spans="1:10" s="65" customFormat="1" ht="14" x14ac:dyDescent="0.35">
      <c r="A2296" s="145"/>
      <c r="E2296" s="102"/>
      <c r="F2296" s="102"/>
      <c r="G2296" s="102"/>
      <c r="I2296" s="93"/>
      <c r="J2296" s="93"/>
    </row>
    <row r="2297" spans="1:10" s="65" customFormat="1" ht="14" x14ac:dyDescent="0.35">
      <c r="A2297" s="145"/>
      <c r="E2297" s="102"/>
      <c r="F2297" s="102"/>
      <c r="G2297" s="102"/>
      <c r="I2297" s="93"/>
      <c r="J2297" s="93"/>
    </row>
    <row r="2298" spans="1:10" s="65" customFormat="1" ht="14" x14ac:dyDescent="0.35">
      <c r="A2298" s="145"/>
      <c r="E2298" s="102"/>
      <c r="F2298" s="102"/>
      <c r="G2298" s="102"/>
      <c r="I2298" s="93"/>
      <c r="J2298" s="93"/>
    </row>
    <row r="2299" spans="1:10" s="65" customFormat="1" ht="14" x14ac:dyDescent="0.35">
      <c r="A2299" s="145"/>
      <c r="E2299" s="102"/>
      <c r="F2299" s="102"/>
      <c r="G2299" s="102"/>
      <c r="I2299" s="93"/>
      <c r="J2299" s="93"/>
    </row>
    <row r="2300" spans="1:10" s="65" customFormat="1" ht="14" x14ac:dyDescent="0.35">
      <c r="A2300" s="145"/>
      <c r="E2300" s="102"/>
      <c r="F2300" s="102"/>
      <c r="G2300" s="102"/>
      <c r="I2300" s="93"/>
      <c r="J2300" s="93"/>
    </row>
    <row r="2301" spans="1:10" s="65" customFormat="1" ht="14" x14ac:dyDescent="0.35">
      <c r="A2301" s="145"/>
      <c r="E2301" s="102"/>
      <c r="F2301" s="102"/>
      <c r="G2301" s="102"/>
      <c r="I2301" s="93"/>
      <c r="J2301" s="93"/>
    </row>
    <row r="2302" spans="1:10" s="65" customFormat="1" ht="14" x14ac:dyDescent="0.35">
      <c r="A2302" s="145"/>
      <c r="E2302" s="102"/>
      <c r="F2302" s="102"/>
      <c r="G2302" s="102"/>
      <c r="I2302" s="93"/>
      <c r="J2302" s="93"/>
    </row>
    <row r="2303" spans="1:10" s="65" customFormat="1" ht="14" x14ac:dyDescent="0.35">
      <c r="A2303" s="145"/>
      <c r="E2303" s="102"/>
      <c r="F2303" s="102"/>
      <c r="G2303" s="102"/>
      <c r="I2303" s="93"/>
      <c r="J2303" s="93"/>
    </row>
    <row r="2304" spans="1:10" s="65" customFormat="1" ht="14" x14ac:dyDescent="0.35">
      <c r="A2304" s="145"/>
      <c r="E2304" s="102"/>
      <c r="F2304" s="102"/>
      <c r="G2304" s="102"/>
      <c r="I2304" s="93"/>
      <c r="J2304" s="93"/>
    </row>
    <row r="2305" spans="1:10" s="65" customFormat="1" ht="14" x14ac:dyDescent="0.35">
      <c r="A2305" s="145"/>
      <c r="E2305" s="102"/>
      <c r="F2305" s="102"/>
      <c r="G2305" s="102"/>
      <c r="I2305" s="93"/>
      <c r="J2305" s="93"/>
    </row>
    <row r="2306" spans="1:10" s="65" customFormat="1" ht="14" x14ac:dyDescent="0.35">
      <c r="A2306" s="145"/>
      <c r="E2306" s="102"/>
      <c r="F2306" s="102"/>
      <c r="G2306" s="102"/>
      <c r="I2306" s="93"/>
      <c r="J2306" s="93"/>
    </row>
    <row r="2307" spans="1:10" s="65" customFormat="1" ht="14" x14ac:dyDescent="0.35">
      <c r="A2307" s="145"/>
      <c r="E2307" s="102"/>
      <c r="F2307" s="102"/>
      <c r="G2307" s="102"/>
      <c r="I2307" s="93"/>
      <c r="J2307" s="93"/>
    </row>
    <row r="2308" spans="1:10" s="65" customFormat="1" ht="14" x14ac:dyDescent="0.35">
      <c r="A2308" s="145"/>
      <c r="E2308" s="102"/>
      <c r="F2308" s="102"/>
      <c r="G2308" s="102"/>
      <c r="I2308" s="93"/>
      <c r="J2308" s="93"/>
    </row>
    <row r="2309" spans="1:10" s="65" customFormat="1" ht="14" x14ac:dyDescent="0.35">
      <c r="A2309" s="145"/>
      <c r="E2309" s="102"/>
      <c r="F2309" s="102"/>
      <c r="G2309" s="102"/>
      <c r="I2309" s="93"/>
      <c r="J2309" s="93"/>
    </row>
    <row r="2310" spans="1:10" s="65" customFormat="1" ht="14" x14ac:dyDescent="0.35">
      <c r="A2310" s="145"/>
      <c r="E2310" s="102"/>
      <c r="F2310" s="102"/>
      <c r="G2310" s="102"/>
      <c r="I2310" s="93"/>
      <c r="J2310" s="93"/>
    </row>
    <row r="2311" spans="1:10" s="65" customFormat="1" ht="14" x14ac:dyDescent="0.35">
      <c r="A2311" s="145"/>
      <c r="E2311" s="102"/>
      <c r="F2311" s="102"/>
      <c r="G2311" s="102"/>
      <c r="I2311" s="93"/>
      <c r="J2311" s="93"/>
    </row>
    <row r="2312" spans="1:10" s="65" customFormat="1" ht="14" x14ac:dyDescent="0.35">
      <c r="A2312" s="145"/>
      <c r="E2312" s="102"/>
      <c r="F2312" s="102"/>
      <c r="G2312" s="102"/>
      <c r="I2312" s="93"/>
      <c r="J2312" s="93"/>
    </row>
    <row r="2313" spans="1:10" s="65" customFormat="1" ht="14" x14ac:dyDescent="0.35">
      <c r="A2313" s="145"/>
      <c r="E2313" s="102"/>
      <c r="F2313" s="102"/>
      <c r="G2313" s="102"/>
      <c r="I2313" s="93"/>
      <c r="J2313" s="93"/>
    </row>
    <row r="2314" spans="1:10" s="65" customFormat="1" ht="14" x14ac:dyDescent="0.35">
      <c r="A2314" s="145"/>
      <c r="E2314" s="102"/>
      <c r="F2314" s="102"/>
      <c r="G2314" s="102"/>
      <c r="I2314" s="93"/>
      <c r="J2314" s="93"/>
    </row>
    <row r="2315" spans="1:10" s="65" customFormat="1" ht="14" x14ac:dyDescent="0.35">
      <c r="A2315" s="145"/>
      <c r="E2315" s="102"/>
      <c r="F2315" s="102"/>
      <c r="G2315" s="102"/>
      <c r="I2315" s="93"/>
      <c r="J2315" s="93"/>
    </row>
    <row r="2316" spans="1:10" s="65" customFormat="1" ht="14" x14ac:dyDescent="0.35">
      <c r="A2316" s="145"/>
      <c r="E2316" s="102"/>
      <c r="F2316" s="102"/>
      <c r="G2316" s="102"/>
      <c r="I2316" s="93"/>
      <c r="J2316" s="93"/>
    </row>
    <row r="2317" spans="1:10" s="65" customFormat="1" ht="14" x14ac:dyDescent="0.35">
      <c r="A2317" s="145"/>
      <c r="E2317" s="102"/>
      <c r="F2317" s="102"/>
      <c r="G2317" s="102"/>
      <c r="I2317" s="93"/>
      <c r="J2317" s="93"/>
    </row>
    <row r="2318" spans="1:10" s="65" customFormat="1" ht="14" x14ac:dyDescent="0.35">
      <c r="A2318" s="145"/>
      <c r="E2318" s="102"/>
      <c r="F2318" s="102"/>
      <c r="G2318" s="102"/>
      <c r="I2318" s="93"/>
      <c r="J2318" s="93"/>
    </row>
    <row r="2319" spans="1:10" s="65" customFormat="1" ht="14" x14ac:dyDescent="0.35">
      <c r="A2319" s="145"/>
      <c r="E2319" s="102"/>
      <c r="F2319" s="102"/>
      <c r="G2319" s="102"/>
      <c r="I2319" s="93"/>
      <c r="J2319" s="93"/>
    </row>
    <row r="2320" spans="1:10" s="65" customFormat="1" ht="14" x14ac:dyDescent="0.35">
      <c r="A2320" s="145"/>
      <c r="E2320" s="102"/>
      <c r="F2320" s="102"/>
      <c r="G2320" s="102"/>
      <c r="I2320" s="93"/>
      <c r="J2320" s="93"/>
    </row>
    <row r="2321" spans="1:10" s="65" customFormat="1" ht="14" x14ac:dyDescent="0.35">
      <c r="A2321" s="145"/>
      <c r="E2321" s="102"/>
      <c r="F2321" s="102"/>
      <c r="G2321" s="102"/>
      <c r="I2321" s="93"/>
      <c r="J2321" s="93"/>
    </row>
    <row r="2322" spans="1:10" s="65" customFormat="1" ht="14" x14ac:dyDescent="0.35">
      <c r="A2322" s="145"/>
      <c r="E2322" s="102"/>
      <c r="F2322" s="102"/>
      <c r="G2322" s="102"/>
      <c r="I2322" s="93"/>
      <c r="J2322" s="93"/>
    </row>
    <row r="2323" spans="1:10" s="65" customFormat="1" ht="14" x14ac:dyDescent="0.35">
      <c r="A2323" s="145"/>
      <c r="E2323" s="102"/>
      <c r="F2323" s="102"/>
      <c r="G2323" s="102"/>
      <c r="I2323" s="93"/>
      <c r="J2323" s="93"/>
    </row>
    <row r="2324" spans="1:10" s="65" customFormat="1" ht="14" x14ac:dyDescent="0.35">
      <c r="A2324" s="145"/>
      <c r="E2324" s="102"/>
      <c r="F2324" s="102"/>
      <c r="G2324" s="102"/>
      <c r="I2324" s="93"/>
      <c r="J2324" s="93"/>
    </row>
    <row r="2325" spans="1:10" s="65" customFormat="1" ht="14" x14ac:dyDescent="0.35">
      <c r="A2325" s="145"/>
      <c r="E2325" s="102"/>
      <c r="F2325" s="102"/>
      <c r="G2325" s="102"/>
      <c r="I2325" s="93"/>
      <c r="J2325" s="93"/>
    </row>
    <row r="2326" spans="1:10" s="65" customFormat="1" ht="14" x14ac:dyDescent="0.35">
      <c r="A2326" s="145"/>
      <c r="E2326" s="102"/>
      <c r="F2326" s="102"/>
      <c r="G2326" s="102"/>
      <c r="I2326" s="93"/>
      <c r="J2326" s="93"/>
    </row>
    <row r="2327" spans="1:10" s="65" customFormat="1" ht="14" x14ac:dyDescent="0.35">
      <c r="A2327" s="145"/>
      <c r="E2327" s="102"/>
      <c r="F2327" s="102"/>
      <c r="G2327" s="102"/>
      <c r="I2327" s="93"/>
      <c r="J2327" s="93"/>
    </row>
    <row r="2328" spans="1:10" s="65" customFormat="1" ht="14" x14ac:dyDescent="0.35">
      <c r="A2328" s="145"/>
      <c r="E2328" s="102"/>
      <c r="F2328" s="102"/>
      <c r="G2328" s="102"/>
      <c r="I2328" s="93"/>
      <c r="J2328" s="93"/>
    </row>
    <row r="2329" spans="1:10" s="65" customFormat="1" ht="14" x14ac:dyDescent="0.35">
      <c r="A2329" s="145"/>
      <c r="E2329" s="102"/>
      <c r="F2329" s="102"/>
      <c r="G2329" s="102"/>
      <c r="I2329" s="93"/>
      <c r="J2329" s="93"/>
    </row>
    <row r="2330" spans="1:10" s="65" customFormat="1" ht="14" x14ac:dyDescent="0.35">
      <c r="A2330" s="145"/>
      <c r="E2330" s="102"/>
      <c r="F2330" s="102"/>
      <c r="G2330" s="102"/>
      <c r="I2330" s="93"/>
      <c r="J2330" s="93"/>
    </row>
    <row r="2331" spans="1:10" s="65" customFormat="1" ht="14" x14ac:dyDescent="0.35">
      <c r="A2331" s="145"/>
      <c r="E2331" s="102"/>
      <c r="F2331" s="102"/>
      <c r="G2331" s="102"/>
      <c r="I2331" s="93"/>
      <c r="J2331" s="93"/>
    </row>
    <row r="2332" spans="1:10" s="65" customFormat="1" ht="14" x14ac:dyDescent="0.35">
      <c r="A2332" s="145"/>
      <c r="E2332" s="102"/>
      <c r="F2332" s="102"/>
      <c r="G2332" s="102"/>
      <c r="I2332" s="93"/>
      <c r="J2332" s="93"/>
    </row>
    <row r="2333" spans="1:10" s="65" customFormat="1" ht="14" x14ac:dyDescent="0.35">
      <c r="A2333" s="145"/>
      <c r="E2333" s="102"/>
      <c r="F2333" s="102"/>
      <c r="G2333" s="102"/>
      <c r="I2333" s="93"/>
      <c r="J2333" s="93"/>
    </row>
    <row r="2334" spans="1:10" s="65" customFormat="1" ht="14" x14ac:dyDescent="0.35">
      <c r="A2334" s="145"/>
      <c r="E2334" s="102"/>
      <c r="F2334" s="102"/>
      <c r="G2334" s="102"/>
      <c r="I2334" s="93"/>
      <c r="J2334" s="93"/>
    </row>
    <row r="2335" spans="1:10" s="65" customFormat="1" ht="14" x14ac:dyDescent="0.35">
      <c r="A2335" s="145"/>
      <c r="E2335" s="102"/>
      <c r="F2335" s="102"/>
      <c r="G2335" s="102"/>
      <c r="I2335" s="93"/>
      <c r="J2335" s="93"/>
    </row>
    <row r="2336" spans="1:10" s="65" customFormat="1" ht="14" x14ac:dyDescent="0.35">
      <c r="A2336" s="145"/>
      <c r="E2336" s="102"/>
      <c r="F2336" s="102"/>
      <c r="G2336" s="102"/>
      <c r="I2336" s="93"/>
      <c r="J2336" s="93"/>
    </row>
    <row r="2337" spans="1:10" s="65" customFormat="1" ht="14" x14ac:dyDescent="0.35">
      <c r="A2337" s="145"/>
      <c r="E2337" s="102"/>
      <c r="F2337" s="102"/>
      <c r="G2337" s="102"/>
      <c r="I2337" s="93"/>
      <c r="J2337" s="93"/>
    </row>
    <row r="2338" spans="1:10" s="65" customFormat="1" ht="14" x14ac:dyDescent="0.35">
      <c r="A2338" s="145"/>
      <c r="E2338" s="102"/>
      <c r="F2338" s="102"/>
      <c r="G2338" s="102"/>
      <c r="I2338" s="93"/>
      <c r="J2338" s="93"/>
    </row>
    <row r="2339" spans="1:10" s="65" customFormat="1" ht="14" x14ac:dyDescent="0.35">
      <c r="A2339" s="145"/>
      <c r="E2339" s="102"/>
      <c r="F2339" s="102"/>
      <c r="G2339" s="102"/>
      <c r="I2339" s="93"/>
      <c r="J2339" s="93"/>
    </row>
    <row r="2340" spans="1:10" s="65" customFormat="1" ht="14" x14ac:dyDescent="0.35">
      <c r="A2340" s="145"/>
      <c r="E2340" s="102"/>
      <c r="F2340" s="102"/>
      <c r="G2340" s="102"/>
      <c r="I2340" s="93"/>
      <c r="J2340" s="93"/>
    </row>
    <row r="2341" spans="1:10" s="65" customFormat="1" ht="14" x14ac:dyDescent="0.35">
      <c r="A2341" s="145"/>
      <c r="E2341" s="102"/>
      <c r="F2341" s="102"/>
      <c r="G2341" s="102"/>
      <c r="I2341" s="93"/>
      <c r="J2341" s="93"/>
    </row>
    <row r="2342" spans="1:10" s="65" customFormat="1" ht="14" x14ac:dyDescent="0.35">
      <c r="A2342" s="145"/>
      <c r="E2342" s="102"/>
      <c r="F2342" s="102"/>
      <c r="G2342" s="102"/>
      <c r="I2342" s="93"/>
      <c r="J2342" s="93"/>
    </row>
    <row r="2343" spans="1:10" s="65" customFormat="1" ht="14" x14ac:dyDescent="0.35">
      <c r="A2343" s="145"/>
      <c r="E2343" s="102"/>
      <c r="F2343" s="102"/>
      <c r="G2343" s="102"/>
      <c r="I2343" s="93"/>
      <c r="J2343" s="93"/>
    </row>
    <row r="2344" spans="1:10" s="65" customFormat="1" ht="14" x14ac:dyDescent="0.35">
      <c r="A2344" s="145"/>
      <c r="E2344" s="102"/>
      <c r="F2344" s="102"/>
      <c r="G2344" s="102"/>
      <c r="I2344" s="93"/>
      <c r="J2344" s="93"/>
    </row>
    <row r="2345" spans="1:10" s="65" customFormat="1" ht="14" x14ac:dyDescent="0.35">
      <c r="A2345" s="145"/>
      <c r="E2345" s="102"/>
      <c r="F2345" s="102"/>
      <c r="G2345" s="102"/>
      <c r="I2345" s="93"/>
      <c r="J2345" s="93"/>
    </row>
    <row r="2346" spans="1:10" s="65" customFormat="1" ht="14" x14ac:dyDescent="0.35">
      <c r="A2346" s="145"/>
      <c r="E2346" s="102"/>
      <c r="F2346" s="102"/>
      <c r="G2346" s="102"/>
      <c r="I2346" s="93"/>
      <c r="J2346" s="93"/>
    </row>
    <row r="2347" spans="1:10" s="65" customFormat="1" ht="14" x14ac:dyDescent="0.35">
      <c r="A2347" s="145"/>
      <c r="E2347" s="102"/>
      <c r="F2347" s="102"/>
      <c r="G2347" s="102"/>
      <c r="I2347" s="93"/>
      <c r="J2347" s="93"/>
    </row>
    <row r="2348" spans="1:10" s="65" customFormat="1" ht="14" x14ac:dyDescent="0.35">
      <c r="A2348" s="145"/>
      <c r="E2348" s="102"/>
      <c r="F2348" s="102"/>
      <c r="G2348" s="102"/>
      <c r="I2348" s="93"/>
      <c r="J2348" s="93"/>
    </row>
    <row r="2349" spans="1:10" s="65" customFormat="1" ht="14" x14ac:dyDescent="0.35">
      <c r="A2349" s="145"/>
      <c r="E2349" s="102"/>
      <c r="F2349" s="102"/>
      <c r="G2349" s="102"/>
      <c r="I2349" s="93"/>
      <c r="J2349" s="93"/>
    </row>
    <row r="2350" spans="1:10" s="65" customFormat="1" ht="14" x14ac:dyDescent="0.35">
      <c r="A2350" s="145"/>
      <c r="E2350" s="102"/>
      <c r="F2350" s="102"/>
      <c r="G2350" s="102"/>
      <c r="I2350" s="93"/>
      <c r="J2350" s="93"/>
    </row>
    <row r="2351" spans="1:10" s="65" customFormat="1" ht="14" x14ac:dyDescent="0.35">
      <c r="A2351" s="145"/>
      <c r="E2351" s="102"/>
      <c r="F2351" s="102"/>
      <c r="G2351" s="102"/>
      <c r="I2351" s="93"/>
      <c r="J2351" s="93"/>
    </row>
    <row r="2352" spans="1:10" s="65" customFormat="1" ht="14" x14ac:dyDescent="0.35">
      <c r="A2352" s="145"/>
      <c r="E2352" s="102"/>
      <c r="F2352" s="102"/>
      <c r="G2352" s="102"/>
      <c r="I2352" s="93"/>
      <c r="J2352" s="93"/>
    </row>
    <row r="2353" spans="1:10" s="65" customFormat="1" ht="14" x14ac:dyDescent="0.35">
      <c r="A2353" s="145"/>
      <c r="E2353" s="102"/>
      <c r="F2353" s="102"/>
      <c r="G2353" s="102"/>
      <c r="I2353" s="93"/>
      <c r="J2353" s="93"/>
    </row>
    <row r="2354" spans="1:10" s="65" customFormat="1" ht="14" x14ac:dyDescent="0.35">
      <c r="A2354" s="145"/>
      <c r="E2354" s="102"/>
      <c r="F2354" s="102"/>
      <c r="G2354" s="102"/>
      <c r="I2354" s="93"/>
      <c r="J2354" s="93"/>
    </row>
    <row r="2355" spans="1:10" s="65" customFormat="1" ht="14" x14ac:dyDescent="0.35">
      <c r="A2355" s="145"/>
      <c r="E2355" s="102"/>
      <c r="F2355" s="102"/>
      <c r="G2355" s="102"/>
      <c r="I2355" s="93"/>
      <c r="J2355" s="93"/>
    </row>
    <row r="2356" spans="1:10" s="65" customFormat="1" ht="14" x14ac:dyDescent="0.35">
      <c r="A2356" s="145"/>
      <c r="E2356" s="102"/>
      <c r="F2356" s="102"/>
      <c r="G2356" s="102"/>
      <c r="I2356" s="93"/>
      <c r="J2356" s="93"/>
    </row>
    <row r="2357" spans="1:10" s="65" customFormat="1" ht="14" x14ac:dyDescent="0.35">
      <c r="A2357" s="145"/>
      <c r="E2357" s="102"/>
      <c r="F2357" s="102"/>
      <c r="G2357" s="102"/>
      <c r="I2357" s="93"/>
      <c r="J2357" s="93"/>
    </row>
    <row r="2358" spans="1:10" s="65" customFormat="1" ht="14" x14ac:dyDescent="0.35">
      <c r="A2358" s="145"/>
      <c r="E2358" s="102"/>
      <c r="F2358" s="102"/>
      <c r="G2358" s="102"/>
      <c r="I2358" s="93"/>
      <c r="J2358" s="93"/>
    </row>
    <row r="2359" spans="1:10" s="65" customFormat="1" ht="14" x14ac:dyDescent="0.35">
      <c r="A2359" s="145"/>
      <c r="E2359" s="102"/>
      <c r="F2359" s="102"/>
      <c r="G2359" s="102"/>
      <c r="I2359" s="93"/>
      <c r="J2359" s="93"/>
    </row>
    <row r="2360" spans="1:10" s="65" customFormat="1" ht="14" x14ac:dyDescent="0.35">
      <c r="A2360" s="145"/>
      <c r="E2360" s="102"/>
      <c r="F2360" s="102"/>
      <c r="G2360" s="102"/>
      <c r="I2360" s="93"/>
      <c r="J2360" s="93"/>
    </row>
    <row r="2361" spans="1:10" s="65" customFormat="1" ht="14" x14ac:dyDescent="0.35">
      <c r="A2361" s="145"/>
      <c r="E2361" s="102"/>
      <c r="F2361" s="102"/>
      <c r="G2361" s="102"/>
      <c r="I2361" s="93"/>
      <c r="J2361" s="93"/>
    </row>
    <row r="2362" spans="1:10" s="65" customFormat="1" ht="14" x14ac:dyDescent="0.35">
      <c r="A2362" s="145"/>
      <c r="E2362" s="102"/>
      <c r="F2362" s="102"/>
      <c r="G2362" s="102"/>
      <c r="I2362" s="93"/>
      <c r="J2362" s="93"/>
    </row>
    <row r="2363" spans="1:10" s="65" customFormat="1" ht="14" x14ac:dyDescent="0.35">
      <c r="A2363" s="145"/>
      <c r="E2363" s="102"/>
      <c r="F2363" s="102"/>
      <c r="G2363" s="102"/>
      <c r="I2363" s="93"/>
      <c r="J2363" s="93"/>
    </row>
    <row r="2364" spans="1:10" s="65" customFormat="1" ht="14" x14ac:dyDescent="0.35">
      <c r="A2364" s="145"/>
      <c r="E2364" s="102"/>
      <c r="F2364" s="102"/>
      <c r="G2364" s="102"/>
      <c r="I2364" s="93"/>
      <c r="J2364" s="93"/>
    </row>
    <row r="2365" spans="1:10" s="65" customFormat="1" ht="14" x14ac:dyDescent="0.35">
      <c r="A2365" s="145"/>
      <c r="E2365" s="102"/>
      <c r="F2365" s="102"/>
      <c r="G2365" s="102"/>
      <c r="I2365" s="93"/>
      <c r="J2365" s="93"/>
    </row>
    <row r="2366" spans="1:10" s="65" customFormat="1" ht="14" x14ac:dyDescent="0.35">
      <c r="A2366" s="145"/>
      <c r="E2366" s="102"/>
      <c r="F2366" s="102"/>
      <c r="G2366" s="102"/>
      <c r="I2366" s="93"/>
      <c r="J2366" s="93"/>
    </row>
    <row r="2367" spans="1:10" s="65" customFormat="1" ht="14" x14ac:dyDescent="0.35">
      <c r="A2367" s="145"/>
      <c r="E2367" s="102"/>
      <c r="F2367" s="102"/>
      <c r="G2367" s="102"/>
      <c r="I2367" s="93"/>
      <c r="J2367" s="93"/>
    </row>
    <row r="2368" spans="1:10" s="65" customFormat="1" ht="14" x14ac:dyDescent="0.35">
      <c r="A2368" s="145"/>
      <c r="E2368" s="102"/>
      <c r="F2368" s="102"/>
      <c r="G2368" s="102"/>
      <c r="I2368" s="93"/>
      <c r="J2368" s="93"/>
    </row>
    <row r="2369" spans="1:10" s="65" customFormat="1" ht="14" x14ac:dyDescent="0.35">
      <c r="A2369" s="145"/>
      <c r="E2369" s="102"/>
      <c r="F2369" s="102"/>
      <c r="G2369" s="102"/>
      <c r="I2369" s="93"/>
      <c r="J2369" s="93"/>
    </row>
    <row r="2370" spans="1:10" s="65" customFormat="1" ht="14" x14ac:dyDescent="0.35">
      <c r="A2370" s="145"/>
      <c r="E2370" s="102"/>
      <c r="F2370" s="102"/>
      <c r="G2370" s="102"/>
      <c r="I2370" s="93"/>
      <c r="J2370" s="93"/>
    </row>
    <row r="2371" spans="1:10" s="65" customFormat="1" ht="14" x14ac:dyDescent="0.35">
      <c r="A2371" s="145"/>
      <c r="E2371" s="102"/>
      <c r="F2371" s="102"/>
      <c r="G2371" s="102"/>
      <c r="I2371" s="93"/>
      <c r="J2371" s="93"/>
    </row>
    <row r="2372" spans="1:10" s="65" customFormat="1" ht="14" x14ac:dyDescent="0.35">
      <c r="A2372" s="145"/>
      <c r="E2372" s="102"/>
      <c r="F2372" s="102"/>
      <c r="G2372" s="102"/>
      <c r="I2372" s="93"/>
      <c r="J2372" s="93"/>
    </row>
    <row r="2373" spans="1:10" s="65" customFormat="1" ht="14" x14ac:dyDescent="0.35">
      <c r="A2373" s="145"/>
      <c r="E2373" s="102"/>
      <c r="F2373" s="102"/>
      <c r="G2373" s="102"/>
      <c r="I2373" s="93"/>
      <c r="J2373" s="93"/>
    </row>
    <row r="2374" spans="1:10" s="65" customFormat="1" ht="14" x14ac:dyDescent="0.35">
      <c r="A2374" s="145"/>
      <c r="E2374" s="102"/>
      <c r="F2374" s="102"/>
      <c r="G2374" s="102"/>
      <c r="I2374" s="93"/>
      <c r="J2374" s="93"/>
    </row>
    <row r="2375" spans="1:10" s="65" customFormat="1" ht="14" x14ac:dyDescent="0.35">
      <c r="A2375" s="145"/>
      <c r="E2375" s="102"/>
      <c r="F2375" s="102"/>
      <c r="G2375" s="102"/>
      <c r="I2375" s="93"/>
      <c r="J2375" s="93"/>
    </row>
    <row r="2376" spans="1:10" s="65" customFormat="1" ht="14" x14ac:dyDescent="0.35">
      <c r="A2376" s="145"/>
      <c r="E2376" s="102"/>
      <c r="F2376" s="102"/>
      <c r="G2376" s="102"/>
      <c r="I2376" s="93"/>
      <c r="J2376" s="93"/>
    </row>
    <row r="2377" spans="1:10" s="65" customFormat="1" ht="14" x14ac:dyDescent="0.35">
      <c r="A2377" s="145"/>
      <c r="E2377" s="102"/>
      <c r="F2377" s="102"/>
      <c r="G2377" s="102"/>
      <c r="I2377" s="93"/>
      <c r="J2377" s="93"/>
    </row>
    <row r="2378" spans="1:10" s="65" customFormat="1" ht="14" x14ac:dyDescent="0.35">
      <c r="A2378" s="145"/>
      <c r="E2378" s="102"/>
      <c r="F2378" s="102"/>
      <c r="G2378" s="102"/>
      <c r="I2378" s="93"/>
      <c r="J2378" s="93"/>
    </row>
    <row r="2379" spans="1:10" s="65" customFormat="1" ht="14" x14ac:dyDescent="0.35">
      <c r="A2379" s="145"/>
      <c r="E2379" s="102"/>
      <c r="F2379" s="102"/>
      <c r="G2379" s="102"/>
      <c r="I2379" s="93"/>
      <c r="J2379" s="93"/>
    </row>
    <row r="2380" spans="1:10" s="65" customFormat="1" ht="14" x14ac:dyDescent="0.35">
      <c r="A2380" s="145"/>
      <c r="E2380" s="102"/>
      <c r="F2380" s="102"/>
      <c r="G2380" s="102"/>
      <c r="I2380" s="93"/>
      <c r="J2380" s="93"/>
    </row>
    <row r="2381" spans="1:10" s="65" customFormat="1" ht="14" x14ac:dyDescent="0.35">
      <c r="A2381" s="145"/>
      <c r="E2381" s="102"/>
      <c r="F2381" s="102"/>
      <c r="G2381" s="102"/>
      <c r="I2381" s="93"/>
      <c r="J2381" s="93"/>
    </row>
    <row r="2382" spans="1:10" s="65" customFormat="1" ht="14" x14ac:dyDescent="0.35">
      <c r="A2382" s="145"/>
      <c r="E2382" s="102"/>
      <c r="F2382" s="102"/>
      <c r="G2382" s="102"/>
      <c r="I2382" s="93"/>
      <c r="J2382" s="93"/>
    </row>
    <row r="2383" spans="1:10" s="65" customFormat="1" ht="14" x14ac:dyDescent="0.35">
      <c r="A2383" s="145"/>
      <c r="E2383" s="102"/>
      <c r="F2383" s="102"/>
      <c r="G2383" s="102"/>
      <c r="I2383" s="93"/>
      <c r="J2383" s="93"/>
    </row>
    <row r="2384" spans="1:10" s="65" customFormat="1" ht="14" x14ac:dyDescent="0.35">
      <c r="A2384" s="145"/>
      <c r="E2384" s="102"/>
      <c r="F2384" s="102"/>
      <c r="G2384" s="102"/>
      <c r="I2384" s="93"/>
      <c r="J2384" s="93"/>
    </row>
    <row r="2385" spans="1:10" s="65" customFormat="1" ht="14" x14ac:dyDescent="0.35">
      <c r="A2385" s="145"/>
      <c r="E2385" s="102"/>
      <c r="F2385" s="102"/>
      <c r="G2385" s="102"/>
      <c r="I2385" s="93"/>
      <c r="J2385" s="93"/>
    </row>
    <row r="2386" spans="1:10" s="65" customFormat="1" ht="14" x14ac:dyDescent="0.35">
      <c r="A2386" s="145"/>
      <c r="E2386" s="102"/>
      <c r="F2386" s="102"/>
      <c r="G2386" s="102"/>
      <c r="I2386" s="93"/>
      <c r="J2386" s="93"/>
    </row>
    <row r="2387" spans="1:10" s="65" customFormat="1" ht="14" x14ac:dyDescent="0.35">
      <c r="A2387" s="145"/>
      <c r="E2387" s="102"/>
      <c r="F2387" s="102"/>
      <c r="G2387" s="102"/>
      <c r="I2387" s="93"/>
      <c r="J2387" s="93"/>
    </row>
    <row r="2388" spans="1:10" s="65" customFormat="1" ht="14" x14ac:dyDescent="0.35">
      <c r="A2388" s="145"/>
      <c r="E2388" s="102"/>
      <c r="F2388" s="102"/>
      <c r="G2388" s="102"/>
      <c r="I2388" s="93"/>
      <c r="J2388" s="93"/>
    </row>
    <row r="2389" spans="1:10" s="65" customFormat="1" ht="14" x14ac:dyDescent="0.35">
      <c r="A2389" s="145"/>
      <c r="E2389" s="102"/>
      <c r="F2389" s="102"/>
      <c r="G2389" s="102"/>
      <c r="I2389" s="93"/>
      <c r="J2389" s="93"/>
    </row>
    <row r="2390" spans="1:10" s="65" customFormat="1" ht="14" x14ac:dyDescent="0.35">
      <c r="A2390" s="145"/>
      <c r="E2390" s="102"/>
      <c r="F2390" s="102"/>
      <c r="G2390" s="102"/>
      <c r="I2390" s="93"/>
      <c r="J2390" s="93"/>
    </row>
    <row r="2391" spans="1:10" s="65" customFormat="1" ht="14" x14ac:dyDescent="0.35">
      <c r="A2391" s="145"/>
      <c r="E2391" s="102"/>
      <c r="F2391" s="102"/>
      <c r="G2391" s="102"/>
      <c r="I2391" s="93"/>
      <c r="J2391" s="93"/>
    </row>
    <row r="2392" spans="1:10" s="65" customFormat="1" ht="14" x14ac:dyDescent="0.35">
      <c r="A2392" s="145"/>
      <c r="E2392" s="102"/>
      <c r="F2392" s="102"/>
      <c r="G2392" s="102"/>
      <c r="I2392" s="93"/>
      <c r="J2392" s="93"/>
    </row>
    <row r="2393" spans="1:10" s="65" customFormat="1" ht="14" x14ac:dyDescent="0.35">
      <c r="A2393" s="145"/>
      <c r="E2393" s="102"/>
      <c r="F2393" s="102"/>
      <c r="G2393" s="102"/>
      <c r="I2393" s="93"/>
      <c r="J2393" s="93"/>
    </row>
    <row r="2394" spans="1:10" s="65" customFormat="1" ht="14" x14ac:dyDescent="0.35">
      <c r="A2394" s="145"/>
      <c r="E2394" s="102"/>
      <c r="F2394" s="102"/>
      <c r="G2394" s="102"/>
      <c r="I2394" s="93"/>
      <c r="J2394" s="93"/>
    </row>
    <row r="2395" spans="1:10" s="65" customFormat="1" ht="14" x14ac:dyDescent="0.35">
      <c r="A2395" s="145"/>
      <c r="E2395" s="102"/>
      <c r="F2395" s="102"/>
      <c r="G2395" s="102"/>
      <c r="I2395" s="93"/>
      <c r="J2395" s="93"/>
    </row>
    <row r="2396" spans="1:10" s="65" customFormat="1" ht="14" x14ac:dyDescent="0.35">
      <c r="A2396" s="145"/>
      <c r="E2396" s="102"/>
      <c r="F2396" s="102"/>
      <c r="G2396" s="102"/>
      <c r="I2396" s="93"/>
      <c r="J2396" s="93"/>
    </row>
    <row r="2397" spans="1:10" s="65" customFormat="1" ht="14" x14ac:dyDescent="0.35">
      <c r="A2397" s="145"/>
      <c r="E2397" s="102"/>
      <c r="F2397" s="102"/>
      <c r="G2397" s="102"/>
      <c r="I2397" s="93"/>
      <c r="J2397" s="93"/>
    </row>
    <row r="2398" spans="1:10" s="65" customFormat="1" ht="14" x14ac:dyDescent="0.35">
      <c r="A2398" s="145"/>
      <c r="E2398" s="102"/>
      <c r="F2398" s="102"/>
      <c r="G2398" s="102"/>
      <c r="I2398" s="93"/>
      <c r="J2398" s="93"/>
    </row>
    <row r="2399" spans="1:10" s="65" customFormat="1" ht="14" x14ac:dyDescent="0.35">
      <c r="A2399" s="145"/>
      <c r="E2399" s="102"/>
      <c r="F2399" s="102"/>
      <c r="G2399" s="102"/>
      <c r="I2399" s="93"/>
      <c r="J2399" s="93"/>
    </row>
    <row r="2400" spans="1:10" s="65" customFormat="1" ht="14" x14ac:dyDescent="0.35">
      <c r="A2400" s="145"/>
      <c r="E2400" s="102"/>
      <c r="F2400" s="102"/>
      <c r="G2400" s="102"/>
      <c r="I2400" s="93"/>
      <c r="J2400" s="93"/>
    </row>
    <row r="2401" spans="1:10" s="65" customFormat="1" ht="14" x14ac:dyDescent="0.35">
      <c r="A2401" s="145"/>
      <c r="E2401" s="102"/>
      <c r="F2401" s="102"/>
      <c r="G2401" s="102"/>
      <c r="I2401" s="93"/>
      <c r="J2401" s="93"/>
    </row>
    <row r="2402" spans="1:10" s="65" customFormat="1" ht="14" x14ac:dyDescent="0.35">
      <c r="A2402" s="145"/>
      <c r="E2402" s="102"/>
      <c r="F2402" s="102"/>
      <c r="G2402" s="102"/>
      <c r="I2402" s="93"/>
      <c r="J2402" s="93"/>
    </row>
    <row r="2403" spans="1:10" s="65" customFormat="1" ht="14" x14ac:dyDescent="0.35">
      <c r="A2403" s="145"/>
      <c r="E2403" s="102"/>
      <c r="F2403" s="102"/>
      <c r="G2403" s="102"/>
      <c r="I2403" s="93"/>
      <c r="J2403" s="93"/>
    </row>
    <row r="2404" spans="1:10" s="65" customFormat="1" ht="14" x14ac:dyDescent="0.35">
      <c r="A2404" s="145"/>
      <c r="E2404" s="102"/>
      <c r="F2404" s="102"/>
      <c r="G2404" s="102"/>
      <c r="I2404" s="93"/>
      <c r="J2404" s="93"/>
    </row>
    <row r="2405" spans="1:10" s="65" customFormat="1" ht="14" x14ac:dyDescent="0.35">
      <c r="A2405" s="145"/>
      <c r="E2405" s="102"/>
      <c r="F2405" s="102"/>
      <c r="G2405" s="102"/>
      <c r="I2405" s="93"/>
      <c r="J2405" s="93"/>
    </row>
    <row r="2406" spans="1:10" s="65" customFormat="1" ht="14" x14ac:dyDescent="0.35">
      <c r="A2406" s="145"/>
      <c r="E2406" s="102"/>
      <c r="F2406" s="102"/>
      <c r="G2406" s="102"/>
      <c r="I2406" s="93"/>
      <c r="J2406" s="93"/>
    </row>
    <row r="2407" spans="1:10" s="65" customFormat="1" ht="14" x14ac:dyDescent="0.35">
      <c r="A2407" s="145"/>
      <c r="E2407" s="102"/>
      <c r="F2407" s="102"/>
      <c r="G2407" s="102"/>
      <c r="I2407" s="93"/>
      <c r="J2407" s="93"/>
    </row>
    <row r="2408" spans="1:10" s="65" customFormat="1" ht="14" x14ac:dyDescent="0.35">
      <c r="A2408" s="145"/>
      <c r="E2408" s="102"/>
      <c r="F2408" s="102"/>
      <c r="G2408" s="102"/>
      <c r="I2408" s="93"/>
      <c r="J2408" s="93"/>
    </row>
    <row r="2409" spans="1:10" s="65" customFormat="1" ht="14" x14ac:dyDescent="0.35">
      <c r="A2409" s="145"/>
      <c r="E2409" s="102"/>
      <c r="F2409" s="102"/>
      <c r="G2409" s="102"/>
      <c r="I2409" s="93"/>
      <c r="J2409" s="93"/>
    </row>
    <row r="2410" spans="1:10" s="65" customFormat="1" ht="14" x14ac:dyDescent="0.35">
      <c r="A2410" s="145"/>
      <c r="E2410" s="102"/>
      <c r="F2410" s="102"/>
      <c r="G2410" s="102"/>
      <c r="I2410" s="93"/>
      <c r="J2410" s="93"/>
    </row>
    <row r="2411" spans="1:10" s="65" customFormat="1" ht="14" x14ac:dyDescent="0.35">
      <c r="A2411" s="145"/>
      <c r="E2411" s="102"/>
      <c r="F2411" s="102"/>
      <c r="G2411" s="102"/>
      <c r="I2411" s="93"/>
      <c r="J2411" s="93"/>
    </row>
    <row r="2412" spans="1:10" s="65" customFormat="1" ht="14" x14ac:dyDescent="0.35">
      <c r="A2412" s="145"/>
      <c r="E2412" s="102"/>
      <c r="F2412" s="102"/>
      <c r="G2412" s="102"/>
      <c r="I2412" s="93"/>
      <c r="J2412" s="93"/>
    </row>
    <row r="2413" spans="1:10" s="65" customFormat="1" ht="14" x14ac:dyDescent="0.35">
      <c r="A2413" s="145"/>
      <c r="E2413" s="102"/>
      <c r="F2413" s="102"/>
      <c r="G2413" s="102"/>
      <c r="I2413" s="93"/>
      <c r="J2413" s="93"/>
    </row>
    <row r="2414" spans="1:10" s="65" customFormat="1" ht="14" x14ac:dyDescent="0.35">
      <c r="A2414" s="145"/>
      <c r="E2414" s="102"/>
      <c r="F2414" s="102"/>
      <c r="G2414" s="102"/>
      <c r="I2414" s="93"/>
      <c r="J2414" s="93"/>
    </row>
    <row r="2415" spans="1:10" s="65" customFormat="1" ht="14" x14ac:dyDescent="0.35">
      <c r="A2415" s="145"/>
      <c r="E2415" s="102"/>
      <c r="F2415" s="102"/>
      <c r="G2415" s="102"/>
      <c r="I2415" s="93"/>
      <c r="J2415" s="93"/>
    </row>
    <row r="2416" spans="1:10" s="65" customFormat="1" ht="14" x14ac:dyDescent="0.35">
      <c r="A2416" s="145"/>
      <c r="E2416" s="102"/>
      <c r="F2416" s="102"/>
      <c r="G2416" s="102"/>
      <c r="I2416" s="93"/>
      <c r="J2416" s="93"/>
    </row>
    <row r="2417" spans="1:10" s="65" customFormat="1" ht="14" x14ac:dyDescent="0.35">
      <c r="A2417" s="145"/>
      <c r="E2417" s="102"/>
      <c r="F2417" s="102"/>
      <c r="G2417" s="102"/>
      <c r="I2417" s="93"/>
      <c r="J2417" s="93"/>
    </row>
    <row r="2418" spans="1:10" s="65" customFormat="1" ht="14" x14ac:dyDescent="0.35">
      <c r="A2418" s="145"/>
      <c r="E2418" s="102"/>
      <c r="F2418" s="102"/>
      <c r="G2418" s="102"/>
      <c r="I2418" s="93"/>
      <c r="J2418" s="93"/>
    </row>
    <row r="2419" spans="1:10" s="65" customFormat="1" ht="14" x14ac:dyDescent="0.35">
      <c r="A2419" s="145"/>
      <c r="E2419" s="102"/>
      <c r="F2419" s="102"/>
      <c r="G2419" s="102"/>
      <c r="I2419" s="93"/>
      <c r="J2419" s="93"/>
    </row>
    <row r="2420" spans="1:10" s="65" customFormat="1" ht="14" x14ac:dyDescent="0.35">
      <c r="A2420" s="145"/>
      <c r="E2420" s="102"/>
      <c r="F2420" s="102"/>
      <c r="G2420" s="102"/>
      <c r="I2420" s="93"/>
      <c r="J2420" s="93"/>
    </row>
    <row r="2421" spans="1:10" s="65" customFormat="1" ht="14" x14ac:dyDescent="0.35">
      <c r="A2421" s="145"/>
      <c r="E2421" s="102"/>
      <c r="F2421" s="102"/>
      <c r="G2421" s="102"/>
      <c r="I2421" s="93"/>
      <c r="J2421" s="93"/>
    </row>
    <row r="2422" spans="1:10" s="65" customFormat="1" ht="14" x14ac:dyDescent="0.35">
      <c r="A2422" s="145"/>
      <c r="E2422" s="102"/>
      <c r="F2422" s="102"/>
      <c r="G2422" s="102"/>
      <c r="I2422" s="93"/>
      <c r="J2422" s="93"/>
    </row>
    <row r="2423" spans="1:10" s="65" customFormat="1" ht="14" x14ac:dyDescent="0.35">
      <c r="A2423" s="145"/>
      <c r="E2423" s="102"/>
      <c r="F2423" s="102"/>
      <c r="G2423" s="102"/>
      <c r="I2423" s="93"/>
      <c r="J2423" s="93"/>
    </row>
    <row r="2424" spans="1:10" s="65" customFormat="1" ht="14" x14ac:dyDescent="0.35">
      <c r="A2424" s="145"/>
      <c r="E2424" s="102"/>
      <c r="F2424" s="102"/>
      <c r="G2424" s="102"/>
      <c r="I2424" s="93"/>
      <c r="J2424" s="93"/>
    </row>
    <row r="2425" spans="1:10" s="65" customFormat="1" ht="14" x14ac:dyDescent="0.35">
      <c r="A2425" s="145"/>
      <c r="E2425" s="102"/>
      <c r="F2425" s="102"/>
      <c r="G2425" s="102"/>
      <c r="I2425" s="93"/>
      <c r="J2425" s="93"/>
    </row>
    <row r="2426" spans="1:10" s="65" customFormat="1" ht="14" x14ac:dyDescent="0.35">
      <c r="A2426" s="145"/>
      <c r="E2426" s="102"/>
      <c r="F2426" s="102"/>
      <c r="G2426" s="102"/>
      <c r="I2426" s="93"/>
      <c r="J2426" s="93"/>
    </row>
    <row r="2427" spans="1:10" s="65" customFormat="1" ht="14" x14ac:dyDescent="0.35">
      <c r="A2427" s="145"/>
      <c r="E2427" s="102"/>
      <c r="F2427" s="102"/>
      <c r="G2427" s="102"/>
      <c r="I2427" s="93"/>
      <c r="J2427" s="93"/>
    </row>
    <row r="2428" spans="1:10" s="65" customFormat="1" ht="14" x14ac:dyDescent="0.35">
      <c r="A2428" s="145"/>
      <c r="E2428" s="102"/>
      <c r="F2428" s="102"/>
      <c r="G2428" s="102"/>
      <c r="I2428" s="93"/>
      <c r="J2428" s="93"/>
    </row>
    <row r="2429" spans="1:10" s="65" customFormat="1" ht="14" x14ac:dyDescent="0.35">
      <c r="A2429" s="145"/>
      <c r="E2429" s="102"/>
      <c r="F2429" s="102"/>
      <c r="G2429" s="102"/>
      <c r="I2429" s="93"/>
      <c r="J2429" s="93"/>
    </row>
    <row r="2430" spans="1:10" s="65" customFormat="1" ht="14" x14ac:dyDescent="0.35">
      <c r="A2430" s="145"/>
      <c r="E2430" s="102"/>
      <c r="F2430" s="102"/>
      <c r="G2430" s="102"/>
      <c r="I2430" s="93"/>
      <c r="J2430" s="93"/>
    </row>
    <row r="2431" spans="1:10" s="65" customFormat="1" ht="14" x14ac:dyDescent="0.35">
      <c r="A2431" s="145"/>
      <c r="E2431" s="102"/>
      <c r="F2431" s="102"/>
      <c r="G2431" s="102"/>
      <c r="I2431" s="93"/>
      <c r="J2431" s="93"/>
    </row>
    <row r="2432" spans="1:10" s="65" customFormat="1" ht="14" x14ac:dyDescent="0.35">
      <c r="A2432" s="145"/>
      <c r="E2432" s="102"/>
      <c r="F2432" s="102"/>
      <c r="G2432" s="102"/>
      <c r="I2432" s="93"/>
      <c r="J2432" s="93"/>
    </row>
    <row r="2433" spans="1:10" s="65" customFormat="1" ht="14" x14ac:dyDescent="0.35">
      <c r="A2433" s="145"/>
      <c r="E2433" s="102"/>
      <c r="F2433" s="102"/>
      <c r="G2433" s="102"/>
      <c r="I2433" s="93"/>
      <c r="J2433" s="93"/>
    </row>
    <row r="2434" spans="1:10" s="65" customFormat="1" ht="14" x14ac:dyDescent="0.35">
      <c r="A2434" s="145"/>
      <c r="E2434" s="102"/>
      <c r="F2434" s="102"/>
      <c r="G2434" s="102"/>
      <c r="I2434" s="93"/>
      <c r="J2434" s="93"/>
    </row>
    <row r="2435" spans="1:10" s="65" customFormat="1" ht="14" x14ac:dyDescent="0.35">
      <c r="A2435" s="145"/>
      <c r="E2435" s="102"/>
      <c r="F2435" s="102"/>
      <c r="G2435" s="102"/>
      <c r="I2435" s="93"/>
      <c r="J2435" s="93"/>
    </row>
    <row r="2436" spans="1:10" s="65" customFormat="1" ht="14" x14ac:dyDescent="0.35">
      <c r="A2436" s="145"/>
      <c r="E2436" s="102"/>
      <c r="F2436" s="102"/>
      <c r="G2436" s="102"/>
      <c r="I2436" s="93"/>
      <c r="J2436" s="93"/>
    </row>
    <row r="2437" spans="1:10" s="65" customFormat="1" ht="14" x14ac:dyDescent="0.35">
      <c r="A2437" s="145"/>
      <c r="E2437" s="102"/>
      <c r="F2437" s="102"/>
      <c r="G2437" s="102"/>
      <c r="I2437" s="93"/>
      <c r="J2437" s="93"/>
    </row>
    <row r="2438" spans="1:10" s="65" customFormat="1" ht="14" x14ac:dyDescent="0.35">
      <c r="A2438" s="145"/>
      <c r="E2438" s="102"/>
      <c r="F2438" s="102"/>
      <c r="G2438" s="102"/>
      <c r="I2438" s="93"/>
      <c r="J2438" s="93"/>
    </row>
    <row r="2439" spans="1:10" s="65" customFormat="1" ht="14" x14ac:dyDescent="0.35">
      <c r="A2439" s="145"/>
      <c r="E2439" s="102"/>
      <c r="F2439" s="102"/>
      <c r="G2439" s="102"/>
      <c r="I2439" s="93"/>
      <c r="J2439" s="93"/>
    </row>
    <row r="2440" spans="1:10" s="65" customFormat="1" ht="14" x14ac:dyDescent="0.35">
      <c r="A2440" s="145"/>
      <c r="E2440" s="102"/>
      <c r="F2440" s="102"/>
      <c r="G2440" s="102"/>
      <c r="I2440" s="93"/>
      <c r="J2440" s="93"/>
    </row>
    <row r="2441" spans="1:10" s="65" customFormat="1" ht="14" x14ac:dyDescent="0.35">
      <c r="A2441" s="145"/>
      <c r="E2441" s="102"/>
      <c r="F2441" s="102"/>
      <c r="G2441" s="102"/>
      <c r="I2441" s="93"/>
      <c r="J2441" s="93"/>
    </row>
    <row r="2442" spans="1:10" s="65" customFormat="1" ht="14" x14ac:dyDescent="0.35">
      <c r="A2442" s="145"/>
      <c r="E2442" s="102"/>
      <c r="F2442" s="102"/>
      <c r="G2442" s="102"/>
      <c r="I2442" s="93"/>
      <c r="J2442" s="93"/>
    </row>
    <row r="2443" spans="1:10" s="65" customFormat="1" ht="14" x14ac:dyDescent="0.35">
      <c r="A2443" s="145"/>
      <c r="E2443" s="102"/>
      <c r="F2443" s="102"/>
      <c r="G2443" s="102"/>
      <c r="I2443" s="93"/>
      <c r="J2443" s="93"/>
    </row>
    <row r="2444" spans="1:10" s="65" customFormat="1" ht="14" x14ac:dyDescent="0.35">
      <c r="A2444" s="145"/>
      <c r="E2444" s="102"/>
      <c r="F2444" s="102"/>
      <c r="G2444" s="102"/>
      <c r="I2444" s="93"/>
      <c r="J2444" s="93"/>
    </row>
    <row r="2445" spans="1:10" s="65" customFormat="1" ht="14" x14ac:dyDescent="0.35">
      <c r="A2445" s="145"/>
      <c r="E2445" s="102"/>
      <c r="F2445" s="102"/>
      <c r="G2445" s="102"/>
      <c r="I2445" s="93"/>
      <c r="J2445" s="93"/>
    </row>
    <row r="2446" spans="1:10" s="65" customFormat="1" ht="14" x14ac:dyDescent="0.35">
      <c r="A2446" s="145"/>
      <c r="E2446" s="102"/>
      <c r="F2446" s="102"/>
      <c r="G2446" s="102"/>
      <c r="I2446" s="93"/>
      <c r="J2446" s="93"/>
    </row>
    <row r="2447" spans="1:10" s="65" customFormat="1" ht="14" x14ac:dyDescent="0.35">
      <c r="A2447" s="145"/>
      <c r="E2447" s="102"/>
      <c r="F2447" s="102"/>
      <c r="G2447" s="102"/>
      <c r="I2447" s="93"/>
      <c r="J2447" s="93"/>
    </row>
    <row r="2448" spans="1:10" s="65" customFormat="1" ht="14" x14ac:dyDescent="0.35">
      <c r="A2448" s="145"/>
      <c r="E2448" s="102"/>
      <c r="F2448" s="102"/>
      <c r="G2448" s="102"/>
      <c r="I2448" s="93"/>
      <c r="J2448" s="93"/>
    </row>
    <row r="2449" spans="1:10" s="65" customFormat="1" ht="14" x14ac:dyDescent="0.35">
      <c r="A2449" s="145"/>
      <c r="E2449" s="102"/>
      <c r="F2449" s="102"/>
      <c r="G2449" s="102"/>
      <c r="I2449" s="93"/>
      <c r="J2449" s="93"/>
    </row>
    <row r="2450" spans="1:10" s="65" customFormat="1" ht="14" x14ac:dyDescent="0.35">
      <c r="A2450" s="145"/>
      <c r="E2450" s="102"/>
      <c r="F2450" s="102"/>
      <c r="G2450" s="102"/>
      <c r="I2450" s="93"/>
      <c r="J2450" s="93"/>
    </row>
    <row r="2451" spans="1:10" s="65" customFormat="1" ht="14" x14ac:dyDescent="0.35">
      <c r="A2451" s="145"/>
      <c r="E2451" s="102"/>
      <c r="F2451" s="102"/>
      <c r="G2451" s="102"/>
      <c r="I2451" s="93"/>
      <c r="J2451" s="93"/>
    </row>
    <row r="2452" spans="1:10" s="65" customFormat="1" ht="14" x14ac:dyDescent="0.35">
      <c r="A2452" s="145"/>
      <c r="E2452" s="102"/>
      <c r="F2452" s="102"/>
      <c r="G2452" s="102"/>
      <c r="I2452" s="93"/>
      <c r="J2452" s="93"/>
    </row>
    <row r="2453" spans="1:10" s="65" customFormat="1" ht="14" x14ac:dyDescent="0.35">
      <c r="A2453" s="145"/>
      <c r="E2453" s="102"/>
      <c r="F2453" s="102"/>
      <c r="G2453" s="102"/>
      <c r="I2453" s="93"/>
      <c r="J2453" s="93"/>
    </row>
    <row r="2454" spans="1:10" s="65" customFormat="1" ht="14" x14ac:dyDescent="0.35">
      <c r="A2454" s="145"/>
      <c r="E2454" s="102"/>
      <c r="F2454" s="102"/>
      <c r="G2454" s="102"/>
      <c r="I2454" s="93"/>
      <c r="J2454" s="93"/>
    </row>
    <row r="2455" spans="1:10" s="65" customFormat="1" ht="14" x14ac:dyDescent="0.35">
      <c r="A2455" s="145"/>
      <c r="E2455" s="102"/>
      <c r="F2455" s="102"/>
      <c r="G2455" s="102"/>
      <c r="I2455" s="93"/>
      <c r="J2455" s="93"/>
    </row>
    <row r="2456" spans="1:10" s="65" customFormat="1" ht="14" x14ac:dyDescent="0.35">
      <c r="A2456" s="145"/>
      <c r="E2456" s="102"/>
      <c r="F2456" s="102"/>
      <c r="G2456" s="102"/>
      <c r="I2456" s="93"/>
      <c r="J2456" s="93"/>
    </row>
    <row r="2457" spans="1:10" s="65" customFormat="1" ht="14" x14ac:dyDescent="0.35">
      <c r="A2457" s="145"/>
      <c r="E2457" s="102"/>
      <c r="F2457" s="102"/>
      <c r="G2457" s="102"/>
      <c r="I2457" s="93"/>
      <c r="J2457" s="93"/>
    </row>
    <row r="2458" spans="1:10" s="65" customFormat="1" ht="14" x14ac:dyDescent="0.35">
      <c r="A2458" s="145"/>
      <c r="E2458" s="102"/>
      <c r="F2458" s="102"/>
      <c r="G2458" s="102"/>
      <c r="I2458" s="93"/>
      <c r="J2458" s="93"/>
    </row>
    <row r="2459" spans="1:10" s="65" customFormat="1" ht="14" x14ac:dyDescent="0.35">
      <c r="A2459" s="145"/>
      <c r="E2459" s="102"/>
      <c r="F2459" s="102"/>
      <c r="G2459" s="102"/>
      <c r="I2459" s="93"/>
      <c r="J2459" s="93"/>
    </row>
    <row r="2460" spans="1:10" s="65" customFormat="1" ht="14" x14ac:dyDescent="0.35">
      <c r="A2460" s="145"/>
      <c r="E2460" s="102"/>
      <c r="F2460" s="102"/>
      <c r="G2460" s="102"/>
      <c r="I2460" s="93"/>
      <c r="J2460" s="93"/>
    </row>
    <row r="2461" spans="1:10" s="65" customFormat="1" ht="14" x14ac:dyDescent="0.35">
      <c r="A2461" s="145"/>
      <c r="E2461" s="102"/>
      <c r="F2461" s="102"/>
      <c r="G2461" s="102"/>
      <c r="I2461" s="93"/>
      <c r="J2461" s="93"/>
    </row>
    <row r="2462" spans="1:10" s="65" customFormat="1" ht="14" x14ac:dyDescent="0.35">
      <c r="A2462" s="145"/>
      <c r="E2462" s="102"/>
      <c r="F2462" s="102"/>
      <c r="G2462" s="102"/>
      <c r="I2462" s="93"/>
      <c r="J2462" s="93"/>
    </row>
    <row r="2463" spans="1:10" s="65" customFormat="1" ht="14" x14ac:dyDescent="0.35">
      <c r="A2463" s="145"/>
      <c r="E2463" s="102"/>
      <c r="F2463" s="102"/>
      <c r="G2463" s="102"/>
      <c r="I2463" s="93"/>
      <c r="J2463" s="93"/>
    </row>
    <row r="2464" spans="1:10" s="65" customFormat="1" ht="14" x14ac:dyDescent="0.35">
      <c r="A2464" s="145"/>
      <c r="E2464" s="102"/>
      <c r="F2464" s="102"/>
      <c r="G2464" s="102"/>
      <c r="I2464" s="93"/>
      <c r="J2464" s="93"/>
    </row>
    <row r="2465" spans="1:10" s="65" customFormat="1" ht="14" x14ac:dyDescent="0.35">
      <c r="A2465" s="145"/>
      <c r="E2465" s="102"/>
      <c r="F2465" s="102"/>
      <c r="G2465" s="102"/>
      <c r="I2465" s="93"/>
      <c r="J2465" s="93"/>
    </row>
    <row r="2466" spans="1:10" s="65" customFormat="1" ht="14" x14ac:dyDescent="0.35">
      <c r="A2466" s="145"/>
      <c r="E2466" s="102"/>
      <c r="F2466" s="102"/>
      <c r="G2466" s="102"/>
      <c r="I2466" s="93"/>
      <c r="J2466" s="93"/>
    </row>
    <row r="2467" spans="1:10" s="65" customFormat="1" ht="14" x14ac:dyDescent="0.35">
      <c r="A2467" s="145"/>
      <c r="E2467" s="102"/>
      <c r="F2467" s="102"/>
      <c r="G2467" s="102"/>
      <c r="I2467" s="93"/>
      <c r="J2467" s="93"/>
    </row>
    <row r="2468" spans="1:10" s="65" customFormat="1" ht="14" x14ac:dyDescent="0.35">
      <c r="A2468" s="145"/>
      <c r="E2468" s="102"/>
      <c r="F2468" s="102"/>
      <c r="G2468" s="102"/>
      <c r="I2468" s="93"/>
      <c r="J2468" s="93"/>
    </row>
    <row r="2469" spans="1:10" s="65" customFormat="1" ht="14" x14ac:dyDescent="0.35">
      <c r="A2469" s="145"/>
      <c r="E2469" s="102"/>
      <c r="F2469" s="102"/>
      <c r="G2469" s="102"/>
      <c r="I2469" s="93"/>
      <c r="J2469" s="93"/>
    </row>
    <row r="2470" spans="1:10" s="65" customFormat="1" ht="14" x14ac:dyDescent="0.35">
      <c r="A2470" s="145"/>
      <c r="E2470" s="102"/>
      <c r="F2470" s="102"/>
      <c r="G2470" s="102"/>
      <c r="I2470" s="93"/>
      <c r="J2470" s="93"/>
    </row>
    <row r="2471" spans="1:10" s="65" customFormat="1" ht="14" x14ac:dyDescent="0.35">
      <c r="A2471" s="145"/>
      <c r="E2471" s="102"/>
      <c r="F2471" s="102"/>
      <c r="G2471" s="102"/>
      <c r="I2471" s="93"/>
      <c r="J2471" s="93"/>
    </row>
    <row r="2472" spans="1:10" s="65" customFormat="1" ht="14" x14ac:dyDescent="0.35">
      <c r="A2472" s="145"/>
      <c r="E2472" s="102"/>
      <c r="F2472" s="102"/>
      <c r="G2472" s="102"/>
      <c r="I2472" s="93"/>
      <c r="J2472" s="93"/>
    </row>
    <row r="2473" spans="1:10" s="65" customFormat="1" ht="14" x14ac:dyDescent="0.35">
      <c r="A2473" s="145"/>
      <c r="E2473" s="102"/>
      <c r="F2473" s="102"/>
      <c r="G2473" s="102"/>
      <c r="I2473" s="93"/>
      <c r="J2473" s="93"/>
    </row>
    <row r="2474" spans="1:10" s="65" customFormat="1" ht="14" x14ac:dyDescent="0.35">
      <c r="A2474" s="145"/>
      <c r="E2474" s="102"/>
      <c r="F2474" s="102"/>
      <c r="G2474" s="102"/>
      <c r="I2474" s="93"/>
      <c r="J2474" s="93"/>
    </row>
    <row r="2475" spans="1:10" s="65" customFormat="1" ht="14" x14ac:dyDescent="0.35">
      <c r="A2475" s="145"/>
      <c r="E2475" s="102"/>
      <c r="F2475" s="102"/>
      <c r="G2475" s="102"/>
      <c r="I2475" s="93"/>
      <c r="J2475" s="93"/>
    </row>
    <row r="2476" spans="1:10" s="65" customFormat="1" ht="14" x14ac:dyDescent="0.35">
      <c r="A2476" s="145"/>
      <c r="E2476" s="102"/>
      <c r="F2476" s="102"/>
      <c r="G2476" s="102"/>
      <c r="I2476" s="93"/>
      <c r="J2476" s="93"/>
    </row>
    <row r="2477" spans="1:10" s="65" customFormat="1" ht="14" x14ac:dyDescent="0.35">
      <c r="A2477" s="145"/>
      <c r="E2477" s="102"/>
      <c r="F2477" s="102"/>
      <c r="G2477" s="102"/>
      <c r="I2477" s="93"/>
      <c r="J2477" s="93"/>
    </row>
    <row r="2478" spans="1:10" s="65" customFormat="1" ht="14" x14ac:dyDescent="0.35">
      <c r="A2478" s="145"/>
      <c r="E2478" s="102"/>
      <c r="F2478" s="102"/>
      <c r="G2478" s="102"/>
      <c r="I2478" s="93"/>
      <c r="J2478" s="93"/>
    </row>
    <row r="2479" spans="1:10" s="65" customFormat="1" ht="14" x14ac:dyDescent="0.35">
      <c r="A2479" s="145"/>
      <c r="E2479" s="102"/>
      <c r="F2479" s="102"/>
      <c r="G2479" s="102"/>
      <c r="I2479" s="93"/>
      <c r="J2479" s="93"/>
    </row>
    <row r="2480" spans="1:10" s="65" customFormat="1" ht="14" x14ac:dyDescent="0.35">
      <c r="A2480" s="145"/>
      <c r="E2480" s="102"/>
      <c r="F2480" s="102"/>
      <c r="G2480" s="102"/>
      <c r="I2480" s="93"/>
      <c r="J2480" s="93"/>
    </row>
    <row r="2481" spans="1:10" s="65" customFormat="1" ht="14" x14ac:dyDescent="0.35">
      <c r="A2481" s="145"/>
      <c r="E2481" s="102"/>
      <c r="F2481" s="102"/>
      <c r="G2481" s="102"/>
      <c r="I2481" s="93"/>
      <c r="J2481" s="93"/>
    </row>
    <row r="2482" spans="1:10" s="65" customFormat="1" ht="14" x14ac:dyDescent="0.35">
      <c r="A2482" s="145"/>
      <c r="E2482" s="102"/>
      <c r="F2482" s="102"/>
      <c r="G2482" s="102"/>
      <c r="I2482" s="93"/>
      <c r="J2482" s="93"/>
    </row>
    <row r="2483" spans="1:10" s="65" customFormat="1" ht="14" x14ac:dyDescent="0.35">
      <c r="A2483" s="145"/>
      <c r="E2483" s="102"/>
      <c r="F2483" s="102"/>
      <c r="G2483" s="102"/>
      <c r="I2483" s="93"/>
      <c r="J2483" s="93"/>
    </row>
    <row r="2484" spans="1:10" s="65" customFormat="1" ht="14" x14ac:dyDescent="0.35">
      <c r="A2484" s="145"/>
      <c r="E2484" s="102"/>
      <c r="F2484" s="102"/>
      <c r="G2484" s="102"/>
      <c r="I2484" s="93"/>
      <c r="J2484" s="93"/>
    </row>
    <row r="2485" spans="1:10" s="65" customFormat="1" ht="14" x14ac:dyDescent="0.35">
      <c r="A2485" s="145"/>
      <c r="E2485" s="102"/>
      <c r="F2485" s="102"/>
      <c r="G2485" s="102"/>
      <c r="I2485" s="93"/>
      <c r="J2485" s="93"/>
    </row>
    <row r="2486" spans="1:10" s="65" customFormat="1" ht="14" x14ac:dyDescent="0.35">
      <c r="A2486" s="145"/>
      <c r="E2486" s="102"/>
      <c r="F2486" s="102"/>
      <c r="G2486" s="102"/>
      <c r="I2486" s="93"/>
      <c r="J2486" s="93"/>
    </row>
    <row r="2487" spans="1:10" s="65" customFormat="1" ht="14" x14ac:dyDescent="0.35">
      <c r="A2487" s="145"/>
      <c r="E2487" s="102"/>
      <c r="F2487" s="102"/>
      <c r="G2487" s="102"/>
      <c r="I2487" s="93"/>
      <c r="J2487" s="93"/>
    </row>
    <row r="2488" spans="1:10" s="65" customFormat="1" ht="14" x14ac:dyDescent="0.35">
      <c r="A2488" s="145"/>
      <c r="E2488" s="102"/>
      <c r="F2488" s="102"/>
      <c r="G2488" s="102"/>
      <c r="I2488" s="93"/>
      <c r="J2488" s="93"/>
    </row>
    <row r="2489" spans="1:10" s="65" customFormat="1" ht="14" x14ac:dyDescent="0.35">
      <c r="A2489" s="145"/>
      <c r="E2489" s="102"/>
      <c r="F2489" s="102"/>
      <c r="G2489" s="102"/>
      <c r="I2489" s="93"/>
      <c r="J2489" s="93"/>
    </row>
    <row r="2490" spans="1:10" s="65" customFormat="1" ht="14" x14ac:dyDescent="0.35">
      <c r="A2490" s="145"/>
      <c r="E2490" s="102"/>
      <c r="F2490" s="102"/>
      <c r="G2490" s="102"/>
      <c r="I2490" s="93"/>
      <c r="J2490" s="93"/>
    </row>
    <row r="2491" spans="1:10" s="65" customFormat="1" ht="14" x14ac:dyDescent="0.35">
      <c r="A2491" s="145"/>
      <c r="E2491" s="102"/>
      <c r="F2491" s="102"/>
      <c r="G2491" s="102"/>
      <c r="I2491" s="93"/>
      <c r="J2491" s="93"/>
    </row>
    <row r="2492" spans="1:10" s="65" customFormat="1" ht="14" x14ac:dyDescent="0.35">
      <c r="A2492" s="145"/>
      <c r="E2492" s="102"/>
      <c r="F2492" s="102"/>
      <c r="G2492" s="102"/>
      <c r="I2492" s="93"/>
      <c r="J2492" s="93"/>
    </row>
    <row r="2493" spans="1:10" s="65" customFormat="1" ht="14" x14ac:dyDescent="0.35">
      <c r="A2493" s="145"/>
      <c r="E2493" s="102"/>
      <c r="F2493" s="102"/>
      <c r="G2493" s="102"/>
      <c r="I2493" s="93"/>
      <c r="J2493" s="93"/>
    </row>
    <row r="2494" spans="1:10" s="65" customFormat="1" ht="14" x14ac:dyDescent="0.35">
      <c r="A2494" s="145"/>
      <c r="E2494" s="102"/>
      <c r="F2494" s="102"/>
      <c r="G2494" s="102"/>
      <c r="I2494" s="93"/>
      <c r="J2494" s="93"/>
    </row>
    <row r="2495" spans="1:10" s="65" customFormat="1" ht="14" x14ac:dyDescent="0.35">
      <c r="A2495" s="145"/>
      <c r="E2495" s="102"/>
      <c r="F2495" s="102"/>
      <c r="G2495" s="102"/>
      <c r="I2495" s="93"/>
      <c r="J2495" s="93"/>
    </row>
    <row r="2496" spans="1:10" s="65" customFormat="1" ht="14" x14ac:dyDescent="0.35">
      <c r="A2496" s="145"/>
      <c r="E2496" s="102"/>
      <c r="F2496" s="102"/>
      <c r="G2496" s="102"/>
      <c r="I2496" s="93"/>
      <c r="J2496" s="93"/>
    </row>
    <row r="2497" spans="1:10" s="65" customFormat="1" ht="14" x14ac:dyDescent="0.35">
      <c r="A2497" s="145"/>
      <c r="E2497" s="102"/>
      <c r="F2497" s="102"/>
      <c r="G2497" s="102"/>
      <c r="I2497" s="93"/>
      <c r="J2497" s="93"/>
    </row>
    <row r="2498" spans="1:10" s="65" customFormat="1" ht="14" x14ac:dyDescent="0.35">
      <c r="A2498" s="145"/>
      <c r="E2498" s="102"/>
      <c r="F2498" s="102"/>
      <c r="G2498" s="102"/>
      <c r="I2498" s="93"/>
      <c r="J2498" s="93"/>
    </row>
    <row r="2499" spans="1:10" s="65" customFormat="1" ht="14" x14ac:dyDescent="0.35">
      <c r="A2499" s="145"/>
      <c r="E2499" s="102"/>
      <c r="F2499" s="102"/>
      <c r="G2499" s="102"/>
      <c r="I2499" s="93"/>
      <c r="J2499" s="93"/>
    </row>
    <row r="2500" spans="1:10" s="65" customFormat="1" ht="14" x14ac:dyDescent="0.35">
      <c r="A2500" s="145"/>
      <c r="E2500" s="102"/>
      <c r="F2500" s="102"/>
      <c r="G2500" s="102"/>
      <c r="I2500" s="93"/>
      <c r="J2500" s="93"/>
    </row>
    <row r="2501" spans="1:10" s="65" customFormat="1" ht="14" x14ac:dyDescent="0.35">
      <c r="A2501" s="145"/>
      <c r="E2501" s="102"/>
      <c r="F2501" s="102"/>
      <c r="G2501" s="102"/>
      <c r="I2501" s="93"/>
      <c r="J2501" s="93"/>
    </row>
    <row r="2502" spans="1:10" s="65" customFormat="1" ht="14" x14ac:dyDescent="0.35">
      <c r="A2502" s="145"/>
      <c r="E2502" s="102"/>
      <c r="F2502" s="102"/>
      <c r="G2502" s="102"/>
      <c r="I2502" s="93"/>
      <c r="J2502" s="93"/>
    </row>
    <row r="2503" spans="1:10" s="65" customFormat="1" ht="14" x14ac:dyDescent="0.35">
      <c r="A2503" s="145"/>
      <c r="E2503" s="102"/>
      <c r="F2503" s="102"/>
      <c r="G2503" s="102"/>
      <c r="I2503" s="93"/>
      <c r="J2503" s="93"/>
    </row>
    <row r="2504" spans="1:10" s="65" customFormat="1" ht="14" x14ac:dyDescent="0.35">
      <c r="A2504" s="145"/>
      <c r="E2504" s="102"/>
      <c r="F2504" s="102"/>
      <c r="G2504" s="102"/>
      <c r="I2504" s="93"/>
      <c r="J2504" s="93"/>
    </row>
    <row r="2505" spans="1:10" s="65" customFormat="1" ht="14" x14ac:dyDescent="0.35">
      <c r="A2505" s="145"/>
      <c r="E2505" s="102"/>
      <c r="F2505" s="102"/>
      <c r="G2505" s="102"/>
      <c r="I2505" s="93"/>
      <c r="J2505" s="93"/>
    </row>
    <row r="2506" spans="1:10" s="65" customFormat="1" ht="14" x14ac:dyDescent="0.35">
      <c r="A2506" s="145"/>
      <c r="E2506" s="102"/>
      <c r="F2506" s="102"/>
      <c r="G2506" s="102"/>
      <c r="I2506" s="93"/>
      <c r="J2506" s="93"/>
    </row>
    <row r="2507" spans="1:10" s="65" customFormat="1" ht="14" x14ac:dyDescent="0.35">
      <c r="A2507" s="145"/>
      <c r="E2507" s="102"/>
      <c r="F2507" s="102"/>
      <c r="G2507" s="102"/>
      <c r="I2507" s="93"/>
      <c r="J2507" s="93"/>
    </row>
    <row r="2508" spans="1:10" s="65" customFormat="1" ht="14" x14ac:dyDescent="0.35">
      <c r="A2508" s="145"/>
      <c r="E2508" s="102"/>
      <c r="F2508" s="102"/>
      <c r="G2508" s="102"/>
      <c r="I2508" s="93"/>
      <c r="J2508" s="93"/>
    </row>
    <row r="2509" spans="1:10" s="65" customFormat="1" ht="14" x14ac:dyDescent="0.35">
      <c r="A2509" s="145"/>
      <c r="E2509" s="102"/>
      <c r="F2509" s="102"/>
      <c r="G2509" s="102"/>
      <c r="I2509" s="93"/>
      <c r="J2509" s="93"/>
    </row>
    <row r="2510" spans="1:10" s="65" customFormat="1" ht="14" x14ac:dyDescent="0.35">
      <c r="A2510" s="145"/>
      <c r="E2510" s="102"/>
      <c r="F2510" s="102"/>
      <c r="G2510" s="102"/>
      <c r="I2510" s="93"/>
      <c r="J2510" s="93"/>
    </row>
    <row r="2511" spans="1:10" s="65" customFormat="1" ht="14" x14ac:dyDescent="0.35">
      <c r="A2511" s="145"/>
      <c r="E2511" s="102"/>
      <c r="F2511" s="102"/>
      <c r="G2511" s="102"/>
      <c r="I2511" s="93"/>
      <c r="J2511" s="93"/>
    </row>
    <row r="2512" spans="1:10" s="65" customFormat="1" ht="14" x14ac:dyDescent="0.35">
      <c r="A2512" s="145"/>
      <c r="E2512" s="102"/>
      <c r="F2512" s="102"/>
      <c r="G2512" s="102"/>
      <c r="I2512" s="93"/>
      <c r="J2512" s="93"/>
    </row>
    <row r="2513" spans="1:10" s="65" customFormat="1" ht="14" x14ac:dyDescent="0.35">
      <c r="A2513" s="145"/>
      <c r="E2513" s="102"/>
      <c r="F2513" s="102"/>
      <c r="G2513" s="102"/>
      <c r="I2513" s="93"/>
      <c r="J2513" s="93"/>
    </row>
    <row r="2514" spans="1:10" s="65" customFormat="1" ht="14" x14ac:dyDescent="0.35">
      <c r="A2514" s="145"/>
      <c r="E2514" s="102"/>
      <c r="F2514" s="102"/>
      <c r="G2514" s="102"/>
      <c r="I2514" s="93"/>
      <c r="J2514" s="93"/>
    </row>
    <row r="2515" spans="1:10" s="65" customFormat="1" ht="14" x14ac:dyDescent="0.35">
      <c r="A2515" s="145"/>
      <c r="E2515" s="102"/>
      <c r="F2515" s="102"/>
      <c r="G2515" s="102"/>
      <c r="I2515" s="93"/>
      <c r="J2515" s="93"/>
    </row>
    <row r="2516" spans="1:10" s="65" customFormat="1" ht="14" x14ac:dyDescent="0.35">
      <c r="A2516" s="145"/>
      <c r="E2516" s="102"/>
      <c r="F2516" s="102"/>
      <c r="G2516" s="102"/>
      <c r="I2516" s="93"/>
      <c r="J2516" s="93"/>
    </row>
    <row r="2517" spans="1:10" s="65" customFormat="1" ht="14" x14ac:dyDescent="0.35">
      <c r="A2517" s="145"/>
      <c r="E2517" s="102"/>
      <c r="F2517" s="102"/>
      <c r="G2517" s="102"/>
      <c r="I2517" s="93"/>
      <c r="J2517" s="93"/>
    </row>
    <row r="2518" spans="1:10" s="65" customFormat="1" ht="14" x14ac:dyDescent="0.35">
      <c r="A2518" s="145"/>
      <c r="E2518" s="102"/>
      <c r="F2518" s="102"/>
      <c r="G2518" s="102"/>
      <c r="I2518" s="93"/>
      <c r="J2518" s="93"/>
    </row>
    <row r="2519" spans="1:10" s="65" customFormat="1" ht="14" x14ac:dyDescent="0.35">
      <c r="A2519" s="145"/>
      <c r="E2519" s="102"/>
      <c r="F2519" s="102"/>
      <c r="G2519" s="102"/>
      <c r="I2519" s="93"/>
      <c r="J2519" s="93"/>
    </row>
    <row r="2520" spans="1:10" s="65" customFormat="1" ht="14" x14ac:dyDescent="0.35">
      <c r="A2520" s="145"/>
      <c r="E2520" s="102"/>
      <c r="F2520" s="102"/>
      <c r="G2520" s="102"/>
      <c r="I2520" s="93"/>
      <c r="J2520" s="93"/>
    </row>
    <row r="2521" spans="1:10" s="65" customFormat="1" ht="14" x14ac:dyDescent="0.35">
      <c r="A2521" s="145"/>
      <c r="E2521" s="102"/>
      <c r="F2521" s="102"/>
      <c r="G2521" s="102"/>
      <c r="I2521" s="93"/>
      <c r="J2521" s="93"/>
    </row>
    <row r="2522" spans="1:10" s="65" customFormat="1" ht="14" x14ac:dyDescent="0.35">
      <c r="A2522" s="145"/>
      <c r="E2522" s="102"/>
      <c r="F2522" s="102"/>
      <c r="G2522" s="102"/>
      <c r="I2522" s="93"/>
      <c r="J2522" s="93"/>
    </row>
    <row r="2523" spans="1:10" s="65" customFormat="1" ht="14" x14ac:dyDescent="0.35">
      <c r="A2523" s="145"/>
      <c r="E2523" s="102"/>
      <c r="F2523" s="102"/>
      <c r="G2523" s="102"/>
      <c r="I2523" s="93"/>
      <c r="J2523" s="93"/>
    </row>
    <row r="2524" spans="1:10" s="65" customFormat="1" ht="14" x14ac:dyDescent="0.35">
      <c r="A2524" s="145"/>
      <c r="E2524" s="102"/>
      <c r="F2524" s="102"/>
      <c r="G2524" s="102"/>
      <c r="I2524" s="93"/>
      <c r="J2524" s="93"/>
    </row>
    <row r="2525" spans="1:10" s="65" customFormat="1" ht="14" x14ac:dyDescent="0.35">
      <c r="A2525" s="145"/>
      <c r="E2525" s="102"/>
      <c r="F2525" s="102"/>
      <c r="G2525" s="102"/>
      <c r="I2525" s="93"/>
      <c r="J2525" s="93"/>
    </row>
    <row r="2526" spans="1:10" s="65" customFormat="1" ht="14" x14ac:dyDescent="0.35">
      <c r="A2526" s="145"/>
      <c r="E2526" s="102"/>
      <c r="F2526" s="102"/>
      <c r="G2526" s="102"/>
      <c r="I2526" s="93"/>
      <c r="J2526" s="93"/>
    </row>
    <row r="2527" spans="1:10" s="65" customFormat="1" ht="14" x14ac:dyDescent="0.35">
      <c r="A2527" s="145"/>
      <c r="E2527" s="102"/>
      <c r="F2527" s="102"/>
      <c r="G2527" s="102"/>
      <c r="I2527" s="93"/>
      <c r="J2527" s="93"/>
    </row>
    <row r="2528" spans="1:10" s="65" customFormat="1" ht="14" x14ac:dyDescent="0.35">
      <c r="A2528" s="145"/>
      <c r="E2528" s="102"/>
      <c r="F2528" s="102"/>
      <c r="G2528" s="102"/>
      <c r="I2528" s="93"/>
      <c r="J2528" s="93"/>
    </row>
    <row r="2529" spans="1:10" s="65" customFormat="1" ht="14" x14ac:dyDescent="0.35">
      <c r="A2529" s="145"/>
      <c r="E2529" s="102"/>
      <c r="F2529" s="102"/>
      <c r="G2529" s="102"/>
      <c r="I2529" s="93"/>
      <c r="J2529" s="93"/>
    </row>
    <row r="2530" spans="1:10" s="65" customFormat="1" ht="14" x14ac:dyDescent="0.35">
      <c r="A2530" s="145"/>
      <c r="E2530" s="102"/>
      <c r="F2530" s="102"/>
      <c r="G2530" s="102"/>
      <c r="I2530" s="93"/>
      <c r="J2530" s="93"/>
    </row>
    <row r="2531" spans="1:10" s="65" customFormat="1" ht="14" x14ac:dyDescent="0.35">
      <c r="A2531" s="145"/>
      <c r="E2531" s="102"/>
      <c r="F2531" s="102"/>
      <c r="G2531" s="102"/>
      <c r="I2531" s="93"/>
      <c r="J2531" s="93"/>
    </row>
    <row r="2532" spans="1:10" s="65" customFormat="1" ht="14" x14ac:dyDescent="0.35">
      <c r="A2532" s="145"/>
      <c r="E2532" s="102"/>
      <c r="F2532" s="102"/>
      <c r="G2532" s="102"/>
      <c r="I2532" s="93"/>
      <c r="J2532" s="93"/>
    </row>
    <row r="2533" spans="1:10" s="65" customFormat="1" ht="14" x14ac:dyDescent="0.35">
      <c r="A2533" s="145"/>
      <c r="E2533" s="102"/>
      <c r="F2533" s="102"/>
      <c r="G2533" s="102"/>
      <c r="I2533" s="93"/>
      <c r="J2533" s="93"/>
    </row>
    <row r="2534" spans="1:10" s="65" customFormat="1" ht="14" x14ac:dyDescent="0.35">
      <c r="A2534" s="145"/>
      <c r="E2534" s="102"/>
      <c r="F2534" s="102"/>
      <c r="G2534" s="102"/>
      <c r="I2534" s="93"/>
      <c r="J2534" s="93"/>
    </row>
    <row r="2535" spans="1:10" s="65" customFormat="1" ht="14" x14ac:dyDescent="0.35">
      <c r="A2535" s="145"/>
      <c r="E2535" s="102"/>
      <c r="F2535" s="102"/>
      <c r="G2535" s="102"/>
      <c r="I2535" s="93"/>
      <c r="J2535" s="93"/>
    </row>
    <row r="2536" spans="1:10" s="65" customFormat="1" ht="14" x14ac:dyDescent="0.35">
      <c r="A2536" s="145"/>
      <c r="E2536" s="102"/>
      <c r="F2536" s="102"/>
      <c r="G2536" s="102"/>
      <c r="I2536" s="93"/>
      <c r="J2536" s="93"/>
    </row>
    <row r="2537" spans="1:10" s="65" customFormat="1" ht="14" x14ac:dyDescent="0.35">
      <c r="A2537" s="145"/>
      <c r="E2537" s="102"/>
      <c r="F2537" s="102"/>
      <c r="G2537" s="102"/>
      <c r="I2537" s="93"/>
      <c r="J2537" s="93"/>
    </row>
    <row r="2538" spans="1:10" s="65" customFormat="1" ht="14" x14ac:dyDescent="0.35">
      <c r="A2538" s="145"/>
      <c r="E2538" s="102"/>
      <c r="F2538" s="102"/>
      <c r="G2538" s="102"/>
      <c r="I2538" s="93"/>
      <c r="J2538" s="93"/>
    </row>
    <row r="2539" spans="1:10" s="65" customFormat="1" ht="14" x14ac:dyDescent="0.35">
      <c r="A2539" s="145"/>
      <c r="E2539" s="102"/>
      <c r="F2539" s="102"/>
      <c r="G2539" s="102"/>
      <c r="I2539" s="93"/>
      <c r="J2539" s="93"/>
    </row>
    <row r="2540" spans="1:10" s="65" customFormat="1" ht="14" x14ac:dyDescent="0.35">
      <c r="A2540" s="145"/>
      <c r="E2540" s="102"/>
      <c r="F2540" s="102"/>
      <c r="G2540" s="102"/>
      <c r="I2540" s="93"/>
      <c r="J2540" s="93"/>
    </row>
    <row r="2541" spans="1:10" s="65" customFormat="1" ht="14" x14ac:dyDescent="0.35">
      <c r="A2541" s="145"/>
      <c r="E2541" s="102"/>
      <c r="F2541" s="102"/>
      <c r="G2541" s="102"/>
      <c r="I2541" s="93"/>
      <c r="J2541" s="93"/>
    </row>
    <row r="2542" spans="1:10" s="65" customFormat="1" ht="14" x14ac:dyDescent="0.35">
      <c r="A2542" s="145"/>
      <c r="E2542" s="102"/>
      <c r="F2542" s="102"/>
      <c r="G2542" s="102"/>
      <c r="I2542" s="93"/>
      <c r="J2542" s="93"/>
    </row>
    <row r="2543" spans="1:10" s="65" customFormat="1" ht="14" x14ac:dyDescent="0.35">
      <c r="A2543" s="145"/>
      <c r="E2543" s="102"/>
      <c r="F2543" s="102"/>
      <c r="G2543" s="102"/>
      <c r="I2543" s="93"/>
      <c r="J2543" s="93"/>
    </row>
    <row r="2544" spans="1:10" s="65" customFormat="1" ht="14" x14ac:dyDescent="0.35">
      <c r="A2544" s="145"/>
      <c r="E2544" s="102"/>
      <c r="F2544" s="102"/>
      <c r="G2544" s="102"/>
      <c r="I2544" s="93"/>
      <c r="J2544" s="93"/>
    </row>
    <row r="2545" spans="1:10" s="65" customFormat="1" ht="14" x14ac:dyDescent="0.35">
      <c r="A2545" s="145"/>
      <c r="E2545" s="102"/>
      <c r="F2545" s="102"/>
      <c r="G2545" s="102"/>
      <c r="I2545" s="93"/>
      <c r="J2545" s="93"/>
    </row>
    <row r="2546" spans="1:10" s="65" customFormat="1" ht="14" x14ac:dyDescent="0.35">
      <c r="A2546" s="145"/>
      <c r="E2546" s="102"/>
      <c r="F2546" s="102"/>
      <c r="G2546" s="102"/>
      <c r="I2546" s="93"/>
      <c r="J2546" s="93"/>
    </row>
    <row r="2547" spans="1:10" s="65" customFormat="1" ht="14" x14ac:dyDescent="0.35">
      <c r="A2547" s="145"/>
      <c r="E2547" s="102"/>
      <c r="F2547" s="102"/>
      <c r="G2547" s="102"/>
      <c r="I2547" s="93"/>
      <c r="J2547" s="93"/>
    </row>
    <row r="2548" spans="1:10" s="65" customFormat="1" ht="14" x14ac:dyDescent="0.35">
      <c r="A2548" s="145"/>
      <c r="E2548" s="102"/>
      <c r="F2548" s="102"/>
      <c r="G2548" s="102"/>
      <c r="I2548" s="93"/>
      <c r="J2548" s="93"/>
    </row>
    <row r="2549" spans="1:10" s="65" customFormat="1" ht="14" x14ac:dyDescent="0.35">
      <c r="A2549" s="145"/>
      <c r="E2549" s="102"/>
      <c r="F2549" s="102"/>
      <c r="G2549" s="102"/>
      <c r="I2549" s="93"/>
      <c r="J2549" s="93"/>
    </row>
    <row r="2550" spans="1:10" s="65" customFormat="1" ht="14" x14ac:dyDescent="0.35">
      <c r="A2550" s="145"/>
      <c r="E2550" s="102"/>
      <c r="F2550" s="102"/>
      <c r="G2550" s="102"/>
      <c r="I2550" s="93"/>
      <c r="J2550" s="93"/>
    </row>
    <row r="2551" spans="1:10" s="65" customFormat="1" ht="14" x14ac:dyDescent="0.35">
      <c r="A2551" s="145"/>
      <c r="E2551" s="102"/>
      <c r="F2551" s="102"/>
      <c r="G2551" s="102"/>
      <c r="I2551" s="93"/>
      <c r="J2551" s="93"/>
    </row>
    <row r="2552" spans="1:10" s="65" customFormat="1" ht="14" x14ac:dyDescent="0.35">
      <c r="A2552" s="145"/>
      <c r="E2552" s="102"/>
      <c r="F2552" s="102"/>
      <c r="G2552" s="102"/>
      <c r="I2552" s="93"/>
      <c r="J2552" s="93"/>
    </row>
    <row r="2553" spans="1:10" s="65" customFormat="1" ht="14" x14ac:dyDescent="0.35">
      <c r="A2553" s="145"/>
      <c r="E2553" s="102"/>
      <c r="F2553" s="102"/>
      <c r="G2553" s="102"/>
      <c r="I2553" s="93"/>
      <c r="J2553" s="93"/>
    </row>
    <row r="2554" spans="1:10" s="65" customFormat="1" ht="14" x14ac:dyDescent="0.35">
      <c r="A2554" s="145"/>
      <c r="E2554" s="102"/>
      <c r="F2554" s="102"/>
      <c r="G2554" s="102"/>
      <c r="I2554" s="93"/>
      <c r="J2554" s="93"/>
    </row>
    <row r="2555" spans="1:10" s="65" customFormat="1" ht="14" x14ac:dyDescent="0.35">
      <c r="A2555" s="145"/>
      <c r="E2555" s="102"/>
      <c r="F2555" s="102"/>
      <c r="G2555" s="102"/>
      <c r="I2555" s="93"/>
      <c r="J2555" s="93"/>
    </row>
    <row r="2556" spans="1:10" s="65" customFormat="1" ht="14" x14ac:dyDescent="0.35">
      <c r="A2556" s="145"/>
      <c r="E2556" s="102"/>
      <c r="F2556" s="102"/>
      <c r="G2556" s="102"/>
      <c r="I2556" s="93"/>
      <c r="J2556" s="93"/>
    </row>
    <row r="2557" spans="1:10" s="65" customFormat="1" ht="14" x14ac:dyDescent="0.35">
      <c r="A2557" s="145"/>
      <c r="E2557" s="102"/>
      <c r="F2557" s="102"/>
      <c r="G2557" s="102"/>
      <c r="I2557" s="93"/>
      <c r="J2557" s="93"/>
    </row>
    <row r="2558" spans="1:10" s="65" customFormat="1" ht="14" x14ac:dyDescent="0.35">
      <c r="A2558" s="145"/>
      <c r="E2558" s="102"/>
      <c r="F2558" s="102"/>
      <c r="G2558" s="102"/>
      <c r="I2558" s="93"/>
      <c r="J2558" s="93"/>
    </row>
    <row r="2559" spans="1:10" s="65" customFormat="1" ht="14" x14ac:dyDescent="0.35">
      <c r="A2559" s="145"/>
      <c r="E2559" s="102"/>
      <c r="F2559" s="102"/>
      <c r="G2559" s="102"/>
      <c r="I2559" s="93"/>
      <c r="J2559" s="93"/>
    </row>
    <row r="2560" spans="1:10" s="65" customFormat="1" ht="14" x14ac:dyDescent="0.35">
      <c r="A2560" s="145"/>
      <c r="E2560" s="102"/>
      <c r="F2560" s="102"/>
      <c r="G2560" s="102"/>
      <c r="I2560" s="93"/>
      <c r="J2560" s="93"/>
    </row>
    <row r="2561" spans="1:10" s="65" customFormat="1" ht="14" x14ac:dyDescent="0.35">
      <c r="A2561" s="145"/>
      <c r="E2561" s="102"/>
      <c r="F2561" s="102"/>
      <c r="G2561" s="102"/>
      <c r="I2561" s="93"/>
      <c r="J2561" s="93"/>
    </row>
    <row r="2562" spans="1:10" s="65" customFormat="1" ht="14" x14ac:dyDescent="0.35">
      <c r="A2562" s="145"/>
      <c r="E2562" s="102"/>
      <c r="F2562" s="102"/>
      <c r="G2562" s="102"/>
      <c r="I2562" s="93"/>
      <c r="J2562" s="93"/>
    </row>
    <row r="2563" spans="1:10" s="65" customFormat="1" ht="14" x14ac:dyDescent="0.35">
      <c r="A2563" s="145"/>
      <c r="E2563" s="102"/>
      <c r="F2563" s="102"/>
      <c r="G2563" s="102"/>
      <c r="I2563" s="93"/>
      <c r="J2563" s="93"/>
    </row>
    <row r="2564" spans="1:10" s="65" customFormat="1" ht="14" x14ac:dyDescent="0.35">
      <c r="A2564" s="145"/>
      <c r="E2564" s="102"/>
      <c r="F2564" s="102"/>
      <c r="G2564" s="102"/>
      <c r="I2564" s="93"/>
      <c r="J2564" s="93"/>
    </row>
    <row r="2565" spans="1:10" s="65" customFormat="1" ht="14" x14ac:dyDescent="0.35">
      <c r="A2565" s="145"/>
      <c r="E2565" s="102"/>
      <c r="F2565" s="102"/>
      <c r="G2565" s="102"/>
      <c r="I2565" s="93"/>
      <c r="J2565" s="93"/>
    </row>
    <row r="2566" spans="1:10" s="65" customFormat="1" ht="14" x14ac:dyDescent="0.35">
      <c r="A2566" s="145"/>
      <c r="E2566" s="102"/>
      <c r="F2566" s="102"/>
      <c r="G2566" s="102"/>
      <c r="I2566" s="93"/>
      <c r="J2566" s="93"/>
    </row>
    <row r="2567" spans="1:10" s="65" customFormat="1" ht="14" x14ac:dyDescent="0.35">
      <c r="A2567" s="145"/>
      <c r="E2567" s="102"/>
      <c r="F2567" s="102"/>
      <c r="G2567" s="102"/>
      <c r="I2567" s="93"/>
      <c r="J2567" s="93"/>
    </row>
    <row r="2568" spans="1:10" s="65" customFormat="1" ht="14" x14ac:dyDescent="0.35">
      <c r="A2568" s="145"/>
      <c r="E2568" s="102"/>
      <c r="F2568" s="102"/>
      <c r="G2568" s="102"/>
      <c r="I2568" s="93"/>
      <c r="J2568" s="93"/>
    </row>
    <row r="2569" spans="1:10" s="65" customFormat="1" ht="14" x14ac:dyDescent="0.35">
      <c r="A2569" s="145"/>
      <c r="E2569" s="102"/>
      <c r="F2569" s="102"/>
      <c r="G2569" s="102"/>
      <c r="I2569" s="93"/>
      <c r="J2569" s="93"/>
    </row>
    <row r="2570" spans="1:10" s="65" customFormat="1" ht="14" x14ac:dyDescent="0.35">
      <c r="A2570" s="145"/>
      <c r="E2570" s="102"/>
      <c r="F2570" s="102"/>
      <c r="G2570" s="102"/>
      <c r="I2570" s="93"/>
      <c r="J2570" s="93"/>
    </row>
    <row r="2571" spans="1:10" s="65" customFormat="1" ht="14" x14ac:dyDescent="0.35">
      <c r="A2571" s="145"/>
      <c r="E2571" s="102"/>
      <c r="F2571" s="102"/>
      <c r="G2571" s="102"/>
      <c r="I2571" s="93"/>
      <c r="J2571" s="93"/>
    </row>
    <row r="2572" spans="1:10" s="65" customFormat="1" ht="14" x14ac:dyDescent="0.35">
      <c r="A2572" s="145"/>
      <c r="E2572" s="102"/>
      <c r="F2572" s="102"/>
      <c r="G2572" s="102"/>
      <c r="I2572" s="93"/>
      <c r="J2572" s="93"/>
    </row>
    <row r="2573" spans="1:10" s="65" customFormat="1" ht="14" x14ac:dyDescent="0.35">
      <c r="A2573" s="145"/>
      <c r="E2573" s="102"/>
      <c r="F2573" s="102"/>
      <c r="G2573" s="102"/>
      <c r="I2573" s="93"/>
      <c r="J2573" s="93"/>
    </row>
    <row r="2574" spans="1:10" s="65" customFormat="1" ht="14" x14ac:dyDescent="0.35">
      <c r="A2574" s="145"/>
      <c r="E2574" s="102"/>
      <c r="F2574" s="102"/>
      <c r="G2574" s="102"/>
      <c r="I2574" s="93"/>
      <c r="J2574" s="93"/>
    </row>
    <row r="2575" spans="1:10" s="65" customFormat="1" ht="14" x14ac:dyDescent="0.35">
      <c r="A2575" s="145"/>
      <c r="E2575" s="102"/>
      <c r="F2575" s="102"/>
      <c r="G2575" s="102"/>
      <c r="I2575" s="93"/>
      <c r="J2575" s="93"/>
    </row>
    <row r="2576" spans="1:10" s="65" customFormat="1" ht="14" x14ac:dyDescent="0.35">
      <c r="A2576" s="145"/>
      <c r="E2576" s="102"/>
      <c r="F2576" s="102"/>
      <c r="G2576" s="102"/>
      <c r="I2576" s="93"/>
      <c r="J2576" s="93"/>
    </row>
    <row r="2577" spans="1:10" s="65" customFormat="1" ht="14" x14ac:dyDescent="0.35">
      <c r="A2577" s="145"/>
      <c r="E2577" s="102"/>
      <c r="F2577" s="102"/>
      <c r="G2577" s="102"/>
      <c r="I2577" s="93"/>
      <c r="J2577" s="93"/>
    </row>
    <row r="2578" spans="1:10" s="65" customFormat="1" ht="14" x14ac:dyDescent="0.35">
      <c r="A2578" s="145"/>
      <c r="E2578" s="102"/>
      <c r="F2578" s="102"/>
      <c r="G2578" s="102"/>
      <c r="I2578" s="93"/>
      <c r="J2578" s="93"/>
    </row>
    <row r="2579" spans="1:10" s="65" customFormat="1" ht="14" x14ac:dyDescent="0.35">
      <c r="A2579" s="145"/>
      <c r="E2579" s="102"/>
      <c r="F2579" s="102"/>
      <c r="G2579" s="102"/>
      <c r="I2579" s="93"/>
      <c r="J2579" s="93"/>
    </row>
    <row r="2580" spans="1:10" s="65" customFormat="1" ht="14" x14ac:dyDescent="0.35">
      <c r="A2580" s="145"/>
      <c r="E2580" s="102"/>
      <c r="F2580" s="102"/>
      <c r="G2580" s="102"/>
      <c r="I2580" s="93"/>
      <c r="J2580" s="93"/>
    </row>
    <row r="2581" spans="1:10" s="65" customFormat="1" ht="14" x14ac:dyDescent="0.35">
      <c r="A2581" s="145"/>
      <c r="E2581" s="102"/>
      <c r="F2581" s="102"/>
      <c r="G2581" s="102"/>
      <c r="I2581" s="93"/>
      <c r="J2581" s="93"/>
    </row>
    <row r="2582" spans="1:10" s="65" customFormat="1" ht="14" x14ac:dyDescent="0.35">
      <c r="A2582" s="145"/>
      <c r="E2582" s="102"/>
      <c r="F2582" s="102"/>
      <c r="G2582" s="102"/>
      <c r="I2582" s="93"/>
      <c r="J2582" s="93"/>
    </row>
    <row r="2583" spans="1:10" s="65" customFormat="1" ht="14" x14ac:dyDescent="0.35">
      <c r="A2583" s="145"/>
      <c r="E2583" s="102"/>
      <c r="F2583" s="102"/>
      <c r="G2583" s="102"/>
      <c r="I2583" s="93"/>
      <c r="J2583" s="93"/>
    </row>
    <row r="2584" spans="1:10" s="65" customFormat="1" ht="14" x14ac:dyDescent="0.35">
      <c r="A2584" s="145"/>
      <c r="E2584" s="102"/>
      <c r="F2584" s="102"/>
      <c r="G2584" s="102"/>
      <c r="I2584" s="93"/>
      <c r="J2584" s="93"/>
    </row>
    <row r="2585" spans="1:10" s="65" customFormat="1" ht="14" x14ac:dyDescent="0.35">
      <c r="A2585" s="145"/>
      <c r="E2585" s="102"/>
      <c r="F2585" s="102"/>
      <c r="G2585" s="102"/>
      <c r="I2585" s="93"/>
      <c r="J2585" s="93"/>
    </row>
    <row r="2586" spans="1:10" s="65" customFormat="1" ht="14" x14ac:dyDescent="0.35">
      <c r="A2586" s="145"/>
      <c r="E2586" s="102"/>
      <c r="F2586" s="102"/>
      <c r="G2586" s="102"/>
      <c r="I2586" s="93"/>
      <c r="J2586" s="93"/>
    </row>
    <row r="2587" spans="1:10" s="65" customFormat="1" ht="14" x14ac:dyDescent="0.35">
      <c r="A2587" s="145"/>
      <c r="E2587" s="102"/>
      <c r="F2587" s="102"/>
      <c r="G2587" s="102"/>
      <c r="I2587" s="93"/>
      <c r="J2587" s="93"/>
    </row>
    <row r="2588" spans="1:10" s="65" customFormat="1" ht="14" x14ac:dyDescent="0.35">
      <c r="A2588" s="145"/>
      <c r="E2588" s="102"/>
      <c r="F2588" s="102"/>
      <c r="G2588" s="102"/>
      <c r="I2588" s="93"/>
      <c r="J2588" s="93"/>
    </row>
    <row r="2589" spans="1:10" s="65" customFormat="1" ht="14" x14ac:dyDescent="0.35">
      <c r="A2589" s="145"/>
      <c r="E2589" s="102"/>
      <c r="F2589" s="102"/>
      <c r="G2589" s="102"/>
      <c r="I2589" s="93"/>
      <c r="J2589" s="93"/>
    </row>
    <row r="2590" spans="1:10" s="65" customFormat="1" ht="14" x14ac:dyDescent="0.35">
      <c r="A2590" s="145"/>
      <c r="E2590" s="102"/>
      <c r="F2590" s="102"/>
      <c r="G2590" s="102"/>
      <c r="I2590" s="93"/>
      <c r="J2590" s="93"/>
    </row>
    <row r="2591" spans="1:10" s="65" customFormat="1" ht="14" x14ac:dyDescent="0.35">
      <c r="A2591" s="145"/>
      <c r="E2591" s="102"/>
      <c r="F2591" s="102"/>
      <c r="G2591" s="102"/>
      <c r="I2591" s="93"/>
      <c r="J2591" s="93"/>
    </row>
    <row r="2592" spans="1:10" s="65" customFormat="1" ht="14" x14ac:dyDescent="0.35">
      <c r="A2592" s="145"/>
      <c r="E2592" s="102"/>
      <c r="F2592" s="102"/>
      <c r="G2592" s="102"/>
      <c r="I2592" s="93"/>
      <c r="J2592" s="93"/>
    </row>
    <row r="2593" spans="1:10" s="65" customFormat="1" ht="14" x14ac:dyDescent="0.35">
      <c r="A2593" s="145"/>
      <c r="E2593" s="102"/>
      <c r="F2593" s="102"/>
      <c r="G2593" s="102"/>
      <c r="I2593" s="93"/>
      <c r="J2593" s="93"/>
    </row>
    <row r="2594" spans="1:10" s="65" customFormat="1" ht="14" x14ac:dyDescent="0.35">
      <c r="A2594" s="145"/>
      <c r="E2594" s="102"/>
      <c r="F2594" s="102"/>
      <c r="G2594" s="102"/>
      <c r="I2594" s="93"/>
      <c r="J2594" s="93"/>
    </row>
    <row r="2595" spans="1:10" s="65" customFormat="1" ht="14" x14ac:dyDescent="0.35">
      <c r="A2595" s="145"/>
      <c r="E2595" s="102"/>
      <c r="F2595" s="102"/>
      <c r="G2595" s="102"/>
      <c r="I2595" s="93"/>
      <c r="J2595" s="93"/>
    </row>
    <row r="2596" spans="1:10" s="65" customFormat="1" ht="14" x14ac:dyDescent="0.35">
      <c r="A2596" s="145"/>
      <c r="E2596" s="102"/>
      <c r="F2596" s="102"/>
      <c r="G2596" s="102"/>
      <c r="I2596" s="93"/>
      <c r="J2596" s="93"/>
    </row>
    <row r="2597" spans="1:10" s="65" customFormat="1" ht="14" x14ac:dyDescent="0.35">
      <c r="A2597" s="145"/>
      <c r="E2597" s="102"/>
      <c r="F2597" s="102"/>
      <c r="G2597" s="102"/>
      <c r="I2597" s="93"/>
      <c r="J2597" s="93"/>
    </row>
    <row r="2598" spans="1:10" s="65" customFormat="1" ht="14" x14ac:dyDescent="0.35">
      <c r="A2598" s="145"/>
      <c r="E2598" s="102"/>
      <c r="F2598" s="102"/>
      <c r="G2598" s="102"/>
      <c r="I2598" s="93"/>
      <c r="J2598" s="93"/>
    </row>
    <row r="2599" spans="1:10" s="65" customFormat="1" ht="14" x14ac:dyDescent="0.35">
      <c r="A2599" s="145"/>
      <c r="E2599" s="102"/>
      <c r="F2599" s="102"/>
      <c r="G2599" s="102"/>
      <c r="I2599" s="93"/>
      <c r="J2599" s="93"/>
    </row>
    <row r="2600" spans="1:10" s="65" customFormat="1" ht="14" x14ac:dyDescent="0.35">
      <c r="A2600" s="145"/>
      <c r="E2600" s="102"/>
      <c r="F2600" s="102"/>
      <c r="G2600" s="102"/>
      <c r="I2600" s="93"/>
      <c r="J2600" s="93"/>
    </row>
    <row r="2601" spans="1:10" s="65" customFormat="1" ht="14" x14ac:dyDescent="0.35">
      <c r="A2601" s="145"/>
      <c r="E2601" s="102"/>
      <c r="F2601" s="102"/>
      <c r="G2601" s="102"/>
      <c r="I2601" s="93"/>
      <c r="J2601" s="93"/>
    </row>
    <row r="2602" spans="1:10" s="65" customFormat="1" ht="14" x14ac:dyDescent="0.35">
      <c r="A2602" s="145"/>
      <c r="E2602" s="102"/>
      <c r="F2602" s="102"/>
      <c r="G2602" s="102"/>
      <c r="I2602" s="93"/>
      <c r="J2602" s="93"/>
    </row>
    <row r="2603" spans="1:10" s="65" customFormat="1" ht="14" x14ac:dyDescent="0.35">
      <c r="A2603" s="145"/>
      <c r="E2603" s="102"/>
      <c r="F2603" s="102"/>
      <c r="G2603" s="102"/>
      <c r="I2603" s="93"/>
      <c r="J2603" s="93"/>
    </row>
    <row r="2604" spans="1:10" s="65" customFormat="1" ht="14" x14ac:dyDescent="0.35">
      <c r="A2604" s="145"/>
      <c r="E2604" s="102"/>
      <c r="F2604" s="102"/>
      <c r="G2604" s="102"/>
      <c r="I2604" s="93"/>
      <c r="J2604" s="93"/>
    </row>
    <row r="2605" spans="1:10" s="65" customFormat="1" ht="14" x14ac:dyDescent="0.35">
      <c r="A2605" s="145"/>
      <c r="E2605" s="102"/>
      <c r="F2605" s="102"/>
      <c r="G2605" s="102"/>
      <c r="I2605" s="93"/>
      <c r="J2605" s="93"/>
    </row>
    <row r="2606" spans="1:10" s="65" customFormat="1" ht="14" x14ac:dyDescent="0.35">
      <c r="A2606" s="145"/>
      <c r="E2606" s="102"/>
      <c r="F2606" s="102"/>
      <c r="G2606" s="102"/>
      <c r="I2606" s="93"/>
      <c r="J2606" s="93"/>
    </row>
    <row r="2607" spans="1:10" s="65" customFormat="1" ht="14" x14ac:dyDescent="0.35">
      <c r="A2607" s="145"/>
      <c r="E2607" s="102"/>
      <c r="F2607" s="102"/>
      <c r="G2607" s="102"/>
      <c r="I2607" s="93"/>
      <c r="J2607" s="93"/>
    </row>
    <row r="2608" spans="1:10" s="65" customFormat="1" ht="14" x14ac:dyDescent="0.35">
      <c r="A2608" s="145"/>
      <c r="E2608" s="102"/>
      <c r="F2608" s="102"/>
      <c r="G2608" s="102"/>
      <c r="I2608" s="93"/>
      <c r="J2608" s="93"/>
    </row>
    <row r="2609" spans="1:10" s="65" customFormat="1" ht="14" x14ac:dyDescent="0.35">
      <c r="A2609" s="145"/>
      <c r="E2609" s="102"/>
      <c r="F2609" s="102"/>
      <c r="G2609" s="102"/>
      <c r="I2609" s="93"/>
      <c r="J2609" s="93"/>
    </row>
    <row r="2610" spans="1:10" s="65" customFormat="1" ht="14" x14ac:dyDescent="0.35">
      <c r="A2610" s="145"/>
      <c r="E2610" s="102"/>
      <c r="F2610" s="102"/>
      <c r="G2610" s="102"/>
      <c r="I2610" s="93"/>
      <c r="J2610" s="93"/>
    </row>
    <row r="2611" spans="1:10" s="65" customFormat="1" ht="14" x14ac:dyDescent="0.35">
      <c r="A2611" s="145"/>
      <c r="E2611" s="102"/>
      <c r="F2611" s="102"/>
      <c r="G2611" s="102"/>
      <c r="I2611" s="93"/>
      <c r="J2611" s="93"/>
    </row>
    <row r="2612" spans="1:10" s="65" customFormat="1" ht="14" x14ac:dyDescent="0.35">
      <c r="A2612" s="145"/>
      <c r="E2612" s="102"/>
      <c r="F2612" s="102"/>
      <c r="G2612" s="102"/>
      <c r="I2612" s="93"/>
      <c r="J2612" s="93"/>
    </row>
    <row r="2613" spans="1:10" s="65" customFormat="1" ht="14" x14ac:dyDescent="0.35">
      <c r="A2613" s="145"/>
      <c r="E2613" s="102"/>
      <c r="F2613" s="102"/>
      <c r="G2613" s="102"/>
      <c r="I2613" s="93"/>
      <c r="J2613" s="93"/>
    </row>
    <row r="2614" spans="1:10" s="65" customFormat="1" ht="14" x14ac:dyDescent="0.35">
      <c r="A2614" s="145"/>
      <c r="E2614" s="102"/>
      <c r="F2614" s="102"/>
      <c r="G2614" s="102"/>
      <c r="I2614" s="93"/>
      <c r="J2614" s="93"/>
    </row>
    <row r="2615" spans="1:10" s="65" customFormat="1" ht="14" x14ac:dyDescent="0.35">
      <c r="A2615" s="145"/>
      <c r="E2615" s="102"/>
      <c r="F2615" s="102"/>
      <c r="G2615" s="102"/>
      <c r="I2615" s="93"/>
      <c r="J2615" s="93"/>
    </row>
    <row r="2616" spans="1:10" s="65" customFormat="1" ht="14" x14ac:dyDescent="0.35">
      <c r="A2616" s="145"/>
      <c r="E2616" s="102"/>
      <c r="F2616" s="102"/>
      <c r="G2616" s="102"/>
      <c r="I2616" s="93"/>
      <c r="J2616" s="93"/>
    </row>
    <row r="2617" spans="1:10" s="65" customFormat="1" ht="14" x14ac:dyDescent="0.35">
      <c r="A2617" s="145"/>
      <c r="E2617" s="102"/>
      <c r="F2617" s="102"/>
      <c r="G2617" s="102"/>
      <c r="I2617" s="93"/>
      <c r="J2617" s="93"/>
    </row>
    <row r="2618" spans="1:10" s="65" customFormat="1" ht="14" x14ac:dyDescent="0.35">
      <c r="A2618" s="145"/>
      <c r="E2618" s="102"/>
      <c r="F2618" s="102"/>
      <c r="G2618" s="102"/>
      <c r="I2618" s="93"/>
      <c r="J2618" s="93"/>
    </row>
    <row r="2619" spans="1:10" s="65" customFormat="1" ht="14" x14ac:dyDescent="0.35">
      <c r="A2619" s="145"/>
      <c r="E2619" s="102"/>
      <c r="F2619" s="102"/>
      <c r="G2619" s="102"/>
      <c r="I2619" s="93"/>
      <c r="J2619" s="93"/>
    </row>
    <row r="2620" spans="1:10" s="65" customFormat="1" ht="14" x14ac:dyDescent="0.35">
      <c r="A2620" s="145"/>
      <c r="E2620" s="102"/>
      <c r="F2620" s="102"/>
      <c r="G2620" s="102"/>
      <c r="I2620" s="93"/>
      <c r="J2620" s="93"/>
    </row>
    <row r="2621" spans="1:10" s="65" customFormat="1" ht="14" x14ac:dyDescent="0.35">
      <c r="A2621" s="145"/>
      <c r="E2621" s="102"/>
      <c r="F2621" s="102"/>
      <c r="G2621" s="102"/>
      <c r="I2621" s="93"/>
      <c r="J2621" s="93"/>
    </row>
    <row r="2622" spans="1:10" s="65" customFormat="1" ht="14" x14ac:dyDescent="0.35">
      <c r="A2622" s="145"/>
      <c r="E2622" s="102"/>
      <c r="F2622" s="102"/>
      <c r="G2622" s="102"/>
      <c r="I2622" s="93"/>
      <c r="J2622" s="93"/>
    </row>
    <row r="2623" spans="1:10" s="65" customFormat="1" ht="14" x14ac:dyDescent="0.35">
      <c r="A2623" s="145"/>
      <c r="E2623" s="102"/>
      <c r="F2623" s="102"/>
      <c r="G2623" s="102"/>
      <c r="I2623" s="93"/>
      <c r="J2623" s="93"/>
    </row>
    <row r="2624" spans="1:10" s="65" customFormat="1" ht="14" x14ac:dyDescent="0.35">
      <c r="A2624" s="145"/>
      <c r="E2624" s="102"/>
      <c r="F2624" s="102"/>
      <c r="G2624" s="102"/>
      <c r="I2624" s="93"/>
      <c r="J2624" s="93"/>
    </row>
    <row r="2625" spans="1:10" s="65" customFormat="1" ht="14" x14ac:dyDescent="0.35">
      <c r="A2625" s="145"/>
      <c r="E2625" s="102"/>
      <c r="F2625" s="102"/>
      <c r="G2625" s="102"/>
      <c r="I2625" s="93"/>
      <c r="J2625" s="93"/>
    </row>
    <row r="2626" spans="1:10" s="65" customFormat="1" ht="14" x14ac:dyDescent="0.35">
      <c r="A2626" s="145"/>
      <c r="E2626" s="102"/>
      <c r="F2626" s="102"/>
      <c r="G2626" s="102"/>
      <c r="I2626" s="93"/>
      <c r="J2626" s="93"/>
    </row>
    <row r="2627" spans="1:10" s="65" customFormat="1" ht="14" x14ac:dyDescent="0.35">
      <c r="A2627" s="145"/>
      <c r="E2627" s="102"/>
      <c r="F2627" s="102"/>
      <c r="G2627" s="102"/>
      <c r="I2627" s="93"/>
      <c r="J2627" s="93"/>
    </row>
    <row r="2628" spans="1:10" s="65" customFormat="1" ht="14" x14ac:dyDescent="0.35">
      <c r="A2628" s="145"/>
      <c r="E2628" s="102"/>
      <c r="F2628" s="102"/>
      <c r="G2628" s="102"/>
      <c r="I2628" s="93"/>
      <c r="J2628" s="93"/>
    </row>
    <row r="2629" spans="1:10" s="65" customFormat="1" ht="14" x14ac:dyDescent="0.35">
      <c r="A2629" s="145"/>
      <c r="E2629" s="102"/>
      <c r="F2629" s="102"/>
      <c r="G2629" s="102"/>
      <c r="I2629" s="93"/>
      <c r="J2629" s="93"/>
    </row>
    <row r="2630" spans="1:10" s="65" customFormat="1" ht="14" x14ac:dyDescent="0.35">
      <c r="A2630" s="145"/>
      <c r="E2630" s="102"/>
      <c r="F2630" s="102"/>
      <c r="G2630" s="102"/>
      <c r="I2630" s="93"/>
      <c r="J2630" s="93"/>
    </row>
    <row r="2631" spans="1:10" s="65" customFormat="1" ht="14" x14ac:dyDescent="0.35">
      <c r="A2631" s="145"/>
      <c r="E2631" s="102"/>
      <c r="F2631" s="102"/>
      <c r="G2631" s="102"/>
      <c r="I2631" s="93"/>
      <c r="J2631" s="93"/>
    </row>
    <row r="2632" spans="1:10" s="65" customFormat="1" ht="14" x14ac:dyDescent="0.35">
      <c r="A2632" s="145"/>
      <c r="E2632" s="102"/>
      <c r="F2632" s="102"/>
      <c r="G2632" s="102"/>
      <c r="I2632" s="93"/>
      <c r="J2632" s="93"/>
    </row>
    <row r="2633" spans="1:10" s="65" customFormat="1" ht="14" x14ac:dyDescent="0.35">
      <c r="A2633" s="145"/>
      <c r="E2633" s="102"/>
      <c r="F2633" s="102"/>
      <c r="G2633" s="102"/>
      <c r="I2633" s="93"/>
      <c r="J2633" s="93"/>
    </row>
    <row r="2634" spans="1:10" s="65" customFormat="1" ht="14" x14ac:dyDescent="0.35">
      <c r="A2634" s="145"/>
      <c r="E2634" s="102"/>
      <c r="F2634" s="102"/>
      <c r="G2634" s="102"/>
      <c r="I2634" s="93"/>
      <c r="J2634" s="93"/>
    </row>
    <row r="2635" spans="1:10" s="65" customFormat="1" ht="14" x14ac:dyDescent="0.35">
      <c r="A2635" s="145"/>
      <c r="E2635" s="102"/>
      <c r="F2635" s="102"/>
      <c r="G2635" s="102"/>
      <c r="I2635" s="93"/>
      <c r="J2635" s="93"/>
    </row>
    <row r="2636" spans="1:10" s="65" customFormat="1" ht="14" x14ac:dyDescent="0.35">
      <c r="A2636" s="145"/>
      <c r="E2636" s="102"/>
      <c r="F2636" s="102"/>
      <c r="G2636" s="102"/>
      <c r="I2636" s="93"/>
      <c r="J2636" s="93"/>
    </row>
    <row r="2637" spans="1:10" s="65" customFormat="1" ht="14" x14ac:dyDescent="0.35">
      <c r="A2637" s="145"/>
      <c r="E2637" s="102"/>
      <c r="F2637" s="102"/>
      <c r="G2637" s="102"/>
      <c r="I2637" s="93"/>
      <c r="J2637" s="93"/>
    </row>
    <row r="2638" spans="1:10" s="65" customFormat="1" ht="14" x14ac:dyDescent="0.35">
      <c r="A2638" s="145"/>
      <c r="E2638" s="102"/>
      <c r="F2638" s="102"/>
      <c r="G2638" s="102"/>
      <c r="I2638" s="93"/>
      <c r="J2638" s="93"/>
    </row>
    <row r="2639" spans="1:10" s="65" customFormat="1" ht="14" x14ac:dyDescent="0.35">
      <c r="A2639" s="145"/>
      <c r="E2639" s="102"/>
      <c r="F2639" s="102"/>
      <c r="G2639" s="102"/>
      <c r="I2639" s="93"/>
      <c r="J2639" s="93"/>
    </row>
    <row r="2640" spans="1:10" s="65" customFormat="1" ht="14" x14ac:dyDescent="0.35">
      <c r="A2640" s="145"/>
      <c r="E2640" s="102"/>
      <c r="F2640" s="102"/>
      <c r="G2640" s="102"/>
      <c r="I2640" s="93"/>
      <c r="J2640" s="93"/>
    </row>
    <row r="2641" spans="1:10" s="65" customFormat="1" ht="14" x14ac:dyDescent="0.35">
      <c r="A2641" s="145"/>
      <c r="E2641" s="102"/>
      <c r="F2641" s="102"/>
      <c r="G2641" s="102"/>
      <c r="I2641" s="93"/>
      <c r="J2641" s="93"/>
    </row>
    <row r="2642" spans="1:10" s="65" customFormat="1" ht="14" x14ac:dyDescent="0.35">
      <c r="A2642" s="145"/>
      <c r="E2642" s="102"/>
      <c r="F2642" s="102"/>
      <c r="G2642" s="102"/>
      <c r="I2642" s="93"/>
      <c r="J2642" s="93"/>
    </row>
    <row r="2643" spans="1:10" s="65" customFormat="1" ht="14" x14ac:dyDescent="0.35">
      <c r="A2643" s="145"/>
      <c r="E2643" s="102"/>
      <c r="F2643" s="102"/>
      <c r="G2643" s="102"/>
      <c r="I2643" s="93"/>
      <c r="J2643" s="93"/>
    </row>
    <row r="2644" spans="1:10" s="65" customFormat="1" ht="14" x14ac:dyDescent="0.35">
      <c r="A2644" s="145"/>
      <c r="E2644" s="102"/>
      <c r="F2644" s="102"/>
      <c r="G2644" s="102"/>
      <c r="I2644" s="93"/>
      <c r="J2644" s="93"/>
    </row>
    <row r="2645" spans="1:10" s="65" customFormat="1" ht="14" x14ac:dyDescent="0.35">
      <c r="A2645" s="145"/>
      <c r="E2645" s="102"/>
      <c r="F2645" s="102"/>
      <c r="G2645" s="102"/>
      <c r="I2645" s="93"/>
      <c r="J2645" s="93"/>
    </row>
    <row r="2646" spans="1:10" s="65" customFormat="1" ht="14" x14ac:dyDescent="0.35">
      <c r="A2646" s="145"/>
      <c r="E2646" s="102"/>
      <c r="F2646" s="102"/>
      <c r="G2646" s="102"/>
      <c r="I2646" s="93"/>
      <c r="J2646" s="93"/>
    </row>
    <row r="2647" spans="1:10" s="65" customFormat="1" ht="14" x14ac:dyDescent="0.35">
      <c r="A2647" s="145"/>
      <c r="E2647" s="102"/>
      <c r="F2647" s="102"/>
      <c r="G2647" s="102"/>
      <c r="I2647" s="93"/>
      <c r="J2647" s="93"/>
    </row>
    <row r="2648" spans="1:10" s="65" customFormat="1" ht="14" x14ac:dyDescent="0.35">
      <c r="A2648" s="145"/>
      <c r="E2648" s="102"/>
      <c r="F2648" s="102"/>
      <c r="G2648" s="102"/>
      <c r="I2648" s="93"/>
      <c r="J2648" s="93"/>
    </row>
    <row r="2649" spans="1:10" s="65" customFormat="1" ht="14" x14ac:dyDescent="0.35">
      <c r="A2649" s="145"/>
      <c r="E2649" s="102"/>
      <c r="F2649" s="102"/>
      <c r="G2649" s="102"/>
      <c r="I2649" s="93"/>
      <c r="J2649" s="93"/>
    </row>
    <row r="2650" spans="1:10" s="65" customFormat="1" ht="14" x14ac:dyDescent="0.35">
      <c r="A2650" s="145"/>
      <c r="E2650" s="102"/>
      <c r="F2650" s="102"/>
      <c r="G2650" s="102"/>
      <c r="I2650" s="93"/>
      <c r="J2650" s="93"/>
    </row>
    <row r="2651" spans="1:10" s="65" customFormat="1" ht="14" x14ac:dyDescent="0.35">
      <c r="A2651" s="145"/>
      <c r="E2651" s="102"/>
      <c r="F2651" s="102"/>
      <c r="G2651" s="102"/>
      <c r="I2651" s="93"/>
      <c r="J2651" s="93"/>
    </row>
    <row r="2652" spans="1:10" s="65" customFormat="1" ht="14" x14ac:dyDescent="0.35">
      <c r="A2652" s="145"/>
      <c r="E2652" s="102"/>
      <c r="F2652" s="102"/>
      <c r="G2652" s="102"/>
      <c r="I2652" s="93"/>
      <c r="J2652" s="93"/>
    </row>
    <row r="2653" spans="1:10" s="65" customFormat="1" ht="14" x14ac:dyDescent="0.35">
      <c r="A2653" s="145"/>
      <c r="E2653" s="102"/>
      <c r="F2653" s="102"/>
      <c r="G2653" s="102"/>
      <c r="I2653" s="93"/>
      <c r="J2653" s="93"/>
    </row>
    <row r="2654" spans="1:10" s="65" customFormat="1" ht="14" x14ac:dyDescent="0.35">
      <c r="A2654" s="145"/>
      <c r="E2654" s="102"/>
      <c r="F2654" s="102"/>
      <c r="G2654" s="102"/>
      <c r="I2654" s="93"/>
      <c r="J2654" s="93"/>
    </row>
    <row r="2655" spans="1:10" s="65" customFormat="1" ht="14" x14ac:dyDescent="0.35">
      <c r="A2655" s="145"/>
      <c r="E2655" s="102"/>
      <c r="F2655" s="102"/>
      <c r="G2655" s="102"/>
      <c r="I2655" s="93"/>
      <c r="J2655" s="93"/>
    </row>
    <row r="2656" spans="1:10" s="65" customFormat="1" ht="14" x14ac:dyDescent="0.35">
      <c r="A2656" s="145"/>
      <c r="E2656" s="102"/>
      <c r="F2656" s="102"/>
      <c r="G2656" s="102"/>
      <c r="I2656" s="93"/>
      <c r="J2656" s="93"/>
    </row>
    <row r="2657" spans="1:10" s="65" customFormat="1" ht="14" x14ac:dyDescent="0.35">
      <c r="A2657" s="145"/>
      <c r="E2657" s="102"/>
      <c r="F2657" s="102"/>
      <c r="G2657" s="102"/>
      <c r="I2657" s="93"/>
      <c r="J2657" s="93"/>
    </row>
    <row r="2658" spans="1:10" s="65" customFormat="1" ht="14" x14ac:dyDescent="0.35">
      <c r="A2658" s="145"/>
      <c r="E2658" s="102"/>
      <c r="F2658" s="102"/>
      <c r="G2658" s="102"/>
      <c r="I2658" s="93"/>
      <c r="J2658" s="93"/>
    </row>
    <row r="2659" spans="1:10" s="65" customFormat="1" ht="14" x14ac:dyDescent="0.35">
      <c r="A2659" s="145"/>
      <c r="E2659" s="102"/>
      <c r="F2659" s="102"/>
      <c r="G2659" s="102"/>
      <c r="I2659" s="93"/>
      <c r="J2659" s="93"/>
    </row>
    <row r="2660" spans="1:10" s="65" customFormat="1" ht="14" x14ac:dyDescent="0.35">
      <c r="A2660" s="145"/>
      <c r="E2660" s="102"/>
      <c r="F2660" s="102"/>
      <c r="G2660" s="102"/>
      <c r="I2660" s="93"/>
      <c r="J2660" s="93"/>
    </row>
    <row r="2661" spans="1:10" s="65" customFormat="1" ht="14" x14ac:dyDescent="0.35">
      <c r="A2661" s="145"/>
      <c r="E2661" s="102"/>
      <c r="F2661" s="102"/>
      <c r="G2661" s="102"/>
      <c r="I2661" s="93"/>
      <c r="J2661" s="93"/>
    </row>
    <row r="2662" spans="1:10" s="65" customFormat="1" ht="14" x14ac:dyDescent="0.35">
      <c r="A2662" s="145"/>
      <c r="E2662" s="102"/>
      <c r="F2662" s="102"/>
      <c r="G2662" s="102"/>
      <c r="I2662" s="93"/>
      <c r="J2662" s="93"/>
    </row>
    <row r="2663" spans="1:10" s="65" customFormat="1" ht="14" x14ac:dyDescent="0.35">
      <c r="A2663" s="145"/>
      <c r="E2663" s="102"/>
      <c r="F2663" s="102"/>
      <c r="G2663" s="102"/>
      <c r="I2663" s="93"/>
      <c r="J2663" s="93"/>
    </row>
    <row r="2664" spans="1:10" s="65" customFormat="1" ht="14" x14ac:dyDescent="0.35">
      <c r="A2664" s="145"/>
      <c r="E2664" s="102"/>
      <c r="F2664" s="102"/>
      <c r="G2664" s="102"/>
      <c r="I2664" s="93"/>
      <c r="J2664" s="93"/>
    </row>
    <row r="2665" spans="1:10" s="65" customFormat="1" ht="14" x14ac:dyDescent="0.35">
      <c r="A2665" s="145"/>
      <c r="E2665" s="102"/>
      <c r="F2665" s="102"/>
      <c r="G2665" s="102"/>
      <c r="I2665" s="93"/>
      <c r="J2665" s="93"/>
    </row>
    <row r="2666" spans="1:10" s="65" customFormat="1" ht="14" x14ac:dyDescent="0.35">
      <c r="A2666" s="145"/>
      <c r="E2666" s="102"/>
      <c r="F2666" s="102"/>
      <c r="G2666" s="102"/>
      <c r="I2666" s="93"/>
      <c r="J2666" s="93"/>
    </row>
    <row r="2667" spans="1:10" s="65" customFormat="1" ht="14" x14ac:dyDescent="0.35">
      <c r="A2667" s="145"/>
      <c r="E2667" s="102"/>
      <c r="F2667" s="102"/>
      <c r="G2667" s="102"/>
      <c r="I2667" s="93"/>
      <c r="J2667" s="93"/>
    </row>
    <row r="2668" spans="1:10" s="65" customFormat="1" ht="14" x14ac:dyDescent="0.35">
      <c r="A2668" s="145"/>
      <c r="E2668" s="102"/>
      <c r="F2668" s="102"/>
      <c r="G2668" s="102"/>
      <c r="I2668" s="93"/>
      <c r="J2668" s="93"/>
    </row>
    <row r="2669" spans="1:10" s="65" customFormat="1" ht="14" x14ac:dyDescent="0.35">
      <c r="A2669" s="145"/>
      <c r="E2669" s="102"/>
      <c r="F2669" s="102"/>
      <c r="G2669" s="102"/>
      <c r="I2669" s="93"/>
      <c r="J2669" s="93"/>
    </row>
    <row r="2670" spans="1:10" s="65" customFormat="1" ht="14" x14ac:dyDescent="0.35">
      <c r="A2670" s="145"/>
      <c r="E2670" s="102"/>
      <c r="F2670" s="102"/>
      <c r="G2670" s="102"/>
      <c r="I2670" s="93"/>
      <c r="J2670" s="93"/>
    </row>
    <row r="2671" spans="1:10" s="65" customFormat="1" ht="14" x14ac:dyDescent="0.35">
      <c r="A2671" s="145"/>
      <c r="E2671" s="102"/>
      <c r="F2671" s="102"/>
      <c r="G2671" s="102"/>
      <c r="I2671" s="93"/>
      <c r="J2671" s="93"/>
    </row>
    <row r="2672" spans="1:10" s="65" customFormat="1" ht="14" x14ac:dyDescent="0.35">
      <c r="A2672" s="145"/>
      <c r="E2672" s="102"/>
      <c r="F2672" s="102"/>
      <c r="G2672" s="102"/>
      <c r="I2672" s="93"/>
      <c r="J2672" s="93"/>
    </row>
    <row r="2673" spans="1:10" s="65" customFormat="1" ht="14" x14ac:dyDescent="0.35">
      <c r="A2673" s="145"/>
      <c r="E2673" s="102"/>
      <c r="F2673" s="102"/>
      <c r="G2673" s="102"/>
      <c r="I2673" s="93"/>
      <c r="J2673" s="93"/>
    </row>
    <row r="2674" spans="1:10" s="65" customFormat="1" ht="14" x14ac:dyDescent="0.35">
      <c r="A2674" s="145"/>
      <c r="E2674" s="102"/>
      <c r="F2674" s="102"/>
      <c r="G2674" s="102"/>
      <c r="I2674" s="93"/>
      <c r="J2674" s="93"/>
    </row>
    <row r="2675" spans="1:10" s="65" customFormat="1" ht="14" x14ac:dyDescent="0.35">
      <c r="A2675" s="145"/>
      <c r="E2675" s="102"/>
      <c r="F2675" s="102"/>
      <c r="G2675" s="102"/>
      <c r="I2675" s="93"/>
      <c r="J2675" s="93"/>
    </row>
    <row r="2676" spans="1:10" s="65" customFormat="1" ht="14" x14ac:dyDescent="0.35">
      <c r="A2676" s="145"/>
      <c r="E2676" s="102"/>
      <c r="F2676" s="102"/>
      <c r="G2676" s="102"/>
      <c r="I2676" s="93"/>
      <c r="J2676" s="93"/>
    </row>
    <row r="2677" spans="1:10" s="65" customFormat="1" ht="14" x14ac:dyDescent="0.35">
      <c r="A2677" s="145"/>
      <c r="E2677" s="102"/>
      <c r="F2677" s="102"/>
      <c r="G2677" s="102"/>
      <c r="I2677" s="93"/>
      <c r="J2677" s="93"/>
    </row>
    <row r="2678" spans="1:10" s="65" customFormat="1" ht="14" x14ac:dyDescent="0.35">
      <c r="A2678" s="145"/>
      <c r="E2678" s="102"/>
      <c r="F2678" s="102"/>
      <c r="G2678" s="102"/>
      <c r="I2678" s="93"/>
      <c r="J2678" s="93"/>
    </row>
    <row r="2679" spans="1:10" s="65" customFormat="1" ht="14" x14ac:dyDescent="0.35">
      <c r="A2679" s="145"/>
      <c r="E2679" s="102"/>
      <c r="F2679" s="102"/>
      <c r="G2679" s="102"/>
      <c r="I2679" s="93"/>
      <c r="J2679" s="93"/>
    </row>
    <row r="2680" spans="1:10" s="65" customFormat="1" ht="14" x14ac:dyDescent="0.35">
      <c r="A2680" s="145"/>
      <c r="E2680" s="102"/>
      <c r="F2680" s="102"/>
      <c r="G2680" s="102"/>
      <c r="I2680" s="93"/>
      <c r="J2680" s="93"/>
    </row>
    <row r="2681" spans="1:10" s="65" customFormat="1" ht="14" x14ac:dyDescent="0.35">
      <c r="A2681" s="145"/>
      <c r="E2681" s="102"/>
      <c r="F2681" s="102"/>
      <c r="G2681" s="102"/>
      <c r="I2681" s="93"/>
      <c r="J2681" s="93"/>
    </row>
    <row r="2682" spans="1:10" s="65" customFormat="1" ht="14" x14ac:dyDescent="0.35">
      <c r="A2682" s="145"/>
      <c r="E2682" s="102"/>
      <c r="F2682" s="102"/>
      <c r="G2682" s="102"/>
      <c r="I2682" s="93"/>
      <c r="J2682" s="93"/>
    </row>
    <row r="2683" spans="1:10" s="65" customFormat="1" ht="14" x14ac:dyDescent="0.35">
      <c r="A2683" s="145"/>
      <c r="E2683" s="102"/>
      <c r="F2683" s="102"/>
      <c r="G2683" s="102"/>
      <c r="I2683" s="93"/>
      <c r="J2683" s="93"/>
    </row>
    <row r="2684" spans="1:10" s="65" customFormat="1" ht="14" x14ac:dyDescent="0.35">
      <c r="A2684" s="145"/>
      <c r="E2684" s="102"/>
      <c r="F2684" s="102"/>
      <c r="G2684" s="102"/>
      <c r="I2684" s="93"/>
      <c r="J2684" s="93"/>
    </row>
    <row r="2685" spans="1:10" s="65" customFormat="1" ht="14" x14ac:dyDescent="0.35">
      <c r="A2685" s="145"/>
      <c r="E2685" s="102"/>
      <c r="F2685" s="102"/>
      <c r="G2685" s="102"/>
      <c r="I2685" s="93"/>
      <c r="J2685" s="93"/>
    </row>
    <row r="2686" spans="1:10" s="65" customFormat="1" ht="14" x14ac:dyDescent="0.35">
      <c r="A2686" s="145"/>
      <c r="E2686" s="102"/>
      <c r="F2686" s="102"/>
      <c r="G2686" s="102"/>
      <c r="I2686" s="93"/>
      <c r="J2686" s="93"/>
    </row>
    <row r="2687" spans="1:10" s="65" customFormat="1" ht="14" x14ac:dyDescent="0.35">
      <c r="A2687" s="145"/>
      <c r="E2687" s="102"/>
      <c r="F2687" s="102"/>
      <c r="G2687" s="102"/>
      <c r="I2687" s="93"/>
      <c r="J2687" s="93"/>
    </row>
    <row r="2688" spans="1:10" s="65" customFormat="1" ht="14" x14ac:dyDescent="0.35">
      <c r="A2688" s="145"/>
      <c r="E2688" s="102"/>
      <c r="F2688" s="102"/>
      <c r="G2688" s="102"/>
      <c r="I2688" s="93"/>
      <c r="J2688" s="93"/>
    </row>
    <row r="2689" spans="1:10" s="65" customFormat="1" ht="14" x14ac:dyDescent="0.35">
      <c r="A2689" s="145"/>
      <c r="E2689" s="102"/>
      <c r="F2689" s="102"/>
      <c r="G2689" s="102"/>
      <c r="I2689" s="93"/>
      <c r="J2689" s="93"/>
    </row>
    <row r="2690" spans="1:10" s="65" customFormat="1" ht="14" x14ac:dyDescent="0.35">
      <c r="A2690" s="145"/>
      <c r="E2690" s="102"/>
      <c r="F2690" s="102"/>
      <c r="G2690" s="102"/>
      <c r="I2690" s="93"/>
      <c r="J2690" s="93"/>
    </row>
    <row r="2691" spans="1:10" s="65" customFormat="1" ht="14" x14ac:dyDescent="0.35">
      <c r="A2691" s="145"/>
      <c r="E2691" s="102"/>
      <c r="F2691" s="102"/>
      <c r="G2691" s="102"/>
      <c r="I2691" s="93"/>
      <c r="J2691" s="93"/>
    </row>
    <row r="2692" spans="1:10" s="65" customFormat="1" ht="14" x14ac:dyDescent="0.35">
      <c r="A2692" s="145"/>
      <c r="E2692" s="102"/>
      <c r="F2692" s="102"/>
      <c r="G2692" s="102"/>
      <c r="I2692" s="93"/>
      <c r="J2692" s="93"/>
    </row>
    <row r="2693" spans="1:10" s="65" customFormat="1" ht="14" x14ac:dyDescent="0.35">
      <c r="A2693" s="145"/>
      <c r="E2693" s="102"/>
      <c r="F2693" s="102"/>
      <c r="G2693" s="102"/>
      <c r="I2693" s="93"/>
      <c r="J2693" s="93"/>
    </row>
    <row r="2694" spans="1:10" s="65" customFormat="1" ht="14" x14ac:dyDescent="0.35">
      <c r="A2694" s="145"/>
      <c r="E2694" s="102"/>
      <c r="F2694" s="102"/>
      <c r="G2694" s="102"/>
      <c r="I2694" s="93"/>
      <c r="J2694" s="93"/>
    </row>
    <row r="2695" spans="1:10" s="65" customFormat="1" ht="14" x14ac:dyDescent="0.35">
      <c r="A2695" s="145"/>
      <c r="E2695" s="102"/>
      <c r="F2695" s="102"/>
      <c r="G2695" s="102"/>
      <c r="I2695" s="93"/>
      <c r="J2695" s="93"/>
    </row>
    <row r="2696" spans="1:10" s="65" customFormat="1" ht="14" x14ac:dyDescent="0.35">
      <c r="A2696" s="145"/>
      <c r="E2696" s="102"/>
      <c r="F2696" s="102"/>
      <c r="G2696" s="102"/>
      <c r="I2696" s="93"/>
      <c r="J2696" s="93"/>
    </row>
    <row r="2697" spans="1:10" s="65" customFormat="1" ht="14" x14ac:dyDescent="0.35">
      <c r="A2697" s="145"/>
      <c r="E2697" s="102"/>
      <c r="F2697" s="102"/>
      <c r="G2697" s="102"/>
      <c r="I2697" s="93"/>
      <c r="J2697" s="93"/>
    </row>
    <row r="2698" spans="1:10" s="65" customFormat="1" ht="14" x14ac:dyDescent="0.35">
      <c r="A2698" s="145"/>
      <c r="E2698" s="102"/>
      <c r="F2698" s="102"/>
      <c r="G2698" s="102"/>
      <c r="I2698" s="93"/>
      <c r="J2698" s="93"/>
    </row>
    <row r="2699" spans="1:10" s="65" customFormat="1" ht="14" x14ac:dyDescent="0.35">
      <c r="A2699" s="145"/>
      <c r="E2699" s="102"/>
      <c r="F2699" s="102"/>
      <c r="G2699" s="102"/>
      <c r="I2699" s="93"/>
      <c r="J2699" s="93"/>
    </row>
    <row r="2700" spans="1:10" s="65" customFormat="1" ht="14" x14ac:dyDescent="0.35">
      <c r="A2700" s="145"/>
      <c r="E2700" s="102"/>
      <c r="F2700" s="102"/>
      <c r="G2700" s="102"/>
      <c r="I2700" s="93"/>
      <c r="J2700" s="93"/>
    </row>
    <row r="2701" spans="1:10" s="65" customFormat="1" ht="14" x14ac:dyDescent="0.35">
      <c r="A2701" s="145"/>
      <c r="E2701" s="102"/>
      <c r="F2701" s="102"/>
      <c r="G2701" s="102"/>
      <c r="I2701" s="93"/>
      <c r="J2701" s="93"/>
    </row>
    <row r="2702" spans="1:10" s="65" customFormat="1" ht="14" x14ac:dyDescent="0.35">
      <c r="A2702" s="145"/>
      <c r="E2702" s="102"/>
      <c r="F2702" s="102"/>
      <c r="G2702" s="102"/>
      <c r="I2702" s="93"/>
      <c r="J2702" s="93"/>
    </row>
    <row r="2703" spans="1:10" s="65" customFormat="1" ht="14" x14ac:dyDescent="0.35">
      <c r="A2703" s="145"/>
      <c r="E2703" s="102"/>
      <c r="F2703" s="102"/>
      <c r="G2703" s="102"/>
      <c r="I2703" s="93"/>
      <c r="J2703" s="93"/>
    </row>
    <row r="2704" spans="1:10" s="65" customFormat="1" ht="14" x14ac:dyDescent="0.35">
      <c r="A2704" s="145"/>
      <c r="E2704" s="102"/>
      <c r="F2704" s="102"/>
      <c r="G2704" s="102"/>
      <c r="I2704" s="93"/>
      <c r="J2704" s="93"/>
    </row>
    <row r="2705" spans="1:10" s="65" customFormat="1" ht="14" x14ac:dyDescent="0.35">
      <c r="A2705" s="145"/>
      <c r="E2705" s="102"/>
      <c r="F2705" s="102"/>
      <c r="G2705" s="102"/>
      <c r="I2705" s="93"/>
      <c r="J2705" s="93"/>
    </row>
    <row r="2706" spans="1:10" s="65" customFormat="1" ht="14" x14ac:dyDescent="0.35">
      <c r="A2706" s="145"/>
      <c r="E2706" s="102"/>
      <c r="F2706" s="102"/>
      <c r="G2706" s="102"/>
      <c r="I2706" s="93"/>
      <c r="J2706" s="93"/>
    </row>
    <row r="2707" spans="1:10" s="65" customFormat="1" ht="14" x14ac:dyDescent="0.35">
      <c r="A2707" s="145"/>
      <c r="E2707" s="102"/>
      <c r="F2707" s="102"/>
      <c r="G2707" s="102"/>
      <c r="I2707" s="93"/>
      <c r="J2707" s="93"/>
    </row>
    <row r="2708" spans="1:10" s="65" customFormat="1" ht="14" x14ac:dyDescent="0.35">
      <c r="A2708" s="145"/>
      <c r="E2708" s="102"/>
      <c r="F2708" s="102"/>
      <c r="G2708" s="102"/>
      <c r="I2708" s="93"/>
      <c r="J2708" s="93"/>
    </row>
    <row r="2709" spans="1:10" s="65" customFormat="1" ht="14" x14ac:dyDescent="0.35">
      <c r="A2709" s="145"/>
      <c r="E2709" s="102"/>
      <c r="F2709" s="102"/>
      <c r="G2709" s="102"/>
      <c r="I2709" s="93"/>
      <c r="J2709" s="93"/>
    </row>
    <row r="2710" spans="1:10" s="65" customFormat="1" ht="14" x14ac:dyDescent="0.35">
      <c r="A2710" s="145"/>
      <c r="E2710" s="102"/>
      <c r="F2710" s="102"/>
      <c r="G2710" s="102"/>
      <c r="I2710" s="93"/>
      <c r="J2710" s="93"/>
    </row>
    <row r="2711" spans="1:10" s="65" customFormat="1" ht="14" x14ac:dyDescent="0.35">
      <c r="A2711" s="145"/>
      <c r="E2711" s="102"/>
      <c r="F2711" s="102"/>
      <c r="G2711" s="102"/>
      <c r="I2711" s="93"/>
      <c r="J2711" s="93"/>
    </row>
    <row r="2712" spans="1:10" s="65" customFormat="1" ht="14" x14ac:dyDescent="0.35">
      <c r="A2712" s="145"/>
      <c r="E2712" s="102"/>
      <c r="F2712" s="102"/>
      <c r="G2712" s="102"/>
      <c r="I2712" s="93"/>
      <c r="J2712" s="93"/>
    </row>
    <row r="2713" spans="1:10" s="65" customFormat="1" ht="14" x14ac:dyDescent="0.35">
      <c r="A2713" s="145"/>
      <c r="E2713" s="102"/>
      <c r="F2713" s="102"/>
      <c r="G2713" s="102"/>
      <c r="I2713" s="93"/>
      <c r="J2713" s="93"/>
    </row>
    <row r="2714" spans="1:10" s="65" customFormat="1" ht="14" x14ac:dyDescent="0.35">
      <c r="A2714" s="145"/>
      <c r="E2714" s="102"/>
      <c r="F2714" s="102"/>
      <c r="G2714" s="102"/>
      <c r="I2714" s="93"/>
      <c r="J2714" s="93"/>
    </row>
    <row r="2715" spans="1:10" s="65" customFormat="1" ht="14" x14ac:dyDescent="0.35">
      <c r="A2715" s="145"/>
      <c r="E2715" s="102"/>
      <c r="F2715" s="102"/>
      <c r="G2715" s="102"/>
      <c r="I2715" s="93"/>
      <c r="J2715" s="93"/>
    </row>
    <row r="2716" spans="1:10" s="65" customFormat="1" ht="14" x14ac:dyDescent="0.35">
      <c r="A2716" s="145"/>
      <c r="E2716" s="102"/>
      <c r="F2716" s="102"/>
      <c r="G2716" s="102"/>
      <c r="I2716" s="93"/>
      <c r="J2716" s="93"/>
    </row>
    <row r="2717" spans="1:10" s="65" customFormat="1" ht="14" x14ac:dyDescent="0.35">
      <c r="A2717" s="145"/>
      <c r="E2717" s="102"/>
      <c r="F2717" s="102"/>
      <c r="G2717" s="102"/>
      <c r="I2717" s="93"/>
      <c r="J2717" s="93"/>
    </row>
    <row r="2718" spans="1:10" s="65" customFormat="1" ht="14" x14ac:dyDescent="0.35">
      <c r="A2718" s="145"/>
      <c r="E2718" s="102"/>
      <c r="F2718" s="102"/>
      <c r="G2718" s="102"/>
      <c r="I2718" s="93"/>
      <c r="J2718" s="93"/>
    </row>
    <row r="2719" spans="1:10" s="65" customFormat="1" ht="14" x14ac:dyDescent="0.35">
      <c r="A2719" s="145"/>
      <c r="E2719" s="102"/>
      <c r="F2719" s="102"/>
      <c r="G2719" s="102"/>
      <c r="I2719" s="93"/>
      <c r="J2719" s="93"/>
    </row>
    <row r="2720" spans="1:10" s="65" customFormat="1" ht="14" x14ac:dyDescent="0.35">
      <c r="A2720" s="145"/>
      <c r="E2720" s="102"/>
      <c r="F2720" s="102"/>
      <c r="G2720" s="102"/>
      <c r="I2720" s="93"/>
      <c r="J2720" s="93"/>
    </row>
    <row r="2721" spans="1:10" s="65" customFormat="1" ht="14" x14ac:dyDescent="0.35">
      <c r="A2721" s="145"/>
      <c r="E2721" s="102"/>
      <c r="F2721" s="102"/>
      <c r="G2721" s="102"/>
      <c r="I2721" s="93"/>
      <c r="J2721" s="93"/>
    </row>
    <row r="2722" spans="1:10" s="65" customFormat="1" ht="14" x14ac:dyDescent="0.35">
      <c r="A2722" s="145"/>
      <c r="E2722" s="102"/>
      <c r="F2722" s="102"/>
      <c r="G2722" s="102"/>
      <c r="I2722" s="93"/>
      <c r="J2722" s="93"/>
    </row>
    <row r="2723" spans="1:10" s="65" customFormat="1" ht="14" x14ac:dyDescent="0.35">
      <c r="A2723" s="145"/>
      <c r="E2723" s="102"/>
      <c r="F2723" s="102"/>
      <c r="G2723" s="102"/>
      <c r="I2723" s="93"/>
      <c r="J2723" s="93"/>
    </row>
    <row r="2724" spans="1:10" s="65" customFormat="1" ht="14" x14ac:dyDescent="0.35">
      <c r="A2724" s="145"/>
      <c r="E2724" s="102"/>
      <c r="F2724" s="102"/>
      <c r="G2724" s="102"/>
      <c r="I2724" s="93"/>
      <c r="J2724" s="93"/>
    </row>
    <row r="2725" spans="1:10" s="65" customFormat="1" ht="14" x14ac:dyDescent="0.35">
      <c r="A2725" s="145"/>
      <c r="E2725" s="102"/>
      <c r="F2725" s="102"/>
      <c r="G2725" s="102"/>
      <c r="I2725" s="93"/>
      <c r="J2725" s="93"/>
    </row>
    <row r="2726" spans="1:10" s="65" customFormat="1" ht="14" x14ac:dyDescent="0.35">
      <c r="A2726" s="145"/>
      <c r="E2726" s="102"/>
      <c r="F2726" s="102"/>
      <c r="G2726" s="102"/>
      <c r="I2726" s="93"/>
      <c r="J2726" s="93"/>
    </row>
    <row r="2727" spans="1:10" s="65" customFormat="1" ht="14" x14ac:dyDescent="0.35">
      <c r="A2727" s="145"/>
      <c r="E2727" s="102"/>
      <c r="F2727" s="102"/>
      <c r="G2727" s="102"/>
      <c r="I2727" s="93"/>
      <c r="J2727" s="93"/>
    </row>
    <row r="2728" spans="1:10" s="65" customFormat="1" ht="14" x14ac:dyDescent="0.35">
      <c r="A2728" s="145"/>
      <c r="E2728" s="102"/>
      <c r="F2728" s="102"/>
      <c r="G2728" s="102"/>
      <c r="I2728" s="93"/>
      <c r="J2728" s="93"/>
    </row>
    <row r="2729" spans="1:10" s="65" customFormat="1" ht="14" x14ac:dyDescent="0.35">
      <c r="A2729" s="145"/>
      <c r="E2729" s="102"/>
      <c r="F2729" s="102"/>
      <c r="G2729" s="102"/>
      <c r="I2729" s="93"/>
      <c r="J2729" s="93"/>
    </row>
    <row r="2730" spans="1:10" s="65" customFormat="1" ht="14" x14ac:dyDescent="0.35">
      <c r="A2730" s="145"/>
      <c r="E2730" s="102"/>
      <c r="F2730" s="102"/>
      <c r="G2730" s="102"/>
      <c r="I2730" s="93"/>
      <c r="J2730" s="93"/>
    </row>
    <row r="2731" spans="1:10" s="65" customFormat="1" ht="14" x14ac:dyDescent="0.35">
      <c r="A2731" s="145"/>
      <c r="E2731" s="102"/>
      <c r="F2731" s="102"/>
      <c r="G2731" s="102"/>
      <c r="I2731" s="93"/>
      <c r="J2731" s="93"/>
    </row>
    <row r="2732" spans="1:10" s="65" customFormat="1" ht="14" x14ac:dyDescent="0.35">
      <c r="A2732" s="145"/>
      <c r="E2732" s="102"/>
      <c r="F2732" s="102"/>
      <c r="G2732" s="102"/>
      <c r="I2732" s="93"/>
      <c r="J2732" s="93"/>
    </row>
    <row r="2733" spans="1:10" s="65" customFormat="1" ht="14" x14ac:dyDescent="0.35">
      <c r="A2733" s="145"/>
      <c r="E2733" s="102"/>
      <c r="F2733" s="102"/>
      <c r="G2733" s="102"/>
      <c r="I2733" s="93"/>
      <c r="J2733" s="93"/>
    </row>
    <row r="2734" spans="1:10" s="65" customFormat="1" ht="14" x14ac:dyDescent="0.35">
      <c r="A2734" s="145"/>
      <c r="E2734" s="102"/>
      <c r="F2734" s="102"/>
      <c r="G2734" s="102"/>
      <c r="I2734" s="93"/>
      <c r="J2734" s="93"/>
    </row>
    <row r="2735" spans="1:10" s="65" customFormat="1" ht="14" x14ac:dyDescent="0.35">
      <c r="A2735" s="145"/>
      <c r="E2735" s="102"/>
      <c r="F2735" s="102"/>
      <c r="G2735" s="102"/>
      <c r="I2735" s="93"/>
      <c r="J2735" s="93"/>
    </row>
    <row r="2736" spans="1:10" s="65" customFormat="1" ht="14" x14ac:dyDescent="0.35">
      <c r="A2736" s="145"/>
      <c r="E2736" s="102"/>
      <c r="F2736" s="102"/>
      <c r="G2736" s="102"/>
      <c r="I2736" s="93"/>
      <c r="J2736" s="93"/>
    </row>
    <row r="2737" spans="1:10" s="65" customFormat="1" ht="14" x14ac:dyDescent="0.35">
      <c r="A2737" s="145"/>
      <c r="E2737" s="102"/>
      <c r="F2737" s="102"/>
      <c r="G2737" s="102"/>
      <c r="I2737" s="93"/>
      <c r="J2737" s="93"/>
    </row>
    <row r="2738" spans="1:10" s="65" customFormat="1" ht="14" x14ac:dyDescent="0.35">
      <c r="A2738" s="145"/>
      <c r="E2738" s="102"/>
      <c r="F2738" s="102"/>
      <c r="G2738" s="102"/>
      <c r="I2738" s="93"/>
      <c r="J2738" s="93"/>
    </row>
    <row r="2739" spans="1:10" s="65" customFormat="1" ht="14" x14ac:dyDescent="0.35">
      <c r="A2739" s="145"/>
      <c r="E2739" s="102"/>
      <c r="F2739" s="102"/>
      <c r="G2739" s="102"/>
      <c r="I2739" s="93"/>
      <c r="J2739" s="93"/>
    </row>
    <row r="2740" spans="1:10" s="65" customFormat="1" ht="14" x14ac:dyDescent="0.35">
      <c r="A2740" s="145"/>
      <c r="E2740" s="102"/>
      <c r="F2740" s="102"/>
      <c r="G2740" s="102"/>
      <c r="I2740" s="93"/>
      <c r="J2740" s="93"/>
    </row>
    <row r="2741" spans="1:10" s="65" customFormat="1" ht="14" x14ac:dyDescent="0.35">
      <c r="A2741" s="145"/>
      <c r="E2741" s="102"/>
      <c r="F2741" s="102"/>
      <c r="G2741" s="102"/>
      <c r="I2741" s="93"/>
      <c r="J2741" s="93"/>
    </row>
    <row r="2742" spans="1:10" s="65" customFormat="1" ht="14" x14ac:dyDescent="0.35">
      <c r="A2742" s="145"/>
      <c r="E2742" s="102"/>
      <c r="F2742" s="102"/>
      <c r="G2742" s="102"/>
      <c r="I2742" s="93"/>
      <c r="J2742" s="93"/>
    </row>
    <row r="2743" spans="1:10" s="65" customFormat="1" ht="14" x14ac:dyDescent="0.35">
      <c r="A2743" s="145"/>
      <c r="E2743" s="102"/>
      <c r="F2743" s="102"/>
      <c r="G2743" s="102"/>
      <c r="I2743" s="93"/>
      <c r="J2743" s="93"/>
    </row>
    <row r="2744" spans="1:10" s="65" customFormat="1" ht="14" x14ac:dyDescent="0.35">
      <c r="A2744" s="145"/>
      <c r="E2744" s="102"/>
      <c r="F2744" s="102"/>
      <c r="G2744" s="102"/>
      <c r="I2744" s="93"/>
      <c r="J2744" s="93"/>
    </row>
    <row r="2745" spans="1:10" s="65" customFormat="1" ht="14" x14ac:dyDescent="0.35">
      <c r="A2745" s="145"/>
      <c r="E2745" s="102"/>
      <c r="F2745" s="102"/>
      <c r="G2745" s="102"/>
      <c r="I2745" s="93"/>
      <c r="J2745" s="93"/>
    </row>
    <row r="2746" spans="1:10" s="65" customFormat="1" ht="14" x14ac:dyDescent="0.35">
      <c r="A2746" s="145"/>
      <c r="E2746" s="102"/>
      <c r="F2746" s="102"/>
      <c r="G2746" s="102"/>
      <c r="I2746" s="93"/>
      <c r="J2746" s="93"/>
    </row>
    <row r="2747" spans="1:10" s="65" customFormat="1" ht="14" x14ac:dyDescent="0.35">
      <c r="A2747" s="145"/>
      <c r="E2747" s="102"/>
      <c r="F2747" s="102"/>
      <c r="G2747" s="102"/>
      <c r="I2747" s="93"/>
      <c r="J2747" s="93"/>
    </row>
    <row r="2748" spans="1:10" s="65" customFormat="1" ht="14" x14ac:dyDescent="0.35">
      <c r="A2748" s="145"/>
      <c r="E2748" s="102"/>
      <c r="F2748" s="102"/>
      <c r="G2748" s="102"/>
      <c r="I2748" s="93"/>
      <c r="J2748" s="93"/>
    </row>
    <row r="2749" spans="1:10" s="65" customFormat="1" ht="14" x14ac:dyDescent="0.35">
      <c r="A2749" s="145"/>
      <c r="E2749" s="102"/>
      <c r="F2749" s="102"/>
      <c r="G2749" s="102"/>
      <c r="I2749" s="93"/>
      <c r="J2749" s="93"/>
    </row>
    <row r="2750" spans="1:10" s="65" customFormat="1" ht="14" x14ac:dyDescent="0.35">
      <c r="A2750" s="145"/>
      <c r="E2750" s="102"/>
      <c r="F2750" s="102"/>
      <c r="G2750" s="102"/>
      <c r="I2750" s="93"/>
      <c r="J2750" s="93"/>
    </row>
    <row r="2751" spans="1:10" s="65" customFormat="1" ht="14" x14ac:dyDescent="0.35">
      <c r="A2751" s="145"/>
      <c r="E2751" s="102"/>
      <c r="F2751" s="102"/>
      <c r="G2751" s="102"/>
      <c r="I2751" s="93"/>
      <c r="J2751" s="93"/>
    </row>
    <row r="2752" spans="1:10" s="65" customFormat="1" ht="14" x14ac:dyDescent="0.35">
      <c r="A2752" s="145"/>
      <c r="E2752" s="102"/>
      <c r="F2752" s="102"/>
      <c r="G2752" s="102"/>
      <c r="I2752" s="93"/>
      <c r="J2752" s="93"/>
    </row>
    <row r="2753" spans="1:10" s="65" customFormat="1" ht="14" x14ac:dyDescent="0.35">
      <c r="A2753" s="145"/>
      <c r="E2753" s="102"/>
      <c r="F2753" s="102"/>
      <c r="G2753" s="102"/>
      <c r="I2753" s="93"/>
      <c r="J2753" s="93"/>
    </row>
    <row r="2754" spans="1:10" s="65" customFormat="1" ht="14" x14ac:dyDescent="0.35">
      <c r="A2754" s="145"/>
      <c r="E2754" s="102"/>
      <c r="F2754" s="102"/>
      <c r="G2754" s="102"/>
      <c r="I2754" s="93"/>
      <c r="J2754" s="93"/>
    </row>
    <row r="2755" spans="1:10" s="65" customFormat="1" ht="14" x14ac:dyDescent="0.35">
      <c r="A2755" s="145"/>
      <c r="E2755" s="102"/>
      <c r="F2755" s="102"/>
      <c r="G2755" s="102"/>
      <c r="I2755" s="93"/>
      <c r="J2755" s="93"/>
    </row>
    <row r="2756" spans="1:10" s="65" customFormat="1" ht="14" x14ac:dyDescent="0.35">
      <c r="A2756" s="145"/>
      <c r="E2756" s="102"/>
      <c r="F2756" s="102"/>
      <c r="G2756" s="102"/>
      <c r="I2756" s="93"/>
      <c r="J2756" s="93"/>
    </row>
    <row r="2757" spans="1:10" s="65" customFormat="1" ht="14" x14ac:dyDescent="0.35">
      <c r="A2757" s="145"/>
      <c r="E2757" s="102"/>
      <c r="F2757" s="102"/>
      <c r="G2757" s="102"/>
      <c r="I2757" s="93"/>
      <c r="J2757" s="93"/>
    </row>
    <row r="2758" spans="1:10" s="65" customFormat="1" ht="14" x14ac:dyDescent="0.35">
      <c r="A2758" s="145"/>
      <c r="E2758" s="102"/>
      <c r="F2758" s="102"/>
      <c r="G2758" s="102"/>
      <c r="I2758" s="93"/>
      <c r="J2758" s="93"/>
    </row>
    <row r="2759" spans="1:10" s="65" customFormat="1" ht="14" x14ac:dyDescent="0.35">
      <c r="A2759" s="145"/>
      <c r="E2759" s="102"/>
      <c r="F2759" s="102"/>
      <c r="G2759" s="102"/>
      <c r="I2759" s="93"/>
      <c r="J2759" s="93"/>
    </row>
    <row r="2760" spans="1:10" s="65" customFormat="1" ht="14" x14ac:dyDescent="0.35">
      <c r="A2760" s="145"/>
      <c r="E2760" s="102"/>
      <c r="F2760" s="102"/>
      <c r="G2760" s="102"/>
      <c r="I2760" s="93"/>
      <c r="J2760" s="93"/>
    </row>
    <row r="2761" spans="1:10" s="65" customFormat="1" ht="14" x14ac:dyDescent="0.35">
      <c r="A2761" s="145"/>
      <c r="E2761" s="102"/>
      <c r="F2761" s="102"/>
      <c r="G2761" s="102"/>
      <c r="I2761" s="93"/>
      <c r="J2761" s="93"/>
    </row>
    <row r="2762" spans="1:10" s="65" customFormat="1" ht="14" x14ac:dyDescent="0.35">
      <c r="A2762" s="145"/>
      <c r="E2762" s="102"/>
      <c r="F2762" s="102"/>
      <c r="G2762" s="102"/>
      <c r="I2762" s="93"/>
      <c r="J2762" s="93"/>
    </row>
    <row r="2763" spans="1:10" s="65" customFormat="1" ht="14" x14ac:dyDescent="0.35">
      <c r="A2763" s="145"/>
      <c r="E2763" s="102"/>
      <c r="F2763" s="102"/>
      <c r="G2763" s="102"/>
      <c r="I2763" s="93"/>
      <c r="J2763" s="93"/>
    </row>
    <row r="2764" spans="1:10" s="65" customFormat="1" ht="14" x14ac:dyDescent="0.35">
      <c r="A2764" s="145"/>
      <c r="E2764" s="102"/>
      <c r="F2764" s="102"/>
      <c r="G2764" s="102"/>
      <c r="I2764" s="93"/>
      <c r="J2764" s="93"/>
    </row>
    <row r="2765" spans="1:10" s="65" customFormat="1" ht="14" x14ac:dyDescent="0.35">
      <c r="A2765" s="145"/>
      <c r="E2765" s="102"/>
      <c r="F2765" s="102"/>
      <c r="G2765" s="102"/>
      <c r="I2765" s="93"/>
      <c r="J2765" s="93"/>
    </row>
    <row r="2766" spans="1:10" s="65" customFormat="1" ht="14" x14ac:dyDescent="0.35">
      <c r="A2766" s="145"/>
      <c r="E2766" s="102"/>
      <c r="F2766" s="102"/>
      <c r="G2766" s="102"/>
      <c r="I2766" s="93"/>
      <c r="J2766" s="93"/>
    </row>
    <row r="2767" spans="1:10" s="65" customFormat="1" ht="14" x14ac:dyDescent="0.35">
      <c r="A2767" s="145"/>
      <c r="E2767" s="102"/>
      <c r="F2767" s="102"/>
      <c r="G2767" s="102"/>
      <c r="I2767" s="93"/>
      <c r="J2767" s="93"/>
    </row>
    <row r="2768" spans="1:10" s="65" customFormat="1" ht="14" x14ac:dyDescent="0.35">
      <c r="A2768" s="145"/>
      <c r="E2768" s="102"/>
      <c r="F2768" s="102"/>
      <c r="G2768" s="102"/>
      <c r="I2768" s="93"/>
      <c r="J2768" s="93"/>
    </row>
    <row r="2769" spans="1:10" s="65" customFormat="1" ht="14" x14ac:dyDescent="0.35">
      <c r="A2769" s="145"/>
      <c r="E2769" s="102"/>
      <c r="F2769" s="102"/>
      <c r="G2769" s="102"/>
      <c r="I2769" s="93"/>
      <c r="J2769" s="93"/>
    </row>
    <row r="2770" spans="1:10" s="65" customFormat="1" ht="14" x14ac:dyDescent="0.35">
      <c r="A2770" s="145"/>
      <c r="E2770" s="102"/>
      <c r="F2770" s="102"/>
      <c r="G2770" s="102"/>
      <c r="I2770" s="93"/>
      <c r="J2770" s="93"/>
    </row>
    <row r="2771" spans="1:10" s="65" customFormat="1" ht="14" x14ac:dyDescent="0.35">
      <c r="A2771" s="145"/>
      <c r="E2771" s="102"/>
      <c r="F2771" s="102"/>
      <c r="G2771" s="102"/>
      <c r="I2771" s="93"/>
      <c r="J2771" s="93"/>
    </row>
    <row r="2772" spans="1:10" s="65" customFormat="1" ht="14" x14ac:dyDescent="0.35">
      <c r="A2772" s="145"/>
      <c r="E2772" s="102"/>
      <c r="F2772" s="102"/>
      <c r="G2772" s="102"/>
      <c r="I2772" s="93"/>
      <c r="J2772" s="93"/>
    </row>
    <row r="2773" spans="1:10" s="65" customFormat="1" ht="14" x14ac:dyDescent="0.35">
      <c r="A2773" s="145"/>
      <c r="E2773" s="102"/>
      <c r="F2773" s="102"/>
      <c r="G2773" s="102"/>
      <c r="I2773" s="93"/>
      <c r="J2773" s="93"/>
    </row>
    <row r="2774" spans="1:10" s="65" customFormat="1" ht="14" x14ac:dyDescent="0.35">
      <c r="A2774" s="145"/>
      <c r="E2774" s="102"/>
      <c r="F2774" s="102"/>
      <c r="G2774" s="102"/>
      <c r="I2774" s="93"/>
      <c r="J2774" s="93"/>
    </row>
    <row r="2775" spans="1:10" s="65" customFormat="1" ht="14" x14ac:dyDescent="0.35">
      <c r="A2775" s="145"/>
      <c r="E2775" s="102"/>
      <c r="F2775" s="102"/>
      <c r="G2775" s="102"/>
      <c r="I2775" s="93"/>
      <c r="J2775" s="93"/>
    </row>
    <row r="2776" spans="1:10" s="65" customFormat="1" ht="14" x14ac:dyDescent="0.35">
      <c r="A2776" s="145"/>
      <c r="E2776" s="102"/>
      <c r="F2776" s="102"/>
      <c r="G2776" s="102"/>
      <c r="I2776" s="93"/>
      <c r="J2776" s="93"/>
    </row>
    <row r="2777" spans="1:10" s="65" customFormat="1" ht="14" x14ac:dyDescent="0.35">
      <c r="A2777" s="145"/>
      <c r="E2777" s="102"/>
      <c r="F2777" s="102"/>
      <c r="G2777" s="102"/>
      <c r="I2777" s="93"/>
      <c r="J2777" s="93"/>
    </row>
    <row r="2778" spans="1:10" s="65" customFormat="1" ht="14" x14ac:dyDescent="0.35">
      <c r="A2778" s="145"/>
      <c r="E2778" s="102"/>
      <c r="F2778" s="102"/>
      <c r="G2778" s="102"/>
      <c r="I2778" s="93"/>
      <c r="J2778" s="93"/>
    </row>
    <row r="2779" spans="1:10" s="65" customFormat="1" ht="14" x14ac:dyDescent="0.35">
      <c r="A2779" s="145"/>
      <c r="E2779" s="102"/>
      <c r="F2779" s="102"/>
      <c r="G2779" s="102"/>
      <c r="I2779" s="93"/>
      <c r="J2779" s="93"/>
    </row>
    <row r="2780" spans="1:10" s="65" customFormat="1" ht="14" x14ac:dyDescent="0.35">
      <c r="A2780" s="145"/>
      <c r="E2780" s="102"/>
      <c r="F2780" s="102"/>
      <c r="G2780" s="102"/>
      <c r="I2780" s="93"/>
      <c r="J2780" s="93"/>
    </row>
    <row r="2781" spans="1:10" s="65" customFormat="1" ht="14" x14ac:dyDescent="0.35">
      <c r="A2781" s="145"/>
      <c r="E2781" s="102"/>
      <c r="F2781" s="102"/>
      <c r="G2781" s="102"/>
      <c r="I2781" s="93"/>
      <c r="J2781" s="93"/>
    </row>
    <row r="2782" spans="1:10" s="65" customFormat="1" ht="14" x14ac:dyDescent="0.35">
      <c r="A2782" s="145"/>
      <c r="E2782" s="102"/>
      <c r="F2782" s="102"/>
      <c r="G2782" s="102"/>
      <c r="I2782" s="93"/>
      <c r="J2782" s="93"/>
    </row>
    <row r="2783" spans="1:10" s="65" customFormat="1" ht="14" x14ac:dyDescent="0.35">
      <c r="A2783" s="145"/>
      <c r="E2783" s="102"/>
      <c r="F2783" s="102"/>
      <c r="G2783" s="102"/>
      <c r="I2783" s="93"/>
      <c r="J2783" s="93"/>
    </row>
    <row r="2784" spans="1:10" s="65" customFormat="1" ht="14" x14ac:dyDescent="0.35">
      <c r="A2784" s="145"/>
      <c r="E2784" s="102"/>
      <c r="F2784" s="102"/>
      <c r="G2784" s="102"/>
      <c r="I2784" s="93"/>
      <c r="J2784" s="93"/>
    </row>
    <row r="2785" spans="1:10" s="65" customFormat="1" ht="14" x14ac:dyDescent="0.35">
      <c r="A2785" s="145"/>
      <c r="E2785" s="102"/>
      <c r="F2785" s="102"/>
      <c r="G2785" s="102"/>
      <c r="I2785" s="93"/>
      <c r="J2785" s="93"/>
    </row>
    <row r="2786" spans="1:10" s="65" customFormat="1" ht="14" x14ac:dyDescent="0.35">
      <c r="A2786" s="145"/>
      <c r="E2786" s="102"/>
      <c r="F2786" s="102"/>
      <c r="G2786" s="102"/>
      <c r="I2786" s="93"/>
      <c r="J2786" s="93"/>
    </row>
    <row r="2787" spans="1:10" s="65" customFormat="1" ht="14" x14ac:dyDescent="0.35">
      <c r="A2787" s="145"/>
      <c r="E2787" s="102"/>
      <c r="F2787" s="102"/>
      <c r="G2787" s="102"/>
      <c r="I2787" s="93"/>
      <c r="J2787" s="93"/>
    </row>
    <row r="2788" spans="1:10" s="65" customFormat="1" ht="14" x14ac:dyDescent="0.35">
      <c r="A2788" s="145"/>
      <c r="E2788" s="102"/>
      <c r="F2788" s="102"/>
      <c r="G2788" s="102"/>
      <c r="I2788" s="93"/>
      <c r="J2788" s="93"/>
    </row>
    <row r="2789" spans="1:10" s="65" customFormat="1" ht="14" x14ac:dyDescent="0.35">
      <c r="A2789" s="145"/>
      <c r="E2789" s="102"/>
      <c r="F2789" s="102"/>
      <c r="G2789" s="102"/>
      <c r="I2789" s="93"/>
      <c r="J2789" s="93"/>
    </row>
    <row r="2790" spans="1:10" s="65" customFormat="1" ht="14" x14ac:dyDescent="0.35">
      <c r="A2790" s="145"/>
      <c r="E2790" s="102"/>
      <c r="F2790" s="102"/>
      <c r="G2790" s="102"/>
      <c r="I2790" s="93"/>
      <c r="J2790" s="93"/>
    </row>
    <row r="2791" spans="1:10" s="65" customFormat="1" ht="14" x14ac:dyDescent="0.35">
      <c r="A2791" s="145"/>
      <c r="E2791" s="102"/>
      <c r="F2791" s="102"/>
      <c r="G2791" s="102"/>
      <c r="I2791" s="93"/>
      <c r="J2791" s="93"/>
    </row>
    <row r="2792" spans="1:10" s="65" customFormat="1" ht="14" x14ac:dyDescent="0.35">
      <c r="A2792" s="145"/>
      <c r="E2792" s="102"/>
      <c r="F2792" s="102"/>
      <c r="G2792" s="102"/>
      <c r="I2792" s="93"/>
      <c r="J2792" s="93"/>
    </row>
    <row r="2793" spans="1:10" s="65" customFormat="1" ht="14" x14ac:dyDescent="0.35">
      <c r="A2793" s="145"/>
      <c r="E2793" s="102"/>
      <c r="F2793" s="102"/>
      <c r="G2793" s="102"/>
      <c r="I2793" s="93"/>
      <c r="J2793" s="93"/>
    </row>
    <row r="2794" spans="1:10" s="65" customFormat="1" ht="14" x14ac:dyDescent="0.35">
      <c r="A2794" s="145"/>
      <c r="E2794" s="102"/>
      <c r="F2794" s="102"/>
      <c r="G2794" s="102"/>
      <c r="I2794" s="93"/>
      <c r="J2794" s="93"/>
    </row>
    <row r="2795" spans="1:10" s="65" customFormat="1" ht="14" x14ac:dyDescent="0.35">
      <c r="A2795" s="145"/>
      <c r="E2795" s="102"/>
      <c r="F2795" s="102"/>
      <c r="G2795" s="102"/>
      <c r="I2795" s="93"/>
      <c r="J2795" s="93"/>
    </row>
    <row r="2796" spans="1:10" s="65" customFormat="1" ht="14" x14ac:dyDescent="0.35">
      <c r="A2796" s="145"/>
      <c r="E2796" s="102"/>
      <c r="F2796" s="102"/>
      <c r="G2796" s="102"/>
      <c r="I2796" s="93"/>
      <c r="J2796" s="93"/>
    </row>
    <row r="2797" spans="1:10" s="65" customFormat="1" ht="14" x14ac:dyDescent="0.35">
      <c r="A2797" s="145"/>
      <c r="E2797" s="102"/>
      <c r="F2797" s="102"/>
      <c r="G2797" s="102"/>
      <c r="I2797" s="93"/>
      <c r="J2797" s="93"/>
    </row>
    <row r="2798" spans="1:10" s="65" customFormat="1" ht="14" x14ac:dyDescent="0.35">
      <c r="A2798" s="145"/>
      <c r="E2798" s="102"/>
      <c r="F2798" s="102"/>
      <c r="G2798" s="102"/>
      <c r="I2798" s="93"/>
      <c r="J2798" s="93"/>
    </row>
    <row r="2799" spans="1:10" s="65" customFormat="1" ht="14" x14ac:dyDescent="0.35">
      <c r="A2799" s="145"/>
      <c r="E2799" s="102"/>
      <c r="F2799" s="102"/>
      <c r="G2799" s="102"/>
      <c r="I2799" s="93"/>
      <c r="J2799" s="93"/>
    </row>
    <row r="2800" spans="1:10" s="65" customFormat="1" ht="14" x14ac:dyDescent="0.35">
      <c r="A2800" s="145"/>
      <c r="E2800" s="102"/>
      <c r="F2800" s="102"/>
      <c r="G2800" s="102"/>
      <c r="I2800" s="93"/>
      <c r="J2800" s="93"/>
    </row>
    <row r="2801" spans="1:10" s="65" customFormat="1" ht="14" x14ac:dyDescent="0.35">
      <c r="A2801" s="145"/>
      <c r="E2801" s="102"/>
      <c r="F2801" s="102"/>
      <c r="G2801" s="102"/>
      <c r="I2801" s="93"/>
      <c r="J2801" s="93"/>
    </row>
    <row r="2802" spans="1:10" s="65" customFormat="1" ht="14" x14ac:dyDescent="0.35">
      <c r="A2802" s="145"/>
      <c r="E2802" s="102"/>
      <c r="F2802" s="102"/>
      <c r="G2802" s="102"/>
      <c r="I2802" s="93"/>
      <c r="J2802" s="93"/>
    </row>
    <row r="2803" spans="1:10" s="65" customFormat="1" ht="14" x14ac:dyDescent="0.35">
      <c r="A2803" s="145"/>
      <c r="E2803" s="102"/>
      <c r="F2803" s="102"/>
      <c r="G2803" s="102"/>
      <c r="I2803" s="93"/>
      <c r="J2803" s="93"/>
    </row>
    <row r="2804" spans="1:10" s="65" customFormat="1" ht="14" x14ac:dyDescent="0.35">
      <c r="A2804" s="145"/>
      <c r="E2804" s="102"/>
      <c r="F2804" s="102"/>
      <c r="G2804" s="102"/>
      <c r="I2804" s="93"/>
      <c r="J2804" s="93"/>
    </row>
    <row r="2805" spans="1:10" s="65" customFormat="1" ht="14" x14ac:dyDescent="0.35">
      <c r="A2805" s="145"/>
      <c r="E2805" s="102"/>
      <c r="F2805" s="102"/>
      <c r="G2805" s="102"/>
      <c r="I2805" s="93"/>
      <c r="J2805" s="93"/>
    </row>
    <row r="2806" spans="1:10" s="65" customFormat="1" ht="14" x14ac:dyDescent="0.35">
      <c r="A2806" s="145"/>
      <c r="E2806" s="102"/>
      <c r="F2806" s="102"/>
      <c r="G2806" s="102"/>
      <c r="I2806" s="93"/>
      <c r="J2806" s="93"/>
    </row>
    <row r="2807" spans="1:10" s="65" customFormat="1" ht="14" x14ac:dyDescent="0.35">
      <c r="A2807" s="145"/>
      <c r="E2807" s="102"/>
      <c r="F2807" s="102"/>
      <c r="G2807" s="102"/>
      <c r="I2807" s="93"/>
      <c r="J2807" s="93"/>
    </row>
    <row r="2808" spans="1:10" s="65" customFormat="1" ht="14" x14ac:dyDescent="0.35">
      <c r="A2808" s="145"/>
      <c r="E2808" s="102"/>
      <c r="F2808" s="102"/>
      <c r="G2808" s="102"/>
      <c r="I2808" s="93"/>
      <c r="J2808" s="93"/>
    </row>
    <row r="2809" spans="1:10" s="65" customFormat="1" ht="14" x14ac:dyDescent="0.35">
      <c r="A2809" s="145"/>
      <c r="E2809" s="102"/>
      <c r="F2809" s="102"/>
      <c r="G2809" s="102"/>
      <c r="I2809" s="93"/>
      <c r="J2809" s="93"/>
    </row>
    <row r="2810" spans="1:10" s="65" customFormat="1" ht="14" x14ac:dyDescent="0.35">
      <c r="A2810" s="145"/>
      <c r="E2810" s="102"/>
      <c r="F2810" s="102"/>
      <c r="G2810" s="102"/>
      <c r="I2810" s="93"/>
      <c r="J2810" s="93"/>
    </row>
    <row r="2811" spans="1:10" s="65" customFormat="1" ht="14" x14ac:dyDescent="0.35">
      <c r="A2811" s="145"/>
      <c r="E2811" s="102"/>
      <c r="F2811" s="102"/>
      <c r="G2811" s="102"/>
      <c r="I2811" s="93"/>
      <c r="J2811" s="93"/>
    </row>
    <row r="2812" spans="1:10" s="65" customFormat="1" ht="14" x14ac:dyDescent="0.35">
      <c r="A2812" s="145"/>
      <c r="E2812" s="102"/>
      <c r="F2812" s="102"/>
      <c r="G2812" s="102"/>
      <c r="I2812" s="93"/>
      <c r="J2812" s="93"/>
    </row>
    <row r="2813" spans="1:10" s="65" customFormat="1" ht="14" x14ac:dyDescent="0.35">
      <c r="A2813" s="145"/>
      <c r="E2813" s="102"/>
      <c r="F2813" s="102"/>
      <c r="G2813" s="102"/>
      <c r="I2813" s="93"/>
      <c r="J2813" s="93"/>
    </row>
    <row r="2814" spans="1:10" s="65" customFormat="1" ht="14" x14ac:dyDescent="0.35">
      <c r="A2814" s="145"/>
      <c r="E2814" s="102"/>
      <c r="F2814" s="102"/>
      <c r="G2814" s="102"/>
      <c r="I2814" s="93"/>
      <c r="J2814" s="93"/>
    </row>
    <row r="2815" spans="1:10" s="65" customFormat="1" ht="14" x14ac:dyDescent="0.35">
      <c r="A2815" s="145"/>
      <c r="E2815" s="102"/>
      <c r="F2815" s="102"/>
      <c r="G2815" s="102"/>
      <c r="I2815" s="93"/>
      <c r="J2815" s="93"/>
    </row>
    <row r="2816" spans="1:10" s="65" customFormat="1" ht="14" x14ac:dyDescent="0.35">
      <c r="A2816" s="145"/>
      <c r="E2816" s="102"/>
      <c r="F2816" s="102"/>
      <c r="G2816" s="102"/>
      <c r="I2816" s="93"/>
      <c r="J2816" s="93"/>
    </row>
    <row r="2817" spans="1:10" s="65" customFormat="1" ht="14" x14ac:dyDescent="0.35">
      <c r="A2817" s="145"/>
      <c r="E2817" s="102"/>
      <c r="F2817" s="102"/>
      <c r="G2817" s="102"/>
      <c r="I2817" s="93"/>
      <c r="J2817" s="93"/>
    </row>
    <row r="2818" spans="1:10" s="65" customFormat="1" ht="14" x14ac:dyDescent="0.35">
      <c r="A2818" s="145"/>
      <c r="E2818" s="102"/>
      <c r="F2818" s="102"/>
      <c r="G2818" s="102"/>
      <c r="I2818" s="93"/>
      <c r="J2818" s="93"/>
    </row>
    <row r="2819" spans="1:10" s="65" customFormat="1" ht="14" x14ac:dyDescent="0.35">
      <c r="A2819" s="145"/>
      <c r="E2819" s="102"/>
      <c r="F2819" s="102"/>
      <c r="G2819" s="102"/>
      <c r="I2819" s="93"/>
      <c r="J2819" s="93"/>
    </row>
    <row r="2820" spans="1:10" s="65" customFormat="1" ht="14" x14ac:dyDescent="0.35">
      <c r="A2820" s="145"/>
      <c r="E2820" s="102"/>
      <c r="F2820" s="102"/>
      <c r="G2820" s="102"/>
      <c r="I2820" s="93"/>
      <c r="J2820" s="93"/>
    </row>
    <row r="2821" spans="1:10" s="65" customFormat="1" ht="14" x14ac:dyDescent="0.35">
      <c r="A2821" s="145"/>
      <c r="E2821" s="102"/>
      <c r="F2821" s="102"/>
      <c r="G2821" s="102"/>
      <c r="I2821" s="93"/>
      <c r="J2821" s="93"/>
    </row>
    <row r="2822" spans="1:10" s="65" customFormat="1" ht="14" x14ac:dyDescent="0.35">
      <c r="A2822" s="145"/>
      <c r="E2822" s="102"/>
      <c r="F2822" s="102"/>
      <c r="G2822" s="102"/>
      <c r="I2822" s="93"/>
      <c r="J2822" s="93"/>
    </row>
    <row r="2823" spans="1:10" s="65" customFormat="1" ht="14" x14ac:dyDescent="0.35">
      <c r="A2823" s="145"/>
      <c r="E2823" s="102"/>
      <c r="F2823" s="102"/>
      <c r="G2823" s="102"/>
      <c r="I2823" s="93"/>
      <c r="J2823" s="93"/>
    </row>
    <row r="2824" spans="1:10" s="65" customFormat="1" ht="14" x14ac:dyDescent="0.35">
      <c r="A2824" s="145"/>
      <c r="E2824" s="102"/>
      <c r="F2824" s="102"/>
      <c r="G2824" s="102"/>
      <c r="I2824" s="93"/>
      <c r="J2824" s="93"/>
    </row>
    <row r="2825" spans="1:10" s="65" customFormat="1" ht="14" x14ac:dyDescent="0.35">
      <c r="A2825" s="145"/>
      <c r="E2825" s="102"/>
      <c r="F2825" s="102"/>
      <c r="G2825" s="102"/>
      <c r="I2825" s="93"/>
      <c r="J2825" s="93"/>
    </row>
    <row r="2826" spans="1:10" s="65" customFormat="1" ht="14" x14ac:dyDescent="0.35">
      <c r="A2826" s="145"/>
      <c r="E2826" s="102"/>
      <c r="F2826" s="102"/>
      <c r="G2826" s="102"/>
      <c r="I2826" s="93"/>
      <c r="J2826" s="93"/>
    </row>
    <row r="2827" spans="1:10" s="65" customFormat="1" ht="14" x14ac:dyDescent="0.35">
      <c r="A2827" s="145"/>
      <c r="E2827" s="102"/>
      <c r="F2827" s="102"/>
      <c r="G2827" s="102"/>
      <c r="I2827" s="93"/>
      <c r="J2827" s="93"/>
    </row>
    <row r="2828" spans="1:10" s="65" customFormat="1" ht="14" x14ac:dyDescent="0.35">
      <c r="A2828" s="145"/>
      <c r="E2828" s="102"/>
      <c r="F2828" s="102"/>
      <c r="G2828" s="102"/>
      <c r="I2828" s="93"/>
      <c r="J2828" s="93"/>
    </row>
    <row r="2829" spans="1:10" s="65" customFormat="1" ht="14" x14ac:dyDescent="0.35">
      <c r="A2829" s="145"/>
      <c r="E2829" s="102"/>
      <c r="F2829" s="102"/>
      <c r="G2829" s="102"/>
      <c r="I2829" s="93"/>
      <c r="J2829" s="93"/>
    </row>
    <row r="2830" spans="1:10" s="65" customFormat="1" ht="14" x14ac:dyDescent="0.35">
      <c r="A2830" s="145"/>
      <c r="E2830" s="102"/>
      <c r="F2830" s="102"/>
      <c r="G2830" s="102"/>
      <c r="I2830" s="93"/>
      <c r="J2830" s="93"/>
    </row>
    <row r="2831" spans="1:10" s="65" customFormat="1" ht="14" x14ac:dyDescent="0.35">
      <c r="A2831" s="145"/>
      <c r="E2831" s="102"/>
      <c r="F2831" s="102"/>
      <c r="G2831" s="102"/>
      <c r="I2831" s="93"/>
      <c r="J2831" s="93"/>
    </row>
    <row r="2832" spans="1:10" s="65" customFormat="1" ht="14" x14ac:dyDescent="0.35">
      <c r="A2832" s="145"/>
      <c r="E2832" s="102"/>
      <c r="F2832" s="102"/>
      <c r="G2832" s="102"/>
      <c r="I2832" s="93"/>
      <c r="J2832" s="93"/>
    </row>
    <row r="2833" spans="1:10" s="65" customFormat="1" ht="14" x14ac:dyDescent="0.35">
      <c r="A2833" s="145"/>
      <c r="E2833" s="102"/>
      <c r="F2833" s="102"/>
      <c r="G2833" s="102"/>
      <c r="I2833" s="93"/>
      <c r="J2833" s="93"/>
    </row>
    <row r="2834" spans="1:10" s="65" customFormat="1" ht="14" x14ac:dyDescent="0.35">
      <c r="A2834" s="145"/>
      <c r="E2834" s="102"/>
      <c r="F2834" s="102"/>
      <c r="G2834" s="102"/>
      <c r="I2834" s="93"/>
      <c r="J2834" s="93"/>
    </row>
    <row r="2835" spans="1:10" s="65" customFormat="1" ht="14" x14ac:dyDescent="0.35">
      <c r="A2835" s="145"/>
      <c r="E2835" s="102"/>
      <c r="F2835" s="102"/>
      <c r="G2835" s="102"/>
      <c r="I2835" s="93"/>
      <c r="J2835" s="93"/>
    </row>
    <row r="2836" spans="1:10" s="65" customFormat="1" ht="14" x14ac:dyDescent="0.35">
      <c r="A2836" s="145"/>
      <c r="E2836" s="102"/>
      <c r="F2836" s="102"/>
      <c r="G2836" s="102"/>
      <c r="I2836" s="93"/>
      <c r="J2836" s="93"/>
    </row>
    <row r="2837" spans="1:10" s="65" customFormat="1" ht="14" x14ac:dyDescent="0.35">
      <c r="A2837" s="145"/>
      <c r="E2837" s="102"/>
      <c r="F2837" s="102"/>
      <c r="G2837" s="102"/>
      <c r="I2837" s="93"/>
      <c r="J2837" s="93"/>
    </row>
    <row r="2838" spans="1:10" s="65" customFormat="1" ht="14" x14ac:dyDescent="0.35">
      <c r="A2838" s="145"/>
      <c r="E2838" s="102"/>
      <c r="F2838" s="102"/>
      <c r="G2838" s="102"/>
      <c r="I2838" s="93"/>
      <c r="J2838" s="93"/>
    </row>
    <row r="2839" spans="1:10" s="65" customFormat="1" ht="14" x14ac:dyDescent="0.35">
      <c r="A2839" s="145"/>
      <c r="E2839" s="102"/>
      <c r="F2839" s="102"/>
      <c r="G2839" s="102"/>
      <c r="I2839" s="93"/>
      <c r="J2839" s="93"/>
    </row>
    <row r="2840" spans="1:10" s="65" customFormat="1" ht="14" x14ac:dyDescent="0.35">
      <c r="A2840" s="145"/>
      <c r="E2840" s="102"/>
      <c r="F2840" s="102"/>
      <c r="G2840" s="102"/>
      <c r="I2840" s="93"/>
      <c r="J2840" s="93"/>
    </row>
    <row r="2841" spans="1:10" s="65" customFormat="1" ht="14" x14ac:dyDescent="0.35">
      <c r="A2841" s="145"/>
      <c r="E2841" s="102"/>
      <c r="F2841" s="102"/>
      <c r="G2841" s="102"/>
      <c r="I2841" s="93"/>
      <c r="J2841" s="93"/>
    </row>
    <row r="2842" spans="1:10" s="65" customFormat="1" ht="14" x14ac:dyDescent="0.35">
      <c r="A2842" s="145"/>
      <c r="E2842" s="102"/>
      <c r="F2842" s="102"/>
      <c r="G2842" s="102"/>
      <c r="I2842" s="93"/>
      <c r="J2842" s="93"/>
    </row>
    <row r="2843" spans="1:10" s="65" customFormat="1" ht="14" x14ac:dyDescent="0.35">
      <c r="A2843" s="145"/>
      <c r="E2843" s="102"/>
      <c r="F2843" s="102"/>
      <c r="G2843" s="102"/>
      <c r="I2843" s="93"/>
      <c r="J2843" s="93"/>
    </row>
    <row r="2844" spans="1:10" s="65" customFormat="1" ht="14" x14ac:dyDescent="0.35">
      <c r="A2844" s="145"/>
      <c r="E2844" s="102"/>
      <c r="F2844" s="102"/>
      <c r="G2844" s="102"/>
      <c r="I2844" s="93"/>
      <c r="J2844" s="93"/>
    </row>
    <row r="2845" spans="1:10" s="65" customFormat="1" ht="14" x14ac:dyDescent="0.35">
      <c r="A2845" s="145"/>
      <c r="E2845" s="102"/>
      <c r="F2845" s="102"/>
      <c r="G2845" s="102"/>
      <c r="I2845" s="93"/>
      <c r="J2845" s="93"/>
    </row>
    <row r="2846" spans="1:10" s="65" customFormat="1" ht="14" x14ac:dyDescent="0.35">
      <c r="A2846" s="145"/>
      <c r="E2846" s="102"/>
      <c r="F2846" s="102"/>
      <c r="G2846" s="102"/>
      <c r="I2846" s="93"/>
      <c r="J2846" s="93"/>
    </row>
    <row r="2847" spans="1:10" s="65" customFormat="1" ht="14" x14ac:dyDescent="0.35">
      <c r="A2847" s="145"/>
      <c r="E2847" s="102"/>
      <c r="F2847" s="102"/>
      <c r="G2847" s="102"/>
      <c r="I2847" s="93"/>
      <c r="J2847" s="93"/>
    </row>
    <row r="2848" spans="1:10" s="65" customFormat="1" ht="14" x14ac:dyDescent="0.35">
      <c r="A2848" s="145"/>
      <c r="E2848" s="102"/>
      <c r="F2848" s="102"/>
      <c r="G2848" s="102"/>
      <c r="I2848" s="93"/>
      <c r="J2848" s="93"/>
    </row>
    <row r="2849" spans="1:10" s="65" customFormat="1" ht="14" x14ac:dyDescent="0.35">
      <c r="A2849" s="145"/>
      <c r="E2849" s="102"/>
      <c r="F2849" s="102"/>
      <c r="G2849" s="102"/>
      <c r="I2849" s="93"/>
      <c r="J2849" s="93"/>
    </row>
    <row r="2850" spans="1:10" s="65" customFormat="1" ht="14" x14ac:dyDescent="0.35">
      <c r="A2850" s="145"/>
      <c r="E2850" s="102"/>
      <c r="F2850" s="102"/>
      <c r="G2850" s="102"/>
      <c r="I2850" s="93"/>
      <c r="J2850" s="93"/>
    </row>
    <row r="2851" spans="1:10" s="65" customFormat="1" ht="14" x14ac:dyDescent="0.35">
      <c r="A2851" s="145"/>
      <c r="E2851" s="102"/>
      <c r="F2851" s="102"/>
      <c r="G2851" s="102"/>
      <c r="I2851" s="93"/>
      <c r="J2851" s="93"/>
    </row>
    <row r="2852" spans="1:10" s="65" customFormat="1" ht="14" x14ac:dyDescent="0.35">
      <c r="A2852" s="145"/>
      <c r="E2852" s="102"/>
      <c r="F2852" s="102"/>
      <c r="G2852" s="102"/>
      <c r="I2852" s="93"/>
      <c r="J2852" s="93"/>
    </row>
    <row r="2853" spans="1:10" s="65" customFormat="1" ht="14" x14ac:dyDescent="0.35">
      <c r="A2853" s="145"/>
      <c r="E2853" s="102"/>
      <c r="F2853" s="102"/>
      <c r="G2853" s="102"/>
      <c r="I2853" s="93"/>
      <c r="J2853" s="93"/>
    </row>
    <row r="2854" spans="1:10" s="65" customFormat="1" ht="14" x14ac:dyDescent="0.35">
      <c r="A2854" s="145"/>
      <c r="E2854" s="102"/>
      <c r="F2854" s="102"/>
      <c r="G2854" s="102"/>
      <c r="I2854" s="93"/>
      <c r="J2854" s="93"/>
    </row>
    <row r="2855" spans="1:10" s="65" customFormat="1" ht="14" x14ac:dyDescent="0.35">
      <c r="A2855" s="145"/>
      <c r="E2855" s="102"/>
      <c r="F2855" s="102"/>
      <c r="G2855" s="102"/>
      <c r="I2855" s="93"/>
      <c r="J2855" s="93"/>
    </row>
    <row r="2856" spans="1:10" s="65" customFormat="1" ht="14" x14ac:dyDescent="0.35">
      <c r="A2856" s="145"/>
      <c r="E2856" s="102"/>
      <c r="F2856" s="102"/>
      <c r="G2856" s="102"/>
      <c r="I2856" s="93"/>
      <c r="J2856" s="93"/>
    </row>
    <row r="2857" spans="1:10" s="65" customFormat="1" ht="14" x14ac:dyDescent="0.35">
      <c r="A2857" s="145"/>
      <c r="E2857" s="102"/>
      <c r="F2857" s="102"/>
      <c r="G2857" s="102"/>
      <c r="I2857" s="93"/>
      <c r="J2857" s="93"/>
    </row>
    <row r="2858" spans="1:10" s="65" customFormat="1" ht="14" x14ac:dyDescent="0.35">
      <c r="A2858" s="145"/>
      <c r="E2858" s="102"/>
      <c r="F2858" s="102"/>
      <c r="G2858" s="102"/>
      <c r="I2858" s="93"/>
      <c r="J2858" s="93"/>
    </row>
    <row r="2859" spans="1:10" s="65" customFormat="1" ht="14" x14ac:dyDescent="0.35">
      <c r="A2859" s="145"/>
      <c r="E2859" s="102"/>
      <c r="F2859" s="102"/>
      <c r="G2859" s="102"/>
      <c r="I2859" s="93"/>
      <c r="J2859" s="93"/>
    </row>
    <row r="2860" spans="1:10" s="65" customFormat="1" ht="14" x14ac:dyDescent="0.35">
      <c r="A2860" s="145"/>
      <c r="E2860" s="102"/>
      <c r="F2860" s="102"/>
      <c r="G2860" s="102"/>
      <c r="I2860" s="93"/>
      <c r="J2860" s="93"/>
    </row>
    <row r="2861" spans="1:10" s="65" customFormat="1" ht="14" x14ac:dyDescent="0.35">
      <c r="A2861" s="145"/>
      <c r="E2861" s="102"/>
      <c r="F2861" s="102"/>
      <c r="G2861" s="102"/>
      <c r="I2861" s="93"/>
      <c r="J2861" s="93"/>
    </row>
    <row r="2862" spans="1:10" s="65" customFormat="1" ht="14" x14ac:dyDescent="0.35">
      <c r="A2862" s="145"/>
      <c r="E2862" s="102"/>
      <c r="F2862" s="102"/>
      <c r="G2862" s="102"/>
      <c r="I2862" s="93"/>
      <c r="J2862" s="93"/>
    </row>
    <row r="2863" spans="1:10" s="65" customFormat="1" ht="14" x14ac:dyDescent="0.35">
      <c r="A2863" s="145"/>
      <c r="E2863" s="102"/>
      <c r="F2863" s="102"/>
      <c r="G2863" s="102"/>
      <c r="I2863" s="93"/>
      <c r="J2863" s="93"/>
    </row>
    <row r="2864" spans="1:10" s="65" customFormat="1" ht="14" x14ac:dyDescent="0.35">
      <c r="A2864" s="145"/>
      <c r="E2864" s="102"/>
      <c r="F2864" s="102"/>
      <c r="G2864" s="102"/>
      <c r="I2864" s="93"/>
      <c r="J2864" s="93"/>
    </row>
    <row r="2865" spans="1:10" s="65" customFormat="1" ht="14" x14ac:dyDescent="0.35">
      <c r="A2865" s="145"/>
      <c r="E2865" s="102"/>
      <c r="F2865" s="102"/>
      <c r="G2865" s="102"/>
      <c r="I2865" s="93"/>
      <c r="J2865" s="93"/>
    </row>
    <row r="2866" spans="1:10" s="65" customFormat="1" ht="14" x14ac:dyDescent="0.35">
      <c r="A2866" s="145"/>
      <c r="E2866" s="102"/>
      <c r="F2866" s="102"/>
      <c r="G2866" s="102"/>
      <c r="I2866" s="93"/>
      <c r="J2866" s="93"/>
    </row>
    <row r="2867" spans="1:10" s="65" customFormat="1" ht="14" x14ac:dyDescent="0.35">
      <c r="A2867" s="145"/>
      <c r="E2867" s="102"/>
      <c r="F2867" s="102"/>
      <c r="G2867" s="102"/>
      <c r="I2867" s="93"/>
      <c r="J2867" s="93"/>
    </row>
    <row r="2868" spans="1:10" s="65" customFormat="1" ht="14" x14ac:dyDescent="0.35">
      <c r="A2868" s="145"/>
      <c r="E2868" s="102"/>
      <c r="F2868" s="102"/>
      <c r="G2868" s="102"/>
      <c r="I2868" s="93"/>
      <c r="J2868" s="93"/>
    </row>
    <row r="2869" spans="1:10" s="65" customFormat="1" ht="14" x14ac:dyDescent="0.35">
      <c r="A2869" s="145"/>
      <c r="E2869" s="102"/>
      <c r="F2869" s="102"/>
      <c r="G2869" s="102"/>
      <c r="I2869" s="93"/>
      <c r="J2869" s="93"/>
    </row>
    <row r="2870" spans="1:10" s="65" customFormat="1" ht="14" x14ac:dyDescent="0.35">
      <c r="A2870" s="145"/>
      <c r="E2870" s="102"/>
      <c r="F2870" s="102"/>
      <c r="G2870" s="102"/>
      <c r="I2870" s="93"/>
      <c r="J2870" s="93"/>
    </row>
    <row r="2871" spans="1:10" s="65" customFormat="1" ht="14" x14ac:dyDescent="0.35">
      <c r="A2871" s="145"/>
      <c r="E2871" s="102"/>
      <c r="F2871" s="102"/>
      <c r="G2871" s="102"/>
      <c r="I2871" s="93"/>
      <c r="J2871" s="93"/>
    </row>
    <row r="2872" spans="1:10" s="65" customFormat="1" ht="14" x14ac:dyDescent="0.35">
      <c r="A2872" s="145"/>
      <c r="E2872" s="102"/>
      <c r="F2872" s="102"/>
      <c r="G2872" s="102"/>
      <c r="I2872" s="93"/>
      <c r="J2872" s="93"/>
    </row>
    <row r="2873" spans="1:10" s="65" customFormat="1" ht="14" x14ac:dyDescent="0.35">
      <c r="A2873" s="145"/>
      <c r="E2873" s="102"/>
      <c r="F2873" s="102"/>
      <c r="G2873" s="102"/>
      <c r="I2873" s="93"/>
      <c r="J2873" s="93"/>
    </row>
    <row r="2874" spans="1:10" s="65" customFormat="1" ht="14" x14ac:dyDescent="0.35">
      <c r="A2874" s="145"/>
      <c r="E2874" s="102"/>
      <c r="F2874" s="102"/>
      <c r="G2874" s="102"/>
      <c r="I2874" s="93"/>
      <c r="J2874" s="93"/>
    </row>
    <row r="2875" spans="1:10" s="65" customFormat="1" ht="14" x14ac:dyDescent="0.35">
      <c r="A2875" s="145"/>
      <c r="E2875" s="102"/>
      <c r="F2875" s="102"/>
      <c r="G2875" s="102"/>
      <c r="I2875" s="93"/>
      <c r="J2875" s="93"/>
    </row>
    <row r="2876" spans="1:10" s="65" customFormat="1" ht="14" x14ac:dyDescent="0.35">
      <c r="A2876" s="145"/>
      <c r="E2876" s="102"/>
      <c r="F2876" s="102"/>
      <c r="G2876" s="102"/>
      <c r="I2876" s="93"/>
      <c r="J2876" s="93"/>
    </row>
    <row r="2877" spans="1:10" s="65" customFormat="1" ht="14" x14ac:dyDescent="0.35">
      <c r="A2877" s="145"/>
      <c r="E2877" s="102"/>
      <c r="F2877" s="102"/>
      <c r="G2877" s="102"/>
      <c r="I2877" s="93"/>
      <c r="J2877" s="93"/>
    </row>
    <row r="2878" spans="1:10" s="65" customFormat="1" ht="14" x14ac:dyDescent="0.35">
      <c r="A2878" s="145"/>
      <c r="E2878" s="102"/>
      <c r="F2878" s="102"/>
      <c r="G2878" s="102"/>
      <c r="I2878" s="93"/>
      <c r="J2878" s="93"/>
    </row>
    <row r="2879" spans="1:10" s="65" customFormat="1" ht="14" x14ac:dyDescent="0.35">
      <c r="A2879" s="145"/>
      <c r="E2879" s="102"/>
      <c r="F2879" s="102"/>
      <c r="G2879" s="102"/>
      <c r="I2879" s="93"/>
      <c r="J2879" s="93"/>
    </row>
    <row r="2880" spans="1:10" s="65" customFormat="1" ht="14" x14ac:dyDescent="0.35">
      <c r="A2880" s="145"/>
      <c r="E2880" s="102"/>
      <c r="F2880" s="102"/>
      <c r="G2880" s="102"/>
      <c r="I2880" s="93"/>
      <c r="J2880" s="93"/>
    </row>
    <row r="2881" spans="1:10" s="65" customFormat="1" ht="14" x14ac:dyDescent="0.35">
      <c r="A2881" s="145"/>
      <c r="E2881" s="102"/>
      <c r="F2881" s="102"/>
      <c r="G2881" s="102"/>
      <c r="I2881" s="93"/>
      <c r="J2881" s="93"/>
    </row>
    <row r="2882" spans="1:10" s="65" customFormat="1" ht="14" x14ac:dyDescent="0.35">
      <c r="A2882" s="145"/>
      <c r="E2882" s="102"/>
      <c r="F2882" s="102"/>
      <c r="G2882" s="102"/>
      <c r="I2882" s="93"/>
      <c r="J2882" s="93"/>
    </row>
    <row r="2883" spans="1:10" s="65" customFormat="1" ht="14" x14ac:dyDescent="0.35">
      <c r="A2883" s="145"/>
      <c r="E2883" s="102"/>
      <c r="F2883" s="102"/>
      <c r="G2883" s="102"/>
      <c r="I2883" s="93"/>
      <c r="J2883" s="93"/>
    </row>
    <row r="2884" spans="1:10" s="65" customFormat="1" ht="14" x14ac:dyDescent="0.35">
      <c r="A2884" s="145"/>
      <c r="E2884" s="102"/>
      <c r="F2884" s="102"/>
      <c r="G2884" s="102"/>
      <c r="I2884" s="93"/>
      <c r="J2884" s="93"/>
    </row>
    <row r="2885" spans="1:10" s="65" customFormat="1" ht="14" x14ac:dyDescent="0.35">
      <c r="A2885" s="145"/>
      <c r="E2885" s="102"/>
      <c r="F2885" s="102"/>
      <c r="G2885" s="102"/>
      <c r="I2885" s="93"/>
      <c r="J2885" s="93"/>
    </row>
    <row r="2886" spans="1:10" s="65" customFormat="1" ht="14" x14ac:dyDescent="0.35">
      <c r="A2886" s="145"/>
      <c r="E2886" s="102"/>
      <c r="F2886" s="102"/>
      <c r="G2886" s="102"/>
      <c r="I2886" s="93"/>
      <c r="J2886" s="93"/>
    </row>
    <row r="2887" spans="1:10" s="65" customFormat="1" ht="14" x14ac:dyDescent="0.35">
      <c r="A2887" s="145"/>
      <c r="E2887" s="102"/>
      <c r="F2887" s="102"/>
      <c r="G2887" s="102"/>
      <c r="I2887" s="93"/>
      <c r="J2887" s="93"/>
    </row>
    <row r="2888" spans="1:10" s="65" customFormat="1" ht="14" x14ac:dyDescent="0.35">
      <c r="A2888" s="145"/>
      <c r="E2888" s="102"/>
      <c r="F2888" s="102"/>
      <c r="G2888" s="102"/>
      <c r="I2888" s="93"/>
      <c r="J2888" s="93"/>
    </row>
    <row r="2889" spans="1:10" s="65" customFormat="1" ht="14" x14ac:dyDescent="0.35">
      <c r="A2889" s="145"/>
      <c r="E2889" s="102"/>
      <c r="F2889" s="102"/>
      <c r="G2889" s="102"/>
      <c r="I2889" s="93"/>
      <c r="J2889" s="93"/>
    </row>
    <row r="2890" spans="1:10" s="65" customFormat="1" ht="14" x14ac:dyDescent="0.35">
      <c r="A2890" s="145"/>
      <c r="E2890" s="102"/>
      <c r="F2890" s="102"/>
      <c r="G2890" s="102"/>
      <c r="I2890" s="93"/>
      <c r="J2890" s="93"/>
    </row>
    <row r="2891" spans="1:10" s="65" customFormat="1" ht="14" x14ac:dyDescent="0.35">
      <c r="A2891" s="145"/>
      <c r="E2891" s="102"/>
      <c r="F2891" s="102"/>
      <c r="G2891" s="102"/>
      <c r="I2891" s="93"/>
      <c r="J2891" s="93"/>
    </row>
    <row r="2892" spans="1:10" s="65" customFormat="1" ht="14" x14ac:dyDescent="0.35">
      <c r="A2892" s="145"/>
      <c r="E2892" s="102"/>
      <c r="F2892" s="102"/>
      <c r="G2892" s="102"/>
      <c r="I2892" s="93"/>
      <c r="J2892" s="93"/>
    </row>
    <row r="2893" spans="1:10" s="65" customFormat="1" ht="14" x14ac:dyDescent="0.35">
      <c r="A2893" s="145"/>
      <c r="E2893" s="102"/>
      <c r="F2893" s="102"/>
      <c r="G2893" s="102"/>
      <c r="I2893" s="93"/>
      <c r="J2893" s="93"/>
    </row>
    <row r="2894" spans="1:10" s="65" customFormat="1" ht="14" x14ac:dyDescent="0.35">
      <c r="A2894" s="145"/>
      <c r="E2894" s="102"/>
      <c r="F2894" s="102"/>
      <c r="G2894" s="102"/>
      <c r="I2894" s="93"/>
      <c r="J2894" s="93"/>
    </row>
    <row r="2895" spans="1:10" s="65" customFormat="1" ht="14" x14ac:dyDescent="0.35">
      <c r="A2895" s="145"/>
      <c r="E2895" s="102"/>
      <c r="F2895" s="102"/>
      <c r="G2895" s="102"/>
      <c r="I2895" s="93"/>
      <c r="J2895" s="93"/>
    </row>
    <row r="2896" spans="1:10" s="65" customFormat="1" ht="14" x14ac:dyDescent="0.35">
      <c r="A2896" s="145"/>
      <c r="E2896" s="102"/>
      <c r="F2896" s="102"/>
      <c r="G2896" s="102"/>
      <c r="I2896" s="93"/>
      <c r="J2896" s="93"/>
    </row>
    <row r="2897" spans="1:10" s="65" customFormat="1" ht="14" x14ac:dyDescent="0.35">
      <c r="A2897" s="145"/>
      <c r="E2897" s="102"/>
      <c r="F2897" s="102"/>
      <c r="G2897" s="102"/>
      <c r="I2897" s="93"/>
      <c r="J2897" s="93"/>
    </row>
    <row r="2898" spans="1:10" s="65" customFormat="1" ht="14" x14ac:dyDescent="0.35">
      <c r="A2898" s="145"/>
      <c r="E2898" s="102"/>
      <c r="F2898" s="102"/>
      <c r="G2898" s="102"/>
      <c r="I2898" s="93"/>
      <c r="J2898" s="93"/>
    </row>
    <row r="2899" spans="1:10" s="65" customFormat="1" ht="14" x14ac:dyDescent="0.35">
      <c r="A2899" s="145"/>
      <c r="E2899" s="102"/>
      <c r="F2899" s="102"/>
      <c r="G2899" s="102"/>
      <c r="I2899" s="93"/>
      <c r="J2899" s="93"/>
    </row>
    <row r="2900" spans="1:10" s="65" customFormat="1" ht="14" x14ac:dyDescent="0.35">
      <c r="A2900" s="145"/>
      <c r="E2900" s="102"/>
      <c r="F2900" s="102"/>
      <c r="G2900" s="102"/>
      <c r="I2900" s="93"/>
      <c r="J2900" s="93"/>
    </row>
    <row r="2901" spans="1:10" s="65" customFormat="1" ht="14" x14ac:dyDescent="0.35">
      <c r="A2901" s="145"/>
      <c r="E2901" s="102"/>
      <c r="F2901" s="102"/>
      <c r="G2901" s="102"/>
      <c r="I2901" s="93"/>
      <c r="J2901" s="93"/>
    </row>
    <row r="2902" spans="1:10" s="65" customFormat="1" ht="14" x14ac:dyDescent="0.35">
      <c r="A2902" s="145"/>
      <c r="E2902" s="102"/>
      <c r="F2902" s="102"/>
      <c r="G2902" s="102"/>
      <c r="I2902" s="93"/>
      <c r="J2902" s="93"/>
    </row>
    <row r="2903" spans="1:10" s="65" customFormat="1" ht="14" x14ac:dyDescent="0.35">
      <c r="A2903" s="145"/>
      <c r="E2903" s="102"/>
      <c r="F2903" s="102"/>
      <c r="G2903" s="102"/>
      <c r="I2903" s="93"/>
      <c r="J2903" s="93"/>
    </row>
    <row r="2904" spans="1:10" s="65" customFormat="1" ht="14" x14ac:dyDescent="0.35">
      <c r="A2904" s="145"/>
      <c r="E2904" s="102"/>
      <c r="F2904" s="102"/>
      <c r="G2904" s="102"/>
      <c r="I2904" s="93"/>
      <c r="J2904" s="93"/>
    </row>
    <row r="2905" spans="1:10" s="65" customFormat="1" ht="14" x14ac:dyDescent="0.35">
      <c r="A2905" s="145"/>
      <c r="E2905" s="102"/>
      <c r="F2905" s="102"/>
      <c r="G2905" s="102"/>
      <c r="I2905" s="93"/>
      <c r="J2905" s="93"/>
    </row>
    <row r="2906" spans="1:10" s="65" customFormat="1" ht="14" x14ac:dyDescent="0.35">
      <c r="A2906" s="145"/>
      <c r="E2906" s="102"/>
      <c r="F2906" s="102"/>
      <c r="G2906" s="102"/>
      <c r="I2906" s="93"/>
      <c r="J2906" s="93"/>
    </row>
    <row r="2907" spans="1:10" s="65" customFormat="1" ht="14" x14ac:dyDescent="0.35">
      <c r="A2907" s="145"/>
      <c r="E2907" s="102"/>
      <c r="F2907" s="102"/>
      <c r="G2907" s="102"/>
      <c r="I2907" s="93"/>
      <c r="J2907" s="93"/>
    </row>
    <row r="2908" spans="1:10" s="65" customFormat="1" ht="14" x14ac:dyDescent="0.35">
      <c r="A2908" s="145"/>
      <c r="E2908" s="102"/>
      <c r="F2908" s="102"/>
      <c r="G2908" s="102"/>
      <c r="I2908" s="93"/>
      <c r="J2908" s="93"/>
    </row>
    <row r="2909" spans="1:10" s="65" customFormat="1" ht="14" x14ac:dyDescent="0.35">
      <c r="A2909" s="145"/>
      <c r="E2909" s="102"/>
      <c r="F2909" s="102"/>
      <c r="G2909" s="102"/>
      <c r="I2909" s="93"/>
      <c r="J2909" s="93"/>
    </row>
    <row r="2910" spans="1:10" s="65" customFormat="1" ht="14" x14ac:dyDescent="0.35">
      <c r="A2910" s="145"/>
      <c r="E2910" s="102"/>
      <c r="F2910" s="102"/>
      <c r="G2910" s="102"/>
      <c r="I2910" s="93"/>
      <c r="J2910" s="93"/>
    </row>
    <row r="2911" spans="1:10" s="65" customFormat="1" ht="14" x14ac:dyDescent="0.35">
      <c r="A2911" s="145"/>
      <c r="E2911" s="102"/>
      <c r="F2911" s="102"/>
      <c r="G2911" s="102"/>
      <c r="I2911" s="93"/>
      <c r="J2911" s="93"/>
    </row>
    <row r="2912" spans="1:10" s="65" customFormat="1" ht="14" x14ac:dyDescent="0.35">
      <c r="A2912" s="145"/>
      <c r="E2912" s="102"/>
      <c r="F2912" s="102"/>
      <c r="G2912" s="102"/>
      <c r="I2912" s="93"/>
      <c r="J2912" s="93"/>
    </row>
    <row r="2913" spans="1:10" s="65" customFormat="1" ht="14" x14ac:dyDescent="0.35">
      <c r="A2913" s="145"/>
      <c r="E2913" s="102"/>
      <c r="F2913" s="102"/>
      <c r="G2913" s="102"/>
      <c r="I2913" s="93"/>
      <c r="J2913" s="93"/>
    </row>
    <row r="2914" spans="1:10" s="65" customFormat="1" ht="14" x14ac:dyDescent="0.35">
      <c r="A2914" s="145"/>
      <c r="E2914" s="102"/>
      <c r="F2914" s="102"/>
      <c r="G2914" s="102"/>
      <c r="I2914" s="93"/>
      <c r="J2914" s="93"/>
    </row>
    <row r="2915" spans="1:10" s="65" customFormat="1" ht="14" x14ac:dyDescent="0.35">
      <c r="A2915" s="145"/>
      <c r="E2915" s="102"/>
      <c r="F2915" s="102"/>
      <c r="G2915" s="102"/>
      <c r="I2915" s="93"/>
      <c r="J2915" s="93"/>
    </row>
    <row r="2916" spans="1:10" s="65" customFormat="1" ht="14" x14ac:dyDescent="0.35">
      <c r="A2916" s="145"/>
      <c r="E2916" s="102"/>
      <c r="F2916" s="102"/>
      <c r="G2916" s="102"/>
      <c r="I2916" s="93"/>
      <c r="J2916" s="93"/>
    </row>
    <row r="2917" spans="1:10" s="65" customFormat="1" ht="14" x14ac:dyDescent="0.35">
      <c r="A2917" s="145"/>
      <c r="E2917" s="102"/>
      <c r="F2917" s="102"/>
      <c r="G2917" s="102"/>
      <c r="I2917" s="93"/>
      <c r="J2917" s="93"/>
    </row>
    <row r="2918" spans="1:10" s="65" customFormat="1" ht="14" x14ac:dyDescent="0.35">
      <c r="A2918" s="145"/>
      <c r="E2918" s="102"/>
      <c r="F2918" s="102"/>
      <c r="G2918" s="102"/>
      <c r="I2918" s="93"/>
      <c r="J2918" s="93"/>
    </row>
    <row r="2919" spans="1:10" s="65" customFormat="1" ht="14" x14ac:dyDescent="0.35">
      <c r="A2919" s="145"/>
      <c r="E2919" s="102"/>
      <c r="F2919" s="102"/>
      <c r="G2919" s="102"/>
      <c r="I2919" s="93"/>
      <c r="J2919" s="93"/>
    </row>
    <row r="2920" spans="1:10" s="65" customFormat="1" ht="14" x14ac:dyDescent="0.35">
      <c r="A2920" s="145"/>
      <c r="E2920" s="102"/>
      <c r="F2920" s="102"/>
      <c r="G2920" s="102"/>
      <c r="I2920" s="93"/>
      <c r="J2920" s="93"/>
    </row>
    <row r="2921" spans="1:10" s="65" customFormat="1" ht="14" x14ac:dyDescent="0.35">
      <c r="A2921" s="145"/>
      <c r="E2921" s="102"/>
      <c r="F2921" s="102"/>
      <c r="G2921" s="102"/>
      <c r="I2921" s="93"/>
      <c r="J2921" s="93"/>
    </row>
    <row r="2922" spans="1:10" s="65" customFormat="1" ht="14" x14ac:dyDescent="0.35">
      <c r="A2922" s="145"/>
      <c r="E2922" s="102"/>
      <c r="F2922" s="102"/>
      <c r="G2922" s="102"/>
      <c r="I2922" s="93"/>
      <c r="J2922" s="93"/>
    </row>
    <row r="2923" spans="1:10" s="65" customFormat="1" ht="14" x14ac:dyDescent="0.35">
      <c r="A2923" s="145"/>
      <c r="E2923" s="102"/>
      <c r="F2923" s="102"/>
      <c r="G2923" s="102"/>
      <c r="I2923" s="93"/>
      <c r="J2923" s="93"/>
    </row>
    <row r="2924" spans="1:10" s="65" customFormat="1" ht="14" x14ac:dyDescent="0.35">
      <c r="A2924" s="145"/>
      <c r="E2924" s="102"/>
      <c r="F2924" s="102"/>
      <c r="G2924" s="102"/>
      <c r="I2924" s="93"/>
      <c r="J2924" s="93"/>
    </row>
    <row r="2925" spans="1:10" s="65" customFormat="1" ht="14" x14ac:dyDescent="0.35">
      <c r="A2925" s="145"/>
      <c r="E2925" s="102"/>
      <c r="F2925" s="102"/>
      <c r="G2925" s="102"/>
      <c r="I2925" s="93"/>
      <c r="J2925" s="93"/>
    </row>
    <row r="2926" spans="1:10" s="65" customFormat="1" ht="14" x14ac:dyDescent="0.35">
      <c r="A2926" s="145"/>
      <c r="E2926" s="102"/>
      <c r="F2926" s="102"/>
      <c r="G2926" s="102"/>
      <c r="I2926" s="93"/>
      <c r="J2926" s="93"/>
    </row>
    <row r="2927" spans="1:10" s="65" customFormat="1" ht="14" x14ac:dyDescent="0.35">
      <c r="A2927" s="145"/>
      <c r="E2927" s="102"/>
      <c r="F2927" s="102"/>
      <c r="G2927" s="102"/>
      <c r="I2927" s="93"/>
      <c r="J2927" s="93"/>
    </row>
    <row r="2928" spans="1:10" s="65" customFormat="1" ht="14" x14ac:dyDescent="0.35">
      <c r="A2928" s="145"/>
      <c r="E2928" s="102"/>
      <c r="F2928" s="102"/>
      <c r="G2928" s="102"/>
      <c r="I2928" s="93"/>
      <c r="J2928" s="93"/>
    </row>
    <row r="2929" spans="1:10" s="65" customFormat="1" ht="14" x14ac:dyDescent="0.35">
      <c r="A2929" s="145"/>
      <c r="E2929" s="102"/>
      <c r="F2929" s="102"/>
      <c r="G2929" s="102"/>
      <c r="I2929" s="93"/>
      <c r="J2929" s="93"/>
    </row>
    <row r="2930" spans="1:10" s="65" customFormat="1" ht="14" x14ac:dyDescent="0.35">
      <c r="A2930" s="145"/>
      <c r="E2930" s="102"/>
      <c r="F2930" s="102"/>
      <c r="G2930" s="102"/>
      <c r="I2930" s="93"/>
      <c r="J2930" s="93"/>
    </row>
    <row r="2931" spans="1:10" s="65" customFormat="1" ht="14" x14ac:dyDescent="0.35">
      <c r="A2931" s="145"/>
      <c r="E2931" s="102"/>
      <c r="F2931" s="102"/>
      <c r="G2931" s="102"/>
      <c r="I2931" s="93"/>
      <c r="J2931" s="93"/>
    </row>
    <row r="2932" spans="1:10" s="65" customFormat="1" ht="14" x14ac:dyDescent="0.35">
      <c r="A2932" s="145"/>
      <c r="E2932" s="102"/>
      <c r="F2932" s="102"/>
      <c r="G2932" s="102"/>
      <c r="I2932" s="93"/>
      <c r="J2932" s="93"/>
    </row>
    <row r="2933" spans="1:10" s="65" customFormat="1" ht="14" x14ac:dyDescent="0.35">
      <c r="A2933" s="145"/>
      <c r="E2933" s="102"/>
      <c r="F2933" s="102"/>
      <c r="G2933" s="102"/>
      <c r="I2933" s="93"/>
      <c r="J2933" s="93"/>
    </row>
    <row r="2934" spans="1:10" s="65" customFormat="1" ht="14" x14ac:dyDescent="0.35">
      <c r="A2934" s="145"/>
      <c r="E2934" s="102"/>
      <c r="F2934" s="102"/>
      <c r="G2934" s="102"/>
      <c r="I2934" s="93"/>
      <c r="J2934" s="93"/>
    </row>
    <row r="2935" spans="1:10" s="65" customFormat="1" ht="14" x14ac:dyDescent="0.35">
      <c r="A2935" s="145"/>
      <c r="E2935" s="102"/>
      <c r="F2935" s="102"/>
      <c r="G2935" s="102"/>
      <c r="I2935" s="93"/>
      <c r="J2935" s="93"/>
    </row>
    <row r="2936" spans="1:10" s="65" customFormat="1" ht="14" x14ac:dyDescent="0.35">
      <c r="A2936" s="145"/>
      <c r="E2936" s="102"/>
      <c r="F2936" s="102"/>
      <c r="G2936" s="102"/>
      <c r="I2936" s="93"/>
      <c r="J2936" s="93"/>
    </row>
    <row r="2937" spans="1:10" s="65" customFormat="1" ht="14" x14ac:dyDescent="0.35">
      <c r="A2937" s="145"/>
      <c r="E2937" s="102"/>
      <c r="F2937" s="102"/>
      <c r="G2937" s="102"/>
      <c r="I2937" s="93"/>
      <c r="J2937" s="93"/>
    </row>
    <row r="2938" spans="1:10" s="65" customFormat="1" ht="14" x14ac:dyDescent="0.35">
      <c r="A2938" s="145"/>
      <c r="E2938" s="102"/>
      <c r="F2938" s="102"/>
      <c r="G2938" s="102"/>
      <c r="I2938" s="93"/>
      <c r="J2938" s="93"/>
    </row>
    <row r="2939" spans="1:10" s="65" customFormat="1" ht="14" x14ac:dyDescent="0.35">
      <c r="A2939" s="145"/>
      <c r="E2939" s="102"/>
      <c r="F2939" s="102"/>
      <c r="G2939" s="102"/>
      <c r="I2939" s="93"/>
      <c r="J2939" s="93"/>
    </row>
    <row r="2940" spans="1:10" s="65" customFormat="1" ht="14" x14ac:dyDescent="0.35">
      <c r="A2940" s="145"/>
      <c r="E2940" s="102"/>
      <c r="F2940" s="102"/>
      <c r="G2940" s="102"/>
      <c r="I2940" s="93"/>
      <c r="J2940" s="93"/>
    </row>
    <row r="2941" spans="1:10" s="65" customFormat="1" ht="14" x14ac:dyDescent="0.35">
      <c r="A2941" s="145"/>
      <c r="E2941" s="102"/>
      <c r="F2941" s="102"/>
      <c r="G2941" s="102"/>
      <c r="I2941" s="93"/>
      <c r="J2941" s="93"/>
    </row>
    <row r="2942" spans="1:10" s="65" customFormat="1" ht="14" x14ac:dyDescent="0.35">
      <c r="A2942" s="145"/>
      <c r="E2942" s="102"/>
      <c r="F2942" s="102"/>
      <c r="G2942" s="102"/>
      <c r="I2942" s="93"/>
      <c r="J2942" s="93"/>
    </row>
    <row r="2943" spans="1:10" s="65" customFormat="1" ht="14" x14ac:dyDescent="0.35">
      <c r="A2943" s="145"/>
      <c r="E2943" s="102"/>
      <c r="F2943" s="102"/>
      <c r="G2943" s="102"/>
      <c r="I2943" s="93"/>
      <c r="J2943" s="93"/>
    </row>
    <row r="2944" spans="1:10" s="65" customFormat="1" ht="14" x14ac:dyDescent="0.35">
      <c r="A2944" s="145"/>
      <c r="E2944" s="102"/>
      <c r="F2944" s="102"/>
      <c r="G2944" s="102"/>
      <c r="I2944" s="93"/>
      <c r="J2944" s="93"/>
    </row>
    <row r="2945" spans="1:10" s="65" customFormat="1" ht="14" x14ac:dyDescent="0.35">
      <c r="A2945" s="145"/>
      <c r="E2945" s="102"/>
      <c r="F2945" s="102"/>
      <c r="G2945" s="102"/>
      <c r="I2945" s="93"/>
      <c r="J2945" s="93"/>
    </row>
    <row r="2946" spans="1:10" s="65" customFormat="1" ht="14" x14ac:dyDescent="0.35">
      <c r="A2946" s="145"/>
      <c r="E2946" s="102"/>
      <c r="F2946" s="102"/>
      <c r="G2946" s="102"/>
      <c r="I2946" s="93"/>
      <c r="J2946" s="93"/>
    </row>
    <row r="2947" spans="1:10" s="65" customFormat="1" ht="14" x14ac:dyDescent="0.35">
      <c r="A2947" s="145"/>
      <c r="E2947" s="102"/>
      <c r="F2947" s="102"/>
      <c r="G2947" s="102"/>
      <c r="I2947" s="93"/>
      <c r="J2947" s="93"/>
    </row>
    <row r="2948" spans="1:10" s="65" customFormat="1" ht="14" x14ac:dyDescent="0.35">
      <c r="A2948" s="145"/>
      <c r="E2948" s="102"/>
      <c r="F2948" s="102"/>
      <c r="G2948" s="102"/>
      <c r="I2948" s="93"/>
      <c r="J2948" s="93"/>
    </row>
    <row r="2949" spans="1:10" s="65" customFormat="1" ht="14" x14ac:dyDescent="0.35">
      <c r="A2949" s="145"/>
      <c r="E2949" s="102"/>
      <c r="F2949" s="102"/>
      <c r="G2949" s="102"/>
      <c r="I2949" s="93"/>
      <c r="J2949" s="93"/>
    </row>
    <row r="2950" spans="1:10" s="65" customFormat="1" ht="14" x14ac:dyDescent="0.35">
      <c r="A2950" s="145"/>
      <c r="E2950" s="102"/>
      <c r="F2950" s="102"/>
      <c r="G2950" s="102"/>
      <c r="I2950" s="93"/>
      <c r="J2950" s="93"/>
    </row>
    <row r="2951" spans="1:10" s="65" customFormat="1" ht="14" x14ac:dyDescent="0.35">
      <c r="A2951" s="145"/>
      <c r="E2951" s="102"/>
      <c r="F2951" s="102"/>
      <c r="G2951" s="102"/>
      <c r="I2951" s="93"/>
      <c r="J2951" s="93"/>
    </row>
    <row r="2952" spans="1:10" s="65" customFormat="1" ht="14" x14ac:dyDescent="0.35">
      <c r="A2952" s="145"/>
      <c r="E2952" s="102"/>
      <c r="F2952" s="102"/>
      <c r="G2952" s="102"/>
      <c r="I2952" s="93"/>
      <c r="J2952" s="93"/>
    </row>
    <row r="2953" spans="1:10" s="65" customFormat="1" ht="14" x14ac:dyDescent="0.35">
      <c r="A2953" s="145"/>
      <c r="E2953" s="102"/>
      <c r="F2953" s="102"/>
      <c r="G2953" s="102"/>
      <c r="I2953" s="93"/>
      <c r="J2953" s="93"/>
    </row>
    <row r="2954" spans="1:10" s="65" customFormat="1" ht="14" x14ac:dyDescent="0.35">
      <c r="A2954" s="145"/>
      <c r="E2954" s="102"/>
      <c r="F2954" s="102"/>
      <c r="G2954" s="102"/>
      <c r="I2954" s="93"/>
      <c r="J2954" s="93"/>
    </row>
    <row r="2955" spans="1:10" s="65" customFormat="1" ht="14" x14ac:dyDescent="0.35">
      <c r="A2955" s="145"/>
      <c r="E2955" s="102"/>
      <c r="F2955" s="102"/>
      <c r="G2955" s="102"/>
      <c r="I2955" s="93"/>
      <c r="J2955" s="93"/>
    </row>
    <row r="2956" spans="1:10" s="65" customFormat="1" ht="14" x14ac:dyDescent="0.35">
      <c r="A2956" s="145"/>
      <c r="E2956" s="102"/>
      <c r="F2956" s="102"/>
      <c r="G2956" s="102"/>
      <c r="I2956" s="93"/>
      <c r="J2956" s="93"/>
    </row>
    <row r="2957" spans="1:10" s="65" customFormat="1" ht="14" x14ac:dyDescent="0.35">
      <c r="A2957" s="145"/>
      <c r="E2957" s="102"/>
      <c r="F2957" s="102"/>
      <c r="G2957" s="102"/>
      <c r="I2957" s="93"/>
      <c r="J2957" s="93"/>
    </row>
    <row r="2958" spans="1:10" s="65" customFormat="1" ht="14" x14ac:dyDescent="0.35">
      <c r="A2958" s="145"/>
      <c r="E2958" s="102"/>
      <c r="F2958" s="102"/>
      <c r="G2958" s="102"/>
      <c r="I2958" s="93"/>
      <c r="J2958" s="93"/>
    </row>
    <row r="2959" spans="1:10" s="65" customFormat="1" ht="14" x14ac:dyDescent="0.35">
      <c r="A2959" s="145"/>
      <c r="E2959" s="102"/>
      <c r="F2959" s="102"/>
      <c r="G2959" s="102"/>
      <c r="I2959" s="93"/>
      <c r="J2959" s="93"/>
    </row>
    <row r="2960" spans="1:10" s="65" customFormat="1" ht="14" x14ac:dyDescent="0.35">
      <c r="A2960" s="145"/>
      <c r="E2960" s="102"/>
      <c r="F2960" s="102"/>
      <c r="G2960" s="102"/>
      <c r="I2960" s="93"/>
      <c r="J2960" s="93"/>
    </row>
    <row r="2961" spans="1:10" s="65" customFormat="1" ht="14" x14ac:dyDescent="0.35">
      <c r="A2961" s="145"/>
      <c r="E2961" s="102"/>
      <c r="F2961" s="102"/>
      <c r="G2961" s="102"/>
      <c r="I2961" s="93"/>
      <c r="J2961" s="93"/>
    </row>
    <row r="2962" spans="1:10" s="65" customFormat="1" ht="14" x14ac:dyDescent="0.35">
      <c r="A2962" s="145"/>
      <c r="E2962" s="102"/>
      <c r="F2962" s="102"/>
      <c r="G2962" s="102"/>
      <c r="I2962" s="93"/>
      <c r="J2962" s="93"/>
    </row>
    <row r="2963" spans="1:10" s="65" customFormat="1" ht="14" x14ac:dyDescent="0.35">
      <c r="A2963" s="145"/>
      <c r="E2963" s="102"/>
      <c r="F2963" s="102"/>
      <c r="G2963" s="102"/>
      <c r="I2963" s="93"/>
      <c r="J2963" s="93"/>
    </row>
    <row r="2964" spans="1:10" s="65" customFormat="1" ht="14" x14ac:dyDescent="0.35">
      <c r="A2964" s="145"/>
      <c r="E2964" s="102"/>
      <c r="F2964" s="102"/>
      <c r="G2964" s="102"/>
      <c r="I2964" s="93"/>
      <c r="J2964" s="93"/>
    </row>
    <row r="2965" spans="1:10" s="65" customFormat="1" ht="14" x14ac:dyDescent="0.35">
      <c r="A2965" s="145"/>
      <c r="E2965" s="102"/>
      <c r="F2965" s="102"/>
      <c r="G2965" s="102"/>
      <c r="I2965" s="93"/>
      <c r="J2965" s="93"/>
    </row>
    <row r="2966" spans="1:10" s="65" customFormat="1" ht="14" x14ac:dyDescent="0.35">
      <c r="A2966" s="145"/>
      <c r="E2966" s="102"/>
      <c r="F2966" s="102"/>
      <c r="G2966" s="102"/>
      <c r="I2966" s="93"/>
      <c r="J2966" s="93"/>
    </row>
    <row r="2967" spans="1:10" s="65" customFormat="1" ht="14" x14ac:dyDescent="0.35">
      <c r="A2967" s="145"/>
      <c r="E2967" s="102"/>
      <c r="F2967" s="102"/>
      <c r="G2967" s="102"/>
      <c r="I2967" s="93"/>
      <c r="J2967" s="93"/>
    </row>
    <row r="2968" spans="1:10" s="65" customFormat="1" ht="14" x14ac:dyDescent="0.35">
      <c r="A2968" s="145"/>
      <c r="E2968" s="102"/>
      <c r="F2968" s="102"/>
      <c r="G2968" s="102"/>
      <c r="I2968" s="93"/>
      <c r="J2968" s="93"/>
    </row>
    <row r="2969" spans="1:10" s="65" customFormat="1" ht="14" x14ac:dyDescent="0.35">
      <c r="A2969" s="145"/>
      <c r="E2969" s="102"/>
      <c r="F2969" s="102"/>
      <c r="G2969" s="102"/>
      <c r="I2969" s="93"/>
      <c r="J2969" s="93"/>
    </row>
    <row r="2970" spans="1:10" s="65" customFormat="1" ht="14" x14ac:dyDescent="0.35">
      <c r="A2970" s="145"/>
      <c r="E2970" s="102"/>
      <c r="F2970" s="102"/>
      <c r="G2970" s="102"/>
      <c r="I2970" s="93"/>
      <c r="J2970" s="93"/>
    </row>
    <row r="2971" spans="1:10" s="65" customFormat="1" ht="14" x14ac:dyDescent="0.35">
      <c r="A2971" s="145"/>
      <c r="E2971" s="102"/>
      <c r="F2971" s="102"/>
      <c r="G2971" s="102"/>
      <c r="I2971" s="93"/>
      <c r="J2971" s="93"/>
    </row>
    <row r="2972" spans="1:10" s="65" customFormat="1" ht="14" x14ac:dyDescent="0.35">
      <c r="A2972" s="145"/>
      <c r="E2972" s="102"/>
      <c r="F2972" s="102"/>
      <c r="G2972" s="102"/>
      <c r="I2972" s="93"/>
      <c r="J2972" s="93"/>
    </row>
    <row r="2973" spans="1:10" s="65" customFormat="1" ht="14" x14ac:dyDescent="0.35">
      <c r="A2973" s="145"/>
      <c r="E2973" s="102"/>
      <c r="F2973" s="102"/>
      <c r="G2973" s="102"/>
      <c r="I2973" s="93"/>
      <c r="J2973" s="93"/>
    </row>
    <row r="2974" spans="1:10" s="65" customFormat="1" ht="14" x14ac:dyDescent="0.35">
      <c r="A2974" s="145"/>
      <c r="E2974" s="102"/>
      <c r="F2974" s="102"/>
      <c r="G2974" s="102"/>
      <c r="I2974" s="93"/>
      <c r="J2974" s="93"/>
    </row>
    <row r="2975" spans="1:10" s="65" customFormat="1" ht="14" x14ac:dyDescent="0.35">
      <c r="A2975" s="145"/>
      <c r="E2975" s="102"/>
      <c r="F2975" s="102"/>
      <c r="G2975" s="102"/>
      <c r="I2975" s="93"/>
      <c r="J2975" s="93"/>
    </row>
    <row r="2976" spans="1:10" s="65" customFormat="1" ht="14" x14ac:dyDescent="0.35">
      <c r="A2976" s="145"/>
      <c r="E2976" s="102"/>
      <c r="F2976" s="102"/>
      <c r="G2976" s="102"/>
      <c r="I2976" s="93"/>
      <c r="J2976" s="93"/>
    </row>
    <row r="2977" spans="1:10" s="65" customFormat="1" ht="14" x14ac:dyDescent="0.35">
      <c r="A2977" s="145"/>
      <c r="E2977" s="102"/>
      <c r="F2977" s="102"/>
      <c r="G2977" s="102"/>
      <c r="I2977" s="93"/>
      <c r="J2977" s="93"/>
    </row>
    <row r="2978" spans="1:10" s="65" customFormat="1" ht="14" x14ac:dyDescent="0.35">
      <c r="A2978" s="145"/>
      <c r="E2978" s="102"/>
      <c r="F2978" s="102"/>
      <c r="G2978" s="102"/>
      <c r="I2978" s="93"/>
      <c r="J2978" s="93"/>
    </row>
    <row r="2979" spans="1:10" s="65" customFormat="1" ht="14" x14ac:dyDescent="0.35">
      <c r="A2979" s="145"/>
      <c r="E2979" s="102"/>
      <c r="F2979" s="102"/>
      <c r="G2979" s="102"/>
      <c r="I2979" s="93"/>
      <c r="J2979" s="93"/>
    </row>
    <row r="2980" spans="1:10" s="65" customFormat="1" ht="14" x14ac:dyDescent="0.35">
      <c r="A2980" s="145"/>
      <c r="E2980" s="102"/>
      <c r="F2980" s="102"/>
      <c r="G2980" s="102"/>
      <c r="I2980" s="93"/>
      <c r="J2980" s="93"/>
    </row>
    <row r="2981" spans="1:10" s="65" customFormat="1" ht="14" x14ac:dyDescent="0.35">
      <c r="A2981" s="145"/>
      <c r="E2981" s="102"/>
      <c r="F2981" s="102"/>
      <c r="G2981" s="102"/>
      <c r="I2981" s="93"/>
      <c r="J2981" s="93"/>
    </row>
    <row r="2982" spans="1:10" s="65" customFormat="1" ht="14" x14ac:dyDescent="0.35">
      <c r="A2982" s="145"/>
      <c r="E2982" s="102"/>
      <c r="F2982" s="102"/>
      <c r="G2982" s="102"/>
      <c r="I2982" s="93"/>
      <c r="J2982" s="93"/>
    </row>
    <row r="2983" spans="1:10" s="65" customFormat="1" ht="14" x14ac:dyDescent="0.35">
      <c r="A2983" s="145"/>
      <c r="E2983" s="102"/>
      <c r="F2983" s="102"/>
      <c r="G2983" s="102"/>
      <c r="I2983" s="93"/>
      <c r="J2983" s="93"/>
    </row>
    <row r="2984" spans="1:10" s="65" customFormat="1" ht="14" x14ac:dyDescent="0.35">
      <c r="A2984" s="145"/>
      <c r="E2984" s="102"/>
      <c r="F2984" s="102"/>
      <c r="G2984" s="102"/>
      <c r="I2984" s="93"/>
      <c r="J2984" s="93"/>
    </row>
    <row r="2985" spans="1:10" s="65" customFormat="1" ht="14" x14ac:dyDescent="0.35">
      <c r="A2985" s="145"/>
      <c r="E2985" s="102"/>
      <c r="F2985" s="102"/>
      <c r="G2985" s="102"/>
      <c r="I2985" s="93"/>
      <c r="J2985" s="93"/>
    </row>
    <row r="2986" spans="1:10" s="65" customFormat="1" ht="14" x14ac:dyDescent="0.35">
      <c r="A2986" s="145"/>
      <c r="E2986" s="102"/>
      <c r="F2986" s="102"/>
      <c r="G2986" s="102"/>
      <c r="I2986" s="93"/>
      <c r="J2986" s="93"/>
    </row>
    <row r="2987" spans="1:10" s="65" customFormat="1" ht="14" x14ac:dyDescent="0.35">
      <c r="A2987" s="145"/>
      <c r="E2987" s="102"/>
      <c r="F2987" s="102"/>
      <c r="G2987" s="102"/>
      <c r="I2987" s="93"/>
      <c r="J2987" s="93"/>
    </row>
    <row r="2988" spans="1:10" s="65" customFormat="1" ht="14" x14ac:dyDescent="0.35">
      <c r="A2988" s="145"/>
      <c r="E2988" s="102"/>
      <c r="F2988" s="102"/>
      <c r="G2988" s="102"/>
      <c r="I2988" s="93"/>
      <c r="J2988" s="93"/>
    </row>
    <row r="2989" spans="1:10" s="65" customFormat="1" ht="14" x14ac:dyDescent="0.35">
      <c r="A2989" s="145"/>
      <c r="E2989" s="102"/>
      <c r="F2989" s="102"/>
      <c r="G2989" s="102"/>
      <c r="I2989" s="93"/>
      <c r="J2989" s="93"/>
    </row>
    <row r="2990" spans="1:10" s="65" customFormat="1" ht="14" x14ac:dyDescent="0.35">
      <c r="A2990" s="145"/>
      <c r="E2990" s="102"/>
      <c r="F2990" s="102"/>
      <c r="G2990" s="102"/>
      <c r="I2990" s="93"/>
      <c r="J2990" s="93"/>
    </row>
    <row r="2991" spans="1:10" s="65" customFormat="1" ht="14" x14ac:dyDescent="0.35">
      <c r="A2991" s="145"/>
      <c r="E2991" s="102"/>
      <c r="F2991" s="102"/>
      <c r="G2991" s="102"/>
      <c r="I2991" s="93"/>
      <c r="J2991" s="93"/>
    </row>
    <row r="2992" spans="1:10" s="65" customFormat="1" ht="14" x14ac:dyDescent="0.35">
      <c r="A2992" s="145"/>
      <c r="E2992" s="102"/>
      <c r="F2992" s="102"/>
      <c r="G2992" s="102"/>
      <c r="I2992" s="93"/>
      <c r="J2992" s="93"/>
    </row>
    <row r="2993" spans="1:10" s="65" customFormat="1" ht="14" x14ac:dyDescent="0.35">
      <c r="A2993" s="145"/>
      <c r="E2993" s="102"/>
      <c r="F2993" s="102"/>
      <c r="G2993" s="102"/>
      <c r="I2993" s="93"/>
      <c r="J2993" s="93"/>
    </row>
    <row r="2994" spans="1:10" s="65" customFormat="1" ht="14" x14ac:dyDescent="0.35">
      <c r="A2994" s="145"/>
      <c r="E2994" s="102"/>
      <c r="F2994" s="102"/>
      <c r="G2994" s="102"/>
      <c r="I2994" s="93"/>
      <c r="J2994" s="93"/>
    </row>
    <row r="2995" spans="1:10" s="65" customFormat="1" ht="14" x14ac:dyDescent="0.35">
      <c r="A2995" s="145"/>
      <c r="E2995" s="102"/>
      <c r="F2995" s="102"/>
      <c r="G2995" s="102"/>
      <c r="I2995" s="93"/>
      <c r="J2995" s="93"/>
    </row>
    <row r="2996" spans="1:10" s="65" customFormat="1" ht="14" x14ac:dyDescent="0.35">
      <c r="A2996" s="145"/>
      <c r="E2996" s="102"/>
      <c r="F2996" s="102"/>
      <c r="G2996" s="102"/>
      <c r="I2996" s="93"/>
      <c r="J2996" s="93"/>
    </row>
    <row r="2997" spans="1:10" s="65" customFormat="1" ht="14" x14ac:dyDescent="0.35">
      <c r="A2997" s="145"/>
      <c r="E2997" s="102"/>
      <c r="F2997" s="102"/>
      <c r="G2997" s="102"/>
      <c r="I2997" s="93"/>
      <c r="J2997" s="93"/>
    </row>
    <row r="2998" spans="1:10" s="65" customFormat="1" ht="14" x14ac:dyDescent="0.35">
      <c r="A2998" s="145"/>
      <c r="E2998" s="102"/>
      <c r="F2998" s="102"/>
      <c r="G2998" s="102"/>
      <c r="I2998" s="93"/>
      <c r="J2998" s="93"/>
    </row>
    <row r="2999" spans="1:10" s="65" customFormat="1" ht="14" x14ac:dyDescent="0.35">
      <c r="A2999" s="145"/>
      <c r="E2999" s="102"/>
      <c r="F2999" s="102"/>
      <c r="G2999" s="102"/>
      <c r="I2999" s="93"/>
      <c r="J2999" s="93"/>
    </row>
    <row r="3000" spans="1:10" s="65" customFormat="1" ht="14" x14ac:dyDescent="0.35">
      <c r="A3000" s="145"/>
      <c r="E3000" s="102"/>
      <c r="F3000" s="102"/>
      <c r="G3000" s="102"/>
      <c r="I3000" s="93"/>
      <c r="J3000" s="93"/>
    </row>
    <row r="3001" spans="1:10" s="65" customFormat="1" ht="14" x14ac:dyDescent="0.35">
      <c r="A3001" s="145"/>
      <c r="E3001" s="102"/>
      <c r="F3001" s="102"/>
      <c r="G3001" s="102"/>
      <c r="I3001" s="93"/>
      <c r="J3001" s="93"/>
    </row>
    <row r="3002" spans="1:10" s="65" customFormat="1" ht="14" x14ac:dyDescent="0.35">
      <c r="A3002" s="145"/>
      <c r="E3002" s="102"/>
      <c r="F3002" s="102"/>
      <c r="G3002" s="102"/>
      <c r="I3002" s="93"/>
      <c r="J3002" s="93"/>
    </row>
    <row r="3003" spans="1:10" s="65" customFormat="1" ht="14" x14ac:dyDescent="0.35">
      <c r="A3003" s="145"/>
      <c r="E3003" s="102"/>
      <c r="F3003" s="102"/>
      <c r="G3003" s="102"/>
      <c r="I3003" s="93"/>
      <c r="J3003" s="93"/>
    </row>
    <row r="3004" spans="1:10" s="65" customFormat="1" ht="14" x14ac:dyDescent="0.35">
      <c r="A3004" s="145"/>
      <c r="E3004" s="102"/>
      <c r="F3004" s="102"/>
      <c r="G3004" s="102"/>
      <c r="I3004" s="93"/>
      <c r="J3004" s="93"/>
    </row>
    <row r="3005" spans="1:10" s="65" customFormat="1" ht="14" x14ac:dyDescent="0.35">
      <c r="A3005" s="145"/>
      <c r="E3005" s="102"/>
      <c r="F3005" s="102"/>
      <c r="G3005" s="102"/>
      <c r="I3005" s="93"/>
      <c r="J3005" s="93"/>
    </row>
    <row r="3006" spans="1:10" s="65" customFormat="1" ht="14" x14ac:dyDescent="0.35">
      <c r="A3006" s="145"/>
      <c r="E3006" s="102"/>
      <c r="F3006" s="102"/>
      <c r="G3006" s="102"/>
      <c r="I3006" s="93"/>
      <c r="J3006" s="93"/>
    </row>
    <row r="3007" spans="1:10" s="65" customFormat="1" ht="14" x14ac:dyDescent="0.35">
      <c r="A3007" s="145"/>
      <c r="E3007" s="102"/>
      <c r="F3007" s="102"/>
      <c r="G3007" s="102"/>
      <c r="I3007" s="93"/>
      <c r="J3007" s="93"/>
    </row>
    <row r="3008" spans="1:10" s="65" customFormat="1" ht="14" x14ac:dyDescent="0.35">
      <c r="A3008" s="145"/>
      <c r="E3008" s="102"/>
      <c r="F3008" s="102"/>
      <c r="G3008" s="102"/>
      <c r="I3008" s="93"/>
      <c r="J3008" s="93"/>
    </row>
    <row r="3009" spans="1:10" s="65" customFormat="1" ht="14" x14ac:dyDescent="0.35">
      <c r="A3009" s="145"/>
      <c r="E3009" s="102"/>
      <c r="F3009" s="102"/>
      <c r="G3009" s="102"/>
      <c r="I3009" s="93"/>
      <c r="J3009" s="93"/>
    </row>
    <row r="3010" spans="1:10" s="65" customFormat="1" ht="14" x14ac:dyDescent="0.35">
      <c r="A3010" s="145"/>
      <c r="E3010" s="102"/>
      <c r="F3010" s="102"/>
      <c r="G3010" s="102"/>
      <c r="I3010" s="93"/>
      <c r="J3010" s="93"/>
    </row>
    <row r="3011" spans="1:10" s="65" customFormat="1" ht="14" x14ac:dyDescent="0.35">
      <c r="A3011" s="145"/>
      <c r="E3011" s="102"/>
      <c r="F3011" s="102"/>
      <c r="G3011" s="102"/>
      <c r="I3011" s="93"/>
      <c r="J3011" s="93"/>
    </row>
    <row r="3012" spans="1:10" s="65" customFormat="1" ht="14" x14ac:dyDescent="0.35">
      <c r="A3012" s="145"/>
      <c r="E3012" s="102"/>
      <c r="F3012" s="102"/>
      <c r="G3012" s="102"/>
      <c r="I3012" s="93"/>
      <c r="J3012" s="93"/>
    </row>
    <row r="3013" spans="1:10" s="65" customFormat="1" ht="14" x14ac:dyDescent="0.35">
      <c r="A3013" s="145"/>
      <c r="E3013" s="102"/>
      <c r="F3013" s="102"/>
      <c r="G3013" s="102"/>
      <c r="I3013" s="93"/>
      <c r="J3013" s="93"/>
    </row>
    <row r="3014" spans="1:10" s="65" customFormat="1" ht="14" x14ac:dyDescent="0.35">
      <c r="A3014" s="145"/>
      <c r="E3014" s="102"/>
      <c r="F3014" s="102"/>
      <c r="G3014" s="102"/>
      <c r="I3014" s="93"/>
      <c r="J3014" s="93"/>
    </row>
    <row r="3015" spans="1:10" s="65" customFormat="1" ht="14" x14ac:dyDescent="0.35">
      <c r="A3015" s="145"/>
      <c r="E3015" s="102"/>
      <c r="F3015" s="102"/>
      <c r="G3015" s="102"/>
      <c r="I3015" s="93"/>
      <c r="J3015" s="93"/>
    </row>
    <row r="3016" spans="1:10" s="65" customFormat="1" ht="14" x14ac:dyDescent="0.35">
      <c r="A3016" s="145"/>
      <c r="E3016" s="102"/>
      <c r="F3016" s="102"/>
      <c r="G3016" s="102"/>
      <c r="I3016" s="93"/>
      <c r="J3016" s="93"/>
    </row>
    <row r="3017" spans="1:10" s="65" customFormat="1" ht="14" x14ac:dyDescent="0.35">
      <c r="A3017" s="145"/>
      <c r="E3017" s="102"/>
      <c r="F3017" s="102"/>
      <c r="G3017" s="102"/>
      <c r="I3017" s="93"/>
      <c r="J3017" s="93"/>
    </row>
    <row r="3018" spans="1:10" s="65" customFormat="1" ht="14" x14ac:dyDescent="0.35">
      <c r="A3018" s="145"/>
      <c r="E3018" s="102"/>
      <c r="F3018" s="102"/>
      <c r="G3018" s="102"/>
      <c r="I3018" s="93"/>
      <c r="J3018" s="93"/>
    </row>
    <row r="3019" spans="1:10" s="65" customFormat="1" ht="14" x14ac:dyDescent="0.35">
      <c r="A3019" s="145"/>
      <c r="E3019" s="102"/>
      <c r="F3019" s="102"/>
      <c r="G3019" s="102"/>
      <c r="I3019" s="93"/>
      <c r="J3019" s="93"/>
    </row>
    <row r="3020" spans="1:10" s="65" customFormat="1" ht="14" x14ac:dyDescent="0.35">
      <c r="A3020" s="145"/>
      <c r="E3020" s="102"/>
      <c r="F3020" s="102"/>
      <c r="G3020" s="102"/>
      <c r="I3020" s="93"/>
      <c r="J3020" s="93"/>
    </row>
    <row r="3021" spans="1:10" s="65" customFormat="1" ht="14" x14ac:dyDescent="0.35">
      <c r="A3021" s="145"/>
      <c r="E3021" s="102"/>
      <c r="F3021" s="102"/>
      <c r="G3021" s="102"/>
      <c r="I3021" s="93"/>
      <c r="J3021" s="93"/>
    </row>
    <row r="3022" spans="1:10" s="65" customFormat="1" ht="14" x14ac:dyDescent="0.35">
      <c r="A3022" s="145"/>
      <c r="E3022" s="102"/>
      <c r="F3022" s="102"/>
      <c r="G3022" s="102"/>
      <c r="I3022" s="93"/>
      <c r="J3022" s="93"/>
    </row>
    <row r="3023" spans="1:10" s="65" customFormat="1" ht="14" x14ac:dyDescent="0.35">
      <c r="A3023" s="145"/>
      <c r="E3023" s="102"/>
      <c r="F3023" s="102"/>
      <c r="G3023" s="102"/>
      <c r="I3023" s="93"/>
      <c r="J3023" s="93"/>
    </row>
    <row r="3024" spans="1:10" s="65" customFormat="1" ht="14" x14ac:dyDescent="0.35">
      <c r="A3024" s="145"/>
      <c r="E3024" s="102"/>
      <c r="F3024" s="102"/>
      <c r="G3024" s="102"/>
      <c r="I3024" s="93"/>
      <c r="J3024" s="93"/>
    </row>
    <row r="3025" spans="1:10" s="65" customFormat="1" ht="14" x14ac:dyDescent="0.35">
      <c r="A3025" s="145"/>
      <c r="E3025" s="102"/>
      <c r="F3025" s="102"/>
      <c r="G3025" s="102"/>
      <c r="I3025" s="93"/>
      <c r="J3025" s="93"/>
    </row>
    <row r="3026" spans="1:10" s="65" customFormat="1" ht="14" x14ac:dyDescent="0.35">
      <c r="A3026" s="145"/>
      <c r="E3026" s="102"/>
      <c r="F3026" s="102"/>
      <c r="G3026" s="102"/>
      <c r="I3026" s="93"/>
      <c r="J3026" s="93"/>
    </row>
    <row r="3027" spans="1:10" s="65" customFormat="1" ht="14" x14ac:dyDescent="0.35">
      <c r="A3027" s="145"/>
      <c r="E3027" s="102"/>
      <c r="F3027" s="102"/>
      <c r="G3027" s="102"/>
      <c r="I3027" s="93"/>
      <c r="J3027" s="93"/>
    </row>
    <row r="3028" spans="1:10" s="65" customFormat="1" ht="14" x14ac:dyDescent="0.35">
      <c r="A3028" s="145"/>
      <c r="E3028" s="102"/>
      <c r="F3028" s="102"/>
      <c r="G3028" s="102"/>
      <c r="I3028" s="93"/>
      <c r="J3028" s="93"/>
    </row>
    <row r="3029" spans="1:10" s="65" customFormat="1" ht="14" x14ac:dyDescent="0.35">
      <c r="A3029" s="145"/>
      <c r="E3029" s="102"/>
      <c r="F3029" s="102"/>
      <c r="G3029" s="102"/>
      <c r="I3029" s="93"/>
      <c r="J3029" s="93"/>
    </row>
    <row r="3030" spans="1:10" s="65" customFormat="1" ht="14" x14ac:dyDescent="0.35">
      <c r="A3030" s="145"/>
      <c r="E3030" s="102"/>
      <c r="F3030" s="102"/>
      <c r="G3030" s="102"/>
      <c r="I3030" s="93"/>
      <c r="J3030" s="93"/>
    </row>
    <row r="3031" spans="1:10" s="65" customFormat="1" ht="14" x14ac:dyDescent="0.35">
      <c r="A3031" s="145"/>
      <c r="E3031" s="102"/>
      <c r="F3031" s="102"/>
      <c r="G3031" s="102"/>
      <c r="I3031" s="93"/>
      <c r="J3031" s="93"/>
    </row>
    <row r="3032" spans="1:10" s="65" customFormat="1" ht="14" x14ac:dyDescent="0.35">
      <c r="A3032" s="145"/>
      <c r="E3032" s="102"/>
      <c r="F3032" s="102"/>
      <c r="G3032" s="102"/>
      <c r="I3032" s="93"/>
      <c r="J3032" s="93"/>
    </row>
    <row r="3033" spans="1:10" s="65" customFormat="1" ht="14" x14ac:dyDescent="0.35">
      <c r="A3033" s="145"/>
      <c r="E3033" s="102"/>
      <c r="F3033" s="102"/>
      <c r="G3033" s="102"/>
      <c r="I3033" s="93"/>
      <c r="J3033" s="93"/>
    </row>
    <row r="3034" spans="1:10" s="65" customFormat="1" ht="14" x14ac:dyDescent="0.35">
      <c r="A3034" s="145"/>
      <c r="E3034" s="102"/>
      <c r="F3034" s="102"/>
      <c r="G3034" s="102"/>
      <c r="I3034" s="93"/>
      <c r="J3034" s="93"/>
    </row>
    <row r="3035" spans="1:10" s="65" customFormat="1" ht="14" x14ac:dyDescent="0.35">
      <c r="A3035" s="145"/>
      <c r="E3035" s="102"/>
      <c r="F3035" s="102"/>
      <c r="G3035" s="102"/>
      <c r="I3035" s="93"/>
      <c r="J3035" s="93"/>
    </row>
    <row r="3036" spans="1:10" s="65" customFormat="1" ht="14" x14ac:dyDescent="0.35">
      <c r="A3036" s="145"/>
      <c r="E3036" s="102"/>
      <c r="F3036" s="102"/>
      <c r="G3036" s="102"/>
      <c r="I3036" s="93"/>
      <c r="J3036" s="93"/>
    </row>
    <row r="3037" spans="1:10" s="65" customFormat="1" ht="14" x14ac:dyDescent="0.35">
      <c r="A3037" s="145"/>
      <c r="E3037" s="102"/>
      <c r="F3037" s="102"/>
      <c r="G3037" s="102"/>
      <c r="I3037" s="93"/>
      <c r="J3037" s="93"/>
    </row>
    <row r="3038" spans="1:10" s="65" customFormat="1" ht="14" x14ac:dyDescent="0.35">
      <c r="A3038" s="145"/>
      <c r="E3038" s="102"/>
      <c r="F3038" s="102"/>
      <c r="G3038" s="102"/>
      <c r="I3038" s="93"/>
      <c r="J3038" s="93"/>
    </row>
    <row r="3039" spans="1:10" s="65" customFormat="1" ht="14" x14ac:dyDescent="0.35">
      <c r="A3039" s="145"/>
      <c r="E3039" s="102"/>
      <c r="F3039" s="102"/>
      <c r="G3039" s="102"/>
      <c r="I3039" s="93"/>
      <c r="J3039" s="93"/>
    </row>
    <row r="3040" spans="1:10" s="65" customFormat="1" ht="14" x14ac:dyDescent="0.35">
      <c r="A3040" s="145"/>
      <c r="E3040" s="102"/>
      <c r="F3040" s="102"/>
      <c r="G3040" s="102"/>
      <c r="I3040" s="93"/>
      <c r="J3040" s="93"/>
    </row>
    <row r="3041" spans="1:10" s="65" customFormat="1" ht="14" x14ac:dyDescent="0.35">
      <c r="A3041" s="145"/>
      <c r="E3041" s="102"/>
      <c r="F3041" s="102"/>
      <c r="G3041" s="102"/>
      <c r="I3041" s="93"/>
      <c r="J3041" s="93"/>
    </row>
    <row r="3042" spans="1:10" s="65" customFormat="1" ht="14" x14ac:dyDescent="0.35">
      <c r="A3042" s="145"/>
      <c r="E3042" s="102"/>
      <c r="F3042" s="102"/>
      <c r="G3042" s="102"/>
      <c r="I3042" s="93"/>
      <c r="J3042" s="93"/>
    </row>
    <row r="3043" spans="1:10" s="65" customFormat="1" ht="14" x14ac:dyDescent="0.35">
      <c r="A3043" s="145"/>
      <c r="E3043" s="102"/>
      <c r="F3043" s="102"/>
      <c r="G3043" s="102"/>
      <c r="I3043" s="93"/>
      <c r="J3043" s="93"/>
    </row>
    <row r="3044" spans="1:10" s="65" customFormat="1" ht="14" x14ac:dyDescent="0.35">
      <c r="A3044" s="145"/>
      <c r="E3044" s="102"/>
      <c r="F3044" s="102"/>
      <c r="G3044" s="102"/>
      <c r="I3044" s="93"/>
      <c r="J3044" s="93"/>
    </row>
    <row r="3045" spans="1:10" s="65" customFormat="1" ht="14" x14ac:dyDescent="0.35">
      <c r="A3045" s="145"/>
      <c r="E3045" s="102"/>
      <c r="F3045" s="102"/>
      <c r="G3045" s="102"/>
      <c r="I3045" s="93"/>
      <c r="J3045" s="93"/>
    </row>
    <row r="3046" spans="1:10" s="65" customFormat="1" ht="14" x14ac:dyDescent="0.35">
      <c r="A3046" s="145"/>
      <c r="E3046" s="102"/>
      <c r="F3046" s="102"/>
      <c r="G3046" s="102"/>
      <c r="I3046" s="93"/>
      <c r="J3046" s="93"/>
    </row>
    <row r="3047" spans="1:10" s="65" customFormat="1" ht="14" x14ac:dyDescent="0.35">
      <c r="A3047" s="145"/>
      <c r="E3047" s="102"/>
      <c r="F3047" s="102"/>
      <c r="G3047" s="102"/>
      <c r="I3047" s="93"/>
      <c r="J3047" s="93"/>
    </row>
    <row r="3048" spans="1:10" s="65" customFormat="1" ht="14" x14ac:dyDescent="0.35">
      <c r="A3048" s="145"/>
      <c r="E3048" s="102"/>
      <c r="F3048" s="102"/>
      <c r="G3048" s="102"/>
      <c r="I3048" s="93"/>
      <c r="J3048" s="93"/>
    </row>
    <row r="3049" spans="1:10" s="65" customFormat="1" ht="14" x14ac:dyDescent="0.35">
      <c r="A3049" s="145"/>
      <c r="E3049" s="102"/>
      <c r="F3049" s="102"/>
      <c r="G3049" s="102"/>
      <c r="I3049" s="93"/>
      <c r="J3049" s="93"/>
    </row>
    <row r="3050" spans="1:10" s="65" customFormat="1" ht="14" x14ac:dyDescent="0.35">
      <c r="A3050" s="145"/>
      <c r="E3050" s="102"/>
      <c r="F3050" s="102"/>
      <c r="G3050" s="102"/>
      <c r="I3050" s="93"/>
      <c r="J3050" s="93"/>
    </row>
    <row r="3051" spans="1:10" s="65" customFormat="1" ht="14" x14ac:dyDescent="0.35">
      <c r="A3051" s="145"/>
      <c r="E3051" s="102"/>
      <c r="F3051" s="102"/>
      <c r="G3051" s="102"/>
      <c r="I3051" s="93"/>
      <c r="J3051" s="93"/>
    </row>
    <row r="3052" spans="1:10" s="65" customFormat="1" ht="14" x14ac:dyDescent="0.35">
      <c r="A3052" s="145"/>
      <c r="E3052" s="102"/>
      <c r="F3052" s="102"/>
      <c r="G3052" s="102"/>
      <c r="I3052" s="93"/>
      <c r="J3052" s="93"/>
    </row>
    <row r="3053" spans="1:10" s="65" customFormat="1" ht="14" x14ac:dyDescent="0.35">
      <c r="A3053" s="145"/>
      <c r="E3053" s="102"/>
      <c r="F3053" s="102"/>
      <c r="G3053" s="102"/>
      <c r="I3053" s="93"/>
      <c r="J3053" s="93"/>
    </row>
    <row r="3054" spans="1:10" s="65" customFormat="1" ht="14" x14ac:dyDescent="0.35">
      <c r="A3054" s="145"/>
      <c r="E3054" s="102"/>
      <c r="F3054" s="102"/>
      <c r="G3054" s="102"/>
      <c r="I3054" s="93"/>
      <c r="J3054" s="93"/>
    </row>
    <row r="3055" spans="1:10" s="65" customFormat="1" ht="14" x14ac:dyDescent="0.35">
      <c r="A3055" s="145"/>
      <c r="E3055" s="102"/>
      <c r="F3055" s="102"/>
      <c r="G3055" s="102"/>
      <c r="I3055" s="93"/>
      <c r="J3055" s="93"/>
    </row>
    <row r="3056" spans="1:10" s="65" customFormat="1" ht="14" x14ac:dyDescent="0.35">
      <c r="A3056" s="145"/>
      <c r="E3056" s="102"/>
      <c r="F3056" s="102"/>
      <c r="G3056" s="102"/>
      <c r="I3056" s="93"/>
      <c r="J3056" s="93"/>
    </row>
    <row r="3057" spans="1:10" s="65" customFormat="1" ht="14" x14ac:dyDescent="0.35">
      <c r="A3057" s="145"/>
      <c r="E3057" s="102"/>
      <c r="F3057" s="102"/>
      <c r="G3057" s="102"/>
      <c r="I3057" s="93"/>
      <c r="J3057" s="93"/>
    </row>
    <row r="3058" spans="1:10" s="65" customFormat="1" ht="14" x14ac:dyDescent="0.35">
      <c r="A3058" s="145"/>
      <c r="E3058" s="102"/>
      <c r="F3058" s="102"/>
      <c r="G3058" s="102"/>
      <c r="I3058" s="93"/>
      <c r="J3058" s="93"/>
    </row>
    <row r="3059" spans="1:10" s="65" customFormat="1" ht="14" x14ac:dyDescent="0.35">
      <c r="A3059" s="145"/>
      <c r="E3059" s="102"/>
      <c r="F3059" s="102"/>
      <c r="G3059" s="102"/>
      <c r="I3059" s="93"/>
      <c r="J3059" s="93"/>
    </row>
    <row r="3060" spans="1:10" s="65" customFormat="1" ht="14" x14ac:dyDescent="0.35">
      <c r="A3060" s="145"/>
      <c r="E3060" s="102"/>
      <c r="F3060" s="102"/>
      <c r="G3060" s="102"/>
      <c r="I3060" s="93"/>
      <c r="J3060" s="93"/>
    </row>
    <row r="3061" spans="1:10" s="65" customFormat="1" ht="14" x14ac:dyDescent="0.35">
      <c r="A3061" s="145"/>
      <c r="E3061" s="102"/>
      <c r="F3061" s="102"/>
      <c r="G3061" s="102"/>
      <c r="I3061" s="93"/>
      <c r="J3061" s="93"/>
    </row>
    <row r="3062" spans="1:10" s="65" customFormat="1" ht="14" x14ac:dyDescent="0.35">
      <c r="A3062" s="145"/>
      <c r="E3062" s="102"/>
      <c r="F3062" s="102"/>
      <c r="G3062" s="102"/>
      <c r="I3062" s="93"/>
      <c r="J3062" s="93"/>
    </row>
    <row r="3063" spans="1:10" s="65" customFormat="1" ht="14" x14ac:dyDescent="0.35">
      <c r="A3063" s="145"/>
      <c r="E3063" s="102"/>
      <c r="F3063" s="102"/>
      <c r="G3063" s="102"/>
      <c r="I3063" s="93"/>
      <c r="J3063" s="93"/>
    </row>
    <row r="3064" spans="1:10" s="65" customFormat="1" ht="14" x14ac:dyDescent="0.35">
      <c r="A3064" s="145"/>
      <c r="E3064" s="102"/>
      <c r="F3064" s="102"/>
      <c r="G3064" s="102"/>
      <c r="I3064" s="93"/>
      <c r="J3064" s="93"/>
    </row>
    <row r="3065" spans="1:10" s="65" customFormat="1" ht="14" x14ac:dyDescent="0.35">
      <c r="A3065" s="145"/>
      <c r="E3065" s="102"/>
      <c r="F3065" s="102"/>
      <c r="G3065" s="102"/>
      <c r="I3065" s="93"/>
      <c r="J3065" s="93"/>
    </row>
    <row r="3066" spans="1:10" s="65" customFormat="1" ht="14" x14ac:dyDescent="0.35">
      <c r="A3066" s="145"/>
      <c r="E3066" s="102"/>
      <c r="F3066" s="102"/>
      <c r="G3066" s="102"/>
      <c r="I3066" s="93"/>
      <c r="J3066" s="93"/>
    </row>
    <row r="3067" spans="1:10" s="65" customFormat="1" ht="14" x14ac:dyDescent="0.35">
      <c r="A3067" s="145"/>
      <c r="E3067" s="102"/>
      <c r="F3067" s="102"/>
      <c r="G3067" s="102"/>
      <c r="I3067" s="93"/>
      <c r="J3067" s="93"/>
    </row>
    <row r="3068" spans="1:10" s="65" customFormat="1" ht="14" x14ac:dyDescent="0.35">
      <c r="A3068" s="145"/>
      <c r="E3068" s="102"/>
      <c r="F3068" s="102"/>
      <c r="G3068" s="102"/>
      <c r="I3068" s="93"/>
      <c r="J3068" s="93"/>
    </row>
    <row r="3069" spans="1:10" s="65" customFormat="1" ht="14" x14ac:dyDescent="0.35">
      <c r="A3069" s="145"/>
      <c r="E3069" s="102"/>
      <c r="F3069" s="102"/>
      <c r="G3069" s="102"/>
      <c r="I3069" s="93"/>
      <c r="J3069" s="93"/>
    </row>
    <row r="3070" spans="1:10" s="65" customFormat="1" ht="14" x14ac:dyDescent="0.35">
      <c r="A3070" s="145"/>
      <c r="E3070" s="102"/>
      <c r="F3070" s="102"/>
      <c r="G3070" s="102"/>
      <c r="I3070" s="93"/>
      <c r="J3070" s="93"/>
    </row>
    <row r="3071" spans="1:10" s="65" customFormat="1" ht="14" x14ac:dyDescent="0.35">
      <c r="A3071" s="145"/>
      <c r="E3071" s="102"/>
      <c r="F3071" s="102"/>
      <c r="G3071" s="102"/>
      <c r="I3071" s="93"/>
      <c r="J3071" s="93"/>
    </row>
    <row r="3072" spans="1:10" s="65" customFormat="1" ht="14" x14ac:dyDescent="0.35">
      <c r="A3072" s="145"/>
      <c r="E3072" s="102"/>
      <c r="F3072" s="102"/>
      <c r="G3072" s="102"/>
      <c r="I3072" s="93"/>
      <c r="J3072" s="93"/>
    </row>
    <row r="3073" spans="1:10" s="65" customFormat="1" ht="14" x14ac:dyDescent="0.35">
      <c r="A3073" s="145"/>
      <c r="E3073" s="102"/>
      <c r="F3073" s="102"/>
      <c r="G3073" s="102"/>
      <c r="I3073" s="93"/>
      <c r="J3073" s="93"/>
    </row>
    <row r="3074" spans="1:10" s="65" customFormat="1" ht="14" x14ac:dyDescent="0.35">
      <c r="A3074" s="145"/>
      <c r="E3074" s="102"/>
      <c r="F3074" s="102"/>
      <c r="G3074" s="102"/>
      <c r="I3074" s="93"/>
      <c r="J3074" s="93"/>
    </row>
    <row r="3075" spans="1:10" s="65" customFormat="1" ht="14" x14ac:dyDescent="0.35">
      <c r="A3075" s="145"/>
      <c r="E3075" s="102"/>
      <c r="F3075" s="102"/>
      <c r="G3075" s="102"/>
      <c r="I3075" s="93"/>
      <c r="J3075" s="93"/>
    </row>
    <row r="3076" spans="1:10" s="65" customFormat="1" ht="14" x14ac:dyDescent="0.35">
      <c r="A3076" s="145"/>
      <c r="E3076" s="102"/>
      <c r="F3076" s="102"/>
      <c r="G3076" s="102"/>
      <c r="I3076" s="93"/>
      <c r="J3076" s="93"/>
    </row>
    <row r="3077" spans="1:10" s="65" customFormat="1" ht="14" x14ac:dyDescent="0.35">
      <c r="A3077" s="145"/>
      <c r="E3077" s="102"/>
      <c r="F3077" s="102"/>
      <c r="G3077" s="102"/>
      <c r="I3077" s="93"/>
      <c r="J3077" s="93"/>
    </row>
    <row r="3078" spans="1:10" s="65" customFormat="1" ht="14" x14ac:dyDescent="0.35">
      <c r="A3078" s="145"/>
      <c r="E3078" s="102"/>
      <c r="F3078" s="102"/>
      <c r="G3078" s="102"/>
      <c r="I3078" s="93"/>
      <c r="J3078" s="93"/>
    </row>
    <row r="3079" spans="1:10" s="65" customFormat="1" ht="14" x14ac:dyDescent="0.35">
      <c r="A3079" s="145"/>
      <c r="E3079" s="102"/>
      <c r="F3079" s="102"/>
      <c r="G3079" s="102"/>
      <c r="I3079" s="93"/>
      <c r="J3079" s="93"/>
    </row>
    <row r="3080" spans="1:10" s="65" customFormat="1" ht="14" x14ac:dyDescent="0.35">
      <c r="A3080" s="145"/>
      <c r="E3080" s="102"/>
      <c r="F3080" s="102"/>
      <c r="G3080" s="102"/>
      <c r="I3080" s="93"/>
      <c r="J3080" s="93"/>
    </row>
    <row r="3081" spans="1:10" s="65" customFormat="1" ht="14" x14ac:dyDescent="0.35">
      <c r="A3081" s="145"/>
      <c r="E3081" s="102"/>
      <c r="F3081" s="102"/>
      <c r="G3081" s="102"/>
      <c r="I3081" s="93"/>
      <c r="J3081" s="93"/>
    </row>
    <row r="3082" spans="1:10" s="65" customFormat="1" ht="14" x14ac:dyDescent="0.35">
      <c r="A3082" s="145"/>
      <c r="E3082" s="102"/>
      <c r="F3082" s="102"/>
      <c r="G3082" s="102"/>
      <c r="I3082" s="93"/>
      <c r="J3082" s="93"/>
    </row>
    <row r="3083" spans="1:10" s="65" customFormat="1" ht="14" x14ac:dyDescent="0.35">
      <c r="A3083" s="145"/>
      <c r="E3083" s="102"/>
      <c r="F3083" s="102"/>
      <c r="G3083" s="102"/>
      <c r="I3083" s="93"/>
      <c r="J3083" s="93"/>
    </row>
    <row r="3084" spans="1:10" s="65" customFormat="1" ht="14" x14ac:dyDescent="0.35">
      <c r="A3084" s="145"/>
      <c r="E3084" s="102"/>
      <c r="F3084" s="102"/>
      <c r="G3084" s="102"/>
      <c r="I3084" s="93"/>
      <c r="J3084" s="93"/>
    </row>
    <row r="3085" spans="1:10" s="65" customFormat="1" ht="14" x14ac:dyDescent="0.35">
      <c r="A3085" s="145"/>
      <c r="E3085" s="102"/>
      <c r="F3085" s="102"/>
      <c r="G3085" s="102"/>
      <c r="I3085" s="93"/>
      <c r="J3085" s="93"/>
    </row>
    <row r="3086" spans="1:10" s="65" customFormat="1" ht="14" x14ac:dyDescent="0.35">
      <c r="A3086" s="145"/>
      <c r="E3086" s="102"/>
      <c r="F3086" s="102"/>
      <c r="G3086" s="102"/>
      <c r="I3086" s="93"/>
      <c r="J3086" s="93"/>
    </row>
    <row r="3087" spans="1:10" s="65" customFormat="1" ht="14" x14ac:dyDescent="0.35">
      <c r="A3087" s="145"/>
      <c r="E3087" s="102"/>
      <c r="F3087" s="102"/>
      <c r="G3087" s="102"/>
      <c r="I3087" s="93"/>
      <c r="J3087" s="93"/>
    </row>
    <row r="3088" spans="1:10" s="65" customFormat="1" ht="14" x14ac:dyDescent="0.35">
      <c r="A3088" s="145"/>
      <c r="E3088" s="102"/>
      <c r="F3088" s="102"/>
      <c r="G3088" s="102"/>
      <c r="I3088" s="93"/>
      <c r="J3088" s="93"/>
    </row>
    <row r="3089" spans="1:10" s="65" customFormat="1" ht="14" x14ac:dyDescent="0.35">
      <c r="A3089" s="145"/>
      <c r="E3089" s="102"/>
      <c r="F3089" s="102"/>
      <c r="G3089" s="102"/>
      <c r="I3089" s="93"/>
      <c r="J3089" s="93"/>
    </row>
    <row r="3090" spans="1:10" s="65" customFormat="1" ht="14" x14ac:dyDescent="0.35">
      <c r="A3090" s="145"/>
      <c r="E3090" s="102"/>
      <c r="F3090" s="102"/>
      <c r="G3090" s="102"/>
      <c r="I3090" s="93"/>
      <c r="J3090" s="93"/>
    </row>
    <row r="3091" spans="1:10" s="65" customFormat="1" ht="14" x14ac:dyDescent="0.35">
      <c r="A3091" s="145"/>
      <c r="E3091" s="102"/>
      <c r="F3091" s="102"/>
      <c r="G3091" s="102"/>
      <c r="I3091" s="93"/>
      <c r="J3091" s="93"/>
    </row>
    <row r="3092" spans="1:10" s="65" customFormat="1" ht="14" x14ac:dyDescent="0.35">
      <c r="A3092" s="145"/>
      <c r="E3092" s="102"/>
      <c r="F3092" s="102"/>
      <c r="G3092" s="102"/>
      <c r="I3092" s="93"/>
      <c r="J3092" s="93"/>
    </row>
    <row r="3093" spans="1:10" s="65" customFormat="1" ht="14" x14ac:dyDescent="0.35">
      <c r="A3093" s="145"/>
      <c r="E3093" s="102"/>
      <c r="F3093" s="102"/>
      <c r="G3093" s="102"/>
      <c r="I3093" s="93"/>
      <c r="J3093" s="93"/>
    </row>
    <row r="3094" spans="1:10" s="65" customFormat="1" ht="14" x14ac:dyDescent="0.35">
      <c r="A3094" s="145"/>
      <c r="E3094" s="102"/>
      <c r="F3094" s="102"/>
      <c r="G3094" s="102"/>
      <c r="I3094" s="93"/>
      <c r="J3094" s="93"/>
    </row>
    <row r="3095" spans="1:10" s="65" customFormat="1" ht="14" x14ac:dyDescent="0.35">
      <c r="A3095" s="145"/>
      <c r="E3095" s="102"/>
      <c r="F3095" s="102"/>
      <c r="G3095" s="102"/>
      <c r="I3095" s="93"/>
      <c r="J3095" s="93"/>
    </row>
    <row r="3096" spans="1:10" s="65" customFormat="1" ht="14" x14ac:dyDescent="0.35">
      <c r="A3096" s="145"/>
      <c r="E3096" s="102"/>
      <c r="F3096" s="102"/>
      <c r="G3096" s="102"/>
      <c r="I3096" s="93"/>
      <c r="J3096" s="93"/>
    </row>
    <row r="3097" spans="1:10" s="65" customFormat="1" ht="14" x14ac:dyDescent="0.35">
      <c r="A3097" s="145"/>
      <c r="E3097" s="102"/>
      <c r="F3097" s="102"/>
      <c r="G3097" s="102"/>
      <c r="I3097" s="93"/>
      <c r="J3097" s="93"/>
    </row>
    <row r="3098" spans="1:10" s="65" customFormat="1" ht="14" x14ac:dyDescent="0.35">
      <c r="A3098" s="145"/>
      <c r="E3098" s="102"/>
      <c r="F3098" s="102"/>
      <c r="G3098" s="102"/>
      <c r="I3098" s="93"/>
      <c r="J3098" s="93"/>
    </row>
    <row r="3099" spans="1:10" s="65" customFormat="1" ht="14" x14ac:dyDescent="0.35">
      <c r="A3099" s="145"/>
      <c r="E3099" s="102"/>
      <c r="F3099" s="102"/>
      <c r="G3099" s="102"/>
      <c r="I3099" s="93"/>
      <c r="J3099" s="93"/>
    </row>
    <row r="3100" spans="1:10" s="65" customFormat="1" ht="14" x14ac:dyDescent="0.35">
      <c r="A3100" s="145"/>
      <c r="E3100" s="102"/>
      <c r="F3100" s="102"/>
      <c r="G3100" s="102"/>
      <c r="I3100" s="93"/>
      <c r="J3100" s="93"/>
    </row>
    <row r="3101" spans="1:10" s="65" customFormat="1" ht="14" x14ac:dyDescent="0.35">
      <c r="A3101" s="145"/>
      <c r="E3101" s="102"/>
      <c r="F3101" s="102"/>
      <c r="G3101" s="102"/>
      <c r="I3101" s="93"/>
      <c r="J3101" s="93"/>
    </row>
    <row r="3102" spans="1:10" s="65" customFormat="1" ht="14" x14ac:dyDescent="0.35">
      <c r="A3102" s="145"/>
      <c r="E3102" s="102"/>
      <c r="F3102" s="102"/>
      <c r="G3102" s="102"/>
      <c r="I3102" s="93"/>
      <c r="J3102" s="93"/>
    </row>
    <row r="3103" spans="1:10" s="65" customFormat="1" ht="14" x14ac:dyDescent="0.35">
      <c r="A3103" s="145"/>
      <c r="E3103" s="102"/>
      <c r="F3103" s="102"/>
      <c r="G3103" s="102"/>
      <c r="I3103" s="93"/>
      <c r="J3103" s="93"/>
    </row>
    <row r="3104" spans="1:10" s="65" customFormat="1" ht="14" x14ac:dyDescent="0.35">
      <c r="A3104" s="145"/>
      <c r="E3104" s="102"/>
      <c r="F3104" s="102"/>
      <c r="G3104" s="102"/>
      <c r="I3104" s="93"/>
      <c r="J3104" s="93"/>
    </row>
    <row r="3105" spans="1:10" s="65" customFormat="1" ht="14" x14ac:dyDescent="0.35">
      <c r="A3105" s="145"/>
      <c r="E3105" s="102"/>
      <c r="F3105" s="102"/>
      <c r="G3105" s="102"/>
      <c r="I3105" s="93"/>
      <c r="J3105" s="93"/>
    </row>
    <row r="3106" spans="1:10" s="65" customFormat="1" ht="14" x14ac:dyDescent="0.35">
      <c r="A3106" s="145"/>
      <c r="E3106" s="102"/>
      <c r="F3106" s="102"/>
      <c r="G3106" s="102"/>
      <c r="I3106" s="93"/>
      <c r="J3106" s="93"/>
    </row>
    <row r="3107" spans="1:10" s="65" customFormat="1" ht="14" x14ac:dyDescent="0.35">
      <c r="A3107" s="145"/>
      <c r="E3107" s="102"/>
      <c r="F3107" s="102"/>
      <c r="G3107" s="102"/>
      <c r="I3107" s="93"/>
      <c r="J3107" s="93"/>
    </row>
    <row r="3108" spans="1:10" s="65" customFormat="1" ht="14" x14ac:dyDescent="0.35">
      <c r="A3108" s="145"/>
      <c r="E3108" s="102"/>
      <c r="F3108" s="102"/>
      <c r="G3108" s="102"/>
      <c r="I3108" s="93"/>
      <c r="J3108" s="93"/>
    </row>
    <row r="3109" spans="1:10" s="65" customFormat="1" ht="14" x14ac:dyDescent="0.35">
      <c r="A3109" s="145"/>
      <c r="E3109" s="102"/>
      <c r="F3109" s="102"/>
      <c r="G3109" s="102"/>
      <c r="I3109" s="93"/>
      <c r="J3109" s="93"/>
    </row>
    <row r="3110" spans="1:10" s="65" customFormat="1" ht="14" x14ac:dyDescent="0.35">
      <c r="A3110" s="145"/>
      <c r="E3110" s="102"/>
      <c r="F3110" s="102"/>
      <c r="G3110" s="102"/>
      <c r="I3110" s="93"/>
      <c r="J3110" s="93"/>
    </row>
    <row r="3111" spans="1:10" s="65" customFormat="1" ht="14" x14ac:dyDescent="0.35">
      <c r="A3111" s="145"/>
      <c r="E3111" s="102"/>
      <c r="F3111" s="102"/>
      <c r="G3111" s="102"/>
      <c r="I3111" s="93"/>
      <c r="J3111" s="93"/>
    </row>
    <row r="3112" spans="1:10" s="65" customFormat="1" ht="14" x14ac:dyDescent="0.35">
      <c r="A3112" s="145"/>
      <c r="E3112" s="102"/>
      <c r="F3112" s="102"/>
      <c r="G3112" s="102"/>
      <c r="I3112" s="93"/>
      <c r="J3112" s="93"/>
    </row>
    <row r="3113" spans="1:10" s="65" customFormat="1" ht="14" x14ac:dyDescent="0.35">
      <c r="A3113" s="145"/>
      <c r="E3113" s="102"/>
      <c r="F3113" s="102"/>
      <c r="G3113" s="102"/>
      <c r="I3113" s="93"/>
      <c r="J3113" s="93"/>
    </row>
    <row r="3114" spans="1:10" s="65" customFormat="1" ht="14" x14ac:dyDescent="0.35">
      <c r="A3114" s="145"/>
      <c r="E3114" s="102"/>
      <c r="F3114" s="102"/>
      <c r="G3114" s="102"/>
      <c r="I3114" s="93"/>
      <c r="J3114" s="93"/>
    </row>
    <row r="3115" spans="1:10" s="65" customFormat="1" ht="14" x14ac:dyDescent="0.35">
      <c r="A3115" s="145"/>
      <c r="E3115" s="102"/>
      <c r="F3115" s="102"/>
      <c r="G3115" s="102"/>
      <c r="I3115" s="93"/>
      <c r="J3115" s="93"/>
    </row>
    <row r="3116" spans="1:10" s="65" customFormat="1" ht="14" x14ac:dyDescent="0.35">
      <c r="A3116" s="145"/>
      <c r="E3116" s="102"/>
      <c r="F3116" s="102"/>
      <c r="G3116" s="102"/>
      <c r="I3116" s="93"/>
      <c r="J3116" s="93"/>
    </row>
    <row r="3117" spans="1:10" s="65" customFormat="1" ht="14" x14ac:dyDescent="0.35">
      <c r="A3117" s="145"/>
      <c r="E3117" s="102"/>
      <c r="F3117" s="102"/>
      <c r="G3117" s="102"/>
      <c r="I3117" s="93"/>
      <c r="J3117" s="93"/>
    </row>
    <row r="3118" spans="1:10" s="65" customFormat="1" ht="14" x14ac:dyDescent="0.35">
      <c r="A3118" s="145"/>
      <c r="E3118" s="102"/>
      <c r="F3118" s="102"/>
      <c r="G3118" s="102"/>
      <c r="I3118" s="93"/>
      <c r="J3118" s="93"/>
    </row>
    <row r="3119" spans="1:10" s="65" customFormat="1" ht="14" x14ac:dyDescent="0.35">
      <c r="A3119" s="145"/>
      <c r="E3119" s="102"/>
      <c r="F3119" s="102"/>
      <c r="G3119" s="102"/>
      <c r="I3119" s="93"/>
      <c r="J3119" s="93"/>
    </row>
    <row r="3120" spans="1:10" s="65" customFormat="1" ht="14" x14ac:dyDescent="0.35">
      <c r="A3120" s="145"/>
      <c r="E3120" s="102"/>
      <c r="F3120" s="102"/>
      <c r="G3120" s="102"/>
      <c r="I3120" s="93"/>
      <c r="J3120" s="93"/>
    </row>
    <row r="3121" spans="1:10" s="65" customFormat="1" ht="14" x14ac:dyDescent="0.35">
      <c r="A3121" s="145"/>
      <c r="E3121" s="102"/>
      <c r="F3121" s="102"/>
      <c r="G3121" s="102"/>
      <c r="I3121" s="93"/>
      <c r="J3121" s="93"/>
    </row>
    <row r="3122" spans="1:10" s="65" customFormat="1" ht="14" x14ac:dyDescent="0.35">
      <c r="A3122" s="145"/>
      <c r="E3122" s="102"/>
      <c r="F3122" s="102"/>
      <c r="G3122" s="102"/>
      <c r="I3122" s="93"/>
      <c r="J3122" s="93"/>
    </row>
    <row r="3123" spans="1:10" s="65" customFormat="1" ht="14" x14ac:dyDescent="0.35">
      <c r="A3123" s="145"/>
      <c r="E3123" s="102"/>
      <c r="F3123" s="102"/>
      <c r="G3123" s="102"/>
      <c r="I3123" s="93"/>
      <c r="J3123" s="93"/>
    </row>
    <row r="3124" spans="1:10" s="65" customFormat="1" ht="14" x14ac:dyDescent="0.35">
      <c r="A3124" s="145"/>
      <c r="E3124" s="102"/>
      <c r="F3124" s="102"/>
      <c r="G3124" s="102"/>
      <c r="I3124" s="93"/>
      <c r="J3124" s="93"/>
    </row>
    <row r="3125" spans="1:10" s="65" customFormat="1" ht="14" x14ac:dyDescent="0.35">
      <c r="A3125" s="145"/>
      <c r="E3125" s="102"/>
      <c r="F3125" s="102"/>
      <c r="G3125" s="102"/>
      <c r="I3125" s="93"/>
      <c r="J3125" s="93"/>
    </row>
    <row r="3126" spans="1:10" s="65" customFormat="1" ht="14" x14ac:dyDescent="0.35">
      <c r="A3126" s="145"/>
      <c r="E3126" s="102"/>
      <c r="F3126" s="102"/>
      <c r="G3126" s="102"/>
      <c r="I3126" s="93"/>
      <c r="J3126" s="93"/>
    </row>
    <row r="3127" spans="1:10" s="65" customFormat="1" ht="14" x14ac:dyDescent="0.35">
      <c r="A3127" s="145"/>
      <c r="E3127" s="102"/>
      <c r="F3127" s="102"/>
      <c r="G3127" s="102"/>
      <c r="I3127" s="93"/>
      <c r="J3127" s="93"/>
    </row>
    <row r="3128" spans="1:10" s="65" customFormat="1" ht="14" x14ac:dyDescent="0.35">
      <c r="A3128" s="145"/>
      <c r="E3128" s="102"/>
      <c r="F3128" s="102"/>
      <c r="G3128" s="102"/>
      <c r="I3128" s="93"/>
      <c r="J3128" s="93"/>
    </row>
    <row r="3129" spans="1:10" s="65" customFormat="1" ht="14" x14ac:dyDescent="0.35">
      <c r="A3129" s="145"/>
      <c r="E3129" s="102"/>
      <c r="F3129" s="102"/>
      <c r="G3129" s="102"/>
      <c r="I3129" s="93"/>
      <c r="J3129" s="93"/>
    </row>
    <row r="3130" spans="1:10" s="65" customFormat="1" ht="14" x14ac:dyDescent="0.35">
      <c r="A3130" s="145"/>
      <c r="E3130" s="102"/>
      <c r="F3130" s="102"/>
      <c r="G3130" s="102"/>
      <c r="I3130" s="93"/>
      <c r="J3130" s="93"/>
    </row>
    <row r="3131" spans="1:10" s="65" customFormat="1" ht="14" x14ac:dyDescent="0.35">
      <c r="A3131" s="145"/>
      <c r="E3131" s="102"/>
      <c r="F3131" s="102"/>
      <c r="G3131" s="102"/>
      <c r="I3131" s="93"/>
      <c r="J3131" s="93"/>
    </row>
    <row r="3132" spans="1:10" s="65" customFormat="1" ht="14" x14ac:dyDescent="0.35">
      <c r="A3132" s="145"/>
      <c r="E3132" s="102"/>
      <c r="F3132" s="102"/>
      <c r="G3132" s="102"/>
      <c r="I3132" s="93"/>
      <c r="J3132" s="93"/>
    </row>
    <row r="3133" spans="1:10" s="65" customFormat="1" ht="14" x14ac:dyDescent="0.35">
      <c r="A3133" s="145"/>
      <c r="E3133" s="102"/>
      <c r="F3133" s="102"/>
      <c r="G3133" s="102"/>
      <c r="I3133" s="93"/>
      <c r="J3133" s="93"/>
    </row>
    <row r="3134" spans="1:10" s="65" customFormat="1" ht="14" x14ac:dyDescent="0.35">
      <c r="A3134" s="145"/>
      <c r="E3134" s="102"/>
      <c r="F3134" s="102"/>
      <c r="G3134" s="102"/>
      <c r="I3134" s="93"/>
      <c r="J3134" s="93"/>
    </row>
    <row r="3135" spans="1:10" s="65" customFormat="1" ht="14" x14ac:dyDescent="0.35">
      <c r="A3135" s="145"/>
      <c r="E3135" s="102"/>
      <c r="F3135" s="102"/>
      <c r="G3135" s="102"/>
      <c r="I3135" s="93"/>
      <c r="J3135" s="93"/>
    </row>
    <row r="3136" spans="1:10" s="65" customFormat="1" ht="14" x14ac:dyDescent="0.35">
      <c r="A3136" s="145"/>
      <c r="E3136" s="102"/>
      <c r="F3136" s="102"/>
      <c r="G3136" s="102"/>
      <c r="I3136" s="93"/>
      <c r="J3136" s="93"/>
    </row>
    <row r="3137" spans="1:10" s="65" customFormat="1" ht="14" x14ac:dyDescent="0.35">
      <c r="A3137" s="145"/>
      <c r="E3137" s="102"/>
      <c r="F3137" s="102"/>
      <c r="G3137" s="102"/>
      <c r="I3137" s="93"/>
      <c r="J3137" s="93"/>
    </row>
    <row r="3138" spans="1:10" s="65" customFormat="1" ht="14" x14ac:dyDescent="0.35">
      <c r="A3138" s="145"/>
      <c r="E3138" s="102"/>
      <c r="F3138" s="102"/>
      <c r="G3138" s="102"/>
      <c r="I3138" s="93"/>
      <c r="J3138" s="93"/>
    </row>
    <row r="3139" spans="1:10" s="65" customFormat="1" ht="14" x14ac:dyDescent="0.35">
      <c r="A3139" s="145"/>
      <c r="E3139" s="102"/>
      <c r="F3139" s="102"/>
      <c r="G3139" s="102"/>
      <c r="I3139" s="93"/>
      <c r="J3139" s="93"/>
    </row>
    <row r="3140" spans="1:10" s="65" customFormat="1" ht="14" x14ac:dyDescent="0.35">
      <c r="A3140" s="145"/>
      <c r="E3140" s="102"/>
      <c r="F3140" s="102"/>
      <c r="G3140" s="102"/>
      <c r="I3140" s="93"/>
      <c r="J3140" s="93"/>
    </row>
    <row r="3141" spans="1:10" s="65" customFormat="1" ht="14" x14ac:dyDescent="0.35">
      <c r="A3141" s="145"/>
      <c r="E3141" s="102"/>
      <c r="F3141" s="102"/>
      <c r="G3141" s="102"/>
      <c r="I3141" s="93"/>
      <c r="J3141" s="93"/>
    </row>
    <row r="3142" spans="1:10" s="65" customFormat="1" ht="14" x14ac:dyDescent="0.35">
      <c r="A3142" s="145"/>
      <c r="E3142" s="102"/>
      <c r="F3142" s="102"/>
      <c r="G3142" s="102"/>
      <c r="I3142" s="93"/>
      <c r="J3142" s="93"/>
    </row>
    <row r="3143" spans="1:10" s="65" customFormat="1" ht="14" x14ac:dyDescent="0.35">
      <c r="A3143" s="145"/>
      <c r="E3143" s="102"/>
      <c r="F3143" s="102"/>
      <c r="G3143" s="102"/>
      <c r="I3143" s="93"/>
      <c r="J3143" s="93"/>
    </row>
    <row r="3144" spans="1:10" s="65" customFormat="1" ht="14" x14ac:dyDescent="0.35">
      <c r="A3144" s="145"/>
      <c r="E3144" s="102"/>
      <c r="F3144" s="102"/>
      <c r="G3144" s="102"/>
      <c r="I3144" s="93"/>
      <c r="J3144" s="93"/>
    </row>
    <row r="3145" spans="1:10" s="65" customFormat="1" ht="14" x14ac:dyDescent="0.35">
      <c r="A3145" s="145"/>
      <c r="E3145" s="102"/>
      <c r="F3145" s="102"/>
      <c r="G3145" s="102"/>
      <c r="I3145" s="93"/>
      <c r="J3145" s="93"/>
    </row>
    <row r="3146" spans="1:10" s="65" customFormat="1" ht="14" x14ac:dyDescent="0.35">
      <c r="A3146" s="145"/>
      <c r="E3146" s="102"/>
      <c r="F3146" s="102"/>
      <c r="G3146" s="102"/>
      <c r="I3146" s="93"/>
      <c r="J3146" s="93"/>
    </row>
    <row r="3147" spans="1:10" s="65" customFormat="1" ht="14" x14ac:dyDescent="0.35">
      <c r="A3147" s="145"/>
      <c r="E3147" s="102"/>
      <c r="F3147" s="102"/>
      <c r="G3147" s="102"/>
      <c r="I3147" s="93"/>
      <c r="J3147" s="93"/>
    </row>
    <row r="3148" spans="1:10" s="65" customFormat="1" ht="14" x14ac:dyDescent="0.35">
      <c r="A3148" s="145"/>
      <c r="E3148" s="102"/>
      <c r="F3148" s="102"/>
      <c r="G3148" s="102"/>
      <c r="I3148" s="93"/>
      <c r="J3148" s="93"/>
    </row>
    <row r="3149" spans="1:10" s="65" customFormat="1" ht="14" x14ac:dyDescent="0.35">
      <c r="A3149" s="145"/>
      <c r="E3149" s="102"/>
      <c r="F3149" s="102"/>
      <c r="G3149" s="102"/>
      <c r="I3149" s="93"/>
      <c r="J3149" s="93"/>
    </row>
    <row r="3150" spans="1:10" s="65" customFormat="1" ht="14" x14ac:dyDescent="0.35">
      <c r="A3150" s="145"/>
      <c r="E3150" s="102"/>
      <c r="F3150" s="102"/>
      <c r="G3150" s="102"/>
      <c r="I3150" s="93"/>
      <c r="J3150" s="93"/>
    </row>
    <row r="3151" spans="1:10" s="65" customFormat="1" ht="14" x14ac:dyDescent="0.35">
      <c r="A3151" s="145"/>
      <c r="E3151" s="102"/>
      <c r="F3151" s="102"/>
      <c r="G3151" s="102"/>
      <c r="I3151" s="93"/>
      <c r="J3151" s="93"/>
    </row>
    <row r="3152" spans="1:10" s="65" customFormat="1" ht="14" x14ac:dyDescent="0.35">
      <c r="A3152" s="145"/>
      <c r="E3152" s="102"/>
      <c r="F3152" s="102"/>
      <c r="G3152" s="102"/>
      <c r="I3152" s="93"/>
      <c r="J3152" s="93"/>
    </row>
    <row r="3153" spans="1:10" s="65" customFormat="1" ht="14" x14ac:dyDescent="0.35">
      <c r="A3153" s="145"/>
      <c r="E3153" s="102"/>
      <c r="F3153" s="102"/>
      <c r="G3153" s="102"/>
      <c r="I3153" s="93"/>
      <c r="J3153" s="93"/>
    </row>
    <row r="3154" spans="1:10" s="65" customFormat="1" ht="14" x14ac:dyDescent="0.35">
      <c r="A3154" s="145"/>
      <c r="E3154" s="102"/>
      <c r="F3154" s="102"/>
      <c r="G3154" s="102"/>
      <c r="I3154" s="93"/>
      <c r="J3154" s="93"/>
    </row>
    <row r="3155" spans="1:10" s="65" customFormat="1" ht="14" x14ac:dyDescent="0.35">
      <c r="A3155" s="145"/>
      <c r="E3155" s="102"/>
      <c r="F3155" s="102"/>
      <c r="G3155" s="102"/>
      <c r="I3155" s="93"/>
      <c r="J3155" s="93"/>
    </row>
    <row r="3156" spans="1:10" s="65" customFormat="1" ht="14" x14ac:dyDescent="0.35">
      <c r="A3156" s="145"/>
      <c r="E3156" s="102"/>
      <c r="F3156" s="102"/>
      <c r="G3156" s="102"/>
      <c r="I3156" s="93"/>
      <c r="J3156" s="93"/>
    </row>
    <row r="3157" spans="1:10" s="65" customFormat="1" ht="14" x14ac:dyDescent="0.35">
      <c r="A3157" s="145"/>
      <c r="E3157" s="102"/>
      <c r="F3157" s="102"/>
      <c r="G3157" s="102"/>
      <c r="I3157" s="93"/>
      <c r="J3157" s="93"/>
    </row>
    <row r="3158" spans="1:10" s="65" customFormat="1" ht="14" x14ac:dyDescent="0.35">
      <c r="A3158" s="145"/>
      <c r="E3158" s="102"/>
      <c r="F3158" s="102"/>
      <c r="G3158" s="102"/>
      <c r="I3158" s="93"/>
      <c r="J3158" s="93"/>
    </row>
    <row r="3159" spans="1:10" s="65" customFormat="1" ht="14" x14ac:dyDescent="0.35">
      <c r="A3159" s="145"/>
      <c r="E3159" s="102"/>
      <c r="F3159" s="102"/>
      <c r="G3159" s="102"/>
      <c r="I3159" s="93"/>
      <c r="J3159" s="93"/>
    </row>
    <row r="3160" spans="1:10" s="65" customFormat="1" ht="14" x14ac:dyDescent="0.35">
      <c r="A3160" s="145"/>
      <c r="E3160" s="102"/>
      <c r="F3160" s="102"/>
      <c r="G3160" s="102"/>
      <c r="I3160" s="93"/>
      <c r="J3160" s="93"/>
    </row>
    <row r="3161" spans="1:10" s="65" customFormat="1" ht="14" x14ac:dyDescent="0.35">
      <c r="A3161" s="145"/>
      <c r="E3161" s="102"/>
      <c r="F3161" s="102"/>
      <c r="G3161" s="102"/>
      <c r="I3161" s="93"/>
      <c r="J3161" s="93"/>
    </row>
    <row r="3162" spans="1:10" s="65" customFormat="1" ht="14" x14ac:dyDescent="0.35">
      <c r="A3162" s="145"/>
      <c r="E3162" s="102"/>
      <c r="F3162" s="102"/>
      <c r="G3162" s="102"/>
      <c r="I3162" s="93"/>
      <c r="J3162" s="93"/>
    </row>
    <row r="3163" spans="1:10" s="65" customFormat="1" ht="14" x14ac:dyDescent="0.35">
      <c r="A3163" s="145"/>
      <c r="E3163" s="102"/>
      <c r="F3163" s="102"/>
      <c r="G3163" s="102"/>
      <c r="I3163" s="93"/>
      <c r="J3163" s="93"/>
    </row>
    <row r="3164" spans="1:10" s="65" customFormat="1" ht="14" x14ac:dyDescent="0.35">
      <c r="A3164" s="145"/>
      <c r="E3164" s="102"/>
      <c r="F3164" s="102"/>
      <c r="G3164" s="102"/>
      <c r="I3164" s="93"/>
      <c r="J3164" s="93"/>
    </row>
    <row r="3165" spans="1:10" s="65" customFormat="1" ht="14" x14ac:dyDescent="0.35">
      <c r="A3165" s="145"/>
      <c r="E3165" s="102"/>
      <c r="F3165" s="102"/>
      <c r="G3165" s="102"/>
      <c r="I3165" s="93"/>
      <c r="J3165" s="93"/>
    </row>
    <row r="3166" spans="1:10" s="65" customFormat="1" ht="14" x14ac:dyDescent="0.35">
      <c r="A3166" s="145"/>
      <c r="E3166" s="102"/>
      <c r="F3166" s="102"/>
      <c r="G3166" s="102"/>
      <c r="I3166" s="93"/>
      <c r="J3166" s="93"/>
    </row>
    <row r="3167" spans="1:10" s="65" customFormat="1" ht="14" x14ac:dyDescent="0.35">
      <c r="A3167" s="145"/>
      <c r="E3167" s="102"/>
      <c r="F3167" s="102"/>
      <c r="G3167" s="102"/>
      <c r="I3167" s="93"/>
      <c r="J3167" s="93"/>
    </row>
    <row r="3168" spans="1:10" s="65" customFormat="1" ht="14" x14ac:dyDescent="0.35">
      <c r="A3168" s="145"/>
      <c r="E3168" s="102"/>
      <c r="F3168" s="102"/>
      <c r="G3168" s="102"/>
      <c r="I3168" s="93"/>
      <c r="J3168" s="93"/>
    </row>
    <row r="3169" spans="1:10" s="65" customFormat="1" ht="14" x14ac:dyDescent="0.35">
      <c r="A3169" s="145"/>
      <c r="E3169" s="102"/>
      <c r="F3169" s="102"/>
      <c r="G3169" s="102"/>
      <c r="I3169" s="93"/>
      <c r="J3169" s="93"/>
    </row>
    <row r="3170" spans="1:10" s="65" customFormat="1" ht="14" x14ac:dyDescent="0.35">
      <c r="A3170" s="145"/>
      <c r="E3170" s="102"/>
      <c r="F3170" s="102"/>
      <c r="G3170" s="102"/>
      <c r="I3170" s="93"/>
      <c r="J3170" s="93"/>
    </row>
    <row r="3171" spans="1:10" s="65" customFormat="1" ht="14" x14ac:dyDescent="0.35">
      <c r="A3171" s="145"/>
      <c r="E3171" s="102"/>
      <c r="F3171" s="102"/>
      <c r="G3171" s="102"/>
      <c r="I3171" s="93"/>
      <c r="J3171" s="93"/>
    </row>
    <row r="3172" spans="1:10" s="65" customFormat="1" ht="14" x14ac:dyDescent="0.35">
      <c r="A3172" s="145"/>
      <c r="E3172" s="102"/>
      <c r="F3172" s="102"/>
      <c r="G3172" s="102"/>
      <c r="I3172" s="93"/>
      <c r="J3172" s="93"/>
    </row>
    <row r="3173" spans="1:10" s="65" customFormat="1" ht="14" x14ac:dyDescent="0.35">
      <c r="A3173" s="145"/>
      <c r="E3173" s="102"/>
      <c r="F3173" s="102"/>
      <c r="G3173" s="102"/>
      <c r="I3173" s="93"/>
      <c r="J3173" s="93"/>
    </row>
    <row r="3174" spans="1:10" s="65" customFormat="1" ht="14" x14ac:dyDescent="0.35">
      <c r="A3174" s="145"/>
      <c r="E3174" s="102"/>
      <c r="F3174" s="102"/>
      <c r="G3174" s="102"/>
      <c r="I3174" s="93"/>
      <c r="J3174" s="93"/>
    </row>
    <row r="3175" spans="1:10" s="65" customFormat="1" ht="14" x14ac:dyDescent="0.35">
      <c r="A3175" s="145"/>
      <c r="E3175" s="102"/>
      <c r="F3175" s="102"/>
      <c r="G3175" s="102"/>
      <c r="I3175" s="93"/>
      <c r="J3175" s="93"/>
    </row>
    <row r="3176" spans="1:10" s="65" customFormat="1" ht="14" x14ac:dyDescent="0.35">
      <c r="A3176" s="145"/>
      <c r="E3176" s="102"/>
      <c r="F3176" s="102"/>
      <c r="G3176" s="102"/>
      <c r="I3176" s="93"/>
      <c r="J3176" s="93"/>
    </row>
    <row r="3177" spans="1:10" s="65" customFormat="1" ht="14" x14ac:dyDescent="0.35">
      <c r="A3177" s="145"/>
      <c r="E3177" s="102"/>
      <c r="F3177" s="102"/>
      <c r="G3177" s="102"/>
      <c r="I3177" s="93"/>
      <c r="J3177" s="93"/>
    </row>
    <row r="3178" spans="1:10" s="65" customFormat="1" ht="14" x14ac:dyDescent="0.35">
      <c r="A3178" s="145"/>
      <c r="E3178" s="102"/>
      <c r="F3178" s="102"/>
      <c r="G3178" s="102"/>
      <c r="I3178" s="93"/>
      <c r="J3178" s="93"/>
    </row>
    <row r="3179" spans="1:10" s="65" customFormat="1" ht="14" x14ac:dyDescent="0.35">
      <c r="A3179" s="145"/>
      <c r="E3179" s="102"/>
      <c r="F3179" s="102"/>
      <c r="G3179" s="102"/>
      <c r="I3179" s="93"/>
      <c r="J3179" s="93"/>
    </row>
    <row r="3180" spans="1:10" s="65" customFormat="1" ht="14" x14ac:dyDescent="0.35">
      <c r="A3180" s="145"/>
      <c r="E3180" s="102"/>
      <c r="F3180" s="102"/>
      <c r="G3180" s="102"/>
      <c r="I3180" s="93"/>
      <c r="J3180" s="93"/>
    </row>
    <row r="3181" spans="1:10" s="65" customFormat="1" ht="14" x14ac:dyDescent="0.35">
      <c r="A3181" s="145"/>
      <c r="E3181" s="102"/>
      <c r="F3181" s="102"/>
      <c r="G3181" s="102"/>
      <c r="I3181" s="93"/>
      <c r="J3181" s="93"/>
    </row>
    <row r="3182" spans="1:10" s="65" customFormat="1" ht="14" x14ac:dyDescent="0.35">
      <c r="A3182" s="145"/>
      <c r="E3182" s="102"/>
      <c r="F3182" s="102"/>
      <c r="G3182" s="102"/>
      <c r="I3182" s="93"/>
      <c r="J3182" s="93"/>
    </row>
    <row r="3183" spans="1:10" s="65" customFormat="1" ht="14" x14ac:dyDescent="0.35">
      <c r="A3183" s="145"/>
      <c r="E3183" s="102"/>
      <c r="F3183" s="102"/>
      <c r="G3183" s="102"/>
      <c r="I3183" s="93"/>
      <c r="J3183" s="93"/>
    </row>
    <row r="3184" spans="1:10" s="65" customFormat="1" ht="14" x14ac:dyDescent="0.35">
      <c r="A3184" s="145"/>
      <c r="E3184" s="102"/>
      <c r="F3184" s="102"/>
      <c r="G3184" s="102"/>
      <c r="I3184" s="93"/>
      <c r="J3184" s="93"/>
    </row>
    <row r="3185" spans="1:10" s="65" customFormat="1" ht="14" x14ac:dyDescent="0.35">
      <c r="A3185" s="145"/>
      <c r="E3185" s="102"/>
      <c r="F3185" s="102"/>
      <c r="G3185" s="102"/>
      <c r="I3185" s="93"/>
      <c r="J3185" s="93"/>
    </row>
    <row r="3186" spans="1:10" s="65" customFormat="1" ht="14" x14ac:dyDescent="0.35">
      <c r="A3186" s="145"/>
      <c r="E3186" s="102"/>
      <c r="F3186" s="102"/>
      <c r="G3186" s="102"/>
      <c r="I3186" s="93"/>
      <c r="J3186" s="93"/>
    </row>
    <row r="3187" spans="1:10" s="65" customFormat="1" ht="14" x14ac:dyDescent="0.35">
      <c r="A3187" s="145"/>
      <c r="E3187" s="102"/>
      <c r="F3187" s="102"/>
      <c r="G3187" s="102"/>
      <c r="I3187" s="93"/>
      <c r="J3187" s="93"/>
    </row>
    <row r="3188" spans="1:10" s="65" customFormat="1" ht="14" x14ac:dyDescent="0.35">
      <c r="A3188" s="145"/>
      <c r="E3188" s="102"/>
      <c r="F3188" s="102"/>
      <c r="G3188" s="102"/>
      <c r="I3188" s="93"/>
      <c r="J3188" s="93"/>
    </row>
    <row r="3189" spans="1:10" s="65" customFormat="1" ht="14" x14ac:dyDescent="0.35">
      <c r="A3189" s="145"/>
      <c r="E3189" s="102"/>
      <c r="F3189" s="102"/>
      <c r="G3189" s="102"/>
      <c r="I3189" s="93"/>
      <c r="J3189" s="93"/>
    </row>
    <row r="3190" spans="1:10" s="65" customFormat="1" ht="14" x14ac:dyDescent="0.35">
      <c r="A3190" s="145"/>
      <c r="E3190" s="102"/>
      <c r="F3190" s="102"/>
      <c r="G3190" s="102"/>
      <c r="I3190" s="93"/>
      <c r="J3190" s="93"/>
    </row>
    <row r="3191" spans="1:10" s="65" customFormat="1" ht="14" x14ac:dyDescent="0.35">
      <c r="A3191" s="145"/>
      <c r="E3191" s="102"/>
      <c r="F3191" s="102"/>
      <c r="G3191" s="102"/>
      <c r="I3191" s="93"/>
      <c r="J3191" s="93"/>
    </row>
    <row r="3192" spans="1:10" s="65" customFormat="1" ht="14" x14ac:dyDescent="0.35">
      <c r="A3192" s="145"/>
      <c r="E3192" s="102"/>
      <c r="F3192" s="102"/>
      <c r="G3192" s="102"/>
      <c r="I3192" s="93"/>
      <c r="J3192" s="93"/>
    </row>
    <row r="3193" spans="1:10" s="65" customFormat="1" ht="14" x14ac:dyDescent="0.35">
      <c r="A3193" s="145"/>
      <c r="E3193" s="102"/>
      <c r="F3193" s="102"/>
      <c r="G3193" s="102"/>
      <c r="I3193" s="93"/>
      <c r="J3193" s="93"/>
    </row>
    <row r="3194" spans="1:10" s="65" customFormat="1" ht="14" x14ac:dyDescent="0.35">
      <c r="A3194" s="145"/>
      <c r="E3194" s="102"/>
      <c r="F3194" s="102"/>
      <c r="G3194" s="102"/>
      <c r="I3194" s="93"/>
      <c r="J3194" s="93"/>
    </row>
    <row r="3195" spans="1:10" s="65" customFormat="1" ht="14" x14ac:dyDescent="0.35">
      <c r="A3195" s="145"/>
      <c r="E3195" s="102"/>
      <c r="F3195" s="102"/>
      <c r="G3195" s="102"/>
      <c r="I3195" s="93"/>
      <c r="J3195" s="93"/>
    </row>
    <row r="3196" spans="1:10" s="65" customFormat="1" ht="14" x14ac:dyDescent="0.35">
      <c r="A3196" s="145"/>
      <c r="E3196" s="102"/>
      <c r="F3196" s="102"/>
      <c r="G3196" s="102"/>
      <c r="I3196" s="93"/>
      <c r="J3196" s="93"/>
    </row>
    <row r="3197" spans="1:10" s="65" customFormat="1" ht="14" x14ac:dyDescent="0.35">
      <c r="A3197" s="145"/>
      <c r="E3197" s="102"/>
      <c r="F3197" s="102"/>
      <c r="G3197" s="102"/>
      <c r="I3197" s="93"/>
      <c r="J3197" s="93"/>
    </row>
    <row r="3198" spans="1:10" s="65" customFormat="1" ht="14" x14ac:dyDescent="0.35">
      <c r="A3198" s="145"/>
      <c r="E3198" s="102"/>
      <c r="F3198" s="102"/>
      <c r="G3198" s="102"/>
      <c r="I3198" s="93"/>
      <c r="J3198" s="93"/>
    </row>
    <row r="3199" spans="1:10" s="65" customFormat="1" ht="14" x14ac:dyDescent="0.35">
      <c r="A3199" s="145"/>
      <c r="E3199" s="102"/>
      <c r="F3199" s="102"/>
      <c r="G3199" s="102"/>
      <c r="I3199" s="93"/>
      <c r="J3199" s="93"/>
    </row>
    <row r="3200" spans="1:10" s="65" customFormat="1" ht="14" x14ac:dyDescent="0.35">
      <c r="A3200" s="145"/>
      <c r="E3200" s="102"/>
      <c r="F3200" s="102"/>
      <c r="G3200" s="102"/>
      <c r="I3200" s="93"/>
      <c r="J3200" s="93"/>
    </row>
    <row r="3201" spans="1:10" s="65" customFormat="1" ht="14" x14ac:dyDescent="0.35">
      <c r="A3201" s="145"/>
      <c r="E3201" s="102"/>
      <c r="F3201" s="102"/>
      <c r="G3201" s="102"/>
      <c r="I3201" s="93"/>
      <c r="J3201" s="93"/>
    </row>
    <row r="3202" spans="1:10" s="65" customFormat="1" ht="14" x14ac:dyDescent="0.35">
      <c r="A3202" s="145"/>
      <c r="E3202" s="102"/>
      <c r="F3202" s="102"/>
      <c r="G3202" s="102"/>
      <c r="I3202" s="93"/>
      <c r="J3202" s="93"/>
    </row>
    <row r="3203" spans="1:10" s="65" customFormat="1" ht="14" x14ac:dyDescent="0.35">
      <c r="A3203" s="145"/>
      <c r="E3203" s="102"/>
      <c r="F3203" s="102"/>
      <c r="G3203" s="102"/>
      <c r="I3203" s="93"/>
      <c r="J3203" s="93"/>
    </row>
    <row r="3204" spans="1:10" s="65" customFormat="1" ht="14" x14ac:dyDescent="0.35">
      <c r="A3204" s="145"/>
      <c r="E3204" s="102"/>
      <c r="F3204" s="102"/>
      <c r="G3204" s="102"/>
      <c r="I3204" s="93"/>
      <c r="J3204" s="93"/>
    </row>
    <row r="3205" spans="1:10" s="65" customFormat="1" ht="14" x14ac:dyDescent="0.35">
      <c r="A3205" s="145"/>
      <c r="E3205" s="102"/>
      <c r="F3205" s="102"/>
      <c r="G3205" s="102"/>
      <c r="I3205" s="93"/>
      <c r="J3205" s="93"/>
    </row>
    <row r="3206" spans="1:10" s="65" customFormat="1" ht="14" x14ac:dyDescent="0.35">
      <c r="A3206" s="145"/>
      <c r="E3206" s="102"/>
      <c r="F3206" s="102"/>
      <c r="G3206" s="102"/>
      <c r="I3206" s="93"/>
      <c r="J3206" s="93"/>
    </row>
    <row r="3207" spans="1:10" s="65" customFormat="1" ht="14" x14ac:dyDescent="0.35">
      <c r="A3207" s="145"/>
      <c r="E3207" s="102"/>
      <c r="F3207" s="102"/>
      <c r="G3207" s="102"/>
      <c r="I3207" s="93"/>
      <c r="J3207" s="93"/>
    </row>
    <row r="3208" spans="1:10" s="65" customFormat="1" ht="14" x14ac:dyDescent="0.35">
      <c r="A3208" s="145"/>
      <c r="E3208" s="102"/>
      <c r="F3208" s="102"/>
      <c r="G3208" s="102"/>
      <c r="I3208" s="93"/>
      <c r="J3208" s="93"/>
    </row>
    <row r="3209" spans="1:10" s="65" customFormat="1" ht="14" x14ac:dyDescent="0.35">
      <c r="A3209" s="145"/>
      <c r="E3209" s="102"/>
      <c r="F3209" s="102"/>
      <c r="G3209" s="102"/>
      <c r="I3209" s="93"/>
      <c r="J3209" s="93"/>
    </row>
    <row r="3210" spans="1:10" s="65" customFormat="1" ht="14" x14ac:dyDescent="0.35">
      <c r="A3210" s="145"/>
      <c r="E3210" s="102"/>
      <c r="F3210" s="102"/>
      <c r="G3210" s="102"/>
      <c r="I3210" s="93"/>
      <c r="J3210" s="93"/>
    </row>
    <row r="3211" spans="1:10" s="65" customFormat="1" ht="14" x14ac:dyDescent="0.35">
      <c r="A3211" s="145"/>
      <c r="E3211" s="102"/>
      <c r="F3211" s="102"/>
      <c r="G3211" s="102"/>
      <c r="I3211" s="93"/>
      <c r="J3211" s="93"/>
    </row>
    <row r="3212" spans="1:10" s="65" customFormat="1" ht="14" x14ac:dyDescent="0.35">
      <c r="A3212" s="145"/>
      <c r="E3212" s="102"/>
      <c r="F3212" s="102"/>
      <c r="G3212" s="102"/>
      <c r="I3212" s="93"/>
      <c r="J3212" s="93"/>
    </row>
    <row r="3213" spans="1:10" s="65" customFormat="1" ht="14" x14ac:dyDescent="0.35">
      <c r="A3213" s="145"/>
      <c r="E3213" s="102"/>
      <c r="F3213" s="102"/>
      <c r="G3213" s="102"/>
      <c r="I3213" s="93"/>
      <c r="J3213" s="93"/>
    </row>
    <row r="3214" spans="1:10" s="65" customFormat="1" ht="14" x14ac:dyDescent="0.35">
      <c r="A3214" s="145"/>
      <c r="E3214" s="102"/>
      <c r="F3214" s="102"/>
      <c r="G3214" s="102"/>
      <c r="I3214" s="93"/>
      <c r="J3214" s="93"/>
    </row>
    <row r="3215" spans="1:10" s="65" customFormat="1" ht="14" x14ac:dyDescent="0.35">
      <c r="A3215" s="145"/>
      <c r="E3215" s="102"/>
      <c r="F3215" s="102"/>
      <c r="G3215" s="102"/>
      <c r="I3215" s="93"/>
      <c r="J3215" s="93"/>
    </row>
    <row r="3216" spans="1:10" s="65" customFormat="1" ht="14" x14ac:dyDescent="0.35">
      <c r="A3216" s="145"/>
      <c r="E3216" s="102"/>
      <c r="F3216" s="102"/>
      <c r="G3216" s="102"/>
      <c r="I3216" s="93"/>
      <c r="J3216" s="93"/>
    </row>
    <row r="3217" spans="1:10" s="65" customFormat="1" ht="14" x14ac:dyDescent="0.35">
      <c r="A3217" s="145"/>
      <c r="E3217" s="102"/>
      <c r="F3217" s="102"/>
      <c r="G3217" s="102"/>
      <c r="I3217" s="93"/>
      <c r="J3217" s="93"/>
    </row>
    <row r="3218" spans="1:10" s="65" customFormat="1" ht="14" x14ac:dyDescent="0.35">
      <c r="A3218" s="145"/>
      <c r="E3218" s="102"/>
      <c r="F3218" s="102"/>
      <c r="G3218" s="102"/>
      <c r="I3218" s="93"/>
      <c r="J3218" s="93"/>
    </row>
    <row r="3219" spans="1:10" s="65" customFormat="1" ht="14" x14ac:dyDescent="0.35">
      <c r="A3219" s="145"/>
      <c r="E3219" s="102"/>
      <c r="F3219" s="102"/>
      <c r="G3219" s="102"/>
      <c r="I3219" s="93"/>
      <c r="J3219" s="93"/>
    </row>
    <row r="3220" spans="1:10" s="65" customFormat="1" ht="14" x14ac:dyDescent="0.35">
      <c r="A3220" s="145"/>
      <c r="E3220" s="102"/>
      <c r="F3220" s="102"/>
      <c r="G3220" s="102"/>
      <c r="I3220" s="93"/>
      <c r="J3220" s="93"/>
    </row>
    <row r="3221" spans="1:10" s="65" customFormat="1" ht="14" x14ac:dyDescent="0.35">
      <c r="A3221" s="145"/>
      <c r="E3221" s="102"/>
      <c r="F3221" s="102"/>
      <c r="G3221" s="102"/>
      <c r="I3221" s="93"/>
      <c r="J3221" s="93"/>
    </row>
    <row r="3222" spans="1:10" s="65" customFormat="1" ht="14" x14ac:dyDescent="0.35">
      <c r="A3222" s="145"/>
      <c r="E3222" s="102"/>
      <c r="F3222" s="102"/>
      <c r="G3222" s="102"/>
      <c r="I3222" s="93"/>
      <c r="J3222" s="93"/>
    </row>
    <row r="3223" spans="1:10" s="65" customFormat="1" ht="14" x14ac:dyDescent="0.35">
      <c r="A3223" s="145"/>
      <c r="E3223" s="102"/>
      <c r="F3223" s="102"/>
      <c r="G3223" s="102"/>
      <c r="I3223" s="93"/>
      <c r="J3223" s="93"/>
    </row>
    <row r="3224" spans="1:10" s="65" customFormat="1" ht="14" x14ac:dyDescent="0.35">
      <c r="A3224" s="145"/>
      <c r="E3224" s="102"/>
      <c r="F3224" s="102"/>
      <c r="G3224" s="102"/>
      <c r="I3224" s="93"/>
      <c r="J3224" s="93"/>
    </row>
    <row r="3225" spans="1:10" s="65" customFormat="1" ht="14" x14ac:dyDescent="0.35">
      <c r="A3225" s="145"/>
      <c r="E3225" s="102"/>
      <c r="F3225" s="102"/>
      <c r="G3225" s="102"/>
      <c r="I3225" s="93"/>
      <c r="J3225" s="93"/>
    </row>
    <row r="3226" spans="1:10" s="65" customFormat="1" ht="14" x14ac:dyDescent="0.35">
      <c r="A3226" s="145"/>
      <c r="E3226" s="102"/>
      <c r="F3226" s="102"/>
      <c r="G3226" s="102"/>
      <c r="I3226" s="93"/>
      <c r="J3226" s="93"/>
    </row>
    <row r="3227" spans="1:10" s="65" customFormat="1" ht="14" x14ac:dyDescent="0.35">
      <c r="A3227" s="145"/>
      <c r="E3227" s="102"/>
      <c r="F3227" s="102"/>
      <c r="G3227" s="102"/>
      <c r="I3227" s="93"/>
      <c r="J3227" s="93"/>
    </row>
    <row r="3228" spans="1:10" s="65" customFormat="1" ht="14" x14ac:dyDescent="0.35">
      <c r="A3228" s="145"/>
      <c r="E3228" s="102"/>
      <c r="F3228" s="102"/>
      <c r="G3228" s="102"/>
      <c r="I3228" s="93"/>
      <c r="J3228" s="93"/>
    </row>
    <row r="3229" spans="1:10" s="65" customFormat="1" ht="14" x14ac:dyDescent="0.35">
      <c r="A3229" s="145"/>
      <c r="E3229" s="102"/>
      <c r="F3229" s="102"/>
      <c r="G3229" s="102"/>
      <c r="I3229" s="93"/>
      <c r="J3229" s="93"/>
    </row>
    <row r="3230" spans="1:10" s="65" customFormat="1" ht="14" x14ac:dyDescent="0.35">
      <c r="A3230" s="145"/>
      <c r="E3230" s="102"/>
      <c r="F3230" s="102"/>
      <c r="G3230" s="102"/>
      <c r="I3230" s="93"/>
      <c r="J3230" s="93"/>
    </row>
    <row r="3231" spans="1:10" s="65" customFormat="1" ht="14" x14ac:dyDescent="0.35">
      <c r="A3231" s="145"/>
      <c r="E3231" s="102"/>
      <c r="F3231" s="102"/>
      <c r="G3231" s="102"/>
      <c r="I3231" s="93"/>
      <c r="J3231" s="93"/>
    </row>
    <row r="3232" spans="1:10" s="65" customFormat="1" ht="14" x14ac:dyDescent="0.35">
      <c r="A3232" s="145"/>
      <c r="E3232" s="102"/>
      <c r="F3232" s="102"/>
      <c r="G3232" s="102"/>
      <c r="I3232" s="93"/>
      <c r="J3232" s="93"/>
    </row>
    <row r="3233" spans="1:10" s="65" customFormat="1" ht="14" x14ac:dyDescent="0.35">
      <c r="A3233" s="145"/>
      <c r="E3233" s="102"/>
      <c r="F3233" s="102"/>
      <c r="G3233" s="102"/>
      <c r="I3233" s="93"/>
      <c r="J3233" s="93"/>
    </row>
    <row r="3234" spans="1:10" s="65" customFormat="1" ht="14" x14ac:dyDescent="0.35">
      <c r="A3234" s="145"/>
      <c r="E3234" s="102"/>
      <c r="F3234" s="102"/>
      <c r="G3234" s="102"/>
      <c r="I3234" s="93"/>
      <c r="J3234" s="93"/>
    </row>
    <row r="3235" spans="1:10" s="65" customFormat="1" ht="14" x14ac:dyDescent="0.35">
      <c r="A3235" s="145"/>
      <c r="E3235" s="102"/>
      <c r="F3235" s="102"/>
      <c r="G3235" s="102"/>
      <c r="I3235" s="93"/>
      <c r="J3235" s="93"/>
    </row>
    <row r="3236" spans="1:10" s="65" customFormat="1" ht="14" x14ac:dyDescent="0.35">
      <c r="A3236" s="145"/>
      <c r="E3236" s="102"/>
      <c r="F3236" s="102"/>
      <c r="G3236" s="102"/>
      <c r="I3236" s="93"/>
      <c r="J3236" s="93"/>
    </row>
    <row r="3237" spans="1:10" s="65" customFormat="1" ht="14" x14ac:dyDescent="0.35">
      <c r="A3237" s="145"/>
      <c r="E3237" s="102"/>
      <c r="F3237" s="102"/>
      <c r="G3237" s="102"/>
      <c r="I3237" s="93"/>
      <c r="J3237" s="93"/>
    </row>
    <row r="3238" spans="1:10" s="65" customFormat="1" ht="14" x14ac:dyDescent="0.35">
      <c r="A3238" s="145"/>
      <c r="E3238" s="102"/>
      <c r="F3238" s="102"/>
      <c r="G3238" s="102"/>
      <c r="I3238" s="93"/>
      <c r="J3238" s="93"/>
    </row>
    <row r="3239" spans="1:10" s="65" customFormat="1" ht="14" x14ac:dyDescent="0.35">
      <c r="A3239" s="145"/>
      <c r="E3239" s="102"/>
      <c r="F3239" s="102"/>
      <c r="G3239" s="102"/>
      <c r="I3239" s="93"/>
      <c r="J3239" s="93"/>
    </row>
    <row r="3240" spans="1:10" s="65" customFormat="1" ht="14" x14ac:dyDescent="0.35">
      <c r="A3240" s="145"/>
      <c r="E3240" s="102"/>
      <c r="F3240" s="102"/>
      <c r="G3240" s="102"/>
      <c r="I3240" s="93"/>
      <c r="J3240" s="93"/>
    </row>
    <row r="3241" spans="1:10" s="65" customFormat="1" ht="14" x14ac:dyDescent="0.35">
      <c r="A3241" s="145"/>
      <c r="E3241" s="102"/>
      <c r="F3241" s="102"/>
      <c r="G3241" s="102"/>
      <c r="I3241" s="93"/>
      <c r="J3241" s="93"/>
    </row>
    <row r="3242" spans="1:10" s="65" customFormat="1" ht="14" x14ac:dyDescent="0.35">
      <c r="A3242" s="145"/>
      <c r="E3242" s="102"/>
      <c r="F3242" s="102"/>
      <c r="G3242" s="102"/>
      <c r="I3242" s="93"/>
      <c r="J3242" s="93"/>
    </row>
    <row r="3243" spans="1:10" s="65" customFormat="1" ht="14" x14ac:dyDescent="0.35">
      <c r="A3243" s="145"/>
      <c r="E3243" s="102"/>
      <c r="F3243" s="102"/>
      <c r="G3243" s="102"/>
      <c r="I3243" s="93"/>
      <c r="J3243" s="93"/>
    </row>
    <row r="3244" spans="1:10" s="65" customFormat="1" ht="14" x14ac:dyDescent="0.35">
      <c r="A3244" s="145"/>
      <c r="E3244" s="102"/>
      <c r="F3244" s="102"/>
      <c r="G3244" s="102"/>
      <c r="I3244" s="93"/>
      <c r="J3244" s="93"/>
    </row>
    <row r="3245" spans="1:10" s="65" customFormat="1" ht="14" x14ac:dyDescent="0.35">
      <c r="A3245" s="145"/>
      <c r="E3245" s="102"/>
      <c r="F3245" s="102"/>
      <c r="G3245" s="102"/>
      <c r="I3245" s="93"/>
      <c r="J3245" s="93"/>
    </row>
    <row r="3246" spans="1:10" s="65" customFormat="1" ht="14" x14ac:dyDescent="0.35">
      <c r="A3246" s="145"/>
      <c r="E3246" s="102"/>
      <c r="F3246" s="102"/>
      <c r="G3246" s="102"/>
      <c r="I3246" s="93"/>
      <c r="J3246" s="93"/>
    </row>
    <row r="3247" spans="1:10" s="65" customFormat="1" ht="14" x14ac:dyDescent="0.35">
      <c r="A3247" s="145"/>
      <c r="E3247" s="102"/>
      <c r="F3247" s="102"/>
      <c r="G3247" s="102"/>
      <c r="I3247" s="93"/>
      <c r="J3247" s="93"/>
    </row>
    <row r="3248" spans="1:10" s="65" customFormat="1" ht="14" x14ac:dyDescent="0.35">
      <c r="A3248" s="145"/>
      <c r="E3248" s="102"/>
      <c r="F3248" s="102"/>
      <c r="G3248" s="102"/>
      <c r="I3248" s="93"/>
      <c r="J3248" s="93"/>
    </row>
    <row r="3249" spans="1:10" s="65" customFormat="1" ht="14" x14ac:dyDescent="0.35">
      <c r="A3249" s="145"/>
      <c r="E3249" s="102"/>
      <c r="F3249" s="102"/>
      <c r="G3249" s="102"/>
      <c r="I3249" s="93"/>
      <c r="J3249" s="93"/>
    </row>
    <row r="3250" spans="1:10" s="65" customFormat="1" ht="14" x14ac:dyDescent="0.35">
      <c r="A3250" s="145"/>
      <c r="E3250" s="102"/>
      <c r="F3250" s="102"/>
      <c r="G3250" s="102"/>
      <c r="I3250" s="93"/>
      <c r="J3250" s="93"/>
    </row>
    <row r="3251" spans="1:10" s="65" customFormat="1" ht="14" x14ac:dyDescent="0.35">
      <c r="A3251" s="145"/>
      <c r="E3251" s="102"/>
      <c r="F3251" s="102"/>
      <c r="G3251" s="102"/>
      <c r="I3251" s="93"/>
      <c r="J3251" s="93"/>
    </row>
    <row r="3252" spans="1:10" s="65" customFormat="1" ht="14" x14ac:dyDescent="0.35">
      <c r="A3252" s="145"/>
      <c r="E3252" s="102"/>
      <c r="F3252" s="102"/>
      <c r="G3252" s="102"/>
      <c r="I3252" s="93"/>
      <c r="J3252" s="93"/>
    </row>
    <row r="3253" spans="1:10" s="65" customFormat="1" ht="14" x14ac:dyDescent="0.35">
      <c r="A3253" s="145"/>
      <c r="E3253" s="102"/>
      <c r="F3253" s="102"/>
      <c r="G3253" s="102"/>
      <c r="I3253" s="93"/>
      <c r="J3253" s="93"/>
    </row>
    <row r="3254" spans="1:10" s="65" customFormat="1" ht="14" x14ac:dyDescent="0.35">
      <c r="A3254" s="145"/>
      <c r="E3254" s="102"/>
      <c r="F3254" s="102"/>
      <c r="G3254" s="102"/>
      <c r="I3254" s="93"/>
      <c r="J3254" s="93"/>
    </row>
    <row r="3255" spans="1:10" s="65" customFormat="1" ht="14" x14ac:dyDescent="0.35">
      <c r="A3255" s="145"/>
      <c r="E3255" s="102"/>
      <c r="F3255" s="102"/>
      <c r="G3255" s="102"/>
      <c r="I3255" s="93"/>
      <c r="J3255" s="93"/>
    </row>
    <row r="3256" spans="1:10" s="65" customFormat="1" ht="14" x14ac:dyDescent="0.35">
      <c r="A3256" s="145"/>
      <c r="E3256" s="102"/>
      <c r="F3256" s="102"/>
      <c r="G3256" s="102"/>
      <c r="I3256" s="93"/>
      <c r="J3256" s="93"/>
    </row>
    <row r="3257" spans="1:10" s="65" customFormat="1" ht="14" x14ac:dyDescent="0.35">
      <c r="A3257" s="145"/>
      <c r="E3257" s="102"/>
      <c r="F3257" s="102"/>
      <c r="G3257" s="102"/>
      <c r="I3257" s="93"/>
      <c r="J3257" s="93"/>
    </row>
    <row r="3258" spans="1:10" s="65" customFormat="1" ht="14" x14ac:dyDescent="0.35">
      <c r="A3258" s="145"/>
      <c r="E3258" s="102"/>
      <c r="F3258" s="102"/>
      <c r="G3258" s="102"/>
      <c r="I3258" s="93"/>
      <c r="J3258" s="93"/>
    </row>
    <row r="3259" spans="1:10" s="65" customFormat="1" ht="14" x14ac:dyDescent="0.35">
      <c r="A3259" s="145"/>
      <c r="E3259" s="102"/>
      <c r="F3259" s="102"/>
      <c r="G3259" s="102"/>
      <c r="I3259" s="93"/>
      <c r="J3259" s="93"/>
    </row>
    <row r="3260" spans="1:10" s="65" customFormat="1" ht="14" x14ac:dyDescent="0.35">
      <c r="A3260" s="145"/>
      <c r="E3260" s="102"/>
      <c r="F3260" s="102"/>
      <c r="G3260" s="102"/>
      <c r="I3260" s="93"/>
      <c r="J3260" s="93"/>
    </row>
    <row r="3261" spans="1:10" s="65" customFormat="1" ht="14" x14ac:dyDescent="0.35">
      <c r="A3261" s="145"/>
      <c r="E3261" s="102"/>
      <c r="F3261" s="102"/>
      <c r="G3261" s="102"/>
      <c r="I3261" s="93"/>
      <c r="J3261" s="93"/>
    </row>
    <row r="3262" spans="1:10" s="65" customFormat="1" ht="14" x14ac:dyDescent="0.35">
      <c r="A3262" s="145"/>
      <c r="E3262" s="102"/>
      <c r="F3262" s="102"/>
      <c r="G3262" s="102"/>
      <c r="I3262" s="93"/>
      <c r="J3262" s="93"/>
    </row>
    <row r="3263" spans="1:10" s="65" customFormat="1" ht="14" x14ac:dyDescent="0.35">
      <c r="A3263" s="145"/>
      <c r="E3263" s="102"/>
      <c r="F3263" s="102"/>
      <c r="G3263" s="102"/>
      <c r="I3263" s="93"/>
      <c r="J3263" s="93"/>
    </row>
    <row r="3264" spans="1:10" s="65" customFormat="1" ht="14" x14ac:dyDescent="0.35">
      <c r="A3264" s="145"/>
      <c r="E3264" s="102"/>
      <c r="F3264" s="102"/>
      <c r="G3264" s="102"/>
      <c r="I3264" s="93"/>
      <c r="J3264" s="93"/>
    </row>
    <row r="3265" spans="1:10" s="65" customFormat="1" ht="14" x14ac:dyDescent="0.35">
      <c r="A3265" s="145"/>
      <c r="E3265" s="102"/>
      <c r="F3265" s="102"/>
      <c r="G3265" s="102"/>
      <c r="I3265" s="93"/>
      <c r="J3265" s="93"/>
    </row>
    <row r="3266" spans="1:10" s="65" customFormat="1" ht="14" x14ac:dyDescent="0.35">
      <c r="A3266" s="145"/>
      <c r="E3266" s="102"/>
      <c r="F3266" s="102"/>
      <c r="G3266" s="102"/>
      <c r="I3266" s="93"/>
      <c r="J3266" s="93"/>
    </row>
    <row r="3267" spans="1:10" s="65" customFormat="1" ht="14" x14ac:dyDescent="0.35">
      <c r="A3267" s="145"/>
      <c r="E3267" s="102"/>
      <c r="F3267" s="102"/>
      <c r="G3267" s="102"/>
      <c r="I3267" s="93"/>
      <c r="J3267" s="93"/>
    </row>
    <row r="3268" spans="1:10" s="65" customFormat="1" ht="14" x14ac:dyDescent="0.35">
      <c r="A3268" s="145"/>
      <c r="E3268" s="102"/>
      <c r="F3268" s="102"/>
      <c r="G3268" s="102"/>
      <c r="I3268" s="93"/>
      <c r="J3268" s="93"/>
    </row>
    <row r="3269" spans="1:10" s="65" customFormat="1" ht="14" x14ac:dyDescent="0.35">
      <c r="A3269" s="145"/>
      <c r="E3269" s="102"/>
      <c r="F3269" s="102"/>
      <c r="G3269" s="102"/>
      <c r="I3269" s="93"/>
      <c r="J3269" s="93"/>
    </row>
    <row r="3270" spans="1:10" s="65" customFormat="1" ht="14" x14ac:dyDescent="0.35">
      <c r="A3270" s="145"/>
      <c r="E3270" s="102"/>
      <c r="F3270" s="102"/>
      <c r="G3270" s="102"/>
      <c r="I3270" s="93"/>
      <c r="J3270" s="93"/>
    </row>
    <row r="3271" spans="1:10" s="65" customFormat="1" ht="14" x14ac:dyDescent="0.35">
      <c r="A3271" s="145"/>
      <c r="E3271" s="102"/>
      <c r="F3271" s="102"/>
      <c r="G3271" s="102"/>
      <c r="I3271" s="93"/>
      <c r="J3271" s="93"/>
    </row>
    <row r="3272" spans="1:10" s="65" customFormat="1" ht="14" x14ac:dyDescent="0.35">
      <c r="A3272" s="145"/>
      <c r="E3272" s="102"/>
      <c r="F3272" s="102"/>
      <c r="G3272" s="102"/>
      <c r="I3272" s="93"/>
      <c r="J3272" s="93"/>
    </row>
    <row r="3273" spans="1:10" s="65" customFormat="1" ht="14" x14ac:dyDescent="0.35">
      <c r="A3273" s="145"/>
      <c r="E3273" s="102"/>
      <c r="F3273" s="102"/>
      <c r="G3273" s="102"/>
      <c r="I3273" s="93"/>
      <c r="J3273" s="93"/>
    </row>
    <row r="3274" spans="1:10" s="65" customFormat="1" ht="14" x14ac:dyDescent="0.35">
      <c r="A3274" s="145"/>
      <c r="E3274" s="102"/>
      <c r="F3274" s="102"/>
      <c r="G3274" s="102"/>
      <c r="I3274" s="93"/>
      <c r="J3274" s="93"/>
    </row>
    <row r="3275" spans="1:10" s="65" customFormat="1" ht="14" x14ac:dyDescent="0.35">
      <c r="A3275" s="145"/>
      <c r="E3275" s="102"/>
      <c r="F3275" s="102"/>
      <c r="G3275" s="102"/>
      <c r="I3275" s="93"/>
      <c r="J3275" s="93"/>
    </row>
    <row r="3276" spans="1:10" s="65" customFormat="1" ht="14" x14ac:dyDescent="0.35">
      <c r="A3276" s="145"/>
      <c r="E3276" s="102"/>
      <c r="F3276" s="102"/>
      <c r="G3276" s="102"/>
      <c r="I3276" s="93"/>
      <c r="J3276" s="93"/>
    </row>
    <row r="3277" spans="1:10" s="65" customFormat="1" ht="14" x14ac:dyDescent="0.35">
      <c r="A3277" s="145"/>
      <c r="E3277" s="102"/>
      <c r="F3277" s="102"/>
      <c r="G3277" s="102"/>
      <c r="I3277" s="93"/>
      <c r="J3277" s="93"/>
    </row>
    <row r="3278" spans="1:10" s="65" customFormat="1" ht="14" x14ac:dyDescent="0.35">
      <c r="A3278" s="145"/>
      <c r="E3278" s="102"/>
      <c r="F3278" s="102"/>
      <c r="G3278" s="102"/>
      <c r="I3278" s="93"/>
      <c r="J3278" s="93"/>
    </row>
    <row r="3279" spans="1:10" s="65" customFormat="1" ht="14" x14ac:dyDescent="0.35">
      <c r="A3279" s="145"/>
      <c r="E3279" s="102"/>
      <c r="F3279" s="102"/>
      <c r="G3279" s="102"/>
      <c r="I3279" s="93"/>
      <c r="J3279" s="93"/>
    </row>
    <row r="3280" spans="1:10" s="65" customFormat="1" ht="14" x14ac:dyDescent="0.35">
      <c r="A3280" s="145"/>
      <c r="E3280" s="102"/>
      <c r="F3280" s="102"/>
      <c r="G3280" s="102"/>
      <c r="I3280" s="93"/>
      <c r="J3280" s="93"/>
    </row>
    <row r="3281" spans="1:10" s="65" customFormat="1" ht="14" x14ac:dyDescent="0.35">
      <c r="A3281" s="145"/>
      <c r="E3281" s="102"/>
      <c r="F3281" s="102"/>
      <c r="G3281" s="102"/>
      <c r="I3281" s="93"/>
      <c r="J3281" s="93"/>
    </row>
    <row r="3282" spans="1:10" s="65" customFormat="1" ht="14" x14ac:dyDescent="0.35">
      <c r="A3282" s="145"/>
      <c r="E3282" s="102"/>
      <c r="F3282" s="102"/>
      <c r="G3282" s="102"/>
      <c r="I3282" s="93"/>
      <c r="J3282" s="93"/>
    </row>
    <row r="3283" spans="1:10" s="65" customFormat="1" ht="14" x14ac:dyDescent="0.35">
      <c r="A3283" s="145"/>
      <c r="E3283" s="102"/>
      <c r="F3283" s="102"/>
      <c r="G3283" s="102"/>
      <c r="I3283" s="93"/>
      <c r="J3283" s="93"/>
    </row>
    <row r="3284" spans="1:10" s="65" customFormat="1" ht="14" x14ac:dyDescent="0.35">
      <c r="A3284" s="145"/>
      <c r="E3284" s="102"/>
      <c r="F3284" s="102"/>
      <c r="G3284" s="102"/>
      <c r="I3284" s="93"/>
      <c r="J3284" s="93"/>
    </row>
    <row r="3285" spans="1:10" s="65" customFormat="1" ht="14" x14ac:dyDescent="0.35">
      <c r="A3285" s="145"/>
      <c r="E3285" s="102"/>
      <c r="F3285" s="102"/>
      <c r="G3285" s="102"/>
      <c r="I3285" s="93"/>
      <c r="J3285" s="93"/>
    </row>
    <row r="3286" spans="1:10" s="65" customFormat="1" ht="14" x14ac:dyDescent="0.35">
      <c r="A3286" s="145"/>
      <c r="E3286" s="102"/>
      <c r="F3286" s="102"/>
      <c r="G3286" s="102"/>
      <c r="I3286" s="93"/>
      <c r="J3286" s="93"/>
    </row>
    <row r="3287" spans="1:10" s="65" customFormat="1" ht="14" x14ac:dyDescent="0.35">
      <c r="A3287" s="145"/>
      <c r="E3287" s="102"/>
      <c r="F3287" s="102"/>
      <c r="G3287" s="102"/>
      <c r="I3287" s="93"/>
      <c r="J3287" s="93"/>
    </row>
    <row r="3288" spans="1:10" s="65" customFormat="1" ht="14" x14ac:dyDescent="0.35">
      <c r="A3288" s="145"/>
      <c r="E3288" s="102"/>
      <c r="F3288" s="102"/>
      <c r="G3288" s="102"/>
      <c r="I3288" s="93"/>
      <c r="J3288" s="93"/>
    </row>
    <row r="3289" spans="1:10" s="65" customFormat="1" ht="14" x14ac:dyDescent="0.35">
      <c r="A3289" s="145"/>
      <c r="E3289" s="102"/>
      <c r="F3289" s="102"/>
      <c r="G3289" s="102"/>
      <c r="I3289" s="93"/>
      <c r="J3289" s="93"/>
    </row>
    <row r="3290" spans="1:10" s="65" customFormat="1" ht="14" x14ac:dyDescent="0.35">
      <c r="A3290" s="145"/>
      <c r="E3290" s="102"/>
      <c r="F3290" s="102"/>
      <c r="G3290" s="102"/>
      <c r="I3290" s="93"/>
      <c r="J3290" s="93"/>
    </row>
    <row r="3291" spans="1:10" s="65" customFormat="1" ht="14" x14ac:dyDescent="0.35">
      <c r="A3291" s="145"/>
      <c r="E3291" s="102"/>
      <c r="F3291" s="102"/>
      <c r="G3291" s="102"/>
      <c r="I3291" s="93"/>
      <c r="J3291" s="93"/>
    </row>
    <row r="3292" spans="1:10" s="65" customFormat="1" ht="14" x14ac:dyDescent="0.35">
      <c r="A3292" s="145"/>
      <c r="E3292" s="102"/>
      <c r="F3292" s="102"/>
      <c r="G3292" s="102"/>
      <c r="I3292" s="93"/>
      <c r="J3292" s="93"/>
    </row>
    <row r="3293" spans="1:10" s="65" customFormat="1" ht="14" x14ac:dyDescent="0.35">
      <c r="A3293" s="145"/>
      <c r="E3293" s="102"/>
      <c r="F3293" s="102"/>
      <c r="G3293" s="102"/>
      <c r="I3293" s="93"/>
      <c r="J3293" s="93"/>
    </row>
    <row r="3294" spans="1:10" s="65" customFormat="1" ht="14" x14ac:dyDescent="0.35">
      <c r="A3294" s="145"/>
      <c r="E3294" s="102"/>
      <c r="F3294" s="102"/>
      <c r="G3294" s="102"/>
      <c r="I3294" s="93"/>
      <c r="J3294" s="93"/>
    </row>
    <row r="3295" spans="1:10" s="65" customFormat="1" ht="14" x14ac:dyDescent="0.35">
      <c r="A3295" s="145"/>
      <c r="E3295" s="102"/>
      <c r="F3295" s="102"/>
      <c r="G3295" s="102"/>
      <c r="I3295" s="93"/>
      <c r="J3295" s="93"/>
    </row>
    <row r="3296" spans="1:10" s="65" customFormat="1" ht="14" x14ac:dyDescent="0.35">
      <c r="A3296" s="145"/>
      <c r="E3296" s="102"/>
      <c r="F3296" s="102"/>
      <c r="G3296" s="102"/>
      <c r="I3296" s="93"/>
      <c r="J3296" s="93"/>
    </row>
    <row r="3297" spans="1:10" s="65" customFormat="1" ht="14" x14ac:dyDescent="0.35">
      <c r="A3297" s="145"/>
      <c r="E3297" s="102"/>
      <c r="F3297" s="102"/>
      <c r="G3297" s="102"/>
      <c r="I3297" s="93"/>
      <c r="J3297" s="93"/>
    </row>
    <row r="3298" spans="1:10" s="65" customFormat="1" ht="14" x14ac:dyDescent="0.35">
      <c r="A3298" s="145"/>
      <c r="E3298" s="102"/>
      <c r="F3298" s="102"/>
      <c r="G3298" s="102"/>
      <c r="I3298" s="93"/>
      <c r="J3298" s="93"/>
    </row>
    <row r="3299" spans="1:10" s="65" customFormat="1" ht="14" x14ac:dyDescent="0.35">
      <c r="A3299" s="145"/>
      <c r="E3299" s="102"/>
      <c r="F3299" s="102"/>
      <c r="G3299" s="102"/>
      <c r="I3299" s="93"/>
      <c r="J3299" s="93"/>
    </row>
    <row r="3300" spans="1:10" s="65" customFormat="1" ht="14" x14ac:dyDescent="0.35">
      <c r="A3300" s="145"/>
      <c r="E3300" s="102"/>
      <c r="F3300" s="102"/>
      <c r="G3300" s="102"/>
      <c r="I3300" s="93"/>
      <c r="J3300" s="93"/>
    </row>
    <row r="3301" spans="1:10" s="65" customFormat="1" ht="14" x14ac:dyDescent="0.35">
      <c r="A3301" s="145"/>
      <c r="E3301" s="102"/>
      <c r="F3301" s="102"/>
      <c r="G3301" s="102"/>
      <c r="I3301" s="93"/>
      <c r="J3301" s="93"/>
    </row>
    <row r="3302" spans="1:10" s="65" customFormat="1" ht="14" x14ac:dyDescent="0.35">
      <c r="A3302" s="145"/>
      <c r="E3302" s="102"/>
      <c r="F3302" s="102"/>
      <c r="G3302" s="102"/>
      <c r="I3302" s="93"/>
      <c r="J3302" s="93"/>
    </row>
    <row r="3303" spans="1:10" s="65" customFormat="1" ht="14" x14ac:dyDescent="0.35">
      <c r="A3303" s="145"/>
      <c r="E3303" s="102"/>
      <c r="F3303" s="102"/>
      <c r="G3303" s="102"/>
      <c r="I3303" s="93"/>
      <c r="J3303" s="93"/>
    </row>
    <row r="3304" spans="1:10" s="65" customFormat="1" ht="14" x14ac:dyDescent="0.35">
      <c r="A3304" s="145"/>
      <c r="E3304" s="102"/>
      <c r="F3304" s="102"/>
      <c r="G3304" s="102"/>
      <c r="I3304" s="93"/>
      <c r="J3304" s="93"/>
    </row>
    <row r="3305" spans="1:10" s="65" customFormat="1" ht="14" x14ac:dyDescent="0.35">
      <c r="A3305" s="145"/>
      <c r="E3305" s="102"/>
      <c r="F3305" s="102"/>
      <c r="G3305" s="102"/>
      <c r="I3305" s="93"/>
      <c r="J3305" s="93"/>
    </row>
    <row r="3306" spans="1:10" s="65" customFormat="1" ht="14" x14ac:dyDescent="0.35">
      <c r="A3306" s="145"/>
      <c r="E3306" s="102"/>
      <c r="F3306" s="102"/>
      <c r="G3306" s="102"/>
      <c r="I3306" s="93"/>
      <c r="J3306" s="93"/>
    </row>
    <row r="3307" spans="1:10" s="65" customFormat="1" ht="14" x14ac:dyDescent="0.35">
      <c r="A3307" s="145"/>
      <c r="E3307" s="102"/>
      <c r="F3307" s="102"/>
      <c r="G3307" s="102"/>
      <c r="I3307" s="93"/>
      <c r="J3307" s="93"/>
    </row>
    <row r="3308" spans="1:10" s="65" customFormat="1" ht="14" x14ac:dyDescent="0.35">
      <c r="A3308" s="145"/>
      <c r="E3308" s="102"/>
      <c r="F3308" s="102"/>
      <c r="G3308" s="102"/>
      <c r="I3308" s="93"/>
      <c r="J3308" s="93"/>
    </row>
    <row r="3309" spans="1:10" s="65" customFormat="1" ht="14" x14ac:dyDescent="0.35">
      <c r="A3309" s="145"/>
      <c r="E3309" s="102"/>
      <c r="F3309" s="102"/>
      <c r="G3309" s="102"/>
      <c r="I3309" s="93"/>
      <c r="J3309" s="93"/>
    </row>
    <row r="3310" spans="1:10" s="65" customFormat="1" ht="14" x14ac:dyDescent="0.35">
      <c r="A3310" s="145"/>
      <c r="E3310" s="102"/>
      <c r="F3310" s="102"/>
      <c r="G3310" s="102"/>
      <c r="I3310" s="93"/>
      <c r="J3310" s="93"/>
    </row>
    <row r="3311" spans="1:10" s="65" customFormat="1" ht="14" x14ac:dyDescent="0.35">
      <c r="A3311" s="145"/>
      <c r="E3311" s="102"/>
      <c r="F3311" s="102"/>
      <c r="G3311" s="102"/>
      <c r="I3311" s="93"/>
      <c r="J3311" s="93"/>
    </row>
    <row r="3312" spans="1:10" s="65" customFormat="1" ht="14" x14ac:dyDescent="0.35">
      <c r="A3312" s="145"/>
      <c r="E3312" s="102"/>
      <c r="F3312" s="102"/>
      <c r="G3312" s="102"/>
      <c r="I3312" s="93"/>
      <c r="J3312" s="93"/>
    </row>
    <row r="3313" spans="1:10" s="65" customFormat="1" ht="14" x14ac:dyDescent="0.35">
      <c r="A3313" s="145"/>
      <c r="E3313" s="102"/>
      <c r="F3313" s="102"/>
      <c r="G3313" s="102"/>
      <c r="I3313" s="93"/>
      <c r="J3313" s="93"/>
    </row>
    <row r="3314" spans="1:10" s="65" customFormat="1" ht="14" x14ac:dyDescent="0.35">
      <c r="A3314" s="145"/>
      <c r="E3314" s="102"/>
      <c r="F3314" s="102"/>
      <c r="G3314" s="102"/>
      <c r="I3314" s="93"/>
      <c r="J3314" s="93"/>
    </row>
    <row r="3315" spans="1:10" s="65" customFormat="1" ht="14" x14ac:dyDescent="0.35">
      <c r="A3315" s="145"/>
      <c r="E3315" s="102"/>
      <c r="F3315" s="102"/>
      <c r="G3315" s="102"/>
      <c r="I3315" s="93"/>
      <c r="J3315" s="93"/>
    </row>
    <row r="3316" spans="1:10" s="65" customFormat="1" ht="14" x14ac:dyDescent="0.35">
      <c r="A3316" s="145"/>
      <c r="E3316" s="102"/>
      <c r="F3316" s="102"/>
      <c r="G3316" s="102"/>
      <c r="I3316" s="93"/>
      <c r="J3316" s="93"/>
    </row>
    <row r="3317" spans="1:10" s="65" customFormat="1" ht="14" x14ac:dyDescent="0.35">
      <c r="A3317" s="145"/>
      <c r="E3317" s="102"/>
      <c r="F3317" s="102"/>
      <c r="G3317" s="102"/>
      <c r="I3317" s="93"/>
      <c r="J3317" s="93"/>
    </row>
    <row r="3318" spans="1:10" s="65" customFormat="1" ht="14" x14ac:dyDescent="0.35">
      <c r="A3318" s="145"/>
      <c r="E3318" s="102"/>
      <c r="F3318" s="102"/>
      <c r="G3318" s="102"/>
      <c r="I3318" s="93"/>
      <c r="J3318" s="93"/>
    </row>
    <row r="3319" spans="1:10" s="65" customFormat="1" ht="14" x14ac:dyDescent="0.35">
      <c r="A3319" s="145"/>
      <c r="E3319" s="102"/>
      <c r="F3319" s="102"/>
      <c r="G3319" s="102"/>
      <c r="I3319" s="93"/>
      <c r="J3319" s="93"/>
    </row>
    <row r="3320" spans="1:10" s="65" customFormat="1" ht="14" x14ac:dyDescent="0.35">
      <c r="A3320" s="145"/>
      <c r="E3320" s="102"/>
      <c r="F3320" s="102"/>
      <c r="G3320" s="102"/>
      <c r="I3320" s="93"/>
      <c r="J3320" s="93"/>
    </row>
    <row r="3321" spans="1:10" s="65" customFormat="1" ht="14" x14ac:dyDescent="0.35">
      <c r="A3321" s="145"/>
      <c r="E3321" s="102"/>
      <c r="F3321" s="102"/>
      <c r="G3321" s="102"/>
      <c r="I3321" s="93"/>
      <c r="J3321" s="93"/>
    </row>
    <row r="3322" spans="1:10" s="65" customFormat="1" ht="14" x14ac:dyDescent="0.35">
      <c r="A3322" s="145"/>
      <c r="E3322" s="102"/>
      <c r="F3322" s="102"/>
      <c r="G3322" s="102"/>
      <c r="I3322" s="93"/>
      <c r="J3322" s="93"/>
    </row>
    <row r="3323" spans="1:10" s="65" customFormat="1" ht="14" x14ac:dyDescent="0.35">
      <c r="A3323" s="145"/>
      <c r="E3323" s="102"/>
      <c r="F3323" s="102"/>
      <c r="G3323" s="102"/>
      <c r="I3323" s="93"/>
      <c r="J3323" s="93"/>
    </row>
    <row r="3324" spans="1:10" s="65" customFormat="1" ht="14" x14ac:dyDescent="0.35">
      <c r="A3324" s="145"/>
      <c r="E3324" s="102"/>
      <c r="F3324" s="102"/>
      <c r="G3324" s="102"/>
      <c r="I3324" s="93"/>
      <c r="J3324" s="93"/>
    </row>
    <row r="3325" spans="1:10" s="65" customFormat="1" ht="14" x14ac:dyDescent="0.35">
      <c r="A3325" s="145"/>
      <c r="E3325" s="102"/>
      <c r="F3325" s="102"/>
      <c r="G3325" s="102"/>
      <c r="I3325" s="93"/>
      <c r="J3325" s="93"/>
    </row>
    <row r="3326" spans="1:10" s="65" customFormat="1" ht="14" x14ac:dyDescent="0.35">
      <c r="A3326" s="145"/>
      <c r="E3326" s="102"/>
      <c r="F3326" s="102"/>
      <c r="G3326" s="102"/>
      <c r="I3326" s="93"/>
      <c r="J3326" s="93"/>
    </row>
    <row r="3327" spans="1:10" s="65" customFormat="1" ht="14" x14ac:dyDescent="0.35">
      <c r="A3327" s="145"/>
      <c r="E3327" s="102"/>
      <c r="F3327" s="102"/>
      <c r="G3327" s="102"/>
      <c r="I3327" s="93"/>
      <c r="J3327" s="93"/>
    </row>
    <row r="3328" spans="1:10" s="65" customFormat="1" ht="14" x14ac:dyDescent="0.35">
      <c r="A3328" s="145"/>
      <c r="E3328" s="102"/>
      <c r="F3328" s="102"/>
      <c r="G3328" s="102"/>
      <c r="I3328" s="93"/>
      <c r="J3328" s="93"/>
    </row>
    <row r="3329" spans="1:10" s="65" customFormat="1" ht="14" x14ac:dyDescent="0.35">
      <c r="A3329" s="145"/>
      <c r="E3329" s="102"/>
      <c r="F3329" s="102"/>
      <c r="G3329" s="102"/>
      <c r="I3329" s="93"/>
      <c r="J3329" s="93"/>
    </row>
    <row r="3330" spans="1:10" s="65" customFormat="1" ht="14" x14ac:dyDescent="0.35">
      <c r="A3330" s="145"/>
      <c r="E3330" s="102"/>
      <c r="F3330" s="102"/>
      <c r="G3330" s="102"/>
      <c r="I3330" s="93"/>
      <c r="J3330" s="93"/>
    </row>
    <row r="3331" spans="1:10" s="65" customFormat="1" ht="14" x14ac:dyDescent="0.35">
      <c r="A3331" s="145"/>
      <c r="E3331" s="102"/>
      <c r="F3331" s="102"/>
      <c r="G3331" s="102"/>
      <c r="I3331" s="93"/>
      <c r="J3331" s="93"/>
    </row>
    <row r="3332" spans="1:10" s="65" customFormat="1" ht="14" x14ac:dyDescent="0.35">
      <c r="A3332" s="145"/>
      <c r="E3332" s="102"/>
      <c r="F3332" s="102"/>
      <c r="G3332" s="102"/>
      <c r="I3332" s="93"/>
      <c r="J3332" s="93"/>
    </row>
    <row r="3333" spans="1:10" s="65" customFormat="1" ht="14" x14ac:dyDescent="0.35">
      <c r="A3333" s="145"/>
      <c r="E3333" s="102"/>
      <c r="F3333" s="102"/>
      <c r="G3333" s="102"/>
      <c r="I3333" s="93"/>
      <c r="J3333" s="93"/>
    </row>
    <row r="3334" spans="1:10" s="65" customFormat="1" ht="14" x14ac:dyDescent="0.35">
      <c r="A3334" s="145"/>
      <c r="E3334" s="102"/>
      <c r="F3334" s="102"/>
      <c r="G3334" s="102"/>
      <c r="I3334" s="93"/>
      <c r="J3334" s="93"/>
    </row>
    <row r="3335" spans="1:10" s="65" customFormat="1" ht="14" x14ac:dyDescent="0.35">
      <c r="A3335" s="145"/>
      <c r="E3335" s="102"/>
      <c r="F3335" s="102"/>
      <c r="G3335" s="102"/>
      <c r="I3335" s="93"/>
      <c r="J3335" s="93"/>
    </row>
    <row r="3336" spans="1:10" s="65" customFormat="1" ht="14" x14ac:dyDescent="0.35">
      <c r="A3336" s="145"/>
      <c r="E3336" s="102"/>
      <c r="F3336" s="102"/>
      <c r="G3336" s="102"/>
      <c r="I3336" s="93"/>
      <c r="J3336" s="93"/>
    </row>
    <row r="3337" spans="1:10" s="65" customFormat="1" ht="14" x14ac:dyDescent="0.35">
      <c r="A3337" s="145"/>
      <c r="E3337" s="102"/>
      <c r="F3337" s="102"/>
      <c r="G3337" s="102"/>
      <c r="I3337" s="93"/>
      <c r="J3337" s="93"/>
    </row>
    <row r="3338" spans="1:10" s="65" customFormat="1" ht="14" x14ac:dyDescent="0.35">
      <c r="A3338" s="145"/>
      <c r="E3338" s="102"/>
      <c r="F3338" s="102"/>
      <c r="G3338" s="102"/>
      <c r="I3338" s="93"/>
      <c r="J3338" s="93"/>
    </row>
    <row r="3339" spans="1:10" s="65" customFormat="1" ht="14" x14ac:dyDescent="0.35">
      <c r="A3339" s="145"/>
      <c r="E3339" s="102"/>
      <c r="F3339" s="102"/>
      <c r="G3339" s="102"/>
      <c r="I3339" s="93"/>
      <c r="J3339" s="93"/>
    </row>
    <row r="3340" spans="1:10" s="65" customFormat="1" ht="14" x14ac:dyDescent="0.35">
      <c r="A3340" s="145"/>
      <c r="E3340" s="102"/>
      <c r="F3340" s="102"/>
      <c r="G3340" s="102"/>
      <c r="I3340" s="93"/>
      <c r="J3340" s="93"/>
    </row>
    <row r="3341" spans="1:10" s="65" customFormat="1" ht="14" x14ac:dyDescent="0.35">
      <c r="A3341" s="145"/>
      <c r="E3341" s="102"/>
      <c r="F3341" s="102"/>
      <c r="G3341" s="102"/>
      <c r="I3341" s="93"/>
      <c r="J3341" s="93"/>
    </row>
    <row r="3342" spans="1:10" s="65" customFormat="1" ht="14" x14ac:dyDescent="0.35">
      <c r="A3342" s="145"/>
      <c r="E3342" s="102"/>
      <c r="F3342" s="102"/>
      <c r="G3342" s="102"/>
      <c r="I3342" s="93"/>
      <c r="J3342" s="93"/>
    </row>
    <row r="3343" spans="1:10" s="65" customFormat="1" ht="14" x14ac:dyDescent="0.35">
      <c r="A3343" s="145"/>
      <c r="E3343" s="102"/>
      <c r="F3343" s="102"/>
      <c r="G3343" s="102"/>
      <c r="I3343" s="93"/>
      <c r="J3343" s="93"/>
    </row>
    <row r="3344" spans="1:10" s="65" customFormat="1" ht="14" x14ac:dyDescent="0.35">
      <c r="A3344" s="145"/>
      <c r="E3344" s="102"/>
      <c r="F3344" s="102"/>
      <c r="G3344" s="102"/>
      <c r="I3344" s="93"/>
      <c r="J3344" s="93"/>
    </row>
    <row r="3345" spans="1:10" s="65" customFormat="1" ht="14" x14ac:dyDescent="0.35">
      <c r="A3345" s="145"/>
      <c r="E3345" s="102"/>
      <c r="F3345" s="102"/>
      <c r="G3345" s="102"/>
      <c r="I3345" s="93"/>
      <c r="J3345" s="93"/>
    </row>
    <row r="3346" spans="1:10" s="65" customFormat="1" ht="14" x14ac:dyDescent="0.35">
      <c r="A3346" s="145"/>
      <c r="E3346" s="102"/>
      <c r="F3346" s="102"/>
      <c r="G3346" s="102"/>
      <c r="I3346" s="93"/>
      <c r="J3346" s="93"/>
    </row>
    <row r="3347" spans="1:10" s="65" customFormat="1" ht="14" x14ac:dyDescent="0.35">
      <c r="A3347" s="145"/>
      <c r="E3347" s="102"/>
      <c r="F3347" s="102"/>
      <c r="G3347" s="102"/>
      <c r="I3347" s="93"/>
      <c r="J3347" s="93"/>
    </row>
    <row r="3348" spans="1:10" s="65" customFormat="1" ht="14" x14ac:dyDescent="0.35">
      <c r="A3348" s="145"/>
      <c r="E3348" s="102"/>
      <c r="F3348" s="102"/>
      <c r="G3348" s="102"/>
      <c r="I3348" s="93"/>
      <c r="J3348" s="93"/>
    </row>
    <row r="3349" spans="1:10" s="65" customFormat="1" ht="14" x14ac:dyDescent="0.35">
      <c r="A3349" s="145"/>
      <c r="E3349" s="102"/>
      <c r="F3349" s="102"/>
      <c r="G3349" s="102"/>
      <c r="I3349" s="93"/>
      <c r="J3349" s="93"/>
    </row>
    <row r="3350" spans="1:10" s="65" customFormat="1" ht="14" x14ac:dyDescent="0.35">
      <c r="A3350" s="145"/>
      <c r="E3350" s="102"/>
      <c r="F3350" s="102"/>
      <c r="G3350" s="102"/>
      <c r="I3350" s="93"/>
      <c r="J3350" s="93"/>
    </row>
    <row r="3351" spans="1:10" s="65" customFormat="1" ht="14" x14ac:dyDescent="0.35">
      <c r="A3351" s="145"/>
      <c r="E3351" s="102"/>
      <c r="F3351" s="102"/>
      <c r="G3351" s="102"/>
      <c r="I3351" s="93"/>
      <c r="J3351" s="93"/>
    </row>
    <row r="3352" spans="1:10" s="65" customFormat="1" ht="14" x14ac:dyDescent="0.35">
      <c r="A3352" s="145"/>
      <c r="E3352" s="102"/>
      <c r="F3352" s="102"/>
      <c r="G3352" s="102"/>
      <c r="I3352" s="93"/>
      <c r="J3352" s="93"/>
    </row>
    <row r="3353" spans="1:10" s="65" customFormat="1" ht="14" x14ac:dyDescent="0.35">
      <c r="A3353" s="145"/>
      <c r="E3353" s="102"/>
      <c r="F3353" s="102"/>
      <c r="G3353" s="102"/>
      <c r="I3353" s="93"/>
      <c r="J3353" s="93"/>
    </row>
    <row r="3354" spans="1:10" s="65" customFormat="1" ht="14" x14ac:dyDescent="0.35">
      <c r="A3354" s="145"/>
      <c r="E3354" s="102"/>
      <c r="F3354" s="102"/>
      <c r="G3354" s="102"/>
      <c r="I3354" s="93"/>
      <c r="J3354" s="93"/>
    </row>
    <row r="3355" spans="1:10" s="65" customFormat="1" ht="14" x14ac:dyDescent="0.35">
      <c r="A3355" s="145"/>
      <c r="E3355" s="102"/>
      <c r="F3355" s="102"/>
      <c r="G3355" s="102"/>
      <c r="I3355" s="93"/>
      <c r="J3355" s="93"/>
    </row>
    <row r="3356" spans="1:10" s="65" customFormat="1" ht="14" x14ac:dyDescent="0.35">
      <c r="A3356" s="145"/>
      <c r="E3356" s="102"/>
      <c r="F3356" s="102"/>
      <c r="G3356" s="102"/>
      <c r="I3356" s="93"/>
      <c r="J3356" s="93"/>
    </row>
    <row r="3357" spans="1:10" s="65" customFormat="1" ht="14" x14ac:dyDescent="0.35">
      <c r="A3357" s="145"/>
      <c r="E3357" s="102"/>
      <c r="F3357" s="102"/>
      <c r="G3357" s="102"/>
      <c r="I3357" s="93"/>
      <c r="J3357" s="93"/>
    </row>
    <row r="3358" spans="1:10" s="65" customFormat="1" ht="14" x14ac:dyDescent="0.35">
      <c r="A3358" s="145"/>
      <c r="E3358" s="102"/>
      <c r="F3358" s="102"/>
      <c r="G3358" s="102"/>
      <c r="I3358" s="93"/>
      <c r="J3358" s="93"/>
    </row>
    <row r="3359" spans="1:10" s="65" customFormat="1" ht="14" x14ac:dyDescent="0.35">
      <c r="A3359" s="145"/>
      <c r="E3359" s="102"/>
      <c r="F3359" s="102"/>
      <c r="G3359" s="102"/>
      <c r="I3359" s="93"/>
      <c r="J3359" s="93"/>
    </row>
    <row r="3360" spans="1:10" s="65" customFormat="1" ht="14" x14ac:dyDescent="0.35">
      <c r="A3360" s="145"/>
      <c r="E3360" s="102"/>
      <c r="F3360" s="102"/>
      <c r="G3360" s="102"/>
      <c r="I3360" s="93"/>
      <c r="J3360" s="93"/>
    </row>
    <row r="3361" spans="1:10" s="65" customFormat="1" ht="14" x14ac:dyDescent="0.35">
      <c r="A3361" s="145"/>
      <c r="E3361" s="102"/>
      <c r="F3361" s="102"/>
      <c r="G3361" s="102"/>
      <c r="I3361" s="93"/>
      <c r="J3361" s="93"/>
    </row>
    <row r="3362" spans="1:10" s="65" customFormat="1" ht="14" x14ac:dyDescent="0.35">
      <c r="A3362" s="145"/>
      <c r="E3362" s="102"/>
      <c r="F3362" s="102"/>
      <c r="G3362" s="102"/>
      <c r="I3362" s="93"/>
      <c r="J3362" s="93"/>
    </row>
    <row r="3363" spans="1:10" s="65" customFormat="1" ht="14" x14ac:dyDescent="0.35">
      <c r="A3363" s="145"/>
      <c r="E3363" s="102"/>
      <c r="F3363" s="102"/>
      <c r="G3363" s="102"/>
      <c r="I3363" s="93"/>
      <c r="J3363" s="93"/>
    </row>
    <row r="3364" spans="1:10" s="65" customFormat="1" ht="14" x14ac:dyDescent="0.35">
      <c r="A3364" s="145"/>
      <c r="E3364" s="102"/>
      <c r="F3364" s="102"/>
      <c r="G3364" s="102"/>
      <c r="I3364" s="93"/>
      <c r="J3364" s="93"/>
    </row>
    <row r="3365" spans="1:10" s="65" customFormat="1" ht="14" x14ac:dyDescent="0.35">
      <c r="A3365" s="145"/>
      <c r="E3365" s="102"/>
      <c r="F3365" s="102"/>
      <c r="G3365" s="102"/>
      <c r="I3365" s="93"/>
      <c r="J3365" s="93"/>
    </row>
    <row r="3366" spans="1:10" s="65" customFormat="1" ht="14" x14ac:dyDescent="0.35">
      <c r="A3366" s="145"/>
      <c r="E3366" s="102"/>
      <c r="F3366" s="102"/>
      <c r="G3366" s="102"/>
      <c r="I3366" s="93"/>
      <c r="J3366" s="93"/>
    </row>
    <row r="3367" spans="1:10" s="65" customFormat="1" ht="14" x14ac:dyDescent="0.35">
      <c r="A3367" s="145"/>
      <c r="E3367" s="102"/>
      <c r="F3367" s="102"/>
      <c r="G3367" s="102"/>
      <c r="I3367" s="93"/>
      <c r="J3367" s="93"/>
    </row>
    <row r="3368" spans="1:10" s="65" customFormat="1" ht="14" x14ac:dyDescent="0.35">
      <c r="A3368" s="145"/>
      <c r="E3368" s="102"/>
      <c r="F3368" s="102"/>
      <c r="G3368" s="102"/>
      <c r="I3368" s="93"/>
      <c r="J3368" s="93"/>
    </row>
    <row r="3369" spans="1:10" s="65" customFormat="1" ht="14" x14ac:dyDescent="0.35">
      <c r="A3369" s="145"/>
      <c r="E3369" s="102"/>
      <c r="F3369" s="102"/>
      <c r="G3369" s="102"/>
      <c r="I3369" s="93"/>
      <c r="J3369" s="93"/>
    </row>
    <row r="3370" spans="1:10" s="65" customFormat="1" ht="14" x14ac:dyDescent="0.35">
      <c r="A3370" s="145"/>
      <c r="E3370" s="102"/>
      <c r="F3370" s="102"/>
      <c r="G3370" s="102"/>
      <c r="I3370" s="93"/>
      <c r="J3370" s="93"/>
    </row>
    <row r="3371" spans="1:10" s="65" customFormat="1" ht="14" x14ac:dyDescent="0.35">
      <c r="A3371" s="145"/>
      <c r="E3371" s="102"/>
      <c r="F3371" s="102"/>
      <c r="G3371" s="102"/>
      <c r="I3371" s="93"/>
      <c r="J3371" s="93"/>
    </row>
    <row r="3372" spans="1:10" s="65" customFormat="1" ht="14" x14ac:dyDescent="0.35">
      <c r="A3372" s="145"/>
      <c r="E3372" s="102"/>
      <c r="F3372" s="102"/>
      <c r="G3372" s="102"/>
      <c r="I3372" s="93"/>
      <c r="J3372" s="93"/>
    </row>
    <row r="3373" spans="1:10" s="65" customFormat="1" ht="14" x14ac:dyDescent="0.35">
      <c r="A3373" s="145"/>
      <c r="E3373" s="102"/>
      <c r="F3373" s="102"/>
      <c r="G3373" s="102"/>
      <c r="I3373" s="93"/>
      <c r="J3373" s="93"/>
    </row>
    <row r="3374" spans="1:10" s="65" customFormat="1" ht="14" x14ac:dyDescent="0.35">
      <c r="A3374" s="145"/>
      <c r="E3374" s="102"/>
      <c r="F3374" s="102"/>
      <c r="G3374" s="102"/>
      <c r="I3374" s="93"/>
      <c r="J3374" s="93"/>
    </row>
    <row r="3375" spans="1:10" s="65" customFormat="1" ht="14" x14ac:dyDescent="0.35">
      <c r="A3375" s="145"/>
      <c r="E3375" s="102"/>
      <c r="F3375" s="102"/>
      <c r="G3375" s="102"/>
      <c r="I3375" s="93"/>
      <c r="J3375" s="93"/>
    </row>
    <row r="3376" spans="1:10" s="65" customFormat="1" ht="14" x14ac:dyDescent="0.35">
      <c r="A3376" s="145"/>
      <c r="E3376" s="102"/>
      <c r="F3376" s="102"/>
      <c r="G3376" s="102"/>
      <c r="I3376" s="93"/>
      <c r="J3376" s="93"/>
    </row>
    <row r="3377" spans="1:10" s="65" customFormat="1" ht="14" x14ac:dyDescent="0.35">
      <c r="A3377" s="145"/>
      <c r="E3377" s="102"/>
      <c r="F3377" s="102"/>
      <c r="G3377" s="102"/>
      <c r="I3377" s="93"/>
      <c r="J3377" s="93"/>
    </row>
    <row r="3378" spans="1:10" s="65" customFormat="1" ht="14" x14ac:dyDescent="0.35">
      <c r="A3378" s="145"/>
      <c r="E3378" s="102"/>
      <c r="F3378" s="102"/>
      <c r="G3378" s="102"/>
      <c r="I3378" s="93"/>
      <c r="J3378" s="93"/>
    </row>
    <row r="3379" spans="1:10" s="65" customFormat="1" ht="14" x14ac:dyDescent="0.35">
      <c r="A3379" s="145"/>
      <c r="E3379" s="102"/>
      <c r="F3379" s="102"/>
      <c r="G3379" s="102"/>
      <c r="I3379" s="93"/>
      <c r="J3379" s="93"/>
    </row>
    <row r="3380" spans="1:10" s="65" customFormat="1" ht="14" x14ac:dyDescent="0.35">
      <c r="A3380" s="145"/>
      <c r="E3380" s="102"/>
      <c r="F3380" s="102"/>
      <c r="G3380" s="102"/>
      <c r="I3380" s="93"/>
      <c r="J3380" s="93"/>
    </row>
    <row r="3381" spans="1:10" s="65" customFormat="1" ht="14" x14ac:dyDescent="0.35">
      <c r="A3381" s="145"/>
      <c r="E3381" s="102"/>
      <c r="F3381" s="102"/>
      <c r="G3381" s="102"/>
      <c r="I3381" s="93"/>
      <c r="J3381" s="93"/>
    </row>
    <row r="3382" spans="1:10" s="65" customFormat="1" ht="14" x14ac:dyDescent="0.35">
      <c r="A3382" s="145"/>
      <c r="E3382" s="102"/>
      <c r="F3382" s="102"/>
      <c r="G3382" s="102"/>
      <c r="I3382" s="93"/>
      <c r="J3382" s="93"/>
    </row>
    <row r="3383" spans="1:10" s="65" customFormat="1" ht="14" x14ac:dyDescent="0.35">
      <c r="A3383" s="145"/>
      <c r="E3383" s="102"/>
      <c r="F3383" s="102"/>
      <c r="G3383" s="102"/>
      <c r="I3383" s="93"/>
      <c r="J3383" s="93"/>
    </row>
    <row r="3384" spans="1:10" s="65" customFormat="1" ht="14" x14ac:dyDescent="0.35">
      <c r="A3384" s="145"/>
      <c r="E3384" s="102"/>
      <c r="F3384" s="102"/>
      <c r="G3384" s="102"/>
      <c r="I3384" s="93"/>
      <c r="J3384" s="93"/>
    </row>
    <row r="3385" spans="1:10" s="65" customFormat="1" ht="14" x14ac:dyDescent="0.35">
      <c r="A3385" s="145"/>
      <c r="E3385" s="102"/>
      <c r="F3385" s="102"/>
      <c r="G3385" s="102"/>
      <c r="I3385" s="93"/>
      <c r="J3385" s="93"/>
    </row>
    <row r="3386" spans="1:10" s="65" customFormat="1" ht="14" x14ac:dyDescent="0.35">
      <c r="A3386" s="145"/>
      <c r="E3386" s="102"/>
      <c r="F3386" s="102"/>
      <c r="G3386" s="102"/>
      <c r="I3386" s="93"/>
      <c r="J3386" s="93"/>
    </row>
    <row r="3387" spans="1:10" s="65" customFormat="1" ht="14" x14ac:dyDescent="0.35">
      <c r="A3387" s="145"/>
      <c r="E3387" s="102"/>
      <c r="F3387" s="102"/>
      <c r="G3387" s="102"/>
      <c r="I3387" s="93"/>
      <c r="J3387" s="93"/>
    </row>
    <row r="3388" spans="1:10" s="65" customFormat="1" ht="14" x14ac:dyDescent="0.35">
      <c r="A3388" s="145"/>
      <c r="E3388" s="102"/>
      <c r="F3388" s="102"/>
      <c r="G3388" s="102"/>
      <c r="I3388" s="93"/>
      <c r="J3388" s="93"/>
    </row>
    <row r="3389" spans="1:10" s="65" customFormat="1" ht="14" x14ac:dyDescent="0.35">
      <c r="A3389" s="145"/>
      <c r="E3389" s="102"/>
      <c r="F3389" s="102"/>
      <c r="G3389" s="102"/>
      <c r="I3389" s="93"/>
      <c r="J3389" s="93"/>
    </row>
    <row r="3390" spans="1:10" s="65" customFormat="1" ht="14" x14ac:dyDescent="0.35">
      <c r="A3390" s="145"/>
      <c r="E3390" s="102"/>
      <c r="F3390" s="102"/>
      <c r="G3390" s="102"/>
      <c r="I3390" s="93"/>
      <c r="J3390" s="93"/>
    </row>
    <row r="3391" spans="1:10" s="65" customFormat="1" ht="14" x14ac:dyDescent="0.35">
      <c r="A3391" s="145"/>
      <c r="E3391" s="102"/>
      <c r="F3391" s="102"/>
      <c r="G3391" s="102"/>
      <c r="I3391" s="93"/>
      <c r="J3391" s="93"/>
    </row>
    <row r="3392" spans="1:10" s="65" customFormat="1" ht="14" x14ac:dyDescent="0.35">
      <c r="A3392" s="145"/>
      <c r="E3392" s="102"/>
      <c r="F3392" s="102"/>
      <c r="G3392" s="102"/>
      <c r="I3392" s="93"/>
      <c r="J3392" s="93"/>
    </row>
    <row r="3393" spans="1:10" s="65" customFormat="1" ht="14" x14ac:dyDescent="0.35">
      <c r="A3393" s="145"/>
      <c r="E3393" s="102"/>
      <c r="F3393" s="102"/>
      <c r="G3393" s="102"/>
      <c r="I3393" s="93"/>
      <c r="J3393" s="93"/>
    </row>
    <row r="3394" spans="1:10" s="65" customFormat="1" ht="14" x14ac:dyDescent="0.35">
      <c r="A3394" s="145"/>
      <c r="E3394" s="102"/>
      <c r="F3394" s="102"/>
      <c r="G3394" s="102"/>
      <c r="I3394" s="93"/>
      <c r="J3394" s="93"/>
    </row>
    <row r="3395" spans="1:10" s="65" customFormat="1" ht="14" x14ac:dyDescent="0.35">
      <c r="A3395" s="145"/>
      <c r="E3395" s="102"/>
      <c r="F3395" s="102"/>
      <c r="G3395" s="102"/>
      <c r="I3395" s="93"/>
      <c r="J3395" s="93"/>
    </row>
    <row r="3396" spans="1:10" s="65" customFormat="1" ht="14" x14ac:dyDescent="0.35">
      <c r="A3396" s="145"/>
      <c r="E3396" s="102"/>
      <c r="F3396" s="102"/>
      <c r="G3396" s="102"/>
      <c r="I3396" s="93"/>
      <c r="J3396" s="93"/>
    </row>
    <row r="3397" spans="1:10" s="65" customFormat="1" ht="14" x14ac:dyDescent="0.35">
      <c r="A3397" s="145"/>
      <c r="E3397" s="102"/>
      <c r="F3397" s="102"/>
      <c r="G3397" s="102"/>
      <c r="I3397" s="93"/>
      <c r="J3397" s="93"/>
    </row>
    <row r="3398" spans="1:10" s="65" customFormat="1" ht="14" x14ac:dyDescent="0.35">
      <c r="A3398" s="145"/>
      <c r="E3398" s="102"/>
      <c r="F3398" s="102"/>
      <c r="G3398" s="102"/>
      <c r="I3398" s="93"/>
      <c r="J3398" s="93"/>
    </row>
    <row r="3399" spans="1:10" s="65" customFormat="1" ht="14" x14ac:dyDescent="0.35">
      <c r="A3399" s="145"/>
      <c r="E3399" s="102"/>
      <c r="F3399" s="102"/>
      <c r="G3399" s="102"/>
      <c r="I3399" s="93"/>
      <c r="J3399" s="93"/>
    </row>
    <row r="3400" spans="1:10" s="65" customFormat="1" ht="14" x14ac:dyDescent="0.35">
      <c r="A3400" s="145"/>
      <c r="E3400" s="102"/>
      <c r="F3400" s="102"/>
      <c r="G3400" s="102"/>
      <c r="I3400" s="93"/>
      <c r="J3400" s="93"/>
    </row>
    <row r="3401" spans="1:10" s="65" customFormat="1" ht="14" x14ac:dyDescent="0.35">
      <c r="A3401" s="145"/>
      <c r="E3401" s="102"/>
      <c r="F3401" s="102"/>
      <c r="G3401" s="102"/>
      <c r="I3401" s="93"/>
      <c r="J3401" s="93"/>
    </row>
    <row r="3402" spans="1:10" s="65" customFormat="1" ht="14" x14ac:dyDescent="0.35">
      <c r="A3402" s="145"/>
      <c r="E3402" s="102"/>
      <c r="F3402" s="102"/>
      <c r="G3402" s="102"/>
      <c r="I3402" s="93"/>
      <c r="J3402" s="93"/>
    </row>
    <row r="3403" spans="1:10" s="65" customFormat="1" ht="14" x14ac:dyDescent="0.35">
      <c r="A3403" s="145"/>
      <c r="E3403" s="102"/>
      <c r="F3403" s="102"/>
      <c r="G3403" s="102"/>
      <c r="I3403" s="93"/>
      <c r="J3403" s="93"/>
    </row>
    <row r="3404" spans="1:10" s="65" customFormat="1" ht="14" x14ac:dyDescent="0.35">
      <c r="A3404" s="145"/>
      <c r="E3404" s="102"/>
      <c r="F3404" s="102"/>
      <c r="G3404" s="102"/>
      <c r="I3404" s="93"/>
      <c r="J3404" s="93"/>
    </row>
    <row r="3405" spans="1:10" s="65" customFormat="1" ht="14" x14ac:dyDescent="0.35">
      <c r="A3405" s="145"/>
      <c r="E3405" s="102"/>
      <c r="F3405" s="102"/>
      <c r="G3405" s="102"/>
      <c r="I3405" s="93"/>
      <c r="J3405" s="93"/>
    </row>
    <row r="3406" spans="1:10" s="65" customFormat="1" ht="14" x14ac:dyDescent="0.35">
      <c r="A3406" s="145"/>
      <c r="E3406" s="102"/>
      <c r="F3406" s="102"/>
      <c r="G3406" s="102"/>
      <c r="I3406" s="93"/>
      <c r="J3406" s="93"/>
    </row>
    <row r="3407" spans="1:10" s="65" customFormat="1" ht="14" x14ac:dyDescent="0.35">
      <c r="A3407" s="145"/>
      <c r="E3407" s="102"/>
      <c r="F3407" s="102"/>
      <c r="G3407" s="102"/>
      <c r="I3407" s="93"/>
      <c r="J3407" s="93"/>
    </row>
    <row r="3408" spans="1:10" s="65" customFormat="1" ht="14" x14ac:dyDescent="0.35">
      <c r="A3408" s="145"/>
      <c r="E3408" s="102"/>
      <c r="F3408" s="102"/>
      <c r="G3408" s="102"/>
      <c r="I3408" s="93"/>
      <c r="J3408" s="93"/>
    </row>
    <row r="3409" spans="1:10" s="65" customFormat="1" ht="14" x14ac:dyDescent="0.35">
      <c r="A3409" s="145"/>
      <c r="E3409" s="102"/>
      <c r="F3409" s="102"/>
      <c r="G3409" s="102"/>
      <c r="I3409" s="93"/>
      <c r="J3409" s="93"/>
    </row>
    <row r="3410" spans="1:10" s="65" customFormat="1" ht="14" x14ac:dyDescent="0.35">
      <c r="A3410" s="145"/>
      <c r="E3410" s="102"/>
      <c r="F3410" s="102"/>
      <c r="G3410" s="102"/>
      <c r="I3410" s="93"/>
      <c r="J3410" s="93"/>
    </row>
    <row r="3411" spans="1:10" s="65" customFormat="1" ht="14" x14ac:dyDescent="0.35">
      <c r="A3411" s="145"/>
      <c r="E3411" s="102"/>
      <c r="F3411" s="102"/>
      <c r="G3411" s="102"/>
      <c r="I3411" s="93"/>
      <c r="J3411" s="93"/>
    </row>
    <row r="3412" spans="1:10" s="65" customFormat="1" ht="14" x14ac:dyDescent="0.35">
      <c r="A3412" s="145"/>
      <c r="E3412" s="102"/>
      <c r="F3412" s="102"/>
      <c r="G3412" s="102"/>
      <c r="I3412" s="93"/>
      <c r="J3412" s="93"/>
    </row>
    <row r="3413" spans="1:10" s="65" customFormat="1" ht="14" x14ac:dyDescent="0.35">
      <c r="A3413" s="145"/>
      <c r="E3413" s="102"/>
      <c r="F3413" s="102"/>
      <c r="G3413" s="102"/>
      <c r="I3413" s="93"/>
      <c r="J3413" s="93"/>
    </row>
    <row r="3414" spans="1:10" s="65" customFormat="1" ht="14" x14ac:dyDescent="0.35">
      <c r="A3414" s="145"/>
      <c r="E3414" s="102"/>
      <c r="F3414" s="102"/>
      <c r="G3414" s="102"/>
      <c r="I3414" s="93"/>
      <c r="J3414" s="93"/>
    </row>
    <row r="3415" spans="1:10" s="65" customFormat="1" ht="14" x14ac:dyDescent="0.35">
      <c r="A3415" s="145"/>
      <c r="E3415" s="102"/>
      <c r="F3415" s="102"/>
      <c r="G3415" s="102"/>
      <c r="I3415" s="93"/>
      <c r="J3415" s="93"/>
    </row>
    <row r="3416" spans="1:10" s="65" customFormat="1" ht="14" x14ac:dyDescent="0.35">
      <c r="A3416" s="145"/>
      <c r="E3416" s="102"/>
      <c r="F3416" s="102"/>
      <c r="G3416" s="102"/>
      <c r="I3416" s="93"/>
      <c r="J3416" s="93"/>
    </row>
    <row r="3417" spans="1:10" s="65" customFormat="1" ht="14" x14ac:dyDescent="0.35">
      <c r="A3417" s="145"/>
      <c r="E3417" s="102"/>
      <c r="F3417" s="102"/>
      <c r="G3417" s="102"/>
      <c r="I3417" s="93"/>
      <c r="J3417" s="93"/>
    </row>
    <row r="3418" spans="1:10" s="65" customFormat="1" ht="14" x14ac:dyDescent="0.35">
      <c r="A3418" s="145"/>
      <c r="E3418" s="102"/>
      <c r="F3418" s="102"/>
      <c r="G3418" s="102"/>
      <c r="I3418" s="93"/>
      <c r="J3418" s="93"/>
    </row>
    <row r="3419" spans="1:10" s="65" customFormat="1" ht="14" x14ac:dyDescent="0.35">
      <c r="A3419" s="145"/>
      <c r="E3419" s="102"/>
      <c r="F3419" s="102"/>
      <c r="G3419" s="102"/>
      <c r="I3419" s="93"/>
      <c r="J3419" s="93"/>
    </row>
    <row r="3420" spans="1:10" s="65" customFormat="1" ht="14" x14ac:dyDescent="0.35">
      <c r="A3420" s="145"/>
      <c r="E3420" s="102"/>
      <c r="F3420" s="102"/>
      <c r="G3420" s="102"/>
      <c r="I3420" s="93"/>
      <c r="J3420" s="93"/>
    </row>
    <row r="3421" spans="1:10" s="65" customFormat="1" ht="14" x14ac:dyDescent="0.35">
      <c r="A3421" s="145"/>
      <c r="E3421" s="102"/>
      <c r="F3421" s="102"/>
      <c r="G3421" s="102"/>
      <c r="I3421" s="93"/>
      <c r="J3421" s="93"/>
    </row>
    <row r="3422" spans="1:10" s="65" customFormat="1" ht="14" x14ac:dyDescent="0.35">
      <c r="A3422" s="145"/>
      <c r="E3422" s="102"/>
      <c r="F3422" s="102"/>
      <c r="G3422" s="102"/>
      <c r="I3422" s="93"/>
      <c r="J3422" s="93"/>
    </row>
    <row r="3423" spans="1:10" s="65" customFormat="1" ht="14" x14ac:dyDescent="0.35">
      <c r="A3423" s="145"/>
      <c r="E3423" s="102"/>
      <c r="F3423" s="102"/>
      <c r="G3423" s="102"/>
      <c r="I3423" s="93"/>
      <c r="J3423" s="93"/>
    </row>
    <row r="3424" spans="1:10" s="65" customFormat="1" ht="14" x14ac:dyDescent="0.35">
      <c r="A3424" s="145"/>
      <c r="E3424" s="102"/>
      <c r="F3424" s="102"/>
      <c r="G3424" s="102"/>
      <c r="I3424" s="93"/>
      <c r="J3424" s="93"/>
    </row>
    <row r="3425" spans="1:10" s="65" customFormat="1" ht="14" x14ac:dyDescent="0.35">
      <c r="A3425" s="145"/>
      <c r="E3425" s="102"/>
      <c r="F3425" s="102"/>
      <c r="G3425" s="102"/>
      <c r="I3425" s="93"/>
      <c r="J3425" s="93"/>
    </row>
    <row r="3426" spans="1:10" s="65" customFormat="1" ht="14" x14ac:dyDescent="0.35">
      <c r="A3426" s="145"/>
      <c r="E3426" s="102"/>
      <c r="F3426" s="102"/>
      <c r="G3426" s="102"/>
      <c r="I3426" s="93"/>
      <c r="J3426" s="93"/>
    </row>
    <row r="3427" spans="1:10" s="65" customFormat="1" ht="14" x14ac:dyDescent="0.35">
      <c r="A3427" s="145"/>
      <c r="E3427" s="102"/>
      <c r="F3427" s="102"/>
      <c r="G3427" s="102"/>
      <c r="I3427" s="93"/>
      <c r="J3427" s="93"/>
    </row>
    <row r="3428" spans="1:10" s="65" customFormat="1" ht="14" x14ac:dyDescent="0.35">
      <c r="A3428" s="145"/>
      <c r="E3428" s="102"/>
      <c r="F3428" s="102"/>
      <c r="G3428" s="102"/>
      <c r="I3428" s="93"/>
      <c r="J3428" s="93"/>
    </row>
    <row r="3429" spans="1:10" s="65" customFormat="1" ht="14" x14ac:dyDescent="0.35">
      <c r="A3429" s="145"/>
      <c r="E3429" s="102"/>
      <c r="F3429" s="102"/>
      <c r="G3429" s="102"/>
      <c r="I3429" s="93"/>
      <c r="J3429" s="93"/>
    </row>
    <row r="3430" spans="1:10" s="65" customFormat="1" ht="14" x14ac:dyDescent="0.35">
      <c r="A3430" s="145"/>
      <c r="E3430" s="102"/>
      <c r="F3430" s="102"/>
      <c r="G3430" s="102"/>
      <c r="I3430" s="93"/>
      <c r="J3430" s="93"/>
    </row>
    <row r="3431" spans="1:10" s="65" customFormat="1" ht="14" x14ac:dyDescent="0.35">
      <c r="A3431" s="145"/>
      <c r="E3431" s="102"/>
      <c r="F3431" s="102"/>
      <c r="G3431" s="102"/>
      <c r="I3431" s="93"/>
      <c r="J3431" s="93"/>
    </row>
    <row r="3432" spans="1:10" s="65" customFormat="1" ht="14" x14ac:dyDescent="0.35">
      <c r="A3432" s="145"/>
      <c r="E3432" s="102"/>
      <c r="F3432" s="102"/>
      <c r="G3432" s="102"/>
      <c r="I3432" s="93"/>
      <c r="J3432" s="93"/>
    </row>
    <row r="3433" spans="1:10" s="65" customFormat="1" ht="14" x14ac:dyDescent="0.35">
      <c r="A3433" s="145"/>
      <c r="E3433" s="102"/>
      <c r="F3433" s="102"/>
      <c r="G3433" s="102"/>
      <c r="I3433" s="93"/>
      <c r="J3433" s="93"/>
    </row>
    <row r="3434" spans="1:10" s="65" customFormat="1" ht="14" x14ac:dyDescent="0.35">
      <c r="A3434" s="145"/>
      <c r="E3434" s="102"/>
      <c r="F3434" s="102"/>
      <c r="G3434" s="102"/>
      <c r="I3434" s="93"/>
      <c r="J3434" s="93"/>
    </row>
    <row r="3435" spans="1:10" s="65" customFormat="1" ht="14" x14ac:dyDescent="0.35">
      <c r="A3435" s="145"/>
      <c r="E3435" s="102"/>
      <c r="F3435" s="102"/>
      <c r="G3435" s="102"/>
      <c r="I3435" s="93"/>
      <c r="J3435" s="93"/>
    </row>
    <row r="3436" spans="1:10" s="65" customFormat="1" ht="14" x14ac:dyDescent="0.35">
      <c r="A3436" s="145"/>
      <c r="E3436" s="102"/>
      <c r="F3436" s="102"/>
      <c r="G3436" s="102"/>
      <c r="I3436" s="93"/>
      <c r="J3436" s="93"/>
    </row>
    <row r="3437" spans="1:10" s="65" customFormat="1" ht="14" x14ac:dyDescent="0.35">
      <c r="A3437" s="145"/>
      <c r="E3437" s="102"/>
      <c r="F3437" s="102"/>
      <c r="G3437" s="102"/>
      <c r="I3437" s="93"/>
      <c r="J3437" s="93"/>
    </row>
    <row r="3438" spans="1:10" s="65" customFormat="1" ht="14" x14ac:dyDescent="0.35">
      <c r="A3438" s="145"/>
      <c r="E3438" s="102"/>
      <c r="F3438" s="102"/>
      <c r="G3438" s="102"/>
      <c r="I3438" s="93"/>
      <c r="J3438" s="93"/>
    </row>
    <row r="3439" spans="1:10" s="65" customFormat="1" ht="14" x14ac:dyDescent="0.35">
      <c r="A3439" s="145"/>
      <c r="E3439" s="102"/>
      <c r="F3439" s="102"/>
      <c r="G3439" s="102"/>
      <c r="I3439" s="93"/>
      <c r="J3439" s="93"/>
    </row>
    <row r="3440" spans="1:10" s="65" customFormat="1" ht="14" x14ac:dyDescent="0.35">
      <c r="A3440" s="145"/>
      <c r="E3440" s="102"/>
      <c r="F3440" s="102"/>
      <c r="G3440" s="102"/>
      <c r="I3440" s="93"/>
      <c r="J3440" s="93"/>
    </row>
    <row r="3441" spans="1:10" s="65" customFormat="1" ht="14" x14ac:dyDescent="0.35">
      <c r="A3441" s="145"/>
      <c r="E3441" s="102"/>
      <c r="F3441" s="102"/>
      <c r="G3441" s="102"/>
      <c r="I3441" s="93"/>
      <c r="J3441" s="93"/>
    </row>
    <row r="3442" spans="1:10" s="65" customFormat="1" ht="14" x14ac:dyDescent="0.35">
      <c r="A3442" s="145"/>
      <c r="E3442" s="102"/>
      <c r="F3442" s="102"/>
      <c r="G3442" s="102"/>
      <c r="I3442" s="93"/>
      <c r="J3442" s="93"/>
    </row>
    <row r="3443" spans="1:10" s="65" customFormat="1" ht="14" x14ac:dyDescent="0.35">
      <c r="A3443" s="145"/>
      <c r="E3443" s="102"/>
      <c r="F3443" s="102"/>
      <c r="G3443" s="102"/>
      <c r="I3443" s="93"/>
      <c r="J3443" s="93"/>
    </row>
    <row r="3444" spans="1:10" s="65" customFormat="1" ht="14" x14ac:dyDescent="0.35">
      <c r="A3444" s="145"/>
      <c r="E3444" s="102"/>
      <c r="F3444" s="102"/>
      <c r="G3444" s="102"/>
      <c r="I3444" s="93"/>
      <c r="J3444" s="93"/>
    </row>
    <row r="3445" spans="1:10" s="65" customFormat="1" ht="14" x14ac:dyDescent="0.35">
      <c r="A3445" s="145"/>
      <c r="E3445" s="102"/>
      <c r="F3445" s="102"/>
      <c r="G3445" s="102"/>
      <c r="I3445" s="93"/>
      <c r="J3445" s="93"/>
    </row>
    <row r="3446" spans="1:10" s="65" customFormat="1" ht="14" x14ac:dyDescent="0.35">
      <c r="A3446" s="145"/>
      <c r="E3446" s="102"/>
      <c r="F3446" s="102"/>
      <c r="G3446" s="102"/>
      <c r="I3446" s="93"/>
      <c r="J3446" s="93"/>
    </row>
    <row r="3447" spans="1:10" s="65" customFormat="1" ht="14" x14ac:dyDescent="0.35">
      <c r="A3447" s="145"/>
      <c r="E3447" s="102"/>
      <c r="F3447" s="102"/>
      <c r="G3447" s="102"/>
      <c r="I3447" s="93"/>
      <c r="J3447" s="93"/>
    </row>
    <row r="3448" spans="1:10" s="65" customFormat="1" ht="14" x14ac:dyDescent="0.35">
      <c r="A3448" s="145"/>
      <c r="E3448" s="102"/>
      <c r="F3448" s="102"/>
      <c r="G3448" s="102"/>
      <c r="I3448" s="93"/>
      <c r="J3448" s="93"/>
    </row>
    <row r="3449" spans="1:10" s="65" customFormat="1" ht="14" x14ac:dyDescent="0.35">
      <c r="A3449" s="145"/>
      <c r="E3449" s="102"/>
      <c r="F3449" s="102"/>
      <c r="G3449" s="102"/>
      <c r="I3449" s="93"/>
      <c r="J3449" s="93"/>
    </row>
    <row r="3450" spans="1:10" s="65" customFormat="1" ht="14" x14ac:dyDescent="0.35">
      <c r="A3450" s="145"/>
      <c r="E3450" s="102"/>
      <c r="F3450" s="102"/>
      <c r="G3450" s="102"/>
      <c r="I3450" s="93"/>
      <c r="J3450" s="93"/>
    </row>
    <row r="3451" spans="1:10" s="65" customFormat="1" ht="14" x14ac:dyDescent="0.35">
      <c r="A3451" s="145"/>
      <c r="E3451" s="102"/>
      <c r="F3451" s="102"/>
      <c r="G3451" s="102"/>
      <c r="I3451" s="93"/>
      <c r="J3451" s="93"/>
    </row>
    <row r="3452" spans="1:10" s="65" customFormat="1" ht="14" x14ac:dyDescent="0.35">
      <c r="A3452" s="145"/>
      <c r="E3452" s="102"/>
      <c r="F3452" s="102"/>
      <c r="G3452" s="102"/>
      <c r="I3452" s="93"/>
      <c r="J3452" s="93"/>
    </row>
    <row r="3453" spans="1:10" s="65" customFormat="1" ht="14" x14ac:dyDescent="0.35">
      <c r="A3453" s="145"/>
      <c r="E3453" s="102"/>
      <c r="F3453" s="102"/>
      <c r="G3453" s="102"/>
      <c r="I3453" s="93"/>
      <c r="J3453" s="93"/>
    </row>
    <row r="3454" spans="1:10" s="65" customFormat="1" ht="14" x14ac:dyDescent="0.35">
      <c r="A3454" s="145"/>
      <c r="E3454" s="102"/>
      <c r="F3454" s="102"/>
      <c r="G3454" s="102"/>
      <c r="I3454" s="93"/>
      <c r="J3454" s="93"/>
    </row>
    <row r="3455" spans="1:10" s="65" customFormat="1" ht="14" x14ac:dyDescent="0.35">
      <c r="A3455" s="145"/>
      <c r="E3455" s="102"/>
      <c r="F3455" s="102"/>
      <c r="G3455" s="102"/>
      <c r="I3455" s="93"/>
      <c r="J3455" s="93"/>
    </row>
    <row r="3456" spans="1:10" s="65" customFormat="1" ht="14" x14ac:dyDescent="0.35">
      <c r="A3456" s="145"/>
      <c r="E3456" s="102"/>
      <c r="F3456" s="102"/>
      <c r="G3456" s="102"/>
      <c r="I3456" s="93"/>
      <c r="J3456" s="93"/>
    </row>
    <row r="3457" spans="1:10" s="65" customFormat="1" ht="14" x14ac:dyDescent="0.35">
      <c r="A3457" s="145"/>
      <c r="E3457" s="102"/>
      <c r="F3457" s="102"/>
      <c r="G3457" s="102"/>
      <c r="I3457" s="93"/>
      <c r="J3457" s="93"/>
    </row>
    <row r="3458" spans="1:10" s="65" customFormat="1" ht="14" x14ac:dyDescent="0.35">
      <c r="A3458" s="145"/>
      <c r="E3458" s="102"/>
      <c r="F3458" s="102"/>
      <c r="G3458" s="102"/>
      <c r="I3458" s="93"/>
      <c r="J3458" s="93"/>
    </row>
    <row r="3459" spans="1:10" s="65" customFormat="1" ht="14" x14ac:dyDescent="0.35">
      <c r="A3459" s="145"/>
      <c r="E3459" s="102"/>
      <c r="F3459" s="102"/>
      <c r="G3459" s="102"/>
      <c r="I3459" s="93"/>
      <c r="J3459" s="93"/>
    </row>
    <row r="3460" spans="1:10" s="65" customFormat="1" ht="14" x14ac:dyDescent="0.35">
      <c r="A3460" s="145"/>
      <c r="E3460" s="102"/>
      <c r="F3460" s="102"/>
      <c r="G3460" s="102"/>
      <c r="I3460" s="93"/>
      <c r="J3460" s="93"/>
    </row>
    <row r="3461" spans="1:10" s="65" customFormat="1" ht="14" x14ac:dyDescent="0.35">
      <c r="A3461" s="145"/>
      <c r="E3461" s="102"/>
      <c r="F3461" s="102"/>
      <c r="G3461" s="102"/>
      <c r="I3461" s="93"/>
      <c r="J3461" s="93"/>
    </row>
    <row r="3462" spans="1:10" s="65" customFormat="1" ht="14" x14ac:dyDescent="0.35">
      <c r="A3462" s="145"/>
      <c r="E3462" s="102"/>
      <c r="F3462" s="102"/>
      <c r="G3462" s="102"/>
      <c r="I3462" s="93"/>
      <c r="J3462" s="93"/>
    </row>
    <row r="3463" spans="1:10" s="65" customFormat="1" ht="14" x14ac:dyDescent="0.35">
      <c r="A3463" s="145"/>
      <c r="E3463" s="102"/>
      <c r="F3463" s="102"/>
      <c r="G3463" s="102"/>
      <c r="I3463" s="93"/>
      <c r="J3463" s="93"/>
    </row>
    <row r="3464" spans="1:10" s="65" customFormat="1" ht="14" x14ac:dyDescent="0.35">
      <c r="A3464" s="145"/>
      <c r="E3464" s="102"/>
      <c r="F3464" s="102"/>
      <c r="G3464" s="102"/>
      <c r="I3464" s="93"/>
      <c r="J3464" s="93"/>
    </row>
    <row r="3465" spans="1:10" s="65" customFormat="1" ht="14" x14ac:dyDescent="0.35">
      <c r="A3465" s="145"/>
      <c r="E3465" s="102"/>
      <c r="F3465" s="102"/>
      <c r="G3465" s="102"/>
      <c r="I3465" s="93"/>
      <c r="J3465" s="93"/>
    </row>
    <row r="3466" spans="1:10" s="65" customFormat="1" ht="14" x14ac:dyDescent="0.35">
      <c r="A3466" s="145"/>
      <c r="E3466" s="102"/>
      <c r="F3466" s="102"/>
      <c r="G3466" s="102"/>
      <c r="I3466" s="93"/>
      <c r="J3466" s="93"/>
    </row>
    <row r="3467" spans="1:10" s="65" customFormat="1" ht="14" x14ac:dyDescent="0.35">
      <c r="A3467" s="145"/>
      <c r="E3467" s="102"/>
      <c r="F3467" s="102"/>
      <c r="G3467" s="102"/>
      <c r="I3467" s="93"/>
      <c r="J3467" s="93"/>
    </row>
    <row r="3468" spans="1:10" s="65" customFormat="1" ht="14" x14ac:dyDescent="0.35">
      <c r="A3468" s="145"/>
      <c r="E3468" s="102"/>
      <c r="F3468" s="102"/>
      <c r="G3468" s="102"/>
      <c r="I3468" s="93"/>
      <c r="J3468" s="93"/>
    </row>
    <row r="3469" spans="1:10" s="65" customFormat="1" ht="14" x14ac:dyDescent="0.35">
      <c r="A3469" s="145"/>
      <c r="E3469" s="102"/>
      <c r="F3469" s="102"/>
      <c r="G3469" s="102"/>
      <c r="I3469" s="93"/>
      <c r="J3469" s="93"/>
    </row>
    <row r="3470" spans="1:10" s="65" customFormat="1" ht="14" x14ac:dyDescent="0.35">
      <c r="A3470" s="145"/>
      <c r="E3470" s="102"/>
      <c r="F3470" s="102"/>
      <c r="G3470" s="102"/>
      <c r="I3470" s="93"/>
      <c r="J3470" s="93"/>
    </row>
    <row r="3471" spans="1:10" s="65" customFormat="1" ht="14" x14ac:dyDescent="0.35">
      <c r="A3471" s="145"/>
      <c r="E3471" s="102"/>
      <c r="F3471" s="102"/>
      <c r="G3471" s="102"/>
      <c r="I3471" s="93"/>
      <c r="J3471" s="93"/>
    </row>
    <row r="3472" spans="1:10" s="65" customFormat="1" ht="14" x14ac:dyDescent="0.35">
      <c r="A3472" s="145"/>
      <c r="E3472" s="102"/>
      <c r="F3472" s="102"/>
      <c r="G3472" s="102"/>
      <c r="I3472" s="93"/>
      <c r="J3472" s="93"/>
    </row>
    <row r="3473" spans="1:10" s="65" customFormat="1" ht="14" x14ac:dyDescent="0.35">
      <c r="A3473" s="145"/>
      <c r="E3473" s="102"/>
      <c r="F3473" s="102"/>
      <c r="G3473" s="102"/>
      <c r="I3473" s="93"/>
      <c r="J3473" s="93"/>
    </row>
    <row r="3474" spans="1:10" s="65" customFormat="1" ht="14" x14ac:dyDescent="0.35">
      <c r="A3474" s="145"/>
      <c r="E3474" s="102"/>
      <c r="F3474" s="102"/>
      <c r="G3474" s="102"/>
      <c r="I3474" s="93"/>
      <c r="J3474" s="93"/>
    </row>
    <row r="3475" spans="1:10" s="65" customFormat="1" ht="14" x14ac:dyDescent="0.35">
      <c r="A3475" s="145"/>
      <c r="E3475" s="102"/>
      <c r="F3475" s="102"/>
      <c r="G3475" s="102"/>
      <c r="I3475" s="93"/>
      <c r="J3475" s="93"/>
    </row>
    <row r="3476" spans="1:10" s="65" customFormat="1" ht="14" x14ac:dyDescent="0.35">
      <c r="A3476" s="145"/>
      <c r="E3476" s="102"/>
      <c r="F3476" s="102"/>
      <c r="G3476" s="102"/>
      <c r="I3476" s="93"/>
      <c r="J3476" s="93"/>
    </row>
    <row r="3477" spans="1:10" s="65" customFormat="1" ht="14" x14ac:dyDescent="0.35">
      <c r="A3477" s="145"/>
      <c r="E3477" s="102"/>
      <c r="F3477" s="102"/>
      <c r="G3477" s="102"/>
      <c r="I3477" s="93"/>
      <c r="J3477" s="93"/>
    </row>
    <row r="3478" spans="1:10" s="65" customFormat="1" ht="14" x14ac:dyDescent="0.35">
      <c r="A3478" s="145"/>
      <c r="E3478" s="102"/>
      <c r="F3478" s="102"/>
      <c r="G3478" s="102"/>
      <c r="I3478" s="93"/>
      <c r="J3478" s="93"/>
    </row>
    <row r="3479" spans="1:10" s="65" customFormat="1" ht="14" x14ac:dyDescent="0.35">
      <c r="A3479" s="145"/>
      <c r="E3479" s="102"/>
      <c r="F3479" s="102"/>
      <c r="G3479" s="102"/>
      <c r="I3479" s="93"/>
      <c r="J3479" s="93"/>
    </row>
    <row r="3480" spans="1:10" s="65" customFormat="1" ht="14" x14ac:dyDescent="0.35">
      <c r="A3480" s="145"/>
      <c r="E3480" s="102"/>
      <c r="F3480" s="102"/>
      <c r="G3480" s="102"/>
      <c r="I3480" s="93"/>
      <c r="J3480" s="93"/>
    </row>
    <row r="3481" spans="1:10" s="65" customFormat="1" ht="14" x14ac:dyDescent="0.35">
      <c r="A3481" s="145"/>
      <c r="E3481" s="102"/>
      <c r="F3481" s="102"/>
      <c r="G3481" s="102"/>
      <c r="I3481" s="93"/>
      <c r="J3481" s="93"/>
    </row>
    <row r="3482" spans="1:10" s="65" customFormat="1" ht="14" x14ac:dyDescent="0.35">
      <c r="A3482" s="145"/>
      <c r="E3482" s="102"/>
      <c r="F3482" s="102"/>
      <c r="G3482" s="102"/>
      <c r="I3482" s="93"/>
      <c r="J3482" s="93"/>
    </row>
    <row r="3483" spans="1:10" s="65" customFormat="1" ht="14" x14ac:dyDescent="0.35">
      <c r="A3483" s="145"/>
      <c r="E3483" s="102"/>
      <c r="F3483" s="102"/>
      <c r="G3483" s="102"/>
      <c r="I3483" s="93"/>
      <c r="J3483" s="93"/>
    </row>
    <row r="3484" spans="1:10" s="65" customFormat="1" ht="14" x14ac:dyDescent="0.35">
      <c r="A3484" s="145"/>
      <c r="E3484" s="102"/>
      <c r="F3484" s="102"/>
      <c r="G3484" s="102"/>
      <c r="I3484" s="93"/>
      <c r="J3484" s="93"/>
    </row>
    <row r="3485" spans="1:10" s="65" customFormat="1" ht="14" x14ac:dyDescent="0.35">
      <c r="A3485" s="145"/>
      <c r="E3485" s="102"/>
      <c r="F3485" s="102"/>
      <c r="G3485" s="102"/>
      <c r="I3485" s="93"/>
      <c r="J3485" s="93"/>
    </row>
    <row r="3486" spans="1:10" s="65" customFormat="1" ht="14" x14ac:dyDescent="0.35">
      <c r="A3486" s="145"/>
      <c r="E3486" s="102"/>
      <c r="F3486" s="102"/>
      <c r="G3486" s="102"/>
      <c r="I3486" s="93"/>
      <c r="J3486" s="93"/>
    </row>
    <row r="3487" spans="1:10" s="65" customFormat="1" ht="14" x14ac:dyDescent="0.35">
      <c r="A3487" s="145"/>
      <c r="E3487" s="102"/>
      <c r="F3487" s="102"/>
      <c r="G3487" s="102"/>
      <c r="I3487" s="93"/>
      <c r="J3487" s="93"/>
    </row>
    <row r="3488" spans="1:10" s="65" customFormat="1" ht="14" x14ac:dyDescent="0.35">
      <c r="A3488" s="145"/>
      <c r="E3488" s="102"/>
      <c r="F3488" s="102"/>
      <c r="G3488" s="102"/>
      <c r="I3488" s="93"/>
      <c r="J3488" s="93"/>
    </row>
    <row r="3489" spans="1:10" s="65" customFormat="1" ht="14" x14ac:dyDescent="0.35">
      <c r="A3489" s="145"/>
      <c r="E3489" s="102"/>
      <c r="F3489" s="102"/>
      <c r="G3489" s="102"/>
      <c r="I3489" s="93"/>
      <c r="J3489" s="93"/>
    </row>
    <row r="3490" spans="1:10" s="65" customFormat="1" ht="14" x14ac:dyDescent="0.35">
      <c r="A3490" s="145"/>
      <c r="E3490" s="102"/>
      <c r="F3490" s="102"/>
      <c r="G3490" s="102"/>
      <c r="I3490" s="93"/>
      <c r="J3490" s="93"/>
    </row>
    <row r="3491" spans="1:10" s="65" customFormat="1" ht="14" x14ac:dyDescent="0.35">
      <c r="A3491" s="145"/>
      <c r="E3491" s="102"/>
      <c r="F3491" s="102"/>
      <c r="G3491" s="102"/>
      <c r="I3491" s="93"/>
      <c r="J3491" s="93"/>
    </row>
    <row r="3492" spans="1:10" s="65" customFormat="1" ht="14" x14ac:dyDescent="0.35">
      <c r="A3492" s="145"/>
      <c r="E3492" s="102"/>
      <c r="F3492" s="102"/>
      <c r="G3492" s="102"/>
      <c r="I3492" s="93"/>
      <c r="J3492" s="93"/>
    </row>
    <row r="3493" spans="1:10" s="65" customFormat="1" ht="14" x14ac:dyDescent="0.35">
      <c r="A3493" s="145"/>
      <c r="E3493" s="102"/>
      <c r="F3493" s="102"/>
      <c r="G3493" s="102"/>
      <c r="I3493" s="93"/>
      <c r="J3493" s="93"/>
    </row>
    <row r="3494" spans="1:10" s="65" customFormat="1" ht="14" x14ac:dyDescent="0.35">
      <c r="A3494" s="145"/>
      <c r="E3494" s="102"/>
      <c r="F3494" s="102"/>
      <c r="G3494" s="102"/>
      <c r="I3494" s="93"/>
      <c r="J3494" s="93"/>
    </row>
    <row r="3495" spans="1:10" s="65" customFormat="1" ht="14" x14ac:dyDescent="0.35">
      <c r="A3495" s="145"/>
      <c r="E3495" s="102"/>
      <c r="F3495" s="102"/>
      <c r="G3495" s="102"/>
      <c r="I3495" s="93"/>
      <c r="J3495" s="93"/>
    </row>
    <row r="3496" spans="1:10" s="65" customFormat="1" ht="14" x14ac:dyDescent="0.35">
      <c r="A3496" s="145"/>
      <c r="E3496" s="102"/>
      <c r="F3496" s="102"/>
      <c r="G3496" s="102"/>
      <c r="I3496" s="93"/>
      <c r="J3496" s="93"/>
    </row>
    <row r="3497" spans="1:10" s="65" customFormat="1" ht="14" x14ac:dyDescent="0.35">
      <c r="A3497" s="145"/>
      <c r="E3497" s="102"/>
      <c r="F3497" s="102"/>
      <c r="G3497" s="102"/>
      <c r="I3497" s="93"/>
      <c r="J3497" s="93"/>
    </row>
    <row r="3498" spans="1:10" s="65" customFormat="1" ht="14" x14ac:dyDescent="0.35">
      <c r="A3498" s="145"/>
      <c r="E3498" s="102"/>
      <c r="F3498" s="102"/>
      <c r="G3498" s="102"/>
      <c r="I3498" s="93"/>
      <c r="J3498" s="93"/>
    </row>
    <row r="3499" spans="1:10" s="65" customFormat="1" ht="14" x14ac:dyDescent="0.35">
      <c r="A3499" s="145"/>
      <c r="E3499" s="102"/>
      <c r="F3499" s="102"/>
      <c r="G3499" s="102"/>
      <c r="I3499" s="93"/>
      <c r="J3499" s="93"/>
    </row>
    <row r="3500" spans="1:10" s="65" customFormat="1" ht="14" x14ac:dyDescent="0.35">
      <c r="A3500" s="145"/>
      <c r="E3500" s="102"/>
      <c r="F3500" s="102"/>
      <c r="G3500" s="102"/>
      <c r="I3500" s="93"/>
      <c r="J3500" s="93"/>
    </row>
    <row r="3501" spans="1:10" s="65" customFormat="1" ht="14" x14ac:dyDescent="0.35">
      <c r="A3501" s="145"/>
      <c r="E3501" s="102"/>
      <c r="F3501" s="102"/>
      <c r="G3501" s="102"/>
      <c r="I3501" s="93"/>
      <c r="J3501" s="93"/>
    </row>
    <row r="3502" spans="1:10" s="65" customFormat="1" ht="14" x14ac:dyDescent="0.35">
      <c r="A3502" s="145"/>
      <c r="E3502" s="102"/>
      <c r="F3502" s="102"/>
      <c r="G3502" s="102"/>
      <c r="I3502" s="93"/>
      <c r="J3502" s="93"/>
    </row>
    <row r="3503" spans="1:10" s="65" customFormat="1" ht="14" x14ac:dyDescent="0.35">
      <c r="A3503" s="145"/>
      <c r="E3503" s="102"/>
      <c r="F3503" s="102"/>
      <c r="G3503" s="102"/>
      <c r="I3503" s="93"/>
      <c r="J3503" s="93"/>
    </row>
    <row r="3504" spans="1:10" s="65" customFormat="1" ht="14" x14ac:dyDescent="0.35">
      <c r="A3504" s="145"/>
      <c r="E3504" s="102"/>
      <c r="F3504" s="102"/>
      <c r="G3504" s="102"/>
      <c r="I3504" s="93"/>
      <c r="J3504" s="93"/>
    </row>
    <row r="3505" spans="1:10" s="65" customFormat="1" ht="14" x14ac:dyDescent="0.35">
      <c r="A3505" s="145"/>
      <c r="E3505" s="102"/>
      <c r="F3505" s="102"/>
      <c r="G3505" s="102"/>
      <c r="I3505" s="93"/>
      <c r="J3505" s="93"/>
    </row>
    <row r="3506" spans="1:10" s="65" customFormat="1" ht="14" x14ac:dyDescent="0.35">
      <c r="A3506" s="145"/>
      <c r="E3506" s="102"/>
      <c r="F3506" s="102"/>
      <c r="G3506" s="102"/>
      <c r="I3506" s="93"/>
      <c r="J3506" s="93"/>
    </row>
    <row r="3507" spans="1:10" s="65" customFormat="1" ht="14" x14ac:dyDescent="0.35">
      <c r="A3507" s="145"/>
      <c r="E3507" s="102"/>
      <c r="F3507" s="102"/>
      <c r="G3507" s="102"/>
      <c r="I3507" s="93"/>
      <c r="J3507" s="93"/>
    </row>
    <row r="3508" spans="1:10" s="65" customFormat="1" ht="14" x14ac:dyDescent="0.35">
      <c r="A3508" s="145"/>
      <c r="E3508" s="102"/>
      <c r="F3508" s="102"/>
      <c r="G3508" s="102"/>
      <c r="I3508" s="93"/>
      <c r="J3508" s="93"/>
    </row>
    <row r="3509" spans="1:10" s="65" customFormat="1" ht="14" x14ac:dyDescent="0.35">
      <c r="A3509" s="145"/>
      <c r="E3509" s="102"/>
      <c r="F3509" s="102"/>
      <c r="G3509" s="102"/>
      <c r="I3509" s="93"/>
      <c r="J3509" s="93"/>
    </row>
    <row r="3510" spans="1:10" s="65" customFormat="1" ht="14" x14ac:dyDescent="0.35">
      <c r="A3510" s="145"/>
      <c r="E3510" s="102"/>
      <c r="F3510" s="102"/>
      <c r="G3510" s="102"/>
      <c r="I3510" s="93"/>
      <c r="J3510" s="93"/>
    </row>
    <row r="3511" spans="1:10" s="65" customFormat="1" ht="14" x14ac:dyDescent="0.35">
      <c r="A3511" s="145"/>
      <c r="E3511" s="102"/>
      <c r="F3511" s="102"/>
      <c r="G3511" s="102"/>
      <c r="I3511" s="93"/>
      <c r="J3511" s="93"/>
    </row>
    <row r="3512" spans="1:10" s="65" customFormat="1" ht="14" x14ac:dyDescent="0.35">
      <c r="A3512" s="145"/>
      <c r="E3512" s="102"/>
      <c r="F3512" s="102"/>
      <c r="G3512" s="102"/>
      <c r="I3512" s="93"/>
      <c r="J3512" s="93"/>
    </row>
    <row r="3513" spans="1:10" s="65" customFormat="1" ht="14" x14ac:dyDescent="0.35">
      <c r="A3513" s="145"/>
      <c r="E3513" s="102"/>
      <c r="F3513" s="102"/>
      <c r="G3513" s="102"/>
      <c r="I3513" s="93"/>
      <c r="J3513" s="93"/>
    </row>
    <row r="3514" spans="1:10" s="65" customFormat="1" ht="14" x14ac:dyDescent="0.35">
      <c r="A3514" s="145"/>
      <c r="E3514" s="102"/>
      <c r="F3514" s="102"/>
      <c r="G3514" s="102"/>
      <c r="I3514" s="93"/>
      <c r="J3514" s="93"/>
    </row>
    <row r="3515" spans="1:10" s="65" customFormat="1" ht="14" x14ac:dyDescent="0.35">
      <c r="A3515" s="145"/>
      <c r="E3515" s="102"/>
      <c r="F3515" s="102"/>
      <c r="G3515" s="102"/>
      <c r="I3515" s="93"/>
      <c r="J3515" s="93"/>
    </row>
    <row r="3516" spans="1:10" s="65" customFormat="1" ht="14" x14ac:dyDescent="0.35">
      <c r="A3516" s="145"/>
      <c r="E3516" s="102"/>
      <c r="F3516" s="102"/>
      <c r="G3516" s="102"/>
      <c r="I3516" s="93"/>
      <c r="J3516" s="93"/>
    </row>
    <row r="3517" spans="1:10" s="65" customFormat="1" ht="14" x14ac:dyDescent="0.35">
      <c r="A3517" s="145"/>
      <c r="E3517" s="102"/>
      <c r="F3517" s="102"/>
      <c r="G3517" s="102"/>
      <c r="I3517" s="93"/>
      <c r="J3517" s="93"/>
    </row>
    <row r="3518" spans="1:10" s="65" customFormat="1" ht="14" x14ac:dyDescent="0.35">
      <c r="A3518" s="145"/>
      <c r="E3518" s="102"/>
      <c r="F3518" s="102"/>
      <c r="G3518" s="102"/>
      <c r="I3518" s="93"/>
      <c r="J3518" s="93"/>
    </row>
    <row r="3519" spans="1:10" s="65" customFormat="1" ht="14" x14ac:dyDescent="0.35">
      <c r="A3519" s="145"/>
      <c r="E3519" s="102"/>
      <c r="F3519" s="102"/>
      <c r="G3519" s="102"/>
      <c r="I3519" s="93"/>
      <c r="J3519" s="93"/>
    </row>
    <row r="3520" spans="1:10" s="65" customFormat="1" ht="14" x14ac:dyDescent="0.35">
      <c r="A3520" s="145"/>
      <c r="E3520" s="102"/>
      <c r="F3520" s="102"/>
      <c r="G3520" s="102"/>
      <c r="I3520" s="93"/>
      <c r="J3520" s="93"/>
    </row>
    <row r="3521" spans="1:10" s="65" customFormat="1" ht="14" x14ac:dyDescent="0.35">
      <c r="A3521" s="145"/>
      <c r="E3521" s="102"/>
      <c r="F3521" s="102"/>
      <c r="G3521" s="102"/>
      <c r="I3521" s="93"/>
      <c r="J3521" s="93"/>
    </row>
    <row r="3522" spans="1:10" s="65" customFormat="1" ht="14" x14ac:dyDescent="0.35">
      <c r="A3522" s="145"/>
      <c r="E3522" s="102"/>
      <c r="F3522" s="102"/>
      <c r="G3522" s="102"/>
      <c r="I3522" s="93"/>
      <c r="J3522" s="93"/>
    </row>
    <row r="3523" spans="1:10" s="65" customFormat="1" ht="14" x14ac:dyDescent="0.35">
      <c r="A3523" s="145"/>
      <c r="E3523" s="102"/>
      <c r="F3523" s="102"/>
      <c r="G3523" s="102"/>
      <c r="I3523" s="93"/>
      <c r="J3523" s="93"/>
    </row>
    <row r="3524" spans="1:10" s="65" customFormat="1" ht="14" x14ac:dyDescent="0.35">
      <c r="A3524" s="145"/>
      <c r="E3524" s="102"/>
      <c r="F3524" s="102"/>
      <c r="G3524" s="102"/>
      <c r="I3524" s="93"/>
      <c r="J3524" s="93"/>
    </row>
    <row r="3525" spans="1:10" s="65" customFormat="1" ht="14" x14ac:dyDescent="0.35">
      <c r="A3525" s="145"/>
      <c r="E3525" s="102"/>
      <c r="F3525" s="102"/>
      <c r="G3525" s="102"/>
      <c r="I3525" s="93"/>
      <c r="J3525" s="93"/>
    </row>
    <row r="3526" spans="1:10" s="65" customFormat="1" ht="14" x14ac:dyDescent="0.35">
      <c r="A3526" s="145"/>
      <c r="E3526" s="102"/>
      <c r="F3526" s="102"/>
      <c r="G3526" s="102"/>
      <c r="I3526" s="93"/>
      <c r="J3526" s="93"/>
    </row>
    <row r="3527" spans="1:10" s="65" customFormat="1" ht="14" x14ac:dyDescent="0.35">
      <c r="A3527" s="145"/>
      <c r="E3527" s="102"/>
      <c r="F3527" s="102"/>
      <c r="G3527" s="102"/>
      <c r="I3527" s="93"/>
      <c r="J3527" s="93"/>
    </row>
    <row r="3528" spans="1:10" s="65" customFormat="1" ht="14" x14ac:dyDescent="0.35">
      <c r="A3528" s="145"/>
      <c r="E3528" s="102"/>
      <c r="F3528" s="102"/>
      <c r="G3528" s="102"/>
      <c r="I3528" s="93"/>
      <c r="J3528" s="93"/>
    </row>
    <row r="3529" spans="1:10" s="65" customFormat="1" ht="14" x14ac:dyDescent="0.35">
      <c r="A3529" s="145"/>
      <c r="E3529" s="102"/>
      <c r="F3529" s="102"/>
      <c r="G3529" s="102"/>
      <c r="I3529" s="93"/>
      <c r="J3529" s="93"/>
    </row>
    <row r="3530" spans="1:10" s="65" customFormat="1" ht="14" x14ac:dyDescent="0.35">
      <c r="A3530" s="145"/>
      <c r="E3530" s="102"/>
      <c r="F3530" s="102"/>
      <c r="G3530" s="102"/>
      <c r="I3530" s="93"/>
      <c r="J3530" s="93"/>
    </row>
    <row r="3531" spans="1:10" s="65" customFormat="1" ht="14" x14ac:dyDescent="0.35">
      <c r="A3531" s="145"/>
      <c r="E3531" s="102"/>
      <c r="F3531" s="102"/>
      <c r="G3531" s="102"/>
      <c r="I3531" s="93"/>
      <c r="J3531" s="93"/>
    </row>
    <row r="3532" spans="1:10" s="65" customFormat="1" ht="14" x14ac:dyDescent="0.35">
      <c r="A3532" s="145"/>
      <c r="E3532" s="102"/>
      <c r="F3532" s="102"/>
      <c r="G3532" s="102"/>
      <c r="I3532" s="93"/>
      <c r="J3532" s="93"/>
    </row>
    <row r="3533" spans="1:10" s="65" customFormat="1" ht="14" x14ac:dyDescent="0.35">
      <c r="A3533" s="145"/>
      <c r="E3533" s="102"/>
      <c r="F3533" s="102"/>
      <c r="G3533" s="102"/>
      <c r="I3533" s="93"/>
      <c r="J3533" s="93"/>
    </row>
    <row r="3534" spans="1:10" s="65" customFormat="1" ht="14" x14ac:dyDescent="0.35">
      <c r="A3534" s="145"/>
      <c r="E3534" s="102"/>
      <c r="F3534" s="102"/>
      <c r="G3534" s="102"/>
      <c r="I3534" s="93"/>
      <c r="J3534" s="93"/>
    </row>
    <row r="3535" spans="1:10" s="65" customFormat="1" ht="14" x14ac:dyDescent="0.35">
      <c r="A3535" s="145"/>
      <c r="E3535" s="102"/>
      <c r="F3535" s="102"/>
      <c r="G3535" s="102"/>
      <c r="I3535" s="93"/>
      <c r="J3535" s="93"/>
    </row>
    <row r="3536" spans="1:10" s="65" customFormat="1" ht="14" x14ac:dyDescent="0.35">
      <c r="A3536" s="145"/>
      <c r="E3536" s="102"/>
      <c r="F3536" s="102"/>
      <c r="G3536" s="102"/>
      <c r="I3536" s="93"/>
      <c r="J3536" s="93"/>
    </row>
    <row r="3537" spans="1:10" s="65" customFormat="1" ht="14" x14ac:dyDescent="0.35">
      <c r="A3537" s="145"/>
      <c r="E3537" s="102"/>
      <c r="F3537" s="102"/>
      <c r="G3537" s="102"/>
      <c r="I3537" s="93"/>
      <c r="J3537" s="93"/>
    </row>
    <row r="3538" spans="1:10" s="65" customFormat="1" ht="14" x14ac:dyDescent="0.35">
      <c r="A3538" s="145"/>
      <c r="E3538" s="102"/>
      <c r="F3538" s="102"/>
      <c r="G3538" s="102"/>
      <c r="I3538" s="93"/>
      <c r="J3538" s="93"/>
    </row>
    <row r="3539" spans="1:10" s="65" customFormat="1" ht="14" x14ac:dyDescent="0.35">
      <c r="A3539" s="145"/>
      <c r="E3539" s="102"/>
      <c r="F3539" s="102"/>
      <c r="G3539" s="102"/>
      <c r="I3539" s="93"/>
      <c r="J3539" s="93"/>
    </row>
    <row r="3540" spans="1:10" s="65" customFormat="1" ht="14" x14ac:dyDescent="0.35">
      <c r="A3540" s="145"/>
      <c r="E3540" s="102"/>
      <c r="F3540" s="102"/>
      <c r="G3540" s="102"/>
      <c r="I3540" s="93"/>
      <c r="J3540" s="93"/>
    </row>
    <row r="3541" spans="1:10" s="65" customFormat="1" ht="14" x14ac:dyDescent="0.35">
      <c r="A3541" s="145"/>
      <c r="E3541" s="102"/>
      <c r="F3541" s="102"/>
      <c r="G3541" s="102"/>
      <c r="I3541" s="93"/>
      <c r="J3541" s="93"/>
    </row>
    <row r="3542" spans="1:10" s="65" customFormat="1" ht="14" x14ac:dyDescent="0.35">
      <c r="A3542" s="145"/>
      <c r="E3542" s="102"/>
      <c r="F3542" s="102"/>
      <c r="G3542" s="102"/>
      <c r="I3542" s="93"/>
      <c r="J3542" s="93"/>
    </row>
    <row r="3543" spans="1:10" s="65" customFormat="1" ht="14" x14ac:dyDescent="0.35">
      <c r="A3543" s="145"/>
      <c r="E3543" s="102"/>
      <c r="F3543" s="102"/>
      <c r="G3543" s="102"/>
      <c r="I3543" s="93"/>
      <c r="J3543" s="93"/>
    </row>
    <row r="3544" spans="1:10" s="65" customFormat="1" ht="14" x14ac:dyDescent="0.35">
      <c r="A3544" s="145"/>
      <c r="E3544" s="102"/>
      <c r="F3544" s="102"/>
      <c r="G3544" s="102"/>
      <c r="I3544" s="93"/>
      <c r="J3544" s="93"/>
    </row>
    <row r="3545" spans="1:10" s="65" customFormat="1" ht="14" x14ac:dyDescent="0.35">
      <c r="A3545" s="145"/>
      <c r="E3545" s="102"/>
      <c r="F3545" s="102"/>
      <c r="G3545" s="102"/>
      <c r="I3545" s="93"/>
      <c r="J3545" s="93"/>
    </row>
    <row r="3546" spans="1:10" s="65" customFormat="1" ht="14" x14ac:dyDescent="0.35">
      <c r="A3546" s="145"/>
      <c r="E3546" s="102"/>
      <c r="F3546" s="102"/>
      <c r="G3546" s="102"/>
      <c r="I3546" s="93"/>
      <c r="J3546" s="93"/>
    </row>
    <row r="3547" spans="1:10" s="65" customFormat="1" ht="14" x14ac:dyDescent="0.35">
      <c r="A3547" s="145"/>
      <c r="E3547" s="102"/>
      <c r="F3547" s="102"/>
      <c r="G3547" s="102"/>
      <c r="I3547" s="93"/>
      <c r="J3547" s="93"/>
    </row>
    <row r="3548" spans="1:10" s="65" customFormat="1" ht="14" x14ac:dyDescent="0.35">
      <c r="A3548" s="145"/>
      <c r="E3548" s="102"/>
      <c r="F3548" s="102"/>
      <c r="G3548" s="102"/>
      <c r="I3548" s="93"/>
      <c r="J3548" s="93"/>
    </row>
    <row r="3549" spans="1:10" s="65" customFormat="1" ht="14" x14ac:dyDescent="0.35">
      <c r="A3549" s="145"/>
      <c r="E3549" s="102"/>
      <c r="F3549" s="102"/>
      <c r="G3549" s="102"/>
      <c r="I3549" s="93"/>
      <c r="J3549" s="93"/>
    </row>
    <row r="3550" spans="1:10" s="65" customFormat="1" ht="14" x14ac:dyDescent="0.35">
      <c r="A3550" s="145"/>
      <c r="E3550" s="102"/>
      <c r="F3550" s="102"/>
      <c r="G3550" s="102"/>
      <c r="I3550" s="93"/>
      <c r="J3550" s="93"/>
    </row>
    <row r="3551" spans="1:10" s="65" customFormat="1" ht="14" x14ac:dyDescent="0.35">
      <c r="A3551" s="145"/>
      <c r="E3551" s="102"/>
      <c r="F3551" s="102"/>
      <c r="G3551" s="102"/>
      <c r="I3551" s="93"/>
      <c r="J3551" s="93"/>
    </row>
    <row r="3552" spans="1:10" s="65" customFormat="1" ht="14" x14ac:dyDescent="0.35">
      <c r="A3552" s="145"/>
      <c r="E3552" s="102"/>
      <c r="F3552" s="102"/>
      <c r="G3552" s="102"/>
      <c r="I3552" s="93"/>
      <c r="J3552" s="93"/>
    </row>
    <row r="3553" spans="1:10" s="65" customFormat="1" ht="14" x14ac:dyDescent="0.35">
      <c r="A3553" s="145"/>
      <c r="E3553" s="102"/>
      <c r="F3553" s="102"/>
      <c r="G3553" s="102"/>
      <c r="I3553" s="93"/>
      <c r="J3553" s="93"/>
    </row>
    <row r="3554" spans="1:10" s="65" customFormat="1" ht="14" x14ac:dyDescent="0.35">
      <c r="A3554" s="145"/>
      <c r="E3554" s="102"/>
      <c r="F3554" s="102"/>
      <c r="G3554" s="102"/>
      <c r="I3554" s="93"/>
      <c r="J3554" s="93"/>
    </row>
    <row r="3555" spans="1:10" s="65" customFormat="1" ht="14" x14ac:dyDescent="0.35">
      <c r="A3555" s="145"/>
      <c r="E3555" s="102"/>
      <c r="F3555" s="102"/>
      <c r="G3555" s="102"/>
      <c r="I3555" s="93"/>
      <c r="J3555" s="93"/>
    </row>
    <row r="3556" spans="1:10" s="65" customFormat="1" ht="14" x14ac:dyDescent="0.35">
      <c r="A3556" s="145"/>
      <c r="E3556" s="102"/>
      <c r="F3556" s="102"/>
      <c r="G3556" s="102"/>
      <c r="I3556" s="93"/>
      <c r="J3556" s="93"/>
    </row>
    <row r="3557" spans="1:10" s="65" customFormat="1" ht="14" x14ac:dyDescent="0.35">
      <c r="A3557" s="145"/>
      <c r="E3557" s="102"/>
      <c r="F3557" s="102"/>
      <c r="G3557" s="102"/>
      <c r="I3557" s="93"/>
      <c r="J3557" s="93"/>
    </row>
    <row r="3558" spans="1:10" s="65" customFormat="1" ht="14" x14ac:dyDescent="0.35">
      <c r="A3558" s="145"/>
      <c r="E3558" s="102"/>
      <c r="F3558" s="102"/>
      <c r="G3558" s="102"/>
      <c r="I3558" s="93"/>
      <c r="J3558" s="93"/>
    </row>
    <row r="3559" spans="1:10" s="65" customFormat="1" ht="14" x14ac:dyDescent="0.35">
      <c r="A3559" s="145"/>
      <c r="E3559" s="102"/>
      <c r="F3559" s="102"/>
      <c r="G3559" s="102"/>
      <c r="I3559" s="93"/>
      <c r="J3559" s="93"/>
    </row>
    <row r="3560" spans="1:10" s="65" customFormat="1" ht="14" x14ac:dyDescent="0.35">
      <c r="A3560" s="145"/>
      <c r="E3560" s="102"/>
      <c r="F3560" s="102"/>
      <c r="G3560" s="102"/>
      <c r="I3560" s="93"/>
      <c r="J3560" s="93"/>
    </row>
    <row r="3561" spans="1:10" s="65" customFormat="1" ht="14" x14ac:dyDescent="0.35">
      <c r="A3561" s="145"/>
      <c r="E3561" s="102"/>
      <c r="F3561" s="102"/>
      <c r="G3561" s="102"/>
      <c r="I3561" s="93"/>
      <c r="J3561" s="93"/>
    </row>
    <row r="3562" spans="1:10" s="65" customFormat="1" ht="14" x14ac:dyDescent="0.35">
      <c r="A3562" s="145"/>
      <c r="E3562" s="102"/>
      <c r="F3562" s="102"/>
      <c r="G3562" s="102"/>
      <c r="I3562" s="93"/>
      <c r="J3562" s="93"/>
    </row>
    <row r="3563" spans="1:10" s="65" customFormat="1" ht="14" x14ac:dyDescent="0.35">
      <c r="A3563" s="145"/>
      <c r="E3563" s="102"/>
      <c r="F3563" s="102"/>
      <c r="G3563" s="102"/>
      <c r="I3563" s="93"/>
      <c r="J3563" s="93"/>
    </row>
    <row r="3564" spans="1:10" s="65" customFormat="1" ht="14" x14ac:dyDescent="0.35">
      <c r="A3564" s="145"/>
      <c r="E3564" s="102"/>
      <c r="F3564" s="102"/>
      <c r="G3564" s="102"/>
      <c r="I3564" s="93"/>
      <c r="J3564" s="93"/>
    </row>
    <row r="3565" spans="1:10" s="65" customFormat="1" ht="14" x14ac:dyDescent="0.35">
      <c r="A3565" s="145"/>
      <c r="E3565" s="102"/>
      <c r="F3565" s="102"/>
      <c r="G3565" s="102"/>
      <c r="I3565" s="93"/>
      <c r="J3565" s="93"/>
    </row>
    <row r="3566" spans="1:10" s="65" customFormat="1" ht="14" x14ac:dyDescent="0.35">
      <c r="A3566" s="145"/>
      <c r="E3566" s="102"/>
      <c r="F3566" s="102"/>
      <c r="G3566" s="102"/>
      <c r="I3566" s="93"/>
      <c r="J3566" s="93"/>
    </row>
    <row r="3567" spans="1:10" s="65" customFormat="1" ht="14" x14ac:dyDescent="0.35">
      <c r="A3567" s="145"/>
      <c r="E3567" s="102"/>
      <c r="F3567" s="102"/>
      <c r="G3567" s="102"/>
      <c r="I3567" s="93"/>
      <c r="J3567" s="93"/>
    </row>
    <row r="3568" spans="1:10" s="65" customFormat="1" ht="14" x14ac:dyDescent="0.35">
      <c r="A3568" s="145"/>
      <c r="E3568" s="102"/>
      <c r="F3568" s="102"/>
      <c r="G3568" s="102"/>
      <c r="I3568" s="93"/>
      <c r="J3568" s="93"/>
    </row>
    <row r="3569" spans="1:10" s="65" customFormat="1" ht="14" x14ac:dyDescent="0.35">
      <c r="A3569" s="145"/>
      <c r="E3569" s="102"/>
      <c r="F3569" s="102"/>
      <c r="G3569" s="102"/>
      <c r="I3569" s="93"/>
      <c r="J3569" s="93"/>
    </row>
    <row r="3570" spans="1:10" s="65" customFormat="1" ht="14" x14ac:dyDescent="0.35">
      <c r="A3570" s="145"/>
      <c r="E3570" s="102"/>
      <c r="F3570" s="102"/>
      <c r="G3570" s="102"/>
      <c r="I3570" s="93"/>
      <c r="J3570" s="93"/>
    </row>
    <row r="3571" spans="1:10" s="65" customFormat="1" ht="14" x14ac:dyDescent="0.35">
      <c r="A3571" s="145"/>
      <c r="E3571" s="102"/>
      <c r="F3571" s="102"/>
      <c r="G3571" s="102"/>
      <c r="I3571" s="93"/>
      <c r="J3571" s="93"/>
    </row>
    <row r="3572" spans="1:10" s="65" customFormat="1" ht="14" x14ac:dyDescent="0.35">
      <c r="A3572" s="145"/>
      <c r="E3572" s="102"/>
      <c r="F3572" s="102"/>
      <c r="G3572" s="102"/>
      <c r="I3572" s="93"/>
      <c r="J3572" s="93"/>
    </row>
    <row r="3573" spans="1:10" s="65" customFormat="1" ht="14" x14ac:dyDescent="0.35">
      <c r="A3573" s="145"/>
      <c r="E3573" s="102"/>
      <c r="F3573" s="102"/>
      <c r="G3573" s="102"/>
      <c r="I3573" s="93"/>
      <c r="J3573" s="93"/>
    </row>
    <row r="3574" spans="1:10" s="65" customFormat="1" ht="14" x14ac:dyDescent="0.35">
      <c r="A3574" s="145"/>
      <c r="E3574" s="102"/>
      <c r="F3574" s="102"/>
      <c r="G3574" s="102"/>
      <c r="I3574" s="93"/>
      <c r="J3574" s="93"/>
    </row>
    <row r="3575" spans="1:10" s="65" customFormat="1" ht="14" x14ac:dyDescent="0.35">
      <c r="A3575" s="145"/>
      <c r="E3575" s="102"/>
      <c r="F3575" s="102"/>
      <c r="G3575" s="102"/>
      <c r="I3575" s="93"/>
      <c r="J3575" s="93"/>
    </row>
    <row r="3576" spans="1:10" s="65" customFormat="1" ht="14" x14ac:dyDescent="0.35">
      <c r="A3576" s="145"/>
      <c r="E3576" s="102"/>
      <c r="F3576" s="102"/>
      <c r="G3576" s="102"/>
      <c r="I3576" s="93"/>
      <c r="J3576" s="93"/>
    </row>
    <row r="3577" spans="1:10" s="65" customFormat="1" ht="14" x14ac:dyDescent="0.35">
      <c r="A3577" s="145"/>
      <c r="E3577" s="102"/>
      <c r="F3577" s="102"/>
      <c r="G3577" s="102"/>
      <c r="I3577" s="93"/>
      <c r="J3577" s="93"/>
    </row>
    <row r="3578" spans="1:10" s="65" customFormat="1" ht="14" x14ac:dyDescent="0.35">
      <c r="A3578" s="145"/>
      <c r="E3578" s="102"/>
      <c r="F3578" s="102"/>
      <c r="G3578" s="102"/>
      <c r="I3578" s="93"/>
      <c r="J3578" s="93"/>
    </row>
    <row r="3579" spans="1:10" s="65" customFormat="1" ht="14" x14ac:dyDescent="0.35">
      <c r="A3579" s="145"/>
      <c r="E3579" s="102"/>
      <c r="F3579" s="102"/>
      <c r="G3579" s="102"/>
      <c r="I3579" s="93"/>
      <c r="J3579" s="93"/>
    </row>
    <row r="3580" spans="1:10" s="65" customFormat="1" ht="14" x14ac:dyDescent="0.35">
      <c r="A3580" s="145"/>
      <c r="E3580" s="102"/>
      <c r="F3580" s="102"/>
      <c r="G3580" s="102"/>
      <c r="I3580" s="93"/>
      <c r="J3580" s="93"/>
    </row>
    <row r="3581" spans="1:10" s="65" customFormat="1" ht="14" x14ac:dyDescent="0.35">
      <c r="A3581" s="145"/>
      <c r="E3581" s="102"/>
      <c r="F3581" s="102"/>
      <c r="G3581" s="102"/>
      <c r="I3581" s="93"/>
      <c r="J3581" s="93"/>
    </row>
    <row r="3582" spans="1:10" s="65" customFormat="1" ht="14" x14ac:dyDescent="0.35">
      <c r="A3582" s="145"/>
      <c r="E3582" s="102"/>
      <c r="F3582" s="102"/>
      <c r="G3582" s="102"/>
      <c r="I3582" s="93"/>
      <c r="J3582" s="93"/>
    </row>
    <row r="3583" spans="1:10" s="65" customFormat="1" ht="14" x14ac:dyDescent="0.35">
      <c r="A3583" s="145"/>
      <c r="E3583" s="102"/>
      <c r="F3583" s="102"/>
      <c r="G3583" s="102"/>
      <c r="I3583" s="93"/>
      <c r="J3583" s="93"/>
    </row>
    <row r="3584" spans="1:10" s="65" customFormat="1" ht="14" x14ac:dyDescent="0.35">
      <c r="A3584" s="145"/>
      <c r="E3584" s="102"/>
      <c r="F3584" s="102"/>
      <c r="G3584" s="102"/>
      <c r="I3584" s="93"/>
      <c r="J3584" s="93"/>
    </row>
    <row r="3585" spans="1:10" s="65" customFormat="1" ht="14" x14ac:dyDescent="0.35">
      <c r="A3585" s="145"/>
      <c r="E3585" s="102"/>
      <c r="F3585" s="102"/>
      <c r="G3585" s="102"/>
      <c r="I3585" s="93"/>
      <c r="J3585" s="93"/>
    </row>
    <row r="3586" spans="1:10" s="65" customFormat="1" ht="14" x14ac:dyDescent="0.35">
      <c r="A3586" s="145"/>
      <c r="E3586" s="102"/>
      <c r="F3586" s="102"/>
      <c r="G3586" s="102"/>
      <c r="I3586" s="93"/>
      <c r="J3586" s="93"/>
    </row>
    <row r="3587" spans="1:10" s="65" customFormat="1" ht="14" x14ac:dyDescent="0.35">
      <c r="A3587" s="145"/>
      <c r="E3587" s="102"/>
      <c r="F3587" s="102"/>
      <c r="G3587" s="102"/>
      <c r="I3587" s="93"/>
      <c r="J3587" s="93"/>
    </row>
    <row r="3588" spans="1:10" s="65" customFormat="1" ht="14" x14ac:dyDescent="0.35">
      <c r="A3588" s="145"/>
      <c r="E3588" s="102"/>
      <c r="F3588" s="102"/>
      <c r="G3588" s="102"/>
      <c r="I3588" s="93"/>
      <c r="J3588" s="93"/>
    </row>
    <row r="3589" spans="1:10" s="65" customFormat="1" ht="14" x14ac:dyDescent="0.35">
      <c r="A3589" s="145"/>
      <c r="E3589" s="102"/>
      <c r="F3589" s="102"/>
      <c r="G3589" s="102"/>
      <c r="I3589" s="93"/>
      <c r="J3589" s="93"/>
    </row>
    <row r="3590" spans="1:10" s="65" customFormat="1" ht="14" x14ac:dyDescent="0.35">
      <c r="A3590" s="145"/>
      <c r="E3590" s="102"/>
      <c r="F3590" s="102"/>
      <c r="G3590" s="102"/>
      <c r="I3590" s="93"/>
      <c r="J3590" s="93"/>
    </row>
    <row r="3591" spans="1:10" s="65" customFormat="1" ht="14" x14ac:dyDescent="0.35">
      <c r="A3591" s="145"/>
      <c r="E3591" s="102"/>
      <c r="F3591" s="102"/>
      <c r="G3591" s="102"/>
      <c r="I3591" s="93"/>
      <c r="J3591" s="93"/>
    </row>
    <row r="3592" spans="1:10" s="65" customFormat="1" ht="14" x14ac:dyDescent="0.35">
      <c r="A3592" s="145"/>
      <c r="E3592" s="102"/>
      <c r="F3592" s="102"/>
      <c r="G3592" s="102"/>
      <c r="I3592" s="93"/>
      <c r="J3592" s="93"/>
    </row>
    <row r="3593" spans="1:10" s="65" customFormat="1" ht="14" x14ac:dyDescent="0.35">
      <c r="A3593" s="145"/>
      <c r="E3593" s="102"/>
      <c r="F3593" s="102"/>
      <c r="G3593" s="102"/>
      <c r="I3593" s="93"/>
      <c r="J3593" s="93"/>
    </row>
    <row r="3594" spans="1:10" s="65" customFormat="1" ht="14" x14ac:dyDescent="0.35">
      <c r="A3594" s="145"/>
      <c r="E3594" s="102"/>
      <c r="F3594" s="102"/>
      <c r="G3594" s="102"/>
      <c r="I3594" s="93"/>
      <c r="J3594" s="93"/>
    </row>
    <row r="3595" spans="1:10" s="65" customFormat="1" ht="14" x14ac:dyDescent="0.35">
      <c r="A3595" s="145"/>
      <c r="E3595" s="102"/>
      <c r="F3595" s="102"/>
      <c r="G3595" s="102"/>
      <c r="I3595" s="93"/>
      <c r="J3595" s="93"/>
    </row>
    <row r="3596" spans="1:10" s="65" customFormat="1" ht="14" x14ac:dyDescent="0.35">
      <c r="A3596" s="145"/>
      <c r="E3596" s="102"/>
      <c r="F3596" s="102"/>
      <c r="G3596" s="102"/>
      <c r="I3596" s="93"/>
      <c r="J3596" s="93"/>
    </row>
    <row r="3597" spans="1:10" s="65" customFormat="1" ht="14" x14ac:dyDescent="0.35">
      <c r="A3597" s="145"/>
      <c r="E3597" s="102"/>
      <c r="F3597" s="102"/>
      <c r="G3597" s="102"/>
      <c r="I3597" s="93"/>
      <c r="J3597" s="93"/>
    </row>
    <row r="3598" spans="1:10" s="65" customFormat="1" ht="14" x14ac:dyDescent="0.35">
      <c r="A3598" s="145"/>
      <c r="E3598" s="102"/>
      <c r="F3598" s="102"/>
      <c r="G3598" s="102"/>
      <c r="I3598" s="93"/>
      <c r="J3598" s="93"/>
    </row>
    <row r="3599" spans="1:10" s="65" customFormat="1" ht="14" x14ac:dyDescent="0.35">
      <c r="A3599" s="145"/>
      <c r="E3599" s="102"/>
      <c r="F3599" s="102"/>
      <c r="G3599" s="102"/>
      <c r="I3599" s="93"/>
      <c r="J3599" s="93"/>
    </row>
    <row r="3600" spans="1:10" s="65" customFormat="1" ht="14" x14ac:dyDescent="0.35">
      <c r="A3600" s="145"/>
      <c r="E3600" s="102"/>
      <c r="F3600" s="102"/>
      <c r="G3600" s="102"/>
      <c r="I3600" s="93"/>
      <c r="J3600" s="93"/>
    </row>
    <row r="3601" spans="1:10" s="65" customFormat="1" ht="14" x14ac:dyDescent="0.35">
      <c r="A3601" s="145"/>
      <c r="E3601" s="102"/>
      <c r="F3601" s="102"/>
      <c r="G3601" s="102"/>
      <c r="I3601" s="93"/>
      <c r="J3601" s="93"/>
    </row>
    <row r="3602" spans="1:10" s="65" customFormat="1" ht="14" x14ac:dyDescent="0.35">
      <c r="A3602" s="145"/>
      <c r="E3602" s="102"/>
      <c r="F3602" s="102"/>
      <c r="G3602" s="102"/>
      <c r="I3602" s="93"/>
      <c r="J3602" s="93"/>
    </row>
    <row r="3603" spans="1:10" s="65" customFormat="1" ht="14" x14ac:dyDescent="0.35">
      <c r="A3603" s="145"/>
      <c r="E3603" s="102"/>
      <c r="F3603" s="102"/>
      <c r="G3603" s="102"/>
      <c r="I3603" s="93"/>
      <c r="J3603" s="93"/>
    </row>
    <row r="3604" spans="1:10" s="65" customFormat="1" ht="14" x14ac:dyDescent="0.35">
      <c r="A3604" s="145"/>
      <c r="E3604" s="102"/>
      <c r="F3604" s="102"/>
      <c r="G3604" s="102"/>
      <c r="I3604" s="93"/>
      <c r="J3604" s="93"/>
    </row>
    <row r="3605" spans="1:10" s="65" customFormat="1" ht="14" x14ac:dyDescent="0.35">
      <c r="A3605" s="145"/>
      <c r="E3605" s="102"/>
      <c r="F3605" s="102"/>
      <c r="G3605" s="102"/>
      <c r="I3605" s="93"/>
      <c r="J3605" s="93"/>
    </row>
    <row r="3606" spans="1:10" s="65" customFormat="1" ht="14" x14ac:dyDescent="0.35">
      <c r="A3606" s="145"/>
      <c r="E3606" s="102"/>
      <c r="F3606" s="102"/>
      <c r="G3606" s="102"/>
      <c r="I3606" s="93"/>
      <c r="J3606" s="93"/>
    </row>
    <row r="3607" spans="1:10" s="65" customFormat="1" ht="14" x14ac:dyDescent="0.35">
      <c r="A3607" s="145"/>
      <c r="E3607" s="102"/>
      <c r="F3607" s="102"/>
      <c r="G3607" s="102"/>
      <c r="I3607" s="93"/>
      <c r="J3607" s="93"/>
    </row>
    <row r="3608" spans="1:10" s="65" customFormat="1" ht="14" x14ac:dyDescent="0.35">
      <c r="A3608" s="145"/>
      <c r="E3608" s="102"/>
      <c r="F3608" s="102"/>
      <c r="G3608" s="102"/>
      <c r="I3608" s="93"/>
      <c r="J3608" s="93"/>
    </row>
    <row r="3609" spans="1:10" s="65" customFormat="1" ht="14" x14ac:dyDescent="0.35">
      <c r="A3609" s="145"/>
      <c r="E3609" s="102"/>
      <c r="F3609" s="102"/>
      <c r="G3609" s="102"/>
      <c r="I3609" s="93"/>
      <c r="J3609" s="93"/>
    </row>
    <row r="3610" spans="1:10" s="65" customFormat="1" ht="14" x14ac:dyDescent="0.35">
      <c r="A3610" s="145"/>
      <c r="E3610" s="102"/>
      <c r="F3610" s="102"/>
      <c r="G3610" s="102"/>
      <c r="I3610" s="93"/>
      <c r="J3610" s="93"/>
    </row>
    <row r="3611" spans="1:10" s="65" customFormat="1" ht="14" x14ac:dyDescent="0.35">
      <c r="A3611" s="145"/>
      <c r="E3611" s="102"/>
      <c r="F3611" s="102"/>
      <c r="G3611" s="102"/>
      <c r="I3611" s="93"/>
      <c r="J3611" s="93"/>
    </row>
    <row r="3612" spans="1:10" s="65" customFormat="1" ht="14" x14ac:dyDescent="0.35">
      <c r="A3612" s="145"/>
      <c r="E3612" s="102"/>
      <c r="F3612" s="102"/>
      <c r="G3612" s="102"/>
      <c r="I3612" s="93"/>
      <c r="J3612" s="93"/>
    </row>
    <row r="3613" spans="1:10" s="65" customFormat="1" ht="14" x14ac:dyDescent="0.35">
      <c r="A3613" s="145"/>
      <c r="E3613" s="102"/>
      <c r="F3613" s="102"/>
      <c r="G3613" s="102"/>
      <c r="I3613" s="93"/>
      <c r="J3613" s="93"/>
    </row>
    <row r="3614" spans="1:10" s="65" customFormat="1" ht="14" x14ac:dyDescent="0.35">
      <c r="A3614" s="145"/>
      <c r="E3614" s="102"/>
      <c r="F3614" s="102"/>
      <c r="G3614" s="102"/>
      <c r="I3614" s="93"/>
      <c r="J3614" s="93"/>
    </row>
    <row r="3615" spans="1:10" s="65" customFormat="1" ht="14" x14ac:dyDescent="0.35">
      <c r="A3615" s="145"/>
      <c r="E3615" s="102"/>
      <c r="F3615" s="102"/>
      <c r="G3615" s="102"/>
      <c r="I3615" s="93"/>
      <c r="J3615" s="93"/>
    </row>
    <row r="3616" spans="1:10" s="65" customFormat="1" ht="14" x14ac:dyDescent="0.35">
      <c r="A3616" s="145"/>
      <c r="E3616" s="102"/>
      <c r="F3616" s="102"/>
      <c r="G3616" s="102"/>
      <c r="I3616" s="93"/>
      <c r="J3616" s="93"/>
    </row>
    <row r="3617" spans="1:10" s="65" customFormat="1" ht="14" x14ac:dyDescent="0.35">
      <c r="A3617" s="145"/>
      <c r="E3617" s="102"/>
      <c r="F3617" s="102"/>
      <c r="G3617" s="102"/>
      <c r="I3617" s="93"/>
      <c r="J3617" s="93"/>
    </row>
    <row r="3618" spans="1:10" s="65" customFormat="1" ht="14" x14ac:dyDescent="0.35">
      <c r="A3618" s="145"/>
      <c r="E3618" s="102"/>
      <c r="F3618" s="102"/>
      <c r="G3618" s="102"/>
      <c r="I3618" s="93"/>
      <c r="J3618" s="93"/>
    </row>
    <row r="3619" spans="1:10" s="65" customFormat="1" ht="14" x14ac:dyDescent="0.35">
      <c r="A3619" s="145"/>
      <c r="E3619" s="102"/>
      <c r="F3619" s="102"/>
      <c r="G3619" s="102"/>
      <c r="I3619" s="93"/>
      <c r="J3619" s="93"/>
    </row>
    <row r="3620" spans="1:10" s="65" customFormat="1" ht="14" x14ac:dyDescent="0.35">
      <c r="A3620" s="145"/>
      <c r="E3620" s="102"/>
      <c r="F3620" s="102"/>
      <c r="G3620" s="102"/>
      <c r="I3620" s="93"/>
      <c r="J3620" s="93"/>
    </row>
    <row r="3621" spans="1:10" s="65" customFormat="1" ht="14" x14ac:dyDescent="0.35">
      <c r="A3621" s="145"/>
      <c r="E3621" s="102"/>
      <c r="F3621" s="102"/>
      <c r="G3621" s="102"/>
      <c r="I3621" s="93"/>
      <c r="J3621" s="93"/>
    </row>
    <row r="3622" spans="1:10" s="65" customFormat="1" ht="14" x14ac:dyDescent="0.35">
      <c r="A3622" s="145"/>
      <c r="E3622" s="102"/>
      <c r="F3622" s="102"/>
      <c r="G3622" s="102"/>
      <c r="I3622" s="93"/>
      <c r="J3622" s="93"/>
    </row>
    <row r="3623" spans="1:10" s="65" customFormat="1" ht="14" x14ac:dyDescent="0.35">
      <c r="A3623" s="145"/>
      <c r="E3623" s="102"/>
      <c r="F3623" s="102"/>
      <c r="G3623" s="102"/>
      <c r="I3623" s="93"/>
      <c r="J3623" s="93"/>
    </row>
    <row r="3624" spans="1:10" s="65" customFormat="1" ht="14" x14ac:dyDescent="0.35">
      <c r="A3624" s="145"/>
      <c r="E3624" s="102"/>
      <c r="F3624" s="102"/>
      <c r="G3624" s="102"/>
      <c r="I3624" s="93"/>
      <c r="J3624" s="93"/>
    </row>
    <row r="3625" spans="1:10" s="65" customFormat="1" ht="14" x14ac:dyDescent="0.35">
      <c r="A3625" s="145"/>
      <c r="E3625" s="102"/>
      <c r="F3625" s="102"/>
      <c r="G3625" s="102"/>
      <c r="I3625" s="93"/>
      <c r="J3625" s="93"/>
    </row>
    <row r="3626" spans="1:10" s="65" customFormat="1" ht="14" x14ac:dyDescent="0.35">
      <c r="A3626" s="145"/>
      <c r="E3626" s="102"/>
      <c r="F3626" s="102"/>
      <c r="G3626" s="102"/>
      <c r="I3626" s="93"/>
      <c r="J3626" s="93"/>
    </row>
    <row r="3627" spans="1:10" s="65" customFormat="1" ht="14" x14ac:dyDescent="0.35">
      <c r="A3627" s="145"/>
      <c r="E3627" s="102"/>
      <c r="F3627" s="102"/>
      <c r="G3627" s="102"/>
      <c r="I3627" s="93"/>
      <c r="J3627" s="93"/>
    </row>
    <row r="3628" spans="1:10" s="65" customFormat="1" ht="14" x14ac:dyDescent="0.35">
      <c r="A3628" s="145"/>
      <c r="E3628" s="102"/>
      <c r="F3628" s="102"/>
      <c r="G3628" s="102"/>
      <c r="I3628" s="93"/>
      <c r="J3628" s="93"/>
    </row>
    <row r="3629" spans="1:10" s="65" customFormat="1" ht="14" x14ac:dyDescent="0.35">
      <c r="A3629" s="145"/>
      <c r="E3629" s="102"/>
      <c r="F3629" s="102"/>
      <c r="G3629" s="102"/>
      <c r="I3629" s="93"/>
      <c r="J3629" s="93"/>
    </row>
    <row r="3630" spans="1:10" s="65" customFormat="1" ht="14" x14ac:dyDescent="0.35">
      <c r="A3630" s="145"/>
      <c r="E3630" s="102"/>
      <c r="F3630" s="102"/>
      <c r="G3630" s="102"/>
      <c r="I3630" s="93"/>
      <c r="J3630" s="93"/>
    </row>
    <row r="3631" spans="1:10" s="65" customFormat="1" ht="14" x14ac:dyDescent="0.35">
      <c r="A3631" s="145"/>
      <c r="E3631" s="102"/>
      <c r="F3631" s="102"/>
      <c r="G3631" s="102"/>
      <c r="I3631" s="93"/>
      <c r="J3631" s="93"/>
    </row>
    <row r="3632" spans="1:10" s="65" customFormat="1" ht="14" x14ac:dyDescent="0.35">
      <c r="A3632" s="145"/>
      <c r="E3632" s="102"/>
      <c r="F3632" s="102"/>
      <c r="G3632" s="102"/>
      <c r="I3632" s="93"/>
      <c r="J3632" s="93"/>
    </row>
    <row r="3633" spans="1:10" s="65" customFormat="1" ht="14" x14ac:dyDescent="0.35">
      <c r="A3633" s="145"/>
      <c r="E3633" s="102"/>
      <c r="F3633" s="102"/>
      <c r="G3633" s="102"/>
      <c r="I3633" s="93"/>
      <c r="J3633" s="93"/>
    </row>
    <row r="3634" spans="1:10" s="65" customFormat="1" ht="14" x14ac:dyDescent="0.35">
      <c r="A3634" s="145"/>
      <c r="E3634" s="102"/>
      <c r="F3634" s="102"/>
      <c r="G3634" s="102"/>
      <c r="I3634" s="93"/>
      <c r="J3634" s="93"/>
    </row>
    <row r="3635" spans="1:10" s="65" customFormat="1" ht="14" x14ac:dyDescent="0.35">
      <c r="A3635" s="145"/>
      <c r="E3635" s="102"/>
      <c r="F3635" s="102"/>
      <c r="G3635" s="102"/>
      <c r="I3635" s="93"/>
      <c r="J3635" s="93"/>
    </row>
    <row r="3636" spans="1:10" s="65" customFormat="1" ht="14" x14ac:dyDescent="0.35">
      <c r="A3636" s="145"/>
      <c r="E3636" s="102"/>
      <c r="F3636" s="102"/>
      <c r="G3636" s="102"/>
      <c r="I3636" s="93"/>
      <c r="J3636" s="93"/>
    </row>
    <row r="3637" spans="1:10" s="65" customFormat="1" ht="14" x14ac:dyDescent="0.35">
      <c r="A3637" s="145"/>
      <c r="E3637" s="102"/>
      <c r="F3637" s="102"/>
      <c r="G3637" s="102"/>
      <c r="I3637" s="93"/>
      <c r="J3637" s="93"/>
    </row>
    <row r="3638" spans="1:10" s="65" customFormat="1" ht="14" x14ac:dyDescent="0.35">
      <c r="A3638" s="145"/>
      <c r="E3638" s="102"/>
      <c r="F3638" s="102"/>
      <c r="G3638" s="102"/>
      <c r="I3638" s="93"/>
      <c r="J3638" s="93"/>
    </row>
    <row r="3639" spans="1:10" s="65" customFormat="1" ht="14" x14ac:dyDescent="0.35">
      <c r="A3639" s="145"/>
      <c r="E3639" s="102"/>
      <c r="F3639" s="102"/>
      <c r="G3639" s="102"/>
      <c r="I3639" s="93"/>
      <c r="J3639" s="93"/>
    </row>
    <row r="3640" spans="1:10" s="65" customFormat="1" ht="14" x14ac:dyDescent="0.35">
      <c r="A3640" s="145"/>
      <c r="E3640" s="102"/>
      <c r="F3640" s="102"/>
      <c r="G3640" s="102"/>
      <c r="I3640" s="93"/>
      <c r="J3640" s="93"/>
    </row>
    <row r="3641" spans="1:10" s="65" customFormat="1" ht="14" x14ac:dyDescent="0.35">
      <c r="A3641" s="145"/>
      <c r="E3641" s="102"/>
      <c r="F3641" s="102"/>
      <c r="G3641" s="102"/>
      <c r="I3641" s="93"/>
      <c r="J3641" s="93"/>
    </row>
    <row r="3642" spans="1:10" s="65" customFormat="1" ht="14" x14ac:dyDescent="0.35">
      <c r="A3642" s="145"/>
      <c r="E3642" s="102"/>
      <c r="F3642" s="102"/>
      <c r="G3642" s="102"/>
      <c r="I3642" s="93"/>
      <c r="J3642" s="93"/>
    </row>
    <row r="3643" spans="1:10" s="65" customFormat="1" ht="14" x14ac:dyDescent="0.35">
      <c r="A3643" s="145"/>
      <c r="E3643" s="102"/>
      <c r="F3643" s="102"/>
      <c r="G3643" s="102"/>
      <c r="I3643" s="93"/>
      <c r="J3643" s="93"/>
    </row>
    <row r="3644" spans="1:10" s="65" customFormat="1" ht="14" x14ac:dyDescent="0.35">
      <c r="A3644" s="145"/>
      <c r="E3644" s="102"/>
      <c r="F3644" s="102"/>
      <c r="G3644" s="102"/>
      <c r="I3644" s="93"/>
      <c r="J3644" s="93"/>
    </row>
    <row r="3645" spans="1:10" s="65" customFormat="1" ht="14" x14ac:dyDescent="0.35">
      <c r="A3645" s="145"/>
      <c r="E3645" s="102"/>
      <c r="F3645" s="102"/>
      <c r="G3645" s="102"/>
      <c r="I3645" s="93"/>
      <c r="J3645" s="93"/>
    </row>
    <row r="3646" spans="1:10" s="65" customFormat="1" ht="14" x14ac:dyDescent="0.35">
      <c r="A3646" s="145"/>
      <c r="E3646" s="102"/>
      <c r="F3646" s="102"/>
      <c r="G3646" s="102"/>
      <c r="I3646" s="93"/>
      <c r="J3646" s="93"/>
    </row>
    <row r="3647" spans="1:10" s="65" customFormat="1" ht="14" x14ac:dyDescent="0.35">
      <c r="A3647" s="145"/>
      <c r="E3647" s="102"/>
      <c r="F3647" s="102"/>
      <c r="G3647" s="102"/>
      <c r="I3647" s="93"/>
      <c r="J3647" s="93"/>
    </row>
    <row r="3648" spans="1:10" s="65" customFormat="1" ht="14" x14ac:dyDescent="0.35">
      <c r="A3648" s="145"/>
      <c r="E3648" s="102"/>
      <c r="F3648" s="102"/>
      <c r="G3648" s="102"/>
      <c r="I3648" s="93"/>
      <c r="J3648" s="93"/>
    </row>
    <row r="3649" spans="1:10" s="65" customFormat="1" ht="14" x14ac:dyDescent="0.35">
      <c r="A3649" s="145"/>
      <c r="E3649" s="102"/>
      <c r="F3649" s="102"/>
      <c r="G3649" s="102"/>
      <c r="I3649" s="93"/>
      <c r="J3649" s="93"/>
    </row>
    <row r="3650" spans="1:10" s="65" customFormat="1" ht="14" x14ac:dyDescent="0.35">
      <c r="A3650" s="145"/>
      <c r="E3650" s="102"/>
      <c r="F3650" s="102"/>
      <c r="G3650" s="102"/>
      <c r="I3650" s="93"/>
      <c r="J3650" s="93"/>
    </row>
    <row r="3651" spans="1:10" s="65" customFormat="1" ht="14" x14ac:dyDescent="0.35">
      <c r="A3651" s="145"/>
      <c r="E3651" s="102"/>
      <c r="F3651" s="102"/>
      <c r="G3651" s="102"/>
      <c r="I3651" s="93"/>
      <c r="J3651" s="93"/>
    </row>
    <row r="3652" spans="1:10" s="65" customFormat="1" ht="14" x14ac:dyDescent="0.35">
      <c r="A3652" s="145"/>
      <c r="E3652" s="102"/>
      <c r="F3652" s="102"/>
      <c r="G3652" s="102"/>
      <c r="I3652" s="93"/>
      <c r="J3652" s="93"/>
    </row>
    <row r="3653" spans="1:10" s="65" customFormat="1" ht="14" x14ac:dyDescent="0.35">
      <c r="A3653" s="145"/>
      <c r="E3653" s="102"/>
      <c r="F3653" s="102"/>
      <c r="G3653" s="102"/>
      <c r="I3653" s="93"/>
      <c r="J3653" s="93"/>
    </row>
    <row r="3654" spans="1:10" s="65" customFormat="1" ht="14" x14ac:dyDescent="0.35">
      <c r="A3654" s="145"/>
      <c r="E3654" s="102"/>
      <c r="F3654" s="102"/>
      <c r="G3654" s="102"/>
      <c r="I3654" s="93"/>
      <c r="J3654" s="93"/>
    </row>
    <row r="3655" spans="1:10" s="65" customFormat="1" ht="14" x14ac:dyDescent="0.35">
      <c r="A3655" s="145"/>
      <c r="E3655" s="102"/>
      <c r="F3655" s="102"/>
      <c r="G3655" s="102"/>
      <c r="I3655" s="93"/>
      <c r="J3655" s="93"/>
    </row>
    <row r="3656" spans="1:10" s="65" customFormat="1" ht="14" x14ac:dyDescent="0.35">
      <c r="A3656" s="145"/>
      <c r="E3656" s="102"/>
      <c r="F3656" s="102"/>
      <c r="G3656" s="102"/>
      <c r="I3656" s="93"/>
      <c r="J3656" s="93"/>
    </row>
    <row r="3657" spans="1:10" s="65" customFormat="1" ht="14" x14ac:dyDescent="0.35">
      <c r="A3657" s="145"/>
      <c r="E3657" s="102"/>
      <c r="F3657" s="102"/>
      <c r="G3657" s="102"/>
      <c r="I3657" s="93"/>
      <c r="J3657" s="93"/>
    </row>
    <row r="3658" spans="1:10" s="65" customFormat="1" ht="14" x14ac:dyDescent="0.35">
      <c r="A3658" s="145"/>
      <c r="E3658" s="102"/>
      <c r="F3658" s="102"/>
      <c r="G3658" s="102"/>
      <c r="I3658" s="93"/>
      <c r="J3658" s="93"/>
    </row>
    <row r="3659" spans="1:10" s="65" customFormat="1" ht="14" x14ac:dyDescent="0.35">
      <c r="A3659" s="145"/>
      <c r="E3659" s="102"/>
      <c r="F3659" s="102"/>
      <c r="G3659" s="102"/>
      <c r="I3659" s="93"/>
      <c r="J3659" s="93"/>
    </row>
    <row r="3660" spans="1:10" s="65" customFormat="1" ht="14" x14ac:dyDescent="0.35">
      <c r="A3660" s="145"/>
      <c r="E3660" s="102"/>
      <c r="F3660" s="102"/>
      <c r="G3660" s="102"/>
      <c r="I3660" s="93"/>
      <c r="J3660" s="93"/>
    </row>
    <row r="3661" spans="1:10" s="65" customFormat="1" ht="14" x14ac:dyDescent="0.35">
      <c r="A3661" s="145"/>
      <c r="E3661" s="102"/>
      <c r="F3661" s="102"/>
      <c r="G3661" s="102"/>
      <c r="I3661" s="93"/>
      <c r="J3661" s="93"/>
    </row>
    <row r="3662" spans="1:10" s="65" customFormat="1" ht="14" x14ac:dyDescent="0.35">
      <c r="A3662" s="145"/>
      <c r="E3662" s="102"/>
      <c r="F3662" s="102"/>
      <c r="G3662" s="102"/>
      <c r="I3662" s="93"/>
      <c r="J3662" s="93"/>
    </row>
    <row r="3663" spans="1:10" s="65" customFormat="1" ht="14" x14ac:dyDescent="0.35">
      <c r="A3663" s="145"/>
      <c r="E3663" s="102"/>
      <c r="F3663" s="102"/>
      <c r="G3663" s="102"/>
      <c r="I3663" s="93"/>
      <c r="J3663" s="93"/>
    </row>
    <row r="3664" spans="1:10" s="65" customFormat="1" ht="14" x14ac:dyDescent="0.35">
      <c r="A3664" s="145"/>
      <c r="E3664" s="102"/>
      <c r="F3664" s="102"/>
      <c r="G3664" s="102"/>
      <c r="I3664" s="93"/>
      <c r="J3664" s="93"/>
    </row>
    <row r="3665" spans="1:10" s="65" customFormat="1" ht="14" x14ac:dyDescent="0.35">
      <c r="A3665" s="145"/>
      <c r="E3665" s="102"/>
      <c r="F3665" s="102"/>
      <c r="G3665" s="102"/>
      <c r="I3665" s="93"/>
      <c r="J3665" s="93"/>
    </row>
    <row r="3666" spans="1:10" s="65" customFormat="1" ht="14" x14ac:dyDescent="0.35">
      <c r="A3666" s="145"/>
      <c r="E3666" s="102"/>
      <c r="F3666" s="102"/>
      <c r="G3666" s="102"/>
      <c r="I3666" s="93"/>
      <c r="J3666" s="93"/>
    </row>
    <row r="3667" spans="1:10" s="65" customFormat="1" ht="14" x14ac:dyDescent="0.35">
      <c r="A3667" s="145"/>
      <c r="E3667" s="102"/>
      <c r="F3667" s="102"/>
      <c r="G3667" s="102"/>
      <c r="I3667" s="93"/>
      <c r="J3667" s="93"/>
    </row>
    <row r="3668" spans="1:10" s="65" customFormat="1" ht="14" x14ac:dyDescent="0.35">
      <c r="A3668" s="145"/>
      <c r="E3668" s="102"/>
      <c r="F3668" s="102"/>
      <c r="G3668" s="102"/>
      <c r="I3668" s="93"/>
      <c r="J3668" s="93"/>
    </row>
    <row r="3669" spans="1:10" s="65" customFormat="1" ht="14" x14ac:dyDescent="0.35">
      <c r="A3669" s="145"/>
      <c r="E3669" s="102"/>
      <c r="F3669" s="102"/>
      <c r="G3669" s="102"/>
      <c r="I3669" s="93"/>
      <c r="J3669" s="93"/>
    </row>
    <row r="3670" spans="1:10" s="65" customFormat="1" ht="14" x14ac:dyDescent="0.35">
      <c r="A3670" s="145"/>
      <c r="E3670" s="102"/>
      <c r="F3670" s="102"/>
      <c r="G3670" s="102"/>
      <c r="I3670" s="93"/>
      <c r="J3670" s="93"/>
    </row>
    <row r="3671" spans="1:10" s="65" customFormat="1" ht="14" x14ac:dyDescent="0.35">
      <c r="A3671" s="145"/>
      <c r="E3671" s="102"/>
      <c r="F3671" s="102"/>
      <c r="G3671" s="102"/>
      <c r="I3671" s="93"/>
      <c r="J3671" s="93"/>
    </row>
    <row r="3672" spans="1:10" s="65" customFormat="1" ht="14" x14ac:dyDescent="0.35">
      <c r="A3672" s="145"/>
      <c r="E3672" s="102"/>
      <c r="F3672" s="102"/>
      <c r="G3672" s="102"/>
      <c r="I3672" s="93"/>
      <c r="J3672" s="93"/>
    </row>
    <row r="3673" spans="1:10" s="65" customFormat="1" ht="14" x14ac:dyDescent="0.35">
      <c r="A3673" s="145"/>
      <c r="E3673" s="102"/>
      <c r="F3673" s="102"/>
      <c r="G3673" s="102"/>
      <c r="I3673" s="93"/>
      <c r="J3673" s="93"/>
    </row>
    <row r="3674" spans="1:10" s="65" customFormat="1" ht="14" x14ac:dyDescent="0.35">
      <c r="A3674" s="145"/>
      <c r="E3674" s="102"/>
      <c r="F3674" s="102"/>
      <c r="G3674" s="102"/>
      <c r="I3674" s="93"/>
      <c r="J3674" s="93"/>
    </row>
    <row r="3675" spans="1:10" s="65" customFormat="1" ht="14" x14ac:dyDescent="0.35">
      <c r="A3675" s="145"/>
      <c r="E3675" s="102"/>
      <c r="F3675" s="102"/>
      <c r="G3675" s="102"/>
      <c r="I3675" s="93"/>
      <c r="J3675" s="93"/>
    </row>
    <row r="3676" spans="1:10" s="65" customFormat="1" ht="14" x14ac:dyDescent="0.35">
      <c r="A3676" s="145"/>
      <c r="E3676" s="102"/>
      <c r="F3676" s="102"/>
      <c r="G3676" s="102"/>
      <c r="I3676" s="93"/>
      <c r="J3676" s="93"/>
    </row>
    <row r="3677" spans="1:10" s="65" customFormat="1" ht="14" x14ac:dyDescent="0.35">
      <c r="A3677" s="145"/>
      <c r="E3677" s="102"/>
      <c r="F3677" s="102"/>
      <c r="G3677" s="102"/>
      <c r="I3677" s="93"/>
      <c r="J3677" s="93"/>
    </row>
    <row r="3678" spans="1:10" s="65" customFormat="1" ht="14" x14ac:dyDescent="0.35">
      <c r="A3678" s="145"/>
      <c r="E3678" s="102"/>
      <c r="F3678" s="102"/>
      <c r="G3678" s="102"/>
      <c r="I3678" s="93"/>
      <c r="J3678" s="93"/>
    </row>
    <row r="3679" spans="1:10" s="65" customFormat="1" ht="14" x14ac:dyDescent="0.35">
      <c r="A3679" s="145"/>
      <c r="E3679" s="102"/>
      <c r="F3679" s="102"/>
      <c r="G3679" s="102"/>
      <c r="I3679" s="93"/>
      <c r="J3679" s="93"/>
    </row>
    <row r="3680" spans="1:10" s="65" customFormat="1" ht="14" x14ac:dyDescent="0.35">
      <c r="A3680" s="145"/>
      <c r="E3680" s="102"/>
      <c r="F3680" s="102"/>
      <c r="G3680" s="102"/>
      <c r="I3680" s="93"/>
      <c r="J3680" s="93"/>
    </row>
    <row r="3681" spans="1:10" s="65" customFormat="1" ht="14" x14ac:dyDescent="0.35">
      <c r="A3681" s="145"/>
      <c r="E3681" s="102"/>
      <c r="F3681" s="102"/>
      <c r="G3681" s="102"/>
      <c r="I3681" s="93"/>
      <c r="J3681" s="93"/>
    </row>
    <row r="3682" spans="1:10" s="65" customFormat="1" ht="14" x14ac:dyDescent="0.35">
      <c r="A3682" s="145"/>
      <c r="E3682" s="102"/>
      <c r="F3682" s="102"/>
      <c r="G3682" s="102"/>
      <c r="I3682" s="93"/>
      <c r="J3682" s="93"/>
    </row>
    <row r="3683" spans="1:10" s="65" customFormat="1" ht="14" x14ac:dyDescent="0.35">
      <c r="A3683" s="145"/>
      <c r="E3683" s="102"/>
      <c r="F3683" s="102"/>
      <c r="G3683" s="102"/>
      <c r="I3683" s="93"/>
      <c r="J3683" s="93"/>
    </row>
    <row r="3684" spans="1:10" s="65" customFormat="1" ht="14" x14ac:dyDescent="0.35">
      <c r="A3684" s="145"/>
      <c r="E3684" s="102"/>
      <c r="F3684" s="102"/>
      <c r="G3684" s="102"/>
      <c r="I3684" s="93"/>
      <c r="J3684" s="93"/>
    </row>
    <row r="3685" spans="1:10" s="65" customFormat="1" ht="14" x14ac:dyDescent="0.35">
      <c r="A3685" s="145"/>
      <c r="E3685" s="102"/>
      <c r="F3685" s="102"/>
      <c r="G3685" s="102"/>
      <c r="I3685" s="93"/>
      <c r="J3685" s="93"/>
    </row>
    <row r="3686" spans="1:10" s="65" customFormat="1" ht="14" x14ac:dyDescent="0.35">
      <c r="A3686" s="145"/>
      <c r="E3686" s="102"/>
      <c r="F3686" s="102"/>
      <c r="G3686" s="102"/>
      <c r="I3686" s="93"/>
      <c r="J3686" s="93"/>
    </row>
    <row r="3687" spans="1:10" s="65" customFormat="1" ht="14" x14ac:dyDescent="0.35">
      <c r="A3687" s="145"/>
      <c r="E3687" s="102"/>
      <c r="F3687" s="102"/>
      <c r="G3687" s="102"/>
      <c r="I3687" s="93"/>
      <c r="J3687" s="93"/>
    </row>
    <row r="3688" spans="1:10" s="65" customFormat="1" ht="14" x14ac:dyDescent="0.35">
      <c r="A3688" s="145"/>
      <c r="E3688" s="102"/>
      <c r="F3688" s="102"/>
      <c r="G3688" s="102"/>
      <c r="I3688" s="93"/>
      <c r="J3688" s="93"/>
    </row>
    <row r="3689" spans="1:10" s="65" customFormat="1" ht="14" x14ac:dyDescent="0.35">
      <c r="A3689" s="145"/>
      <c r="E3689" s="102"/>
      <c r="F3689" s="102"/>
      <c r="G3689" s="102"/>
      <c r="I3689" s="93"/>
      <c r="J3689" s="93"/>
    </row>
    <row r="3690" spans="1:10" s="65" customFormat="1" ht="14" x14ac:dyDescent="0.35">
      <c r="A3690" s="145"/>
      <c r="E3690" s="102"/>
      <c r="F3690" s="102"/>
      <c r="G3690" s="102"/>
      <c r="I3690" s="93"/>
      <c r="J3690" s="93"/>
    </row>
    <row r="3691" spans="1:10" s="65" customFormat="1" ht="14" x14ac:dyDescent="0.35">
      <c r="A3691" s="145"/>
      <c r="E3691" s="102"/>
      <c r="F3691" s="102"/>
      <c r="G3691" s="102"/>
      <c r="I3691" s="93"/>
      <c r="J3691" s="93"/>
    </row>
    <row r="3692" spans="1:10" s="65" customFormat="1" ht="14" x14ac:dyDescent="0.35">
      <c r="A3692" s="145"/>
      <c r="E3692" s="102"/>
      <c r="F3692" s="102"/>
      <c r="G3692" s="102"/>
      <c r="I3692" s="93"/>
      <c r="J3692" s="93"/>
    </row>
    <row r="3693" spans="1:10" s="65" customFormat="1" ht="14" x14ac:dyDescent="0.35">
      <c r="A3693" s="145"/>
      <c r="E3693" s="102"/>
      <c r="F3693" s="102"/>
      <c r="G3693" s="102"/>
      <c r="I3693" s="93"/>
      <c r="J3693" s="93"/>
    </row>
    <row r="3694" spans="1:10" s="65" customFormat="1" ht="14" x14ac:dyDescent="0.35">
      <c r="A3694" s="145"/>
      <c r="E3694" s="102"/>
      <c r="F3694" s="102"/>
      <c r="G3694" s="102"/>
      <c r="I3694" s="93"/>
      <c r="J3694" s="93"/>
    </row>
    <row r="3695" spans="1:10" s="65" customFormat="1" ht="14" x14ac:dyDescent="0.35">
      <c r="A3695" s="145"/>
      <c r="E3695" s="102"/>
      <c r="F3695" s="102"/>
      <c r="G3695" s="102"/>
      <c r="I3695" s="93"/>
      <c r="J3695" s="93"/>
    </row>
    <row r="3696" spans="1:10" s="65" customFormat="1" ht="14" x14ac:dyDescent="0.35">
      <c r="A3696" s="145"/>
      <c r="E3696" s="102"/>
      <c r="F3696" s="102"/>
      <c r="G3696" s="102"/>
      <c r="I3696" s="93"/>
      <c r="J3696" s="93"/>
    </row>
    <row r="3697" spans="1:24" s="65" customFormat="1" ht="14" x14ac:dyDescent="0.35">
      <c r="A3697" s="145"/>
      <c r="E3697" s="102"/>
      <c r="F3697" s="102"/>
      <c r="G3697" s="102"/>
      <c r="I3697" s="93"/>
      <c r="J3697" s="93"/>
    </row>
    <row r="3698" spans="1:24" s="65" customFormat="1" ht="14" x14ac:dyDescent="0.35">
      <c r="A3698" s="145"/>
      <c r="E3698" s="102"/>
      <c r="F3698" s="102"/>
      <c r="G3698" s="102"/>
      <c r="I3698" s="93"/>
      <c r="J3698" s="93"/>
    </row>
    <row r="3699" spans="1:24" s="65" customFormat="1" ht="14" x14ac:dyDescent="0.35">
      <c r="A3699" s="145"/>
      <c r="E3699" s="102"/>
      <c r="F3699" s="102"/>
      <c r="G3699" s="102"/>
      <c r="I3699" s="93"/>
      <c r="J3699" s="93"/>
    </row>
    <row r="3700" spans="1:24" s="65" customFormat="1" ht="14" x14ac:dyDescent="0.35">
      <c r="A3700" s="145"/>
      <c r="E3700" s="102"/>
      <c r="F3700" s="102"/>
      <c r="G3700" s="102"/>
      <c r="I3700" s="93"/>
      <c r="J3700" s="93"/>
    </row>
    <row r="3701" spans="1:24" s="65" customFormat="1" ht="14" x14ac:dyDescent="0.35">
      <c r="A3701" s="145"/>
      <c r="E3701" s="102"/>
      <c r="F3701" s="102"/>
      <c r="G3701" s="102"/>
      <c r="I3701" s="93"/>
      <c r="J3701" s="93"/>
    </row>
    <row r="3702" spans="1:24" s="65" customFormat="1" ht="14" x14ac:dyDescent="0.35">
      <c r="A3702" s="145"/>
      <c r="E3702" s="102"/>
      <c r="F3702" s="102"/>
      <c r="G3702" s="102"/>
      <c r="I3702" s="93"/>
      <c r="J3702" s="93"/>
    </row>
    <row r="3703" spans="1:24" s="65" customFormat="1" ht="14" x14ac:dyDescent="0.35">
      <c r="A3703" s="145"/>
      <c r="E3703" s="102"/>
      <c r="F3703" s="102"/>
      <c r="G3703" s="102"/>
      <c r="I3703" s="93"/>
      <c r="J3703" s="93"/>
    </row>
    <row r="3704" spans="1:24" s="65" customFormat="1" ht="14" x14ac:dyDescent="0.35">
      <c r="A3704" s="145"/>
      <c r="E3704" s="102"/>
      <c r="F3704" s="102"/>
      <c r="G3704" s="102"/>
      <c r="I3704" s="93"/>
      <c r="J3704" s="93"/>
    </row>
    <row r="3705" spans="1:24" s="65" customFormat="1" x14ac:dyDescent="0.35">
      <c r="A3705" s="145"/>
      <c r="E3705" s="102"/>
      <c r="F3705" s="102"/>
      <c r="G3705" s="102"/>
      <c r="I3705" s="93"/>
      <c r="J3705" s="93"/>
      <c r="R3705" s="103"/>
      <c r="S3705" s="103"/>
      <c r="T3705" s="103"/>
    </row>
    <row r="3706" spans="1:24" s="65" customFormat="1" x14ac:dyDescent="0.35">
      <c r="A3706" s="145"/>
      <c r="E3706" s="102"/>
      <c r="F3706" s="102"/>
      <c r="G3706" s="102"/>
      <c r="I3706" s="93"/>
      <c r="J3706" s="93"/>
      <c r="R3706" s="103"/>
      <c r="S3706" s="103"/>
      <c r="T3706" s="103"/>
    </row>
    <row r="3707" spans="1:24" s="65" customFormat="1" x14ac:dyDescent="0.35">
      <c r="A3707" s="145"/>
      <c r="E3707" s="102"/>
      <c r="F3707" s="102"/>
      <c r="G3707" s="102"/>
      <c r="I3707" s="93"/>
      <c r="J3707" s="93"/>
      <c r="R3707" s="103"/>
      <c r="S3707" s="103"/>
      <c r="T3707" s="103"/>
    </row>
    <row r="3708" spans="1:24" s="65" customFormat="1" x14ac:dyDescent="0.35">
      <c r="A3708" s="145"/>
      <c r="E3708" s="102"/>
      <c r="F3708" s="102"/>
      <c r="G3708" s="102"/>
      <c r="I3708" s="93"/>
      <c r="J3708" s="93"/>
      <c r="R3708" s="103"/>
      <c r="S3708" s="103"/>
      <c r="T3708" s="103"/>
    </row>
    <row r="3709" spans="1:24" s="65" customFormat="1" x14ac:dyDescent="0.35">
      <c r="A3709" s="145"/>
      <c r="E3709" s="102"/>
      <c r="F3709" s="102"/>
      <c r="G3709" s="102"/>
      <c r="I3709" s="93"/>
      <c r="J3709" s="52"/>
      <c r="R3709" s="103"/>
      <c r="S3709" s="103"/>
      <c r="T3709" s="103"/>
    </row>
    <row r="3710" spans="1:24" s="65" customFormat="1" x14ac:dyDescent="0.35">
      <c r="A3710" s="145"/>
      <c r="E3710" s="102"/>
      <c r="F3710" s="102"/>
      <c r="G3710" s="102"/>
      <c r="I3710" s="93"/>
      <c r="J3710" s="52"/>
      <c r="R3710" s="103"/>
      <c r="S3710" s="103"/>
      <c r="T3710" s="103"/>
      <c r="U3710" s="103"/>
    </row>
    <row r="3711" spans="1:24" s="65" customFormat="1" x14ac:dyDescent="0.35">
      <c r="A3711" s="145"/>
      <c r="E3711" s="102"/>
      <c r="F3711" s="102"/>
      <c r="G3711" s="102"/>
      <c r="I3711" s="93"/>
      <c r="J3711" s="52"/>
      <c r="R3711" s="103"/>
      <c r="S3711" s="103"/>
      <c r="T3711" s="103"/>
      <c r="U3711" s="103"/>
    </row>
    <row r="3712" spans="1:24" s="65" customFormat="1" x14ac:dyDescent="0.35">
      <c r="A3712" s="145"/>
      <c r="E3712" s="102"/>
      <c r="F3712" s="102"/>
      <c r="G3712" s="102"/>
      <c r="I3712" s="93"/>
      <c r="J3712" s="52"/>
      <c r="R3712" s="103"/>
      <c r="S3712" s="103"/>
      <c r="T3712" s="103"/>
      <c r="U3712" s="103"/>
      <c r="V3712" s="103"/>
      <c r="W3712" s="103"/>
      <c r="X3712" s="103"/>
    </row>
  </sheetData>
  <mergeCells count="5">
    <mergeCell ref="B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X3711"/>
  <sheetViews>
    <sheetView showGridLines="0" zoomScaleNormal="100" workbookViewId="0">
      <pane xSplit="3" ySplit="3" topLeftCell="D4" activePane="bottomRight" state="frozen"/>
      <selection activeCell="A4" sqref="A4:H4"/>
      <selection pane="topRight" activeCell="A4" sqref="A4:H4"/>
      <selection pane="bottomLeft" activeCell="A4" sqref="A4:H4"/>
      <selection pane="bottomRight" activeCell="A4" sqref="A4:H4"/>
    </sheetView>
  </sheetViews>
  <sheetFormatPr defaultColWidth="9.1796875" defaultRowHeight="15.5" x14ac:dyDescent="0.35"/>
  <cols>
    <col min="1" max="1" width="10.81640625" style="145" hidden="1" customWidth="1"/>
    <col min="2" max="2" width="3.1796875" style="152" customWidth="1"/>
    <col min="3" max="3" width="22.5429687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6384" width="9.1796875" style="103"/>
  </cols>
  <sheetData>
    <row r="1" spans="1:24" s="52" customFormat="1" ht="24.75" customHeight="1" x14ac:dyDescent="0.35">
      <c r="A1" s="145"/>
      <c r="B1" s="159"/>
      <c r="C1" s="49" t="s">
        <v>312</v>
      </c>
      <c r="D1" s="50"/>
      <c r="E1" s="51"/>
      <c r="F1" s="51"/>
      <c r="G1" s="51"/>
      <c r="H1" s="50"/>
      <c r="I1" s="50"/>
      <c r="J1" s="50"/>
      <c r="K1" s="50"/>
      <c r="L1" s="50"/>
      <c r="M1" s="50"/>
      <c r="N1" s="50"/>
      <c r="O1" s="50"/>
      <c r="P1" s="50"/>
    </row>
    <row r="2" spans="1:24" s="57" customFormat="1" ht="34.5" customHeight="1" x14ac:dyDescent="0.35">
      <c r="A2" s="145"/>
      <c r="B2" s="152"/>
      <c r="C2" s="54"/>
      <c r="D2" s="378" t="s">
        <v>166</v>
      </c>
      <c r="E2" s="378"/>
      <c r="F2" s="378"/>
      <c r="G2" s="378"/>
      <c r="H2" s="378" t="s">
        <v>167</v>
      </c>
      <c r="I2" s="378"/>
      <c r="J2" s="107"/>
      <c r="K2" s="376" t="s">
        <v>168</v>
      </c>
      <c r="L2" s="376"/>
      <c r="M2" s="376"/>
      <c r="N2" s="376" t="s">
        <v>169</v>
      </c>
      <c r="O2" s="376"/>
      <c r="P2" s="376"/>
    </row>
    <row r="3" spans="1:24" s="57" customFormat="1" ht="30.5" x14ac:dyDescent="0.35">
      <c r="A3" s="145"/>
      <c r="B3" s="152"/>
      <c r="C3" s="54"/>
      <c r="D3" s="60" t="s">
        <v>170</v>
      </c>
      <c r="E3" s="60" t="s">
        <v>303</v>
      </c>
      <c r="F3" s="60" t="s">
        <v>172</v>
      </c>
      <c r="G3" s="60" t="s">
        <v>173</v>
      </c>
      <c r="H3" s="60" t="s">
        <v>302</v>
      </c>
      <c r="I3" s="60" t="s">
        <v>171</v>
      </c>
      <c r="J3" s="60"/>
      <c r="K3" s="61" t="s">
        <v>175</v>
      </c>
      <c r="L3" s="61" t="s">
        <v>234</v>
      </c>
      <c r="M3" s="60" t="s">
        <v>301</v>
      </c>
      <c r="N3" s="60" t="s">
        <v>300</v>
      </c>
      <c r="O3" s="60" t="s">
        <v>179</v>
      </c>
      <c r="P3" s="60" t="s">
        <v>180</v>
      </c>
    </row>
    <row r="4" spans="1:24" s="67" customFormat="1" ht="25.5" customHeight="1" x14ac:dyDescent="0.35">
      <c r="A4" s="145"/>
      <c r="B4" s="152"/>
      <c r="C4" s="62" t="s">
        <v>181</v>
      </c>
      <c r="D4" s="64">
        <v>28245</v>
      </c>
      <c r="E4" s="64">
        <v>13817</v>
      </c>
      <c r="F4" s="64">
        <v>1442</v>
      </c>
      <c r="G4" s="64">
        <v>8567</v>
      </c>
      <c r="H4" s="64">
        <v>661</v>
      </c>
      <c r="I4" s="64">
        <v>761</v>
      </c>
      <c r="J4" s="75" t="s">
        <v>3</v>
      </c>
      <c r="K4" s="64">
        <v>2026</v>
      </c>
      <c r="L4" s="64">
        <v>147</v>
      </c>
      <c r="M4" s="64">
        <v>647</v>
      </c>
      <c r="N4" s="64">
        <v>5265</v>
      </c>
      <c r="O4" s="64">
        <v>329</v>
      </c>
      <c r="P4" s="64">
        <v>252</v>
      </c>
      <c r="Q4" s="62"/>
      <c r="R4" s="65"/>
      <c r="S4" s="65"/>
      <c r="T4" s="65"/>
      <c r="U4" s="81"/>
      <c r="V4" s="65"/>
      <c r="W4" s="65"/>
      <c r="X4" s="65"/>
    </row>
    <row r="5" spans="1:24" s="71" customFormat="1" ht="25.5" customHeight="1" x14ac:dyDescent="0.35">
      <c r="A5" s="147"/>
      <c r="B5" s="158"/>
      <c r="C5" s="62" t="s">
        <v>182</v>
      </c>
      <c r="D5" s="70">
        <v>15309</v>
      </c>
      <c r="E5" s="70">
        <v>13307</v>
      </c>
      <c r="F5" s="70">
        <v>1020</v>
      </c>
      <c r="G5" s="70">
        <v>5368</v>
      </c>
      <c r="H5" s="70">
        <v>376</v>
      </c>
      <c r="I5" s="70">
        <v>741</v>
      </c>
      <c r="J5" s="75" t="s">
        <v>3</v>
      </c>
      <c r="K5" s="70">
        <v>1577</v>
      </c>
      <c r="L5" s="70">
        <v>108</v>
      </c>
      <c r="M5" s="70">
        <v>527</v>
      </c>
      <c r="N5" s="70">
        <v>3896</v>
      </c>
      <c r="O5" s="70">
        <v>250</v>
      </c>
      <c r="P5" s="70">
        <v>158</v>
      </c>
      <c r="U5" s="81"/>
      <c r="V5" s="81"/>
      <c r="W5" s="81"/>
    </row>
    <row r="6" spans="1:24" s="81" customFormat="1" ht="14.25" customHeight="1" x14ac:dyDescent="0.3">
      <c r="A6" s="145">
        <v>51</v>
      </c>
      <c r="B6" s="157" t="s">
        <v>299</v>
      </c>
      <c r="C6" s="82" t="s">
        <v>77</v>
      </c>
      <c r="D6" s="75">
        <v>647</v>
      </c>
      <c r="E6" s="75">
        <v>263</v>
      </c>
      <c r="F6" s="75">
        <v>35</v>
      </c>
      <c r="G6" s="75">
        <v>130</v>
      </c>
      <c r="H6" s="75">
        <v>11</v>
      </c>
      <c r="I6" s="75">
        <v>12</v>
      </c>
      <c r="J6" s="75" t="s">
        <v>3</v>
      </c>
      <c r="K6" s="75">
        <v>37</v>
      </c>
      <c r="L6" s="75">
        <v>6</v>
      </c>
      <c r="M6" s="75">
        <v>18</v>
      </c>
      <c r="N6" s="75">
        <v>71</v>
      </c>
      <c r="O6" s="75">
        <v>8</v>
      </c>
      <c r="P6" s="75">
        <v>2</v>
      </c>
    </row>
    <row r="7" spans="1:24" s="81" customFormat="1" ht="14.25" customHeight="1" x14ac:dyDescent="0.3">
      <c r="A7" s="145">
        <v>52</v>
      </c>
      <c r="B7" s="157" t="s">
        <v>298</v>
      </c>
      <c r="C7" s="82" t="s">
        <v>75</v>
      </c>
      <c r="D7" s="75">
        <v>307</v>
      </c>
      <c r="E7" s="75">
        <v>177</v>
      </c>
      <c r="F7" s="75">
        <v>29</v>
      </c>
      <c r="G7" s="75">
        <v>144</v>
      </c>
      <c r="H7" s="75">
        <v>6</v>
      </c>
      <c r="I7" s="75">
        <v>8</v>
      </c>
      <c r="J7" s="75" t="s">
        <v>3</v>
      </c>
      <c r="K7" s="75">
        <v>22</v>
      </c>
      <c r="L7" s="75">
        <v>2</v>
      </c>
      <c r="M7" s="75">
        <v>7</v>
      </c>
      <c r="N7" s="75">
        <v>48</v>
      </c>
      <c r="O7" s="75">
        <v>4</v>
      </c>
      <c r="P7" s="75">
        <v>2</v>
      </c>
    </row>
    <row r="8" spans="1:24" s="81" customFormat="1" ht="14.25" customHeight="1" x14ac:dyDescent="0.3">
      <c r="A8" s="145">
        <v>86</v>
      </c>
      <c r="B8" s="157" t="s">
        <v>297</v>
      </c>
      <c r="C8" s="82" t="s">
        <v>73</v>
      </c>
      <c r="D8" s="75">
        <v>414</v>
      </c>
      <c r="E8" s="75">
        <v>98</v>
      </c>
      <c r="F8" s="75">
        <v>28</v>
      </c>
      <c r="G8" s="75">
        <v>141</v>
      </c>
      <c r="H8" s="75">
        <v>11</v>
      </c>
      <c r="I8" s="75">
        <v>7</v>
      </c>
      <c r="J8" s="75" t="s">
        <v>3</v>
      </c>
      <c r="K8" s="75">
        <v>22</v>
      </c>
      <c r="L8" s="75">
        <v>2</v>
      </c>
      <c r="M8" s="75">
        <v>6</v>
      </c>
      <c r="N8" s="75">
        <v>68</v>
      </c>
      <c r="O8" s="75">
        <v>6</v>
      </c>
      <c r="P8" s="75">
        <v>4</v>
      </c>
    </row>
    <row r="9" spans="1:24" s="81" customFormat="1" ht="14.25" customHeight="1" x14ac:dyDescent="0.3">
      <c r="A9" s="145">
        <v>53</v>
      </c>
      <c r="B9" s="157" t="s">
        <v>296</v>
      </c>
      <c r="C9" s="82" t="s">
        <v>71</v>
      </c>
      <c r="D9" s="75">
        <v>345</v>
      </c>
      <c r="E9" s="75">
        <v>221</v>
      </c>
      <c r="F9" s="75">
        <v>25</v>
      </c>
      <c r="G9" s="75">
        <v>129</v>
      </c>
      <c r="H9" s="75">
        <v>10</v>
      </c>
      <c r="I9" s="75">
        <v>10</v>
      </c>
      <c r="J9" s="75" t="s">
        <v>3</v>
      </c>
      <c r="K9" s="75">
        <v>30</v>
      </c>
      <c r="L9" s="75">
        <v>2</v>
      </c>
      <c r="M9" s="75">
        <v>8</v>
      </c>
      <c r="N9" s="75">
        <v>105</v>
      </c>
      <c r="O9" s="75">
        <v>4</v>
      </c>
      <c r="P9" s="75">
        <v>3</v>
      </c>
    </row>
    <row r="10" spans="1:24" s="81" customFormat="1" ht="14.25" customHeight="1" x14ac:dyDescent="0.3">
      <c r="A10" s="145">
        <v>54</v>
      </c>
      <c r="B10" s="157" t="s">
        <v>295</v>
      </c>
      <c r="C10" s="82" t="s">
        <v>294</v>
      </c>
      <c r="D10" s="75">
        <v>261</v>
      </c>
      <c r="E10" s="75">
        <v>333</v>
      </c>
      <c r="F10" s="75">
        <v>38</v>
      </c>
      <c r="G10" s="75">
        <v>136</v>
      </c>
      <c r="H10" s="75">
        <v>7</v>
      </c>
      <c r="I10" s="75">
        <v>20</v>
      </c>
      <c r="J10" s="75" t="s">
        <v>3</v>
      </c>
      <c r="K10" s="75">
        <v>45</v>
      </c>
      <c r="L10" s="75">
        <v>4</v>
      </c>
      <c r="M10" s="75">
        <v>10</v>
      </c>
      <c r="N10" s="75">
        <v>0</v>
      </c>
      <c r="O10" s="75">
        <v>6</v>
      </c>
      <c r="P10" s="75">
        <v>3</v>
      </c>
    </row>
    <row r="11" spans="1:24" s="81" customFormat="1" ht="14.25" customHeight="1" x14ac:dyDescent="0.3">
      <c r="A11" s="145">
        <v>55</v>
      </c>
      <c r="B11" s="157" t="s">
        <v>293</v>
      </c>
      <c r="C11" s="82" t="s">
        <v>67</v>
      </c>
      <c r="D11" s="75">
        <v>497</v>
      </c>
      <c r="E11" s="75">
        <v>222</v>
      </c>
      <c r="F11" s="75">
        <v>25</v>
      </c>
      <c r="G11" s="75">
        <v>240</v>
      </c>
      <c r="H11" s="75">
        <v>14</v>
      </c>
      <c r="I11" s="75">
        <v>10</v>
      </c>
      <c r="J11" s="75" t="s">
        <v>3</v>
      </c>
      <c r="K11" s="75">
        <v>36</v>
      </c>
      <c r="L11" s="75">
        <v>3</v>
      </c>
      <c r="M11" s="75">
        <v>30</v>
      </c>
      <c r="N11" s="75">
        <v>125</v>
      </c>
      <c r="O11" s="75">
        <v>5</v>
      </c>
      <c r="P11" s="75">
        <v>2</v>
      </c>
    </row>
    <row r="12" spans="1:24" s="81" customFormat="1" ht="14.25" customHeight="1" x14ac:dyDescent="0.3">
      <c r="A12" s="145">
        <v>56</v>
      </c>
      <c r="B12" s="157" t="s">
        <v>292</v>
      </c>
      <c r="C12" s="82" t="s">
        <v>65</v>
      </c>
      <c r="D12" s="75">
        <v>452</v>
      </c>
      <c r="E12" s="75">
        <v>86</v>
      </c>
      <c r="F12" s="75">
        <v>24</v>
      </c>
      <c r="G12" s="75">
        <v>120</v>
      </c>
      <c r="H12" s="75">
        <v>9</v>
      </c>
      <c r="I12" s="75">
        <v>6</v>
      </c>
      <c r="J12" s="75" t="s">
        <v>3</v>
      </c>
      <c r="K12" s="75">
        <v>21</v>
      </c>
      <c r="L12" s="75">
        <v>2</v>
      </c>
      <c r="M12" s="75">
        <v>15</v>
      </c>
      <c r="N12" s="75">
        <v>85</v>
      </c>
      <c r="O12" s="75">
        <v>6</v>
      </c>
      <c r="P12" s="75">
        <v>3</v>
      </c>
    </row>
    <row r="13" spans="1:24" s="81" customFormat="1" ht="14.25" customHeight="1" x14ac:dyDescent="0.3">
      <c r="A13" s="145">
        <v>57</v>
      </c>
      <c r="B13" s="157" t="s">
        <v>291</v>
      </c>
      <c r="C13" s="82" t="s">
        <v>108</v>
      </c>
      <c r="D13" s="75">
        <v>188</v>
      </c>
      <c r="E13" s="75">
        <v>415</v>
      </c>
      <c r="F13" s="75">
        <v>19</v>
      </c>
      <c r="G13" s="75">
        <v>84</v>
      </c>
      <c r="H13" s="75">
        <v>7</v>
      </c>
      <c r="I13" s="75">
        <v>24</v>
      </c>
      <c r="J13" s="75" t="s">
        <v>3</v>
      </c>
      <c r="K13" s="75">
        <v>43</v>
      </c>
      <c r="L13" s="75">
        <v>3</v>
      </c>
      <c r="M13" s="75">
        <v>10</v>
      </c>
      <c r="N13" s="75">
        <v>103</v>
      </c>
      <c r="O13" s="75">
        <v>6</v>
      </c>
      <c r="P13" s="75">
        <v>4</v>
      </c>
    </row>
    <row r="14" spans="1:24" s="81" customFormat="1" ht="14.25" customHeight="1" x14ac:dyDescent="0.3">
      <c r="A14" s="145">
        <v>59</v>
      </c>
      <c r="B14" s="157" t="s">
        <v>290</v>
      </c>
      <c r="C14" s="82" t="s">
        <v>106</v>
      </c>
      <c r="D14" s="75">
        <v>216</v>
      </c>
      <c r="E14" s="75">
        <v>432</v>
      </c>
      <c r="F14" s="75">
        <v>12</v>
      </c>
      <c r="G14" s="75">
        <v>73</v>
      </c>
      <c r="H14" s="75">
        <v>5</v>
      </c>
      <c r="I14" s="75">
        <v>33</v>
      </c>
      <c r="J14" s="75" t="s">
        <v>3</v>
      </c>
      <c r="K14" s="75">
        <v>46</v>
      </c>
      <c r="L14" s="75">
        <v>2</v>
      </c>
      <c r="M14" s="75">
        <v>13</v>
      </c>
      <c r="N14" s="75">
        <v>112</v>
      </c>
      <c r="O14" s="75">
        <v>5</v>
      </c>
      <c r="P14" s="75">
        <v>4</v>
      </c>
    </row>
    <row r="15" spans="1:24" s="81" customFormat="1" ht="14.25" customHeight="1" x14ac:dyDescent="0.3">
      <c r="A15" s="145">
        <v>60</v>
      </c>
      <c r="B15" s="157" t="s">
        <v>289</v>
      </c>
      <c r="C15" s="82" t="s">
        <v>63</v>
      </c>
      <c r="D15" s="75">
        <v>403</v>
      </c>
      <c r="E15" s="75">
        <v>292</v>
      </c>
      <c r="F15" s="75">
        <v>29</v>
      </c>
      <c r="G15" s="75">
        <v>164</v>
      </c>
      <c r="H15" s="75">
        <v>12</v>
      </c>
      <c r="I15" s="75">
        <v>19</v>
      </c>
      <c r="J15" s="75" t="s">
        <v>3</v>
      </c>
      <c r="K15" s="75">
        <v>41</v>
      </c>
      <c r="L15" s="75">
        <v>3</v>
      </c>
      <c r="M15" s="75">
        <v>13</v>
      </c>
      <c r="N15" s="75">
        <v>159</v>
      </c>
      <c r="O15" s="75">
        <v>5</v>
      </c>
      <c r="P15" s="75">
        <v>4</v>
      </c>
    </row>
    <row r="16" spans="1:24" s="81" customFormat="1" ht="14.25" customHeight="1" x14ac:dyDescent="0.3">
      <c r="A16" s="145">
        <v>61</v>
      </c>
      <c r="B16" s="157" t="s">
        <v>288</v>
      </c>
      <c r="C16" s="82" t="s">
        <v>183</v>
      </c>
      <c r="D16" s="75">
        <v>700</v>
      </c>
      <c r="E16" s="75">
        <v>1215</v>
      </c>
      <c r="F16" s="75">
        <v>52</v>
      </c>
      <c r="G16" s="75">
        <v>274</v>
      </c>
      <c r="H16" s="75">
        <v>15</v>
      </c>
      <c r="I16" s="75">
        <v>67</v>
      </c>
      <c r="J16" s="75" t="s">
        <v>3</v>
      </c>
      <c r="K16" s="75">
        <v>122</v>
      </c>
      <c r="L16" s="75">
        <v>8</v>
      </c>
      <c r="M16" s="75">
        <v>25</v>
      </c>
      <c r="N16" s="75">
        <v>317</v>
      </c>
      <c r="O16" s="75">
        <v>18</v>
      </c>
      <c r="P16" s="75">
        <v>15</v>
      </c>
    </row>
    <row r="17" spans="1:16" s="81" customFormat="1" ht="14.25" customHeight="1" x14ac:dyDescent="0.3">
      <c r="A17" s="145">
        <v>62</v>
      </c>
      <c r="B17" s="157" t="s">
        <v>287</v>
      </c>
      <c r="C17" s="265" t="s">
        <v>399</v>
      </c>
      <c r="D17" s="267">
        <f>D69+D70</f>
        <v>490</v>
      </c>
      <c r="E17" s="267">
        <f t="shared" ref="E17:P17" si="0">E69+E70</f>
        <v>705</v>
      </c>
      <c r="F17" s="267">
        <f t="shared" si="0"/>
        <v>50</v>
      </c>
      <c r="G17" s="267">
        <f t="shared" si="0"/>
        <v>266</v>
      </c>
      <c r="H17" s="267">
        <f t="shared" si="0"/>
        <v>13</v>
      </c>
      <c r="I17" s="267">
        <f t="shared" si="0"/>
        <v>37</v>
      </c>
      <c r="J17" s="267" t="s">
        <v>3</v>
      </c>
      <c r="K17" s="267">
        <f t="shared" si="0"/>
        <v>76</v>
      </c>
      <c r="L17" s="267">
        <f t="shared" si="0"/>
        <v>4</v>
      </c>
      <c r="M17" s="267">
        <f t="shared" si="0"/>
        <v>27</v>
      </c>
      <c r="N17" s="267">
        <f t="shared" si="0"/>
        <v>164</v>
      </c>
      <c r="O17" s="267">
        <f t="shared" si="0"/>
        <v>10</v>
      </c>
      <c r="P17" s="267">
        <f t="shared" si="0"/>
        <v>8</v>
      </c>
    </row>
    <row r="18" spans="1:16" s="81" customFormat="1" ht="14.25" customHeight="1" x14ac:dyDescent="0.3">
      <c r="A18" s="145">
        <v>58</v>
      </c>
      <c r="B18" s="157" t="s">
        <v>286</v>
      </c>
      <c r="C18" s="82" t="s">
        <v>57</v>
      </c>
      <c r="D18" s="75">
        <v>365</v>
      </c>
      <c r="E18" s="75">
        <v>174</v>
      </c>
      <c r="F18" s="75">
        <v>28</v>
      </c>
      <c r="G18" s="75">
        <v>77</v>
      </c>
      <c r="H18" s="75">
        <v>9</v>
      </c>
      <c r="I18" s="75">
        <v>6</v>
      </c>
      <c r="J18" s="75" t="s">
        <v>3</v>
      </c>
      <c r="K18" s="75">
        <v>27</v>
      </c>
      <c r="L18" s="75">
        <v>2</v>
      </c>
      <c r="M18" s="75">
        <v>10</v>
      </c>
      <c r="N18" s="75">
        <v>106</v>
      </c>
      <c r="O18" s="75">
        <v>5</v>
      </c>
      <c r="P18" s="75">
        <v>2</v>
      </c>
    </row>
    <row r="19" spans="1:16" s="81" customFormat="1" ht="14.25" customHeight="1" x14ac:dyDescent="0.3">
      <c r="A19" s="145">
        <v>63</v>
      </c>
      <c r="B19" s="157" t="s">
        <v>284</v>
      </c>
      <c r="C19" s="82" t="s">
        <v>55</v>
      </c>
      <c r="D19" s="75">
        <v>414</v>
      </c>
      <c r="E19" s="75">
        <v>274</v>
      </c>
      <c r="F19" s="75">
        <v>28</v>
      </c>
      <c r="G19" s="75">
        <v>182</v>
      </c>
      <c r="H19" s="75">
        <v>12</v>
      </c>
      <c r="I19" s="75">
        <v>12</v>
      </c>
      <c r="J19" s="75" t="s">
        <v>3</v>
      </c>
      <c r="K19" s="75">
        <v>36</v>
      </c>
      <c r="L19" s="75">
        <v>3</v>
      </c>
      <c r="M19" s="75">
        <v>5</v>
      </c>
      <c r="N19" s="75">
        <v>122</v>
      </c>
      <c r="O19" s="75">
        <v>6</v>
      </c>
      <c r="P19" s="75">
        <v>3</v>
      </c>
    </row>
    <row r="20" spans="1:16" s="81" customFormat="1" ht="14.25" customHeight="1" x14ac:dyDescent="0.3">
      <c r="A20" s="145">
        <v>64</v>
      </c>
      <c r="B20" s="157" t="s">
        <v>283</v>
      </c>
      <c r="C20" s="82" t="s">
        <v>53</v>
      </c>
      <c r="D20" s="75">
        <v>840</v>
      </c>
      <c r="E20" s="75">
        <v>481</v>
      </c>
      <c r="F20" s="75">
        <v>43</v>
      </c>
      <c r="G20" s="75">
        <v>275</v>
      </c>
      <c r="H20" s="75">
        <v>16</v>
      </c>
      <c r="I20" s="75">
        <v>34</v>
      </c>
      <c r="J20" s="75" t="s">
        <v>3</v>
      </c>
      <c r="K20" s="75">
        <v>74</v>
      </c>
      <c r="L20" s="75">
        <v>5</v>
      </c>
      <c r="M20" s="75">
        <v>20</v>
      </c>
      <c r="N20" s="75">
        <v>203</v>
      </c>
      <c r="O20" s="75">
        <v>15</v>
      </c>
      <c r="P20" s="75">
        <v>9</v>
      </c>
    </row>
    <row r="21" spans="1:16" s="81" customFormat="1" ht="14.25" customHeight="1" x14ac:dyDescent="0.3">
      <c r="A21" s="145">
        <v>65</v>
      </c>
      <c r="B21" s="157" t="s">
        <v>281</v>
      </c>
      <c r="C21" s="82" t="s">
        <v>104</v>
      </c>
      <c r="D21" s="75">
        <v>210</v>
      </c>
      <c r="E21" s="75">
        <v>273</v>
      </c>
      <c r="F21" s="75">
        <v>21</v>
      </c>
      <c r="G21" s="75">
        <v>68</v>
      </c>
      <c r="H21" s="75">
        <v>4</v>
      </c>
      <c r="I21" s="75">
        <v>16</v>
      </c>
      <c r="J21" s="75" t="s">
        <v>3</v>
      </c>
      <c r="K21" s="75">
        <v>33</v>
      </c>
      <c r="L21" s="75">
        <v>2</v>
      </c>
      <c r="M21" s="75">
        <v>12</v>
      </c>
      <c r="N21" s="75">
        <v>50</v>
      </c>
      <c r="O21" s="75">
        <v>6</v>
      </c>
      <c r="P21" s="75">
        <v>1</v>
      </c>
    </row>
    <row r="22" spans="1:16" s="81" customFormat="1" ht="14.25" customHeight="1" x14ac:dyDescent="0.3">
      <c r="A22" s="145">
        <v>67</v>
      </c>
      <c r="B22" s="157" t="s">
        <v>280</v>
      </c>
      <c r="C22" s="82" t="s">
        <v>51</v>
      </c>
      <c r="D22" s="75">
        <v>764</v>
      </c>
      <c r="E22" s="75">
        <v>765</v>
      </c>
      <c r="F22" s="75">
        <v>43</v>
      </c>
      <c r="G22" s="75">
        <v>324</v>
      </c>
      <c r="H22" s="75">
        <v>13</v>
      </c>
      <c r="I22" s="75">
        <v>38</v>
      </c>
      <c r="J22" s="75" t="s">
        <v>3</v>
      </c>
      <c r="K22" s="75">
        <v>76</v>
      </c>
      <c r="L22" s="75">
        <v>3</v>
      </c>
      <c r="M22" s="75">
        <v>17</v>
      </c>
      <c r="N22" s="75">
        <v>121</v>
      </c>
      <c r="O22" s="75">
        <v>12</v>
      </c>
      <c r="P22" s="75">
        <v>10</v>
      </c>
    </row>
    <row r="23" spans="1:16" s="81" customFormat="1" ht="14.25" customHeight="1" x14ac:dyDescent="0.3">
      <c r="A23" s="145">
        <v>68</v>
      </c>
      <c r="B23" s="157" t="s">
        <v>279</v>
      </c>
      <c r="C23" s="82" t="s">
        <v>311</v>
      </c>
      <c r="D23" s="75">
        <v>321</v>
      </c>
      <c r="E23" s="75">
        <v>399</v>
      </c>
      <c r="F23" s="75">
        <v>25</v>
      </c>
      <c r="G23" s="75">
        <v>137</v>
      </c>
      <c r="H23" s="75">
        <v>8</v>
      </c>
      <c r="I23" s="75">
        <v>19</v>
      </c>
      <c r="J23" s="75" t="s">
        <v>3</v>
      </c>
      <c r="K23" s="75">
        <v>43</v>
      </c>
      <c r="L23" s="75">
        <v>4</v>
      </c>
      <c r="M23" s="75">
        <v>6</v>
      </c>
      <c r="N23" s="75">
        <v>99</v>
      </c>
      <c r="O23" s="75">
        <v>5</v>
      </c>
      <c r="P23" s="75">
        <v>2</v>
      </c>
    </row>
    <row r="24" spans="1:16" s="81" customFormat="1" ht="14.25" customHeight="1" x14ac:dyDescent="0.3">
      <c r="A24" s="145">
        <v>69</v>
      </c>
      <c r="B24" s="157" t="s">
        <v>278</v>
      </c>
      <c r="C24" s="82" t="s">
        <v>102</v>
      </c>
      <c r="D24" s="75">
        <v>552</v>
      </c>
      <c r="E24" s="75">
        <v>261</v>
      </c>
      <c r="F24" s="75">
        <v>27</v>
      </c>
      <c r="G24" s="75">
        <v>129</v>
      </c>
      <c r="H24" s="75">
        <v>16</v>
      </c>
      <c r="I24" s="75">
        <v>14</v>
      </c>
      <c r="J24" s="75" t="s">
        <v>3</v>
      </c>
      <c r="K24" s="75">
        <v>41</v>
      </c>
      <c r="L24" s="75">
        <v>2</v>
      </c>
      <c r="M24" s="75">
        <v>8</v>
      </c>
      <c r="N24" s="75">
        <v>113</v>
      </c>
      <c r="O24" s="75">
        <v>6</v>
      </c>
      <c r="P24" s="75">
        <v>9</v>
      </c>
    </row>
    <row r="25" spans="1:16" s="81" customFormat="1" ht="14.25" customHeight="1" x14ac:dyDescent="0.3">
      <c r="A25" s="145">
        <v>70</v>
      </c>
      <c r="B25" s="157" t="s">
        <v>277</v>
      </c>
      <c r="C25" s="82" t="s">
        <v>47</v>
      </c>
      <c r="D25" s="75">
        <v>597</v>
      </c>
      <c r="E25" s="75">
        <v>394</v>
      </c>
      <c r="F25" s="75">
        <v>33</v>
      </c>
      <c r="G25" s="75">
        <v>254</v>
      </c>
      <c r="H25" s="75">
        <v>12</v>
      </c>
      <c r="I25" s="75">
        <v>18</v>
      </c>
      <c r="J25" s="75" t="s">
        <v>3</v>
      </c>
      <c r="K25" s="75">
        <v>48</v>
      </c>
      <c r="L25" s="75">
        <v>4</v>
      </c>
      <c r="M25" s="75">
        <v>11</v>
      </c>
      <c r="N25" s="75">
        <v>143</v>
      </c>
      <c r="O25" s="75">
        <v>9</v>
      </c>
      <c r="P25" s="75">
        <v>5</v>
      </c>
    </row>
    <row r="26" spans="1:16" s="81" customFormat="1" ht="14.25" customHeight="1" x14ac:dyDescent="0.3">
      <c r="A26" s="145">
        <v>71</v>
      </c>
      <c r="B26" s="157" t="s">
        <v>276</v>
      </c>
      <c r="C26" s="148" t="s">
        <v>100</v>
      </c>
      <c r="D26" s="75">
        <v>79</v>
      </c>
      <c r="E26" s="75">
        <v>111</v>
      </c>
      <c r="F26" s="75">
        <v>1</v>
      </c>
      <c r="G26" s="75">
        <v>21</v>
      </c>
      <c r="H26" s="75">
        <v>2</v>
      </c>
      <c r="I26" s="75">
        <v>8</v>
      </c>
      <c r="J26" s="75" t="s">
        <v>3</v>
      </c>
      <c r="K26" s="75">
        <v>12</v>
      </c>
      <c r="L26" s="75">
        <v>3</v>
      </c>
      <c r="M26" s="75">
        <v>6</v>
      </c>
      <c r="N26" s="75">
        <v>24</v>
      </c>
      <c r="O26" s="75">
        <v>6</v>
      </c>
      <c r="P26" s="75">
        <v>0</v>
      </c>
    </row>
    <row r="27" spans="1:16" s="81" customFormat="1" ht="14.25" customHeight="1" x14ac:dyDescent="0.3">
      <c r="A27" s="145">
        <v>73</v>
      </c>
      <c r="B27" s="157" t="s">
        <v>275</v>
      </c>
      <c r="C27" s="82" t="s">
        <v>45</v>
      </c>
      <c r="D27" s="75">
        <v>838</v>
      </c>
      <c r="E27" s="75">
        <v>564</v>
      </c>
      <c r="F27" s="75">
        <v>36</v>
      </c>
      <c r="G27" s="75">
        <v>249</v>
      </c>
      <c r="H27" s="75">
        <v>22</v>
      </c>
      <c r="I27" s="75">
        <v>41</v>
      </c>
      <c r="J27" s="75" t="s">
        <v>3</v>
      </c>
      <c r="K27" s="75">
        <v>87</v>
      </c>
      <c r="L27" s="75">
        <v>6</v>
      </c>
      <c r="M27" s="75">
        <v>23</v>
      </c>
      <c r="N27" s="75">
        <v>220</v>
      </c>
      <c r="O27" s="75">
        <v>13</v>
      </c>
      <c r="P27" s="75">
        <v>5</v>
      </c>
    </row>
    <row r="28" spans="1:16" s="81" customFormat="1" ht="14.25" customHeight="1" x14ac:dyDescent="0.3">
      <c r="A28" s="145">
        <v>74</v>
      </c>
      <c r="B28" s="157" t="s">
        <v>274</v>
      </c>
      <c r="C28" s="82" t="s">
        <v>43</v>
      </c>
      <c r="D28" s="75">
        <v>800</v>
      </c>
      <c r="E28" s="75">
        <v>405</v>
      </c>
      <c r="F28" s="75">
        <v>44</v>
      </c>
      <c r="G28" s="75">
        <v>271</v>
      </c>
      <c r="H28" s="75">
        <v>23</v>
      </c>
      <c r="I28" s="75">
        <v>17</v>
      </c>
      <c r="J28" s="75" t="s">
        <v>3</v>
      </c>
      <c r="K28" s="75">
        <v>60</v>
      </c>
      <c r="L28" s="75">
        <v>4</v>
      </c>
      <c r="M28" s="75">
        <v>16</v>
      </c>
      <c r="N28" s="75">
        <v>111</v>
      </c>
      <c r="O28" s="75">
        <v>7</v>
      </c>
      <c r="P28" s="75">
        <v>8</v>
      </c>
    </row>
    <row r="29" spans="1:16" s="81" customFormat="1" ht="14.25" customHeight="1" x14ac:dyDescent="0.3">
      <c r="A29" s="145">
        <v>75</v>
      </c>
      <c r="B29" s="157" t="s">
        <v>273</v>
      </c>
      <c r="C29" s="82" t="s">
        <v>41</v>
      </c>
      <c r="D29" s="75">
        <v>462</v>
      </c>
      <c r="E29" s="75">
        <v>264</v>
      </c>
      <c r="F29" s="75">
        <v>29</v>
      </c>
      <c r="G29" s="75">
        <v>176</v>
      </c>
      <c r="H29" s="75">
        <v>10</v>
      </c>
      <c r="I29" s="75">
        <v>10</v>
      </c>
      <c r="J29" s="75" t="s">
        <v>3</v>
      </c>
      <c r="K29" s="75">
        <v>30</v>
      </c>
      <c r="L29" s="75">
        <v>2</v>
      </c>
      <c r="M29" s="75">
        <v>18</v>
      </c>
      <c r="N29" s="75">
        <v>129</v>
      </c>
      <c r="O29" s="75">
        <v>3</v>
      </c>
      <c r="P29" s="75">
        <v>5</v>
      </c>
    </row>
    <row r="30" spans="1:16" s="81" customFormat="1" ht="14.25" customHeight="1" x14ac:dyDescent="0.3">
      <c r="A30" s="145">
        <v>76</v>
      </c>
      <c r="B30" s="157" t="s">
        <v>272</v>
      </c>
      <c r="C30" s="82" t="s">
        <v>98</v>
      </c>
      <c r="D30" s="75">
        <v>202</v>
      </c>
      <c r="E30" s="75">
        <v>517</v>
      </c>
      <c r="F30" s="75">
        <v>22</v>
      </c>
      <c r="G30" s="75">
        <v>69</v>
      </c>
      <c r="H30" s="75">
        <v>6</v>
      </c>
      <c r="I30" s="75">
        <v>32</v>
      </c>
      <c r="J30" s="75" t="s">
        <v>3</v>
      </c>
      <c r="K30" s="75">
        <v>48</v>
      </c>
      <c r="L30" s="75">
        <v>3</v>
      </c>
      <c r="M30" s="75">
        <v>22</v>
      </c>
      <c r="N30" s="75">
        <v>119</v>
      </c>
      <c r="O30" s="75">
        <v>4</v>
      </c>
      <c r="P30" s="75">
        <v>2</v>
      </c>
    </row>
    <row r="31" spans="1:16" s="81" customFormat="1" ht="14.25" customHeight="1" x14ac:dyDescent="0.3">
      <c r="A31" s="145">
        <v>79</v>
      </c>
      <c r="B31" s="157" t="s">
        <v>271</v>
      </c>
      <c r="C31" s="82" t="s">
        <v>96</v>
      </c>
      <c r="D31" s="75">
        <v>277</v>
      </c>
      <c r="E31" s="75">
        <v>508</v>
      </c>
      <c r="F31" s="75">
        <v>28</v>
      </c>
      <c r="G31" s="75">
        <v>120</v>
      </c>
      <c r="H31" s="75">
        <v>6</v>
      </c>
      <c r="I31" s="75">
        <v>35</v>
      </c>
      <c r="J31" s="75" t="s">
        <v>3</v>
      </c>
      <c r="K31" s="75">
        <v>31</v>
      </c>
      <c r="L31" s="75">
        <v>3</v>
      </c>
      <c r="M31" s="75">
        <v>40</v>
      </c>
      <c r="N31" s="75">
        <v>56</v>
      </c>
      <c r="O31" s="75">
        <v>5</v>
      </c>
      <c r="P31" s="75">
        <v>3</v>
      </c>
    </row>
    <row r="32" spans="1:16" s="81" customFormat="1" ht="14.25" customHeight="1" x14ac:dyDescent="0.3">
      <c r="A32" s="145">
        <v>80</v>
      </c>
      <c r="B32" s="157" t="s">
        <v>270</v>
      </c>
      <c r="C32" s="82" t="s">
        <v>39</v>
      </c>
      <c r="D32" s="75">
        <v>336</v>
      </c>
      <c r="E32" s="75">
        <v>370</v>
      </c>
      <c r="F32" s="75">
        <v>25</v>
      </c>
      <c r="G32" s="75">
        <v>102</v>
      </c>
      <c r="H32" s="75">
        <v>11</v>
      </c>
      <c r="I32" s="75">
        <v>26</v>
      </c>
      <c r="J32" s="75" t="s">
        <v>3</v>
      </c>
      <c r="K32" s="75">
        <v>47</v>
      </c>
      <c r="L32" s="75">
        <v>3</v>
      </c>
      <c r="M32" s="75">
        <v>20</v>
      </c>
      <c r="N32" s="75">
        <v>62</v>
      </c>
      <c r="O32" s="75">
        <v>4</v>
      </c>
      <c r="P32" s="75">
        <v>5</v>
      </c>
    </row>
    <row r="33" spans="1:20" s="81" customFormat="1" ht="14.25" customHeight="1" x14ac:dyDescent="0.3">
      <c r="A33" s="145">
        <v>81</v>
      </c>
      <c r="B33" s="157" t="s">
        <v>269</v>
      </c>
      <c r="C33" s="82" t="s">
        <v>94</v>
      </c>
      <c r="D33" s="75">
        <v>284</v>
      </c>
      <c r="E33" s="75">
        <v>246</v>
      </c>
      <c r="F33" s="75">
        <v>22</v>
      </c>
      <c r="G33" s="75">
        <v>54</v>
      </c>
      <c r="H33" s="75">
        <v>8</v>
      </c>
      <c r="I33" s="75">
        <v>14</v>
      </c>
      <c r="J33" s="75" t="s">
        <v>3</v>
      </c>
      <c r="K33" s="75">
        <v>26</v>
      </c>
      <c r="L33" s="75">
        <v>2</v>
      </c>
      <c r="M33" s="75">
        <v>21</v>
      </c>
      <c r="N33" s="75">
        <v>90</v>
      </c>
      <c r="O33" s="75">
        <v>4</v>
      </c>
      <c r="P33" s="75">
        <v>2</v>
      </c>
    </row>
    <row r="34" spans="1:20" s="81" customFormat="1" ht="14.25" customHeight="1" x14ac:dyDescent="0.3">
      <c r="A34" s="145">
        <v>83</v>
      </c>
      <c r="B34" s="157" t="s">
        <v>268</v>
      </c>
      <c r="C34" s="82" t="s">
        <v>92</v>
      </c>
      <c r="D34" s="75">
        <v>161</v>
      </c>
      <c r="E34" s="75">
        <v>224</v>
      </c>
      <c r="F34" s="75">
        <v>18</v>
      </c>
      <c r="G34" s="75">
        <v>52</v>
      </c>
      <c r="H34" s="75">
        <v>4</v>
      </c>
      <c r="I34" s="75">
        <v>12</v>
      </c>
      <c r="J34" s="75" t="s">
        <v>3</v>
      </c>
      <c r="K34" s="75">
        <v>24</v>
      </c>
      <c r="L34" s="75">
        <v>0</v>
      </c>
      <c r="M34" s="75">
        <v>13</v>
      </c>
      <c r="N34" s="75">
        <v>51</v>
      </c>
      <c r="O34" s="75">
        <v>3</v>
      </c>
      <c r="P34" s="75">
        <v>2</v>
      </c>
    </row>
    <row r="35" spans="1:20" s="81" customFormat="1" ht="14.25" customHeight="1" x14ac:dyDescent="0.3">
      <c r="A35" s="145">
        <v>84</v>
      </c>
      <c r="B35" s="157" t="s">
        <v>267</v>
      </c>
      <c r="C35" s="82" t="s">
        <v>37</v>
      </c>
      <c r="D35" s="75">
        <v>525</v>
      </c>
      <c r="E35" s="75">
        <v>340</v>
      </c>
      <c r="F35" s="75">
        <v>27</v>
      </c>
      <c r="G35" s="75">
        <v>162</v>
      </c>
      <c r="H35" s="75">
        <v>13</v>
      </c>
      <c r="I35" s="75">
        <v>11</v>
      </c>
      <c r="J35" s="75" t="s">
        <v>3</v>
      </c>
      <c r="K35" s="75">
        <v>34</v>
      </c>
      <c r="L35" s="75">
        <v>2</v>
      </c>
      <c r="M35" s="75">
        <v>6</v>
      </c>
      <c r="N35" s="75">
        <v>96</v>
      </c>
      <c r="O35" s="75">
        <v>9</v>
      </c>
      <c r="P35" s="75">
        <v>5</v>
      </c>
    </row>
    <row r="36" spans="1:20" s="81" customFormat="1" ht="14.25" customHeight="1" x14ac:dyDescent="0.3">
      <c r="A36" s="145">
        <v>85</v>
      </c>
      <c r="B36" s="157" t="s">
        <v>266</v>
      </c>
      <c r="C36" s="82" t="s">
        <v>90</v>
      </c>
      <c r="D36" s="75">
        <v>248</v>
      </c>
      <c r="E36" s="75">
        <v>349</v>
      </c>
      <c r="F36" s="75">
        <v>27</v>
      </c>
      <c r="G36" s="75">
        <v>62</v>
      </c>
      <c r="H36" s="75">
        <v>6</v>
      </c>
      <c r="I36" s="75">
        <v>18</v>
      </c>
      <c r="J36" s="75" t="s">
        <v>3</v>
      </c>
      <c r="K36" s="75">
        <v>34</v>
      </c>
      <c r="L36" s="75">
        <v>1</v>
      </c>
      <c r="M36" s="75">
        <v>5</v>
      </c>
      <c r="N36" s="75">
        <v>89</v>
      </c>
      <c r="O36" s="75">
        <v>7</v>
      </c>
      <c r="P36" s="75">
        <v>4</v>
      </c>
    </row>
    <row r="37" spans="1:20" s="81" customFormat="1" ht="14.25" customHeight="1" x14ac:dyDescent="0.3">
      <c r="A37" s="145">
        <v>87</v>
      </c>
      <c r="B37" s="157" t="s">
        <v>265</v>
      </c>
      <c r="C37" s="82" t="s">
        <v>35</v>
      </c>
      <c r="D37" s="75">
        <v>197</v>
      </c>
      <c r="E37" s="75">
        <v>333</v>
      </c>
      <c r="F37" s="75">
        <v>17</v>
      </c>
      <c r="G37" s="75">
        <v>76</v>
      </c>
      <c r="H37" s="75">
        <v>3</v>
      </c>
      <c r="I37" s="75">
        <v>20</v>
      </c>
      <c r="J37" s="75" t="s">
        <v>3</v>
      </c>
      <c r="K37" s="75">
        <v>27</v>
      </c>
      <c r="L37" s="75">
        <v>2</v>
      </c>
      <c r="M37" s="75">
        <v>9</v>
      </c>
      <c r="N37" s="75">
        <v>66</v>
      </c>
      <c r="O37" s="75">
        <v>5</v>
      </c>
      <c r="P37" s="75">
        <v>2</v>
      </c>
      <c r="R37" s="67"/>
      <c r="S37" s="67"/>
      <c r="T37" s="67"/>
    </row>
    <row r="38" spans="1:20" s="81" customFormat="1" ht="14.25" customHeight="1" x14ac:dyDescent="0.3">
      <c r="A38" s="145">
        <v>90</v>
      </c>
      <c r="B38" s="157" t="s">
        <v>264</v>
      </c>
      <c r="C38" s="82" t="s">
        <v>33</v>
      </c>
      <c r="D38" s="75">
        <v>405</v>
      </c>
      <c r="E38" s="75">
        <v>487</v>
      </c>
      <c r="F38" s="75">
        <v>25</v>
      </c>
      <c r="G38" s="75">
        <v>208</v>
      </c>
      <c r="H38" s="75">
        <v>10</v>
      </c>
      <c r="I38" s="75">
        <v>23</v>
      </c>
      <c r="J38" s="75" t="s">
        <v>3</v>
      </c>
      <c r="K38" s="75">
        <v>47</v>
      </c>
      <c r="L38" s="75">
        <v>3</v>
      </c>
      <c r="M38" s="75">
        <v>8</v>
      </c>
      <c r="N38" s="75">
        <v>113</v>
      </c>
      <c r="O38" s="75">
        <v>8</v>
      </c>
      <c r="P38" s="75">
        <v>5</v>
      </c>
      <c r="R38" s="65"/>
      <c r="S38" s="65"/>
      <c r="T38" s="65"/>
    </row>
    <row r="39" spans="1:20" s="81" customFormat="1" ht="14.25" customHeight="1" x14ac:dyDescent="0.3">
      <c r="A39" s="145">
        <v>91</v>
      </c>
      <c r="B39" s="157" t="s">
        <v>263</v>
      </c>
      <c r="C39" s="82" t="s">
        <v>262</v>
      </c>
      <c r="D39" s="75">
        <v>237</v>
      </c>
      <c r="E39" s="75">
        <v>440</v>
      </c>
      <c r="F39" s="75">
        <v>0</v>
      </c>
      <c r="G39" s="75">
        <v>101</v>
      </c>
      <c r="H39" s="75">
        <v>7</v>
      </c>
      <c r="I39" s="75">
        <v>28</v>
      </c>
      <c r="J39" s="75" t="s">
        <v>3</v>
      </c>
      <c r="K39" s="75">
        <v>44</v>
      </c>
      <c r="L39" s="75">
        <v>2</v>
      </c>
      <c r="M39" s="75">
        <v>11</v>
      </c>
      <c r="N39" s="75">
        <v>87</v>
      </c>
      <c r="O39" s="75">
        <v>4</v>
      </c>
      <c r="P39" s="75">
        <v>3</v>
      </c>
    </row>
    <row r="40" spans="1:20" s="81" customFormat="1" ht="14.25" customHeight="1" x14ac:dyDescent="0.3">
      <c r="A40" s="145">
        <v>92</v>
      </c>
      <c r="B40" s="157" t="s">
        <v>261</v>
      </c>
      <c r="C40" s="82" t="s">
        <v>86</v>
      </c>
      <c r="D40" s="75">
        <v>623</v>
      </c>
      <c r="E40" s="75">
        <v>127</v>
      </c>
      <c r="F40" s="75">
        <v>32</v>
      </c>
      <c r="G40" s="75">
        <v>71</v>
      </c>
      <c r="H40" s="75">
        <v>17</v>
      </c>
      <c r="I40" s="75">
        <v>7</v>
      </c>
      <c r="J40" s="75" t="s">
        <v>3</v>
      </c>
      <c r="K40" s="75">
        <v>40</v>
      </c>
      <c r="L40" s="75">
        <v>2</v>
      </c>
      <c r="M40" s="75">
        <v>7</v>
      </c>
      <c r="N40" s="75">
        <v>102</v>
      </c>
      <c r="O40" s="75">
        <v>8</v>
      </c>
      <c r="P40" s="75">
        <v>3</v>
      </c>
    </row>
    <row r="41" spans="1:20" s="81" customFormat="1" ht="14.25" customHeight="1" x14ac:dyDescent="0.3">
      <c r="A41" s="145">
        <v>94</v>
      </c>
      <c r="B41" s="157" t="s">
        <v>260</v>
      </c>
      <c r="C41" s="82" t="s">
        <v>84</v>
      </c>
      <c r="D41" s="75">
        <v>270</v>
      </c>
      <c r="E41" s="75">
        <v>167</v>
      </c>
      <c r="F41" s="75">
        <v>18</v>
      </c>
      <c r="G41" s="75">
        <v>99</v>
      </c>
      <c r="H41" s="75">
        <v>7</v>
      </c>
      <c r="I41" s="75">
        <v>10</v>
      </c>
      <c r="J41" s="75" t="s">
        <v>3</v>
      </c>
      <c r="K41" s="75">
        <v>21</v>
      </c>
      <c r="L41" s="75">
        <v>2</v>
      </c>
      <c r="M41" s="75">
        <v>5</v>
      </c>
      <c r="N41" s="75">
        <v>45</v>
      </c>
      <c r="O41" s="75">
        <v>7</v>
      </c>
      <c r="P41" s="75">
        <v>3</v>
      </c>
      <c r="R41" s="65"/>
      <c r="S41" s="65"/>
      <c r="T41" s="65"/>
    </row>
    <row r="42" spans="1:20" s="81" customFormat="1" ht="14.25" customHeight="1" x14ac:dyDescent="0.3">
      <c r="A42" s="145">
        <v>96</v>
      </c>
      <c r="B42" s="157" t="s">
        <v>259</v>
      </c>
      <c r="C42" s="82" t="s">
        <v>82</v>
      </c>
      <c r="D42" s="75">
        <v>370</v>
      </c>
      <c r="E42" s="75">
        <v>334</v>
      </c>
      <c r="F42" s="75">
        <v>35</v>
      </c>
      <c r="G42" s="75">
        <v>125</v>
      </c>
      <c r="H42" s="75">
        <v>11</v>
      </c>
      <c r="I42" s="75">
        <v>14</v>
      </c>
      <c r="J42" s="75" t="s">
        <v>3</v>
      </c>
      <c r="K42" s="75">
        <v>40</v>
      </c>
      <c r="L42" s="75">
        <v>2</v>
      </c>
      <c r="M42" s="75">
        <v>26</v>
      </c>
      <c r="N42" s="75">
        <v>122</v>
      </c>
      <c r="O42" s="75">
        <v>6</v>
      </c>
      <c r="P42" s="75">
        <v>6</v>
      </c>
      <c r="R42" s="65"/>
      <c r="S42" s="65"/>
      <c r="T42" s="65"/>
    </row>
    <row r="43" spans="1:20" s="81" customFormat="1" ht="14.25" customHeight="1" x14ac:dyDescent="0.3">
      <c r="A43" s="145">
        <v>72</v>
      </c>
      <c r="B43" s="157" t="s">
        <v>258</v>
      </c>
      <c r="C43" s="148" t="s">
        <v>310</v>
      </c>
      <c r="D43" s="75">
        <v>12</v>
      </c>
      <c r="E43" s="75">
        <v>41</v>
      </c>
      <c r="F43" s="75">
        <v>0</v>
      </c>
      <c r="G43" s="75">
        <v>3</v>
      </c>
      <c r="H43" s="75">
        <v>0</v>
      </c>
      <c r="I43" s="75">
        <v>5</v>
      </c>
      <c r="J43" s="75" t="s">
        <v>3</v>
      </c>
      <c r="K43" s="75">
        <v>6</v>
      </c>
      <c r="L43" s="75">
        <v>0</v>
      </c>
      <c r="M43" s="75">
        <v>0</v>
      </c>
      <c r="N43" s="75">
        <v>0</v>
      </c>
      <c r="O43" s="75">
        <v>0</v>
      </c>
      <c r="P43" s="75">
        <v>0</v>
      </c>
    </row>
    <row r="44" spans="1:20" s="67" customFormat="1" ht="14.25" customHeight="1" x14ac:dyDescent="0.35">
      <c r="A44" s="147"/>
      <c r="B44" s="158"/>
      <c r="C44" s="62" t="s">
        <v>188</v>
      </c>
      <c r="D44" s="70">
        <v>12936</v>
      </c>
      <c r="E44" s="70">
        <v>510</v>
      </c>
      <c r="F44" s="70">
        <v>422</v>
      </c>
      <c r="G44" s="70">
        <v>3199</v>
      </c>
      <c r="H44" s="70">
        <v>285</v>
      </c>
      <c r="I44" s="70">
        <v>20</v>
      </c>
      <c r="J44" s="75" t="s">
        <v>3</v>
      </c>
      <c r="K44" s="70">
        <v>449</v>
      </c>
      <c r="L44" s="70">
        <v>39</v>
      </c>
      <c r="M44" s="70">
        <v>120</v>
      </c>
      <c r="N44" s="70">
        <v>1369</v>
      </c>
      <c r="O44" s="70">
        <v>79</v>
      </c>
      <c r="P44" s="70">
        <v>94</v>
      </c>
      <c r="Q44" s="81"/>
    </row>
    <row r="45" spans="1:20" s="81" customFormat="1" ht="14.25" customHeight="1" x14ac:dyDescent="0.3">
      <c r="A45" s="145">
        <v>66</v>
      </c>
      <c r="B45" s="157" t="s">
        <v>256</v>
      </c>
      <c r="C45" s="73" t="s">
        <v>28</v>
      </c>
      <c r="D45" s="87">
        <v>1673</v>
      </c>
      <c r="E45" s="87">
        <v>34</v>
      </c>
      <c r="F45" s="87">
        <v>68</v>
      </c>
      <c r="G45" s="75">
        <v>462</v>
      </c>
      <c r="H45" s="75">
        <v>40</v>
      </c>
      <c r="I45" s="75">
        <v>1</v>
      </c>
      <c r="J45" s="75" t="s">
        <v>3</v>
      </c>
      <c r="K45" s="75">
        <v>66</v>
      </c>
      <c r="L45" s="75">
        <v>6</v>
      </c>
      <c r="M45" s="75">
        <v>9</v>
      </c>
      <c r="N45" s="75">
        <v>160</v>
      </c>
      <c r="O45" s="75">
        <v>14</v>
      </c>
      <c r="P45" s="75">
        <v>7</v>
      </c>
    </row>
    <row r="46" spans="1:20" s="81" customFormat="1" ht="14.25" customHeight="1" x14ac:dyDescent="0.3">
      <c r="A46" s="145">
        <v>78</v>
      </c>
      <c r="B46" s="157" t="s">
        <v>255</v>
      </c>
      <c r="C46" s="73" t="s">
        <v>26</v>
      </c>
      <c r="D46" s="87">
        <v>824</v>
      </c>
      <c r="E46" s="87">
        <v>205</v>
      </c>
      <c r="F46" s="87">
        <v>45</v>
      </c>
      <c r="G46" s="75">
        <v>383</v>
      </c>
      <c r="H46" s="75">
        <v>26</v>
      </c>
      <c r="I46" s="75">
        <v>0</v>
      </c>
      <c r="J46" s="75" t="s">
        <v>3</v>
      </c>
      <c r="K46" s="75">
        <v>37</v>
      </c>
      <c r="L46" s="75">
        <v>5</v>
      </c>
      <c r="M46" s="75">
        <v>17</v>
      </c>
      <c r="N46" s="75">
        <v>112</v>
      </c>
      <c r="O46" s="75">
        <v>16</v>
      </c>
      <c r="P46" s="75">
        <v>5</v>
      </c>
    </row>
    <row r="47" spans="1:20" s="81" customFormat="1" ht="14.25" customHeight="1" x14ac:dyDescent="0.3">
      <c r="A47" s="145">
        <v>89</v>
      </c>
      <c r="B47" s="157" t="s">
        <v>254</v>
      </c>
      <c r="C47" s="73" t="s">
        <v>24</v>
      </c>
      <c r="D47" s="75">
        <v>729</v>
      </c>
      <c r="E47" s="75">
        <v>95</v>
      </c>
      <c r="F47" s="75">
        <v>38</v>
      </c>
      <c r="G47" s="75">
        <v>227</v>
      </c>
      <c r="H47" s="75">
        <v>17</v>
      </c>
      <c r="I47" s="75">
        <v>5</v>
      </c>
      <c r="J47" s="75" t="s">
        <v>3</v>
      </c>
      <c r="K47" s="75">
        <v>25</v>
      </c>
      <c r="L47" s="75">
        <v>4</v>
      </c>
      <c r="M47" s="75">
        <v>8</v>
      </c>
      <c r="N47" s="75">
        <v>144</v>
      </c>
      <c r="O47" s="75">
        <v>9</v>
      </c>
      <c r="P47" s="75">
        <v>4</v>
      </c>
    </row>
    <row r="48" spans="1:20" s="81" customFormat="1" ht="14.25" customHeight="1" x14ac:dyDescent="0.3">
      <c r="A48" s="145">
        <v>93</v>
      </c>
      <c r="B48" s="157" t="s">
        <v>253</v>
      </c>
      <c r="C48" s="73" t="s">
        <v>189</v>
      </c>
      <c r="D48" s="75">
        <v>821</v>
      </c>
      <c r="E48" s="75">
        <v>10</v>
      </c>
      <c r="F48" s="75">
        <v>39</v>
      </c>
      <c r="G48" s="75">
        <v>270</v>
      </c>
      <c r="H48" s="75">
        <v>16</v>
      </c>
      <c r="I48" s="75">
        <v>1</v>
      </c>
      <c r="J48" s="75" t="s">
        <v>3</v>
      </c>
      <c r="K48" s="75">
        <v>30</v>
      </c>
      <c r="L48" s="75">
        <v>3</v>
      </c>
      <c r="M48" s="75">
        <v>11</v>
      </c>
      <c r="N48" s="75">
        <v>96</v>
      </c>
      <c r="O48" s="75">
        <v>6</v>
      </c>
      <c r="P48" s="75">
        <v>2</v>
      </c>
    </row>
    <row r="49" spans="1:24" s="81" customFormat="1" ht="14.25" customHeight="1" x14ac:dyDescent="0.3">
      <c r="A49" s="145">
        <v>95</v>
      </c>
      <c r="B49" s="157" t="s">
        <v>252</v>
      </c>
      <c r="C49" s="73" t="s">
        <v>20</v>
      </c>
      <c r="D49" s="75">
        <v>1716</v>
      </c>
      <c r="E49" s="75">
        <v>0</v>
      </c>
      <c r="F49" s="75">
        <v>63</v>
      </c>
      <c r="G49" s="75">
        <v>543</v>
      </c>
      <c r="H49" s="75">
        <v>39</v>
      </c>
      <c r="I49" s="75">
        <v>0</v>
      </c>
      <c r="J49" s="75" t="s">
        <v>3</v>
      </c>
      <c r="K49" s="75">
        <v>59</v>
      </c>
      <c r="L49" s="75">
        <v>4</v>
      </c>
      <c r="M49" s="75">
        <v>19</v>
      </c>
      <c r="N49" s="75">
        <v>108</v>
      </c>
      <c r="O49" s="75">
        <v>17</v>
      </c>
      <c r="P49" s="75">
        <v>10</v>
      </c>
    </row>
    <row r="50" spans="1:24" s="81" customFormat="1" ht="14.25" customHeight="1" x14ac:dyDescent="0.3">
      <c r="A50" s="145">
        <v>97</v>
      </c>
      <c r="B50" s="157" t="s">
        <v>251</v>
      </c>
      <c r="C50" s="82" t="s">
        <v>18</v>
      </c>
      <c r="D50" s="75">
        <v>1358</v>
      </c>
      <c r="E50" s="75">
        <v>166</v>
      </c>
      <c r="F50" s="75">
        <v>52</v>
      </c>
      <c r="G50" s="75">
        <v>335</v>
      </c>
      <c r="H50" s="75">
        <v>34</v>
      </c>
      <c r="I50" s="75">
        <v>13</v>
      </c>
      <c r="J50" s="75" t="s">
        <v>3</v>
      </c>
      <c r="K50" s="75">
        <v>63</v>
      </c>
      <c r="L50" s="75">
        <v>6</v>
      </c>
      <c r="M50" s="75">
        <v>9</v>
      </c>
      <c r="N50" s="75">
        <v>370</v>
      </c>
      <c r="O50" s="75">
        <v>17</v>
      </c>
      <c r="P50" s="75">
        <v>17</v>
      </c>
    </row>
    <row r="51" spans="1:24" s="81" customFormat="1" ht="14.25" customHeight="1" x14ac:dyDescent="0.35">
      <c r="A51" s="146">
        <v>77</v>
      </c>
      <c r="B51" s="156" t="s">
        <v>250</v>
      </c>
      <c r="C51" s="89" t="s">
        <v>190</v>
      </c>
      <c r="D51" s="91">
        <v>5815</v>
      </c>
      <c r="E51" s="91">
        <v>0</v>
      </c>
      <c r="F51" s="91">
        <v>117</v>
      </c>
      <c r="G51" s="92">
        <v>979</v>
      </c>
      <c r="H51" s="92">
        <v>113</v>
      </c>
      <c r="I51" s="92">
        <v>0</v>
      </c>
      <c r="J51" s="75" t="s">
        <v>3</v>
      </c>
      <c r="K51" s="92">
        <v>169</v>
      </c>
      <c r="L51" s="92">
        <v>11</v>
      </c>
      <c r="M51" s="92">
        <v>47</v>
      </c>
      <c r="N51" s="92">
        <v>379</v>
      </c>
      <c r="O51" s="92">
        <v>0</v>
      </c>
      <c r="P51" s="92">
        <v>49</v>
      </c>
    </row>
    <row r="52" spans="1:24" s="65" customFormat="1" ht="6" customHeight="1" x14ac:dyDescent="0.35">
      <c r="A52" s="145"/>
      <c r="B52" s="152"/>
      <c r="C52" s="93"/>
      <c r="D52" s="94"/>
      <c r="E52" s="95"/>
      <c r="F52" s="95"/>
      <c r="G52" s="95"/>
      <c r="H52" s="96"/>
      <c r="I52" s="93"/>
      <c r="J52" s="93"/>
      <c r="K52" s="93"/>
      <c r="L52" s="93"/>
      <c r="M52" s="93"/>
      <c r="N52" s="93"/>
      <c r="O52" s="93"/>
      <c r="P52" s="93"/>
      <c r="Q52" s="93"/>
      <c r="U52" s="81"/>
      <c r="V52" s="81"/>
      <c r="W52" s="81"/>
      <c r="X52" s="81"/>
    </row>
    <row r="53" spans="1:24" s="81" customFormat="1" ht="14" x14ac:dyDescent="0.35">
      <c r="A53" s="145"/>
      <c r="B53" s="152"/>
      <c r="C53" s="73" t="s">
        <v>249</v>
      </c>
      <c r="D53" s="98"/>
      <c r="E53" s="98"/>
      <c r="G53" s="154"/>
      <c r="H53" s="73"/>
      <c r="I53" s="82"/>
      <c r="J53" s="82"/>
      <c r="K53" s="82"/>
      <c r="L53" s="82"/>
      <c r="M53" s="82"/>
      <c r="N53" s="82"/>
      <c r="O53" s="82"/>
      <c r="P53" s="82"/>
      <c r="Q53" s="82"/>
      <c r="R53" s="65"/>
      <c r="S53" s="65"/>
      <c r="T53" s="65"/>
      <c r="U53" s="65"/>
    </row>
    <row r="54" spans="1:24" s="81" customFormat="1" ht="14" x14ac:dyDescent="0.35">
      <c r="A54" s="145"/>
      <c r="B54" s="152"/>
      <c r="C54" s="82" t="s">
        <v>248</v>
      </c>
      <c r="D54" s="98"/>
      <c r="E54" s="98"/>
      <c r="F54" s="87"/>
      <c r="G54" s="87"/>
      <c r="H54" s="73"/>
      <c r="I54" s="82"/>
      <c r="J54" s="82"/>
      <c r="K54" s="82"/>
      <c r="L54" s="82"/>
      <c r="M54" s="82"/>
      <c r="N54" s="82"/>
      <c r="O54" s="82"/>
      <c r="P54" s="82"/>
      <c r="Q54" s="82"/>
      <c r="R54" s="65"/>
      <c r="S54" s="65"/>
      <c r="T54" s="65"/>
      <c r="U54" s="65"/>
    </row>
    <row r="55" spans="1:24" s="81" customFormat="1" ht="15" customHeight="1" x14ac:dyDescent="0.35">
      <c r="A55" s="145"/>
      <c r="B55" s="152"/>
      <c r="C55" s="100" t="s">
        <v>247</v>
      </c>
      <c r="D55" s="98"/>
      <c r="E55" s="98"/>
      <c r="F55" s="87"/>
      <c r="G55" s="87"/>
      <c r="H55" s="73"/>
      <c r="I55" s="82"/>
      <c r="J55" s="82"/>
      <c r="K55" s="82"/>
      <c r="L55" s="82"/>
      <c r="M55" s="82"/>
      <c r="N55" s="82"/>
      <c r="O55" s="82"/>
      <c r="P55" s="82"/>
      <c r="Q55" s="82"/>
      <c r="R55" s="65"/>
      <c r="S55" s="65"/>
      <c r="T55" s="65"/>
      <c r="U55" s="65"/>
    </row>
    <row r="56" spans="1:24" s="81" customFormat="1" ht="14" x14ac:dyDescent="0.35">
      <c r="A56" s="145"/>
      <c r="B56" s="152"/>
      <c r="C56" s="82" t="s">
        <v>309</v>
      </c>
      <c r="D56" s="98"/>
      <c r="E56" s="98"/>
      <c r="F56" s="87"/>
      <c r="G56" s="87"/>
      <c r="H56" s="73"/>
      <c r="I56" s="82"/>
      <c r="J56" s="82"/>
      <c r="K56" s="82"/>
      <c r="L56" s="82"/>
      <c r="M56" s="82"/>
      <c r="N56" s="82"/>
      <c r="O56" s="82"/>
      <c r="P56" s="82"/>
      <c r="Q56" s="82"/>
      <c r="R56" s="65"/>
      <c r="S56" s="65"/>
      <c r="T56" s="65"/>
      <c r="U56" s="65"/>
    </row>
    <row r="57" spans="1:24" s="81" customFormat="1" ht="24" customHeight="1" x14ac:dyDescent="0.35">
      <c r="A57" s="145"/>
      <c r="B57" s="152"/>
      <c r="C57" s="375" t="s">
        <v>308</v>
      </c>
      <c r="D57" s="375"/>
      <c r="E57" s="375"/>
      <c r="F57" s="375"/>
      <c r="G57" s="375"/>
      <c r="H57" s="375"/>
      <c r="I57" s="375"/>
      <c r="J57" s="375"/>
      <c r="K57" s="375"/>
      <c r="L57" s="375"/>
      <c r="M57" s="375"/>
      <c r="N57" s="375"/>
      <c r="O57" s="375"/>
      <c r="P57" s="375"/>
      <c r="Q57" s="82"/>
      <c r="R57" s="65"/>
      <c r="S57" s="65"/>
      <c r="T57" s="65"/>
      <c r="U57" s="65"/>
    </row>
    <row r="58" spans="1:24" s="81" customFormat="1" ht="14" x14ac:dyDescent="0.35">
      <c r="A58" s="145"/>
      <c r="B58" s="152"/>
      <c r="C58" s="82" t="s">
        <v>244</v>
      </c>
      <c r="D58" s="98"/>
      <c r="E58" s="98"/>
      <c r="F58" s="87"/>
      <c r="G58" s="87"/>
      <c r="H58" s="73"/>
      <c r="I58" s="82"/>
      <c r="J58" s="82"/>
      <c r="K58" s="82"/>
      <c r="L58" s="82"/>
      <c r="M58" s="82"/>
      <c r="N58" s="82"/>
      <c r="O58" s="82"/>
      <c r="P58" s="82"/>
      <c r="Q58" s="82"/>
      <c r="R58" s="65"/>
      <c r="S58" s="65"/>
      <c r="T58" s="65"/>
      <c r="U58" s="65"/>
    </row>
    <row r="59" spans="1:24" s="81" customFormat="1" ht="14" x14ac:dyDescent="0.35">
      <c r="A59" s="145"/>
      <c r="B59" s="152"/>
      <c r="C59" s="73" t="s">
        <v>307</v>
      </c>
      <c r="D59" s="98"/>
      <c r="E59" s="98"/>
      <c r="F59" s="87"/>
      <c r="G59" s="87"/>
      <c r="H59" s="73"/>
      <c r="I59" s="82"/>
      <c r="J59" s="82"/>
      <c r="K59" s="82"/>
      <c r="L59" s="82"/>
      <c r="M59" s="82"/>
      <c r="N59" s="82"/>
      <c r="O59" s="82"/>
      <c r="P59" s="82"/>
      <c r="Q59" s="82"/>
      <c r="R59" s="65"/>
      <c r="S59" s="65"/>
      <c r="T59" s="65"/>
      <c r="U59" s="65"/>
    </row>
    <row r="60" spans="1:24" s="81" customFormat="1" ht="14" x14ac:dyDescent="0.35">
      <c r="A60" s="145"/>
      <c r="B60" s="152"/>
      <c r="C60" s="73" t="s">
        <v>306</v>
      </c>
      <c r="D60" s="98"/>
      <c r="E60" s="98"/>
      <c r="F60" s="87"/>
      <c r="G60" s="87"/>
      <c r="H60" s="73"/>
      <c r="I60" s="82"/>
      <c r="J60" s="82"/>
      <c r="K60" s="82"/>
      <c r="L60" s="82"/>
      <c r="M60" s="82"/>
      <c r="N60" s="82"/>
      <c r="O60" s="82"/>
      <c r="P60" s="82"/>
      <c r="Q60" s="82"/>
      <c r="R60" s="65"/>
      <c r="S60" s="65"/>
      <c r="T60" s="65"/>
      <c r="U60" s="65"/>
    </row>
    <row r="61" spans="1:24" s="81" customFormat="1" ht="15" customHeight="1" x14ac:dyDescent="0.35">
      <c r="A61" s="145"/>
      <c r="B61" s="152"/>
      <c r="C61" s="100" t="s">
        <v>305</v>
      </c>
      <c r="D61" s="98"/>
      <c r="E61" s="98"/>
      <c r="F61" s="87"/>
      <c r="G61" s="87"/>
      <c r="H61" s="73"/>
      <c r="I61" s="82"/>
      <c r="J61" s="93"/>
      <c r="K61" s="82"/>
      <c r="L61" s="82"/>
      <c r="M61" s="82"/>
      <c r="N61" s="82"/>
      <c r="O61" s="82"/>
      <c r="P61" s="82"/>
      <c r="Q61" s="82"/>
      <c r="R61" s="65"/>
      <c r="S61" s="65"/>
      <c r="T61" s="65"/>
      <c r="U61" s="65"/>
    </row>
    <row r="62" spans="1:24" s="81" customFormat="1" ht="15" customHeight="1" x14ac:dyDescent="0.35">
      <c r="A62" s="145"/>
      <c r="B62" s="152"/>
      <c r="C62" s="100"/>
      <c r="D62" s="98"/>
      <c r="E62" s="98"/>
      <c r="F62" s="87"/>
      <c r="G62" s="87"/>
      <c r="H62" s="73"/>
      <c r="I62" s="82"/>
      <c r="J62" s="93"/>
      <c r="K62" s="82"/>
      <c r="L62" s="82"/>
      <c r="M62" s="82"/>
      <c r="N62" s="82"/>
      <c r="O62" s="82"/>
      <c r="P62" s="82"/>
      <c r="Q62" s="82"/>
      <c r="R62" s="65"/>
      <c r="S62" s="65"/>
      <c r="T62" s="65"/>
      <c r="U62" s="65"/>
    </row>
    <row r="63" spans="1:24" s="81" customFormat="1" ht="14" x14ac:dyDescent="0.35">
      <c r="A63" s="145"/>
      <c r="B63" s="152"/>
      <c r="C63" s="82" t="s">
        <v>223</v>
      </c>
      <c r="D63" s="98"/>
      <c r="E63" s="87"/>
      <c r="F63" s="87"/>
      <c r="G63" s="87"/>
      <c r="H63" s="73"/>
      <c r="I63" s="82"/>
      <c r="J63" s="93"/>
      <c r="K63" s="82"/>
      <c r="L63" s="82"/>
      <c r="M63" s="82"/>
      <c r="N63" s="82"/>
      <c r="O63" s="82"/>
      <c r="P63" s="82"/>
      <c r="Q63" s="82"/>
      <c r="R63" s="65"/>
      <c r="S63" s="65"/>
      <c r="T63" s="65"/>
      <c r="U63" s="65"/>
      <c r="V63" s="65"/>
      <c r="W63" s="65"/>
      <c r="X63" s="65"/>
    </row>
    <row r="64" spans="1:24" s="65" customFormat="1" ht="14" x14ac:dyDescent="0.35">
      <c r="A64" s="145"/>
      <c r="B64" s="152"/>
      <c r="D64" s="101"/>
      <c r="E64" s="95"/>
      <c r="F64" s="95"/>
      <c r="G64" s="95"/>
      <c r="H64" s="93"/>
      <c r="I64" s="93"/>
      <c r="J64" s="93"/>
    </row>
    <row r="65" spans="1:16" s="65" customFormat="1" ht="14" x14ac:dyDescent="0.35">
      <c r="A65" s="145"/>
      <c r="B65" s="152"/>
      <c r="C65" s="93"/>
      <c r="D65" s="94"/>
      <c r="E65" s="95"/>
      <c r="F65" s="95"/>
      <c r="G65" s="95"/>
      <c r="H65" s="93"/>
      <c r="I65" s="93"/>
      <c r="J65" s="93"/>
    </row>
    <row r="66" spans="1:16" s="65" customFormat="1" ht="14" x14ac:dyDescent="0.35">
      <c r="A66" s="145"/>
      <c r="B66" s="152"/>
      <c r="C66" s="93"/>
      <c r="D66" s="94"/>
      <c r="E66" s="95"/>
      <c r="F66" s="95"/>
      <c r="G66" s="95"/>
      <c r="H66" s="93"/>
      <c r="I66" s="93"/>
      <c r="J66" s="93"/>
    </row>
    <row r="67" spans="1:16" s="65" customFormat="1" ht="14" x14ac:dyDescent="0.35">
      <c r="A67" s="145"/>
      <c r="B67" s="152"/>
      <c r="C67" s="93"/>
      <c r="D67" s="94"/>
      <c r="E67" s="95"/>
      <c r="F67" s="95"/>
      <c r="G67" s="95"/>
      <c r="H67" s="93"/>
      <c r="I67" s="93"/>
      <c r="J67" s="93"/>
    </row>
    <row r="68" spans="1:16" s="65" customFormat="1" ht="14" x14ac:dyDescent="0.35">
      <c r="A68" s="145"/>
      <c r="B68" s="152"/>
      <c r="C68" s="93"/>
      <c r="D68" s="94"/>
      <c r="E68" s="95"/>
      <c r="F68" s="95"/>
      <c r="G68" s="95"/>
      <c r="H68" s="93"/>
      <c r="I68" s="93"/>
      <c r="J68" s="93"/>
    </row>
    <row r="69" spans="1:16" s="65" customFormat="1" ht="14" x14ac:dyDescent="0.35">
      <c r="A69" s="145"/>
      <c r="B69" s="152"/>
      <c r="C69" s="265" t="s">
        <v>59</v>
      </c>
      <c r="D69" s="267">
        <v>275</v>
      </c>
      <c r="E69" s="267">
        <v>368</v>
      </c>
      <c r="F69" s="267">
        <v>26</v>
      </c>
      <c r="G69" s="267">
        <v>148</v>
      </c>
      <c r="H69" s="267">
        <v>7</v>
      </c>
      <c r="I69" s="267">
        <v>19</v>
      </c>
      <c r="J69" s="267" t="s">
        <v>3</v>
      </c>
      <c r="K69" s="267">
        <v>40</v>
      </c>
      <c r="L69" s="267">
        <v>2</v>
      </c>
      <c r="M69" s="267">
        <v>9</v>
      </c>
      <c r="N69" s="267">
        <v>77</v>
      </c>
      <c r="O69" s="267">
        <v>5</v>
      </c>
      <c r="P69" s="267">
        <v>6</v>
      </c>
    </row>
    <row r="70" spans="1:16" s="65" customFormat="1" ht="14" x14ac:dyDescent="0.35">
      <c r="A70" s="145"/>
      <c r="B70" s="152"/>
      <c r="C70" s="265" t="s">
        <v>30</v>
      </c>
      <c r="D70" s="267">
        <v>215</v>
      </c>
      <c r="E70" s="267">
        <v>337</v>
      </c>
      <c r="F70" s="267">
        <v>24</v>
      </c>
      <c r="G70" s="267">
        <v>118</v>
      </c>
      <c r="H70" s="267">
        <v>6</v>
      </c>
      <c r="I70" s="267">
        <v>18</v>
      </c>
      <c r="J70" s="267" t="s">
        <v>3</v>
      </c>
      <c r="K70" s="267">
        <v>36</v>
      </c>
      <c r="L70" s="267">
        <v>2</v>
      </c>
      <c r="M70" s="267">
        <v>18</v>
      </c>
      <c r="N70" s="267">
        <v>87</v>
      </c>
      <c r="O70" s="267">
        <v>5</v>
      </c>
      <c r="P70" s="267">
        <v>2</v>
      </c>
    </row>
    <row r="71" spans="1:16" s="65" customFormat="1" ht="14" x14ac:dyDescent="0.35">
      <c r="A71" s="145"/>
      <c r="B71" s="152"/>
      <c r="C71" s="93"/>
      <c r="D71" s="93"/>
      <c r="E71" s="95"/>
      <c r="F71" s="95"/>
      <c r="G71" s="95"/>
      <c r="H71" s="93"/>
      <c r="I71" s="93"/>
      <c r="J71" s="93"/>
    </row>
    <row r="72" spans="1:16" s="65" customFormat="1" ht="14" x14ac:dyDescent="0.35">
      <c r="A72" s="145"/>
      <c r="B72" s="152"/>
      <c r="C72" s="93"/>
      <c r="D72" s="93"/>
      <c r="E72" s="95"/>
      <c r="F72" s="95"/>
      <c r="G72" s="95"/>
      <c r="H72" s="93"/>
      <c r="I72" s="93"/>
      <c r="J72" s="93"/>
    </row>
    <row r="73" spans="1:16" s="65" customFormat="1" ht="14" x14ac:dyDescent="0.35">
      <c r="A73" s="145"/>
      <c r="B73" s="152"/>
      <c r="C73" s="93"/>
      <c r="D73" s="93"/>
      <c r="E73" s="95"/>
      <c r="F73" s="95"/>
      <c r="G73" s="95"/>
      <c r="H73" s="93"/>
      <c r="I73" s="93"/>
      <c r="J73" s="93"/>
    </row>
    <row r="74" spans="1:16" s="65" customFormat="1" ht="14" x14ac:dyDescent="0.35">
      <c r="A74" s="145"/>
      <c r="B74" s="152"/>
      <c r="C74" s="93"/>
      <c r="D74" s="93"/>
      <c r="E74" s="95"/>
      <c r="F74" s="95"/>
      <c r="G74" s="95"/>
      <c r="H74" s="93"/>
      <c r="I74" s="93"/>
      <c r="J74" s="93"/>
    </row>
    <row r="75" spans="1:16" s="65" customFormat="1" ht="14" x14ac:dyDescent="0.35">
      <c r="A75" s="145"/>
      <c r="B75" s="152"/>
      <c r="C75" s="93"/>
      <c r="D75" s="93"/>
      <c r="E75" s="95"/>
      <c r="F75" s="95"/>
      <c r="G75" s="95"/>
      <c r="H75" s="93"/>
      <c r="I75" s="93"/>
      <c r="J75" s="93"/>
    </row>
    <row r="76" spans="1:16" s="65" customFormat="1" ht="14" x14ac:dyDescent="0.35">
      <c r="A76" s="145"/>
      <c r="B76" s="152"/>
      <c r="C76" s="93"/>
      <c r="D76" s="93"/>
      <c r="E76" s="95"/>
      <c r="F76" s="95"/>
      <c r="G76" s="95"/>
      <c r="H76" s="93"/>
      <c r="I76" s="93"/>
      <c r="J76" s="93"/>
    </row>
    <row r="77" spans="1:16" s="65" customFormat="1" ht="14" x14ac:dyDescent="0.35">
      <c r="A77" s="145"/>
      <c r="B77" s="152"/>
      <c r="C77" s="93"/>
      <c r="D77" s="93"/>
      <c r="E77" s="95"/>
      <c r="F77" s="95"/>
      <c r="G77" s="95"/>
      <c r="H77" s="93"/>
      <c r="I77" s="93"/>
      <c r="J77" s="93"/>
    </row>
    <row r="78" spans="1:16" s="65" customFormat="1" ht="14" x14ac:dyDescent="0.35">
      <c r="A78" s="145"/>
      <c r="B78" s="152"/>
      <c r="C78" s="93"/>
      <c r="D78" s="93"/>
      <c r="E78" s="95"/>
      <c r="F78" s="95"/>
      <c r="G78" s="95"/>
      <c r="H78" s="93"/>
      <c r="I78" s="93"/>
      <c r="J78" s="93"/>
    </row>
    <row r="79" spans="1:16" s="65" customFormat="1" ht="14" x14ac:dyDescent="0.35">
      <c r="A79" s="145"/>
      <c r="B79" s="152"/>
      <c r="C79" s="93"/>
      <c r="D79" s="93"/>
      <c r="E79" s="95"/>
      <c r="F79" s="95"/>
      <c r="G79" s="95"/>
      <c r="H79" s="93"/>
      <c r="I79" s="93"/>
      <c r="J79" s="93"/>
    </row>
    <row r="80" spans="1:16" s="65" customFormat="1" ht="14" x14ac:dyDescent="0.35">
      <c r="A80" s="145"/>
      <c r="B80" s="152"/>
      <c r="C80" s="93"/>
      <c r="D80" s="93"/>
      <c r="E80" s="95"/>
      <c r="F80" s="95"/>
      <c r="G80" s="95"/>
      <c r="H80" s="93"/>
      <c r="I80" s="93"/>
      <c r="J80" s="93"/>
    </row>
    <row r="81" spans="1:10" s="65" customFormat="1" ht="14" x14ac:dyDescent="0.35">
      <c r="A81" s="145"/>
      <c r="B81" s="152"/>
      <c r="C81" s="93"/>
      <c r="D81" s="93"/>
      <c r="E81" s="95"/>
      <c r="F81" s="95"/>
      <c r="G81" s="95"/>
      <c r="H81" s="93"/>
      <c r="I81" s="93"/>
      <c r="J81" s="93"/>
    </row>
    <row r="82" spans="1:10" s="65" customFormat="1" ht="14" x14ac:dyDescent="0.35">
      <c r="A82" s="145"/>
      <c r="B82" s="152"/>
      <c r="C82" s="93"/>
      <c r="D82" s="93"/>
      <c r="E82" s="95"/>
      <c r="F82" s="95"/>
      <c r="G82" s="95"/>
      <c r="H82" s="93"/>
      <c r="I82" s="93"/>
      <c r="J82" s="93"/>
    </row>
    <row r="83" spans="1:10" s="65" customFormat="1" ht="14" x14ac:dyDescent="0.35">
      <c r="A83" s="145"/>
      <c r="B83" s="152"/>
      <c r="C83" s="93"/>
      <c r="D83" s="93"/>
      <c r="E83" s="95"/>
      <c r="F83" s="95"/>
      <c r="G83" s="95"/>
      <c r="H83" s="93"/>
      <c r="I83" s="93"/>
      <c r="J83" s="93"/>
    </row>
    <row r="84" spans="1:10" s="65" customFormat="1" ht="14" x14ac:dyDescent="0.35">
      <c r="A84" s="145"/>
      <c r="B84" s="152"/>
      <c r="C84" s="93"/>
      <c r="D84" s="93"/>
      <c r="E84" s="95"/>
      <c r="F84" s="95"/>
      <c r="G84" s="95"/>
      <c r="H84" s="93"/>
      <c r="I84" s="93"/>
      <c r="J84" s="93"/>
    </row>
    <row r="85" spans="1:10" s="65" customFormat="1" ht="14" x14ac:dyDescent="0.35">
      <c r="A85" s="145"/>
      <c r="B85" s="152"/>
      <c r="C85" s="93"/>
      <c r="D85" s="93"/>
      <c r="E85" s="95"/>
      <c r="F85" s="95"/>
      <c r="G85" s="95"/>
      <c r="H85" s="93"/>
      <c r="I85" s="93"/>
      <c r="J85" s="93"/>
    </row>
    <row r="86" spans="1:10" s="65" customFormat="1" ht="14" x14ac:dyDescent="0.35">
      <c r="A86" s="145"/>
      <c r="B86" s="152"/>
      <c r="C86" s="93"/>
      <c r="D86" s="93"/>
      <c r="E86" s="95"/>
      <c r="F86" s="95"/>
      <c r="G86" s="95"/>
      <c r="H86" s="93"/>
      <c r="I86" s="93"/>
      <c r="J86" s="93"/>
    </row>
    <row r="87" spans="1:10" s="65" customFormat="1" ht="14" x14ac:dyDescent="0.35">
      <c r="A87" s="145"/>
      <c r="B87" s="152"/>
      <c r="C87" s="93"/>
      <c r="D87" s="93"/>
      <c r="E87" s="95"/>
      <c r="F87" s="95"/>
      <c r="G87" s="95"/>
      <c r="H87" s="93"/>
      <c r="I87" s="93"/>
      <c r="J87" s="93"/>
    </row>
    <row r="88" spans="1:10" s="65" customFormat="1" ht="14" x14ac:dyDescent="0.35">
      <c r="A88" s="145"/>
      <c r="B88" s="152"/>
      <c r="C88" s="93"/>
      <c r="D88" s="93"/>
      <c r="E88" s="95"/>
      <c r="F88" s="95"/>
      <c r="G88" s="95"/>
      <c r="H88" s="93"/>
      <c r="I88" s="93"/>
      <c r="J88" s="93"/>
    </row>
    <row r="89" spans="1:10" s="65" customFormat="1" ht="14" x14ac:dyDescent="0.35">
      <c r="A89" s="145"/>
      <c r="B89" s="152"/>
      <c r="C89" s="93"/>
      <c r="D89" s="93"/>
      <c r="E89" s="95"/>
      <c r="F89" s="95"/>
      <c r="G89" s="95"/>
      <c r="H89" s="93"/>
      <c r="I89" s="93"/>
      <c r="J89" s="93"/>
    </row>
    <row r="90" spans="1:10" s="65" customFormat="1" ht="14" x14ac:dyDescent="0.35">
      <c r="A90" s="145"/>
      <c r="B90" s="152"/>
      <c r="C90" s="93"/>
      <c r="D90" s="93"/>
      <c r="E90" s="95"/>
      <c r="F90" s="95"/>
      <c r="G90" s="95"/>
      <c r="H90" s="93"/>
      <c r="I90" s="93"/>
      <c r="J90" s="93"/>
    </row>
    <row r="91" spans="1:10" s="65" customFormat="1" ht="14" x14ac:dyDescent="0.35">
      <c r="A91" s="145"/>
      <c r="B91" s="152"/>
      <c r="C91" s="93"/>
      <c r="D91" s="93"/>
      <c r="E91" s="95"/>
      <c r="F91" s="95"/>
      <c r="G91" s="95"/>
      <c r="H91" s="93"/>
      <c r="I91" s="93"/>
      <c r="J91" s="93"/>
    </row>
    <row r="92" spans="1:10" s="65" customFormat="1" ht="14" x14ac:dyDescent="0.35">
      <c r="A92" s="145"/>
      <c r="B92" s="152"/>
      <c r="C92" s="93"/>
      <c r="D92" s="93"/>
      <c r="E92" s="95"/>
      <c r="F92" s="95"/>
      <c r="G92" s="95"/>
      <c r="H92" s="93"/>
      <c r="I92" s="93"/>
      <c r="J92" s="93"/>
    </row>
    <row r="93" spans="1:10" s="65" customFormat="1" ht="14" x14ac:dyDescent="0.35">
      <c r="A93" s="145"/>
      <c r="B93" s="152"/>
      <c r="C93" s="93"/>
      <c r="D93" s="93"/>
      <c r="E93" s="95"/>
      <c r="F93" s="95"/>
      <c r="G93" s="95"/>
      <c r="H93" s="93"/>
      <c r="I93" s="93"/>
      <c r="J93" s="93"/>
    </row>
    <row r="94" spans="1:10" s="65" customFormat="1" ht="14" x14ac:dyDescent="0.35">
      <c r="A94" s="145"/>
      <c r="B94" s="152"/>
      <c r="C94" s="93"/>
      <c r="D94" s="93"/>
      <c r="E94" s="95"/>
      <c r="F94" s="95"/>
      <c r="G94" s="95"/>
      <c r="H94" s="93"/>
      <c r="I94" s="93"/>
      <c r="J94" s="93"/>
    </row>
    <row r="95" spans="1:10" s="65" customFormat="1" ht="14" x14ac:dyDescent="0.35">
      <c r="A95" s="145"/>
      <c r="B95" s="152"/>
      <c r="C95" s="93"/>
      <c r="D95" s="93"/>
      <c r="E95" s="95"/>
      <c r="F95" s="95"/>
      <c r="G95" s="95"/>
      <c r="H95" s="93"/>
      <c r="I95" s="93"/>
      <c r="J95" s="93"/>
    </row>
    <row r="96" spans="1:10" s="65" customFormat="1" ht="14" x14ac:dyDescent="0.35">
      <c r="A96" s="145"/>
      <c r="B96" s="152"/>
      <c r="C96" s="93"/>
      <c r="D96" s="93"/>
      <c r="E96" s="95"/>
      <c r="F96" s="95"/>
      <c r="G96" s="95"/>
      <c r="H96" s="93"/>
      <c r="I96" s="93"/>
      <c r="J96" s="93"/>
    </row>
    <row r="97" spans="1:10" s="65" customFormat="1" ht="14" x14ac:dyDescent="0.35">
      <c r="A97" s="145"/>
      <c r="B97" s="152"/>
      <c r="C97" s="93"/>
      <c r="D97" s="93"/>
      <c r="E97" s="95"/>
      <c r="F97" s="95"/>
      <c r="G97" s="95"/>
      <c r="H97" s="93"/>
      <c r="I97" s="93"/>
      <c r="J97" s="93"/>
    </row>
    <row r="98" spans="1:10" s="65" customFormat="1" ht="14" x14ac:dyDescent="0.35">
      <c r="A98" s="145"/>
      <c r="B98" s="152"/>
      <c r="C98" s="93"/>
      <c r="D98" s="93"/>
      <c r="E98" s="95"/>
      <c r="F98" s="95"/>
      <c r="G98" s="95"/>
      <c r="H98" s="93"/>
      <c r="I98" s="93"/>
      <c r="J98" s="93"/>
    </row>
    <row r="99" spans="1:10" s="65" customFormat="1" ht="14" x14ac:dyDescent="0.35">
      <c r="A99" s="145"/>
      <c r="B99" s="152"/>
      <c r="C99" s="93"/>
      <c r="D99" s="93"/>
      <c r="E99" s="95"/>
      <c r="F99" s="95"/>
      <c r="G99" s="95"/>
      <c r="H99" s="93"/>
      <c r="I99" s="93"/>
      <c r="J99" s="93"/>
    </row>
    <row r="100" spans="1:10" s="65" customFormat="1" ht="14" x14ac:dyDescent="0.35">
      <c r="A100" s="145"/>
      <c r="B100" s="152"/>
      <c r="C100" s="93"/>
      <c r="D100" s="93"/>
      <c r="E100" s="95"/>
      <c r="F100" s="95"/>
      <c r="G100" s="95"/>
      <c r="H100" s="93"/>
      <c r="I100" s="93"/>
      <c r="J100" s="93"/>
    </row>
    <row r="101" spans="1:10" s="65" customFormat="1" ht="14" x14ac:dyDescent="0.35">
      <c r="A101" s="145"/>
      <c r="B101" s="152"/>
      <c r="C101" s="93"/>
      <c r="D101" s="93"/>
      <c r="E101" s="95"/>
      <c r="F101" s="95"/>
      <c r="G101" s="95"/>
      <c r="H101" s="93"/>
      <c r="I101" s="93"/>
      <c r="J101" s="93"/>
    </row>
    <row r="102" spans="1:10" s="65" customFormat="1" ht="14" x14ac:dyDescent="0.35">
      <c r="A102" s="145"/>
      <c r="B102" s="152"/>
      <c r="C102" s="93"/>
      <c r="D102" s="93"/>
      <c r="E102" s="95"/>
      <c r="F102" s="95"/>
      <c r="G102" s="95"/>
      <c r="H102" s="93"/>
      <c r="I102" s="93"/>
      <c r="J102" s="93"/>
    </row>
    <row r="103" spans="1:10" s="65" customFormat="1" ht="14" x14ac:dyDescent="0.35">
      <c r="A103" s="145"/>
      <c r="B103" s="152"/>
      <c r="C103" s="93"/>
      <c r="D103" s="93"/>
      <c r="E103" s="95"/>
      <c r="F103" s="95"/>
      <c r="G103" s="95"/>
      <c r="H103" s="93"/>
      <c r="I103" s="93"/>
      <c r="J103" s="93"/>
    </row>
    <row r="104" spans="1:10" s="65" customFormat="1" ht="14" x14ac:dyDescent="0.35">
      <c r="A104" s="145"/>
      <c r="B104" s="152"/>
      <c r="C104" s="93"/>
      <c r="D104" s="93"/>
      <c r="E104" s="95"/>
      <c r="F104" s="95"/>
      <c r="G104" s="95"/>
      <c r="H104" s="93"/>
      <c r="I104" s="93"/>
      <c r="J104" s="93"/>
    </row>
    <row r="105" spans="1:10" s="65" customFormat="1" ht="14" x14ac:dyDescent="0.35">
      <c r="A105" s="145"/>
      <c r="B105" s="152"/>
      <c r="C105" s="93"/>
      <c r="D105" s="93"/>
      <c r="E105" s="95"/>
      <c r="F105" s="95"/>
      <c r="G105" s="95"/>
      <c r="H105" s="93"/>
      <c r="I105" s="93"/>
      <c r="J105" s="93"/>
    </row>
    <row r="106" spans="1:10" s="65" customFormat="1" ht="14" x14ac:dyDescent="0.35">
      <c r="A106" s="145"/>
      <c r="B106" s="152"/>
      <c r="C106" s="93"/>
      <c r="D106" s="93"/>
      <c r="E106" s="95"/>
      <c r="F106" s="95"/>
      <c r="G106" s="95"/>
      <c r="H106" s="93"/>
      <c r="I106" s="93"/>
      <c r="J106" s="93"/>
    </row>
    <row r="107" spans="1:10" s="65" customFormat="1" ht="14" x14ac:dyDescent="0.35">
      <c r="A107" s="145"/>
      <c r="B107" s="152"/>
      <c r="C107" s="93"/>
      <c r="D107" s="93"/>
      <c r="E107" s="95"/>
      <c r="F107" s="95"/>
      <c r="G107" s="95"/>
      <c r="H107" s="93"/>
      <c r="I107" s="93"/>
      <c r="J107" s="93"/>
    </row>
    <row r="108" spans="1:10" s="65" customFormat="1" ht="14" x14ac:dyDescent="0.35">
      <c r="A108" s="145"/>
      <c r="B108" s="152"/>
      <c r="C108" s="93"/>
      <c r="D108" s="93"/>
      <c r="E108" s="95"/>
      <c r="F108" s="95"/>
      <c r="G108" s="95"/>
      <c r="H108" s="93"/>
      <c r="I108" s="93"/>
      <c r="J108" s="93"/>
    </row>
    <row r="109" spans="1:10" s="65" customFormat="1" ht="14" x14ac:dyDescent="0.35">
      <c r="A109" s="145"/>
      <c r="B109" s="152"/>
      <c r="C109" s="93"/>
      <c r="D109" s="93"/>
      <c r="E109" s="95"/>
      <c r="F109" s="95"/>
      <c r="G109" s="95"/>
      <c r="H109" s="93"/>
      <c r="I109" s="93"/>
      <c r="J109" s="93"/>
    </row>
    <row r="110" spans="1:10" s="65" customFormat="1" ht="14" x14ac:dyDescent="0.35">
      <c r="A110" s="145"/>
      <c r="B110" s="152"/>
      <c r="C110" s="93"/>
      <c r="D110" s="93"/>
      <c r="E110" s="95"/>
      <c r="F110" s="95"/>
      <c r="G110" s="95"/>
      <c r="H110" s="93"/>
      <c r="I110" s="93"/>
      <c r="J110" s="93"/>
    </row>
    <row r="111" spans="1:10" s="65" customFormat="1" ht="14" x14ac:dyDescent="0.35">
      <c r="A111" s="145"/>
      <c r="B111" s="152"/>
      <c r="C111" s="93"/>
      <c r="D111" s="93"/>
      <c r="E111" s="95"/>
      <c r="F111" s="95"/>
      <c r="G111" s="95"/>
      <c r="H111" s="93"/>
      <c r="I111" s="93"/>
      <c r="J111" s="93"/>
    </row>
    <row r="112" spans="1:10" s="65" customFormat="1" ht="14" x14ac:dyDescent="0.35">
      <c r="A112" s="145"/>
      <c r="B112" s="152"/>
      <c r="C112" s="93"/>
      <c r="D112" s="93"/>
      <c r="E112" s="95"/>
      <c r="F112" s="95"/>
      <c r="G112" s="95"/>
      <c r="H112" s="93"/>
      <c r="I112" s="93"/>
      <c r="J112" s="93"/>
    </row>
    <row r="113" spans="1:10" s="65" customFormat="1" ht="14" x14ac:dyDescent="0.35">
      <c r="A113" s="145"/>
      <c r="B113" s="152"/>
      <c r="C113" s="93"/>
      <c r="D113" s="93"/>
      <c r="E113" s="95"/>
      <c r="F113" s="95"/>
      <c r="G113" s="95"/>
      <c r="H113" s="93"/>
      <c r="I113" s="93"/>
      <c r="J113" s="93"/>
    </row>
    <row r="114" spans="1:10" s="65" customFormat="1" ht="14" x14ac:dyDescent="0.35">
      <c r="A114" s="145"/>
      <c r="B114" s="152"/>
      <c r="C114" s="93"/>
      <c r="D114" s="93"/>
      <c r="E114" s="95"/>
      <c r="F114" s="95"/>
      <c r="G114" s="95"/>
      <c r="H114" s="93"/>
      <c r="I114" s="93"/>
      <c r="J114" s="93"/>
    </row>
    <row r="115" spans="1:10" s="65" customFormat="1" ht="14" x14ac:dyDescent="0.35">
      <c r="A115" s="145"/>
      <c r="B115" s="152"/>
      <c r="C115" s="93"/>
      <c r="D115" s="93"/>
      <c r="E115" s="95"/>
      <c r="F115" s="95"/>
      <c r="G115" s="95"/>
      <c r="H115" s="93"/>
      <c r="I115" s="93"/>
      <c r="J115" s="93"/>
    </row>
    <row r="116" spans="1:10" s="65" customFormat="1" ht="14" x14ac:dyDescent="0.35">
      <c r="A116" s="145"/>
      <c r="B116" s="152"/>
      <c r="C116" s="93"/>
      <c r="D116" s="93"/>
      <c r="E116" s="95"/>
      <c r="F116" s="95"/>
      <c r="G116" s="95"/>
      <c r="H116" s="93"/>
      <c r="I116" s="93"/>
      <c r="J116" s="93"/>
    </row>
    <row r="117" spans="1:10" s="65" customFormat="1" ht="14" x14ac:dyDescent="0.35">
      <c r="A117" s="145"/>
      <c r="B117" s="152"/>
      <c r="C117" s="93"/>
      <c r="D117" s="93"/>
      <c r="E117" s="95"/>
      <c r="F117" s="95"/>
      <c r="G117" s="95"/>
      <c r="H117" s="93"/>
      <c r="I117" s="93"/>
      <c r="J117" s="93"/>
    </row>
    <row r="118" spans="1:10" s="65" customFormat="1" ht="14" x14ac:dyDescent="0.35">
      <c r="A118" s="145"/>
      <c r="B118" s="152"/>
      <c r="C118" s="93"/>
      <c r="D118" s="93"/>
      <c r="E118" s="95"/>
      <c r="F118" s="95"/>
      <c r="G118" s="95"/>
      <c r="H118" s="93"/>
      <c r="I118" s="93"/>
      <c r="J118" s="93"/>
    </row>
    <row r="119" spans="1:10" s="65" customFormat="1" ht="14" x14ac:dyDescent="0.35">
      <c r="A119" s="145"/>
      <c r="B119" s="152"/>
      <c r="C119" s="93"/>
      <c r="D119" s="93"/>
      <c r="E119" s="95"/>
      <c r="F119" s="95"/>
      <c r="G119" s="95"/>
      <c r="H119" s="93"/>
      <c r="I119" s="93"/>
      <c r="J119" s="93"/>
    </row>
    <row r="120" spans="1:10" s="65" customFormat="1" ht="14" x14ac:dyDescent="0.35">
      <c r="A120" s="145"/>
      <c r="B120" s="152"/>
      <c r="C120" s="93"/>
      <c r="D120" s="93"/>
      <c r="E120" s="95"/>
      <c r="F120" s="95"/>
      <c r="G120" s="95"/>
      <c r="H120" s="93"/>
      <c r="I120" s="93"/>
      <c r="J120" s="93"/>
    </row>
    <row r="121" spans="1:10" s="65" customFormat="1" ht="14" x14ac:dyDescent="0.35">
      <c r="A121" s="145"/>
      <c r="B121" s="152"/>
      <c r="C121" s="93"/>
      <c r="D121" s="93"/>
      <c r="E121" s="95"/>
      <c r="F121" s="95"/>
      <c r="G121" s="95"/>
      <c r="H121" s="93"/>
      <c r="I121" s="93"/>
      <c r="J121" s="93"/>
    </row>
    <row r="122" spans="1:10" s="65" customFormat="1" ht="14" x14ac:dyDescent="0.35">
      <c r="A122" s="145"/>
      <c r="B122" s="152"/>
      <c r="C122" s="93"/>
      <c r="D122" s="93"/>
      <c r="E122" s="95"/>
      <c r="F122" s="95"/>
      <c r="G122" s="95"/>
      <c r="H122" s="93"/>
      <c r="I122" s="93"/>
      <c r="J122" s="93"/>
    </row>
    <row r="123" spans="1:10" s="65" customFormat="1" ht="14" x14ac:dyDescent="0.35">
      <c r="A123" s="145"/>
      <c r="B123" s="152"/>
      <c r="C123" s="93"/>
      <c r="D123" s="93"/>
      <c r="E123" s="95"/>
      <c r="F123" s="95"/>
      <c r="G123" s="95"/>
      <c r="H123" s="93"/>
      <c r="I123" s="93"/>
      <c r="J123" s="93"/>
    </row>
    <row r="124" spans="1:10" s="65" customFormat="1" ht="14" x14ac:dyDescent="0.35">
      <c r="A124" s="145"/>
      <c r="B124" s="152"/>
      <c r="C124" s="93"/>
      <c r="D124" s="93"/>
      <c r="E124" s="95"/>
      <c r="F124" s="95"/>
      <c r="G124" s="95"/>
      <c r="H124" s="93"/>
      <c r="I124" s="93"/>
      <c r="J124" s="93"/>
    </row>
    <row r="125" spans="1:10" s="65" customFormat="1" ht="14" x14ac:dyDescent="0.35">
      <c r="A125" s="145"/>
      <c r="B125" s="152"/>
      <c r="C125" s="93"/>
      <c r="D125" s="93"/>
      <c r="E125" s="95"/>
      <c r="F125" s="95"/>
      <c r="G125" s="95"/>
      <c r="H125" s="93"/>
      <c r="I125" s="93"/>
      <c r="J125" s="93"/>
    </row>
    <row r="126" spans="1:10" s="65" customFormat="1" ht="14" x14ac:dyDescent="0.35">
      <c r="A126" s="145"/>
      <c r="B126" s="152"/>
      <c r="C126" s="93"/>
      <c r="D126" s="93"/>
      <c r="E126" s="95"/>
      <c r="F126" s="95"/>
      <c r="G126" s="95"/>
      <c r="H126" s="93"/>
      <c r="I126" s="93"/>
      <c r="J126" s="93"/>
    </row>
    <row r="127" spans="1:10" s="65" customFormat="1" ht="14" x14ac:dyDescent="0.35">
      <c r="A127" s="145"/>
      <c r="B127" s="152"/>
      <c r="C127" s="93"/>
      <c r="D127" s="93"/>
      <c r="E127" s="95"/>
      <c r="F127" s="95"/>
      <c r="G127" s="95"/>
      <c r="H127" s="93"/>
      <c r="I127" s="93"/>
      <c r="J127" s="93"/>
    </row>
    <row r="128" spans="1:10" s="65" customFormat="1" ht="14" x14ac:dyDescent="0.35">
      <c r="A128" s="145"/>
      <c r="B128" s="152"/>
      <c r="C128" s="93"/>
      <c r="D128" s="93"/>
      <c r="E128" s="95"/>
      <c r="F128" s="95"/>
      <c r="G128" s="95"/>
      <c r="H128" s="93"/>
      <c r="I128" s="93"/>
      <c r="J128" s="93"/>
    </row>
    <row r="129" spans="1:10" s="65" customFormat="1" ht="14" x14ac:dyDescent="0.35">
      <c r="A129" s="145"/>
      <c r="B129" s="152"/>
      <c r="C129" s="93"/>
      <c r="D129" s="93"/>
      <c r="E129" s="95"/>
      <c r="F129" s="95"/>
      <c r="G129" s="95"/>
      <c r="H129" s="93"/>
      <c r="I129" s="93"/>
      <c r="J129" s="93"/>
    </row>
    <row r="130" spans="1:10" s="65" customFormat="1" ht="14" x14ac:dyDescent="0.35">
      <c r="A130" s="145"/>
      <c r="B130" s="152"/>
      <c r="C130" s="93"/>
      <c r="D130" s="93"/>
      <c r="E130" s="95"/>
      <c r="F130" s="95"/>
      <c r="G130" s="95"/>
      <c r="H130" s="93"/>
      <c r="I130" s="93"/>
      <c r="J130" s="93"/>
    </row>
    <row r="131" spans="1:10" s="65" customFormat="1" ht="14" x14ac:dyDescent="0.35">
      <c r="A131" s="145"/>
      <c r="B131" s="152"/>
      <c r="C131" s="93"/>
      <c r="D131" s="93"/>
      <c r="E131" s="95"/>
      <c r="F131" s="95"/>
      <c r="G131" s="95"/>
      <c r="H131" s="93"/>
      <c r="I131" s="93"/>
      <c r="J131" s="93"/>
    </row>
    <row r="132" spans="1:10" s="65" customFormat="1" ht="14" x14ac:dyDescent="0.35">
      <c r="A132" s="145"/>
      <c r="B132" s="152"/>
      <c r="C132" s="93"/>
      <c r="D132" s="93"/>
      <c r="E132" s="95"/>
      <c r="F132" s="95"/>
      <c r="G132" s="95"/>
      <c r="H132" s="93"/>
      <c r="I132" s="93"/>
      <c r="J132" s="93"/>
    </row>
    <row r="133" spans="1:10" s="65" customFormat="1" ht="14" x14ac:dyDescent="0.35">
      <c r="A133" s="145"/>
      <c r="B133" s="152"/>
      <c r="C133" s="93"/>
      <c r="D133" s="93"/>
      <c r="E133" s="95"/>
      <c r="F133" s="95"/>
      <c r="G133" s="95"/>
      <c r="H133" s="93"/>
      <c r="I133" s="93"/>
      <c r="J133" s="93"/>
    </row>
    <row r="134" spans="1:10" s="65" customFormat="1" ht="14" x14ac:dyDescent="0.35">
      <c r="A134" s="145"/>
      <c r="B134" s="152"/>
      <c r="C134" s="93"/>
      <c r="D134" s="93"/>
      <c r="E134" s="95"/>
      <c r="F134" s="95"/>
      <c r="G134" s="95"/>
      <c r="H134" s="93"/>
      <c r="I134" s="93"/>
      <c r="J134" s="93"/>
    </row>
    <row r="135" spans="1:10" s="65" customFormat="1" ht="14" x14ac:dyDescent="0.35">
      <c r="A135" s="145"/>
      <c r="B135" s="152"/>
      <c r="C135" s="93"/>
      <c r="D135" s="93"/>
      <c r="E135" s="95"/>
      <c r="F135" s="95"/>
      <c r="G135" s="95"/>
      <c r="H135" s="93"/>
      <c r="I135" s="93"/>
      <c r="J135" s="93"/>
    </row>
    <row r="136" spans="1:10" s="65" customFormat="1" ht="14" x14ac:dyDescent="0.35">
      <c r="A136" s="145"/>
      <c r="B136" s="152"/>
      <c r="C136" s="93"/>
      <c r="D136" s="93"/>
      <c r="E136" s="95"/>
      <c r="F136" s="95"/>
      <c r="G136" s="95"/>
      <c r="H136" s="93"/>
      <c r="I136" s="93"/>
      <c r="J136" s="93"/>
    </row>
    <row r="137" spans="1:10" s="65" customFormat="1" ht="14" x14ac:dyDescent="0.35">
      <c r="A137" s="145"/>
      <c r="B137" s="152"/>
      <c r="C137" s="93"/>
      <c r="D137" s="93"/>
      <c r="E137" s="95"/>
      <c r="F137" s="95"/>
      <c r="G137" s="95"/>
      <c r="H137" s="93"/>
      <c r="I137" s="93"/>
      <c r="J137" s="93"/>
    </row>
    <row r="138" spans="1:10" s="65" customFormat="1" ht="14" x14ac:dyDescent="0.35">
      <c r="A138" s="145"/>
      <c r="B138" s="152"/>
      <c r="C138" s="93"/>
      <c r="D138" s="93"/>
      <c r="E138" s="95"/>
      <c r="F138" s="95"/>
      <c r="G138" s="95"/>
      <c r="H138" s="93"/>
      <c r="I138" s="93"/>
      <c r="J138" s="93"/>
    </row>
    <row r="139" spans="1:10" s="65" customFormat="1" ht="14" x14ac:dyDescent="0.35">
      <c r="A139" s="145"/>
      <c r="B139" s="152"/>
      <c r="C139" s="93"/>
      <c r="D139" s="93"/>
      <c r="E139" s="95"/>
      <c r="F139" s="95"/>
      <c r="G139" s="95"/>
      <c r="H139" s="93"/>
      <c r="I139" s="93"/>
      <c r="J139" s="93"/>
    </row>
    <row r="140" spans="1:10" s="65" customFormat="1" ht="14" x14ac:dyDescent="0.35">
      <c r="A140" s="145"/>
      <c r="B140" s="152"/>
      <c r="C140" s="93"/>
      <c r="D140" s="93"/>
      <c r="E140" s="95"/>
      <c r="F140" s="95"/>
      <c r="G140" s="95"/>
      <c r="H140" s="93"/>
      <c r="I140" s="93"/>
      <c r="J140" s="93"/>
    </row>
    <row r="141" spans="1:10" s="65" customFormat="1" ht="14" x14ac:dyDescent="0.35">
      <c r="A141" s="145"/>
      <c r="B141" s="152"/>
      <c r="C141" s="93"/>
      <c r="D141" s="93"/>
      <c r="E141" s="95"/>
      <c r="F141" s="95"/>
      <c r="G141" s="95"/>
      <c r="H141" s="93"/>
      <c r="I141" s="93"/>
      <c r="J141" s="93"/>
    </row>
    <row r="142" spans="1:10" s="65" customFormat="1" ht="14" x14ac:dyDescent="0.35">
      <c r="A142" s="145"/>
      <c r="B142" s="152"/>
      <c r="C142" s="93"/>
      <c r="D142" s="93"/>
      <c r="E142" s="95"/>
      <c r="F142" s="95"/>
      <c r="G142" s="95"/>
      <c r="H142" s="93"/>
      <c r="I142" s="93"/>
      <c r="J142" s="93"/>
    </row>
    <row r="143" spans="1:10" s="65" customFormat="1" ht="14" x14ac:dyDescent="0.35">
      <c r="A143" s="145"/>
      <c r="B143" s="152"/>
      <c r="C143" s="93"/>
      <c r="D143" s="93"/>
      <c r="E143" s="95"/>
      <c r="F143" s="95"/>
      <c r="G143" s="95"/>
      <c r="H143" s="93"/>
      <c r="I143" s="93"/>
      <c r="J143" s="93"/>
    </row>
    <row r="144" spans="1:10" s="65" customFormat="1" ht="14" x14ac:dyDescent="0.35">
      <c r="A144" s="145"/>
      <c r="B144" s="152"/>
      <c r="C144" s="93"/>
      <c r="D144" s="93"/>
      <c r="E144" s="95"/>
      <c r="F144" s="95"/>
      <c r="G144" s="95"/>
      <c r="H144" s="93"/>
      <c r="I144" s="93"/>
      <c r="J144" s="93"/>
    </row>
    <row r="145" spans="1:10" s="65" customFormat="1" ht="14" x14ac:dyDescent="0.35">
      <c r="A145" s="145"/>
      <c r="B145" s="152"/>
      <c r="C145" s="93"/>
      <c r="D145" s="93"/>
      <c r="E145" s="95"/>
      <c r="F145" s="95"/>
      <c r="G145" s="95"/>
      <c r="H145" s="93"/>
      <c r="I145" s="93"/>
      <c r="J145" s="93"/>
    </row>
    <row r="146" spans="1:10" s="65" customFormat="1" ht="14" x14ac:dyDescent="0.35">
      <c r="A146" s="145"/>
      <c r="B146" s="152"/>
      <c r="C146" s="93"/>
      <c r="D146" s="93"/>
      <c r="E146" s="95"/>
      <c r="F146" s="95"/>
      <c r="G146" s="95"/>
      <c r="H146" s="93"/>
      <c r="I146" s="93"/>
      <c r="J146" s="93"/>
    </row>
    <row r="147" spans="1:10" s="65" customFormat="1" ht="14" x14ac:dyDescent="0.35">
      <c r="A147" s="145"/>
      <c r="B147" s="152"/>
      <c r="C147" s="93"/>
      <c r="D147" s="93"/>
      <c r="E147" s="95"/>
      <c r="F147" s="95"/>
      <c r="G147" s="95"/>
      <c r="H147" s="93"/>
      <c r="I147" s="93"/>
      <c r="J147" s="93"/>
    </row>
    <row r="148" spans="1:10" s="65" customFormat="1" ht="14" x14ac:dyDescent="0.35">
      <c r="A148" s="145"/>
      <c r="B148" s="152"/>
      <c r="C148" s="93"/>
      <c r="D148" s="93"/>
      <c r="E148" s="95"/>
      <c r="F148" s="95"/>
      <c r="G148" s="95"/>
      <c r="H148" s="93"/>
      <c r="I148" s="93"/>
      <c r="J148" s="93"/>
    </row>
    <row r="149" spans="1:10" s="65" customFormat="1" ht="14" x14ac:dyDescent="0.35">
      <c r="A149" s="145"/>
      <c r="B149" s="152"/>
      <c r="C149" s="93"/>
      <c r="D149" s="93"/>
      <c r="E149" s="95"/>
      <c r="F149" s="95"/>
      <c r="G149" s="95"/>
      <c r="H149" s="93"/>
      <c r="I149" s="93"/>
      <c r="J149" s="93"/>
    </row>
    <row r="150" spans="1:10" s="65" customFormat="1" ht="14" x14ac:dyDescent="0.35">
      <c r="A150" s="145"/>
      <c r="B150" s="152"/>
      <c r="C150" s="93"/>
      <c r="D150" s="93"/>
      <c r="E150" s="95"/>
      <c r="F150" s="95"/>
      <c r="G150" s="95"/>
      <c r="H150" s="93"/>
      <c r="I150" s="93"/>
      <c r="J150" s="93"/>
    </row>
    <row r="151" spans="1:10" s="65" customFormat="1" ht="14" x14ac:dyDescent="0.35">
      <c r="A151" s="145"/>
      <c r="B151" s="152"/>
      <c r="C151" s="93"/>
      <c r="D151" s="93"/>
      <c r="E151" s="95"/>
      <c r="F151" s="95"/>
      <c r="G151" s="95"/>
      <c r="H151" s="93"/>
      <c r="I151" s="93"/>
      <c r="J151" s="93"/>
    </row>
    <row r="152" spans="1:10" s="65" customFormat="1" ht="14" x14ac:dyDescent="0.35">
      <c r="A152" s="145"/>
      <c r="B152" s="152"/>
      <c r="C152" s="93"/>
      <c r="D152" s="93"/>
      <c r="E152" s="95"/>
      <c r="F152" s="95"/>
      <c r="G152" s="95"/>
      <c r="H152" s="93"/>
      <c r="I152" s="93"/>
      <c r="J152" s="93"/>
    </row>
    <row r="153" spans="1:10" s="65" customFormat="1" ht="14" x14ac:dyDescent="0.35">
      <c r="A153" s="145"/>
      <c r="B153" s="152"/>
      <c r="C153" s="93"/>
      <c r="D153" s="93"/>
      <c r="E153" s="95"/>
      <c r="F153" s="95"/>
      <c r="G153" s="95"/>
      <c r="H153" s="93"/>
      <c r="I153" s="93"/>
      <c r="J153" s="93"/>
    </row>
    <row r="154" spans="1:10" s="65" customFormat="1" ht="14" x14ac:dyDescent="0.35">
      <c r="A154" s="145"/>
      <c r="B154" s="152"/>
      <c r="C154" s="93"/>
      <c r="D154" s="93"/>
      <c r="E154" s="95"/>
      <c r="F154" s="95"/>
      <c r="G154" s="95"/>
      <c r="H154" s="93"/>
      <c r="I154" s="93"/>
      <c r="J154" s="93"/>
    </row>
    <row r="155" spans="1:10" s="65" customFormat="1" ht="14" x14ac:dyDescent="0.35">
      <c r="A155" s="145"/>
      <c r="B155" s="152"/>
      <c r="C155" s="93"/>
      <c r="D155" s="93"/>
      <c r="E155" s="95"/>
      <c r="F155" s="95"/>
      <c r="G155" s="95"/>
      <c r="H155" s="93"/>
      <c r="I155" s="93"/>
      <c r="J155" s="93"/>
    </row>
    <row r="156" spans="1:10" s="65" customFormat="1" ht="14" x14ac:dyDescent="0.35">
      <c r="A156" s="145"/>
      <c r="B156" s="152"/>
      <c r="C156" s="93"/>
      <c r="D156" s="93"/>
      <c r="E156" s="95"/>
      <c r="F156" s="95"/>
      <c r="G156" s="95"/>
      <c r="H156" s="93"/>
      <c r="I156" s="93"/>
      <c r="J156" s="93"/>
    </row>
    <row r="157" spans="1:10" s="65" customFormat="1" ht="14" x14ac:dyDescent="0.35">
      <c r="A157" s="145"/>
      <c r="B157" s="152"/>
      <c r="C157" s="93"/>
      <c r="D157" s="93"/>
      <c r="E157" s="95"/>
      <c r="F157" s="95"/>
      <c r="G157" s="95"/>
      <c r="H157" s="93"/>
      <c r="I157" s="93"/>
      <c r="J157" s="93"/>
    </row>
    <row r="158" spans="1:10" s="65" customFormat="1" ht="14" x14ac:dyDescent="0.35">
      <c r="A158" s="145"/>
      <c r="B158" s="152"/>
      <c r="C158" s="93"/>
      <c r="D158" s="93"/>
      <c r="E158" s="95"/>
      <c r="F158" s="95"/>
      <c r="G158" s="95"/>
      <c r="H158" s="93"/>
      <c r="I158" s="93"/>
      <c r="J158" s="93"/>
    </row>
    <row r="159" spans="1:10" s="65" customFormat="1" ht="14" x14ac:dyDescent="0.35">
      <c r="A159" s="145"/>
      <c r="B159" s="152"/>
      <c r="C159" s="93"/>
      <c r="D159" s="93"/>
      <c r="E159" s="95"/>
      <c r="F159" s="95"/>
      <c r="G159" s="95"/>
      <c r="H159" s="93"/>
      <c r="I159" s="93"/>
      <c r="J159" s="93"/>
    </row>
    <row r="160" spans="1:10" s="65" customFormat="1" ht="14" x14ac:dyDescent="0.35">
      <c r="A160" s="145"/>
      <c r="B160" s="152"/>
      <c r="C160" s="93"/>
      <c r="D160" s="93"/>
      <c r="E160" s="95"/>
      <c r="F160" s="95"/>
      <c r="G160" s="95"/>
      <c r="H160" s="93"/>
      <c r="I160" s="93"/>
      <c r="J160" s="93"/>
    </row>
    <row r="161" spans="1:10" s="65" customFormat="1" ht="14" x14ac:dyDescent="0.35">
      <c r="A161" s="145"/>
      <c r="B161" s="152"/>
      <c r="C161" s="93"/>
      <c r="D161" s="93"/>
      <c r="E161" s="95"/>
      <c r="F161" s="95"/>
      <c r="G161" s="95"/>
      <c r="H161" s="93"/>
      <c r="I161" s="93"/>
      <c r="J161" s="93"/>
    </row>
    <row r="162" spans="1:10" s="65" customFormat="1" ht="14" x14ac:dyDescent="0.35">
      <c r="A162" s="145"/>
      <c r="B162" s="152"/>
      <c r="C162" s="93"/>
      <c r="D162" s="93"/>
      <c r="E162" s="95"/>
      <c r="F162" s="95"/>
      <c r="G162" s="95"/>
      <c r="H162" s="93"/>
      <c r="I162" s="93"/>
      <c r="J162" s="93"/>
    </row>
    <row r="163" spans="1:10" s="65" customFormat="1" ht="14" x14ac:dyDescent="0.35">
      <c r="A163" s="145"/>
      <c r="B163" s="152"/>
      <c r="C163" s="93"/>
      <c r="D163" s="93"/>
      <c r="E163" s="95"/>
      <c r="F163" s="95"/>
      <c r="G163" s="95"/>
      <c r="H163" s="93"/>
      <c r="I163" s="93"/>
      <c r="J163" s="93"/>
    </row>
    <row r="164" spans="1:10" s="65" customFormat="1" ht="14" x14ac:dyDescent="0.35">
      <c r="A164" s="145"/>
      <c r="B164" s="152"/>
      <c r="C164" s="93"/>
      <c r="D164" s="93"/>
      <c r="E164" s="95"/>
      <c r="F164" s="95"/>
      <c r="G164" s="95"/>
      <c r="H164" s="93"/>
      <c r="I164" s="93"/>
      <c r="J164" s="93"/>
    </row>
    <row r="165" spans="1:10" s="65" customFormat="1" ht="14" x14ac:dyDescent="0.35">
      <c r="A165" s="145"/>
      <c r="B165" s="152"/>
      <c r="C165" s="93"/>
      <c r="D165" s="93"/>
      <c r="E165" s="95"/>
      <c r="F165" s="95"/>
      <c r="G165" s="95"/>
      <c r="H165" s="93"/>
      <c r="I165" s="93"/>
      <c r="J165" s="93"/>
    </row>
    <row r="166" spans="1:10" s="65" customFormat="1" ht="14" x14ac:dyDescent="0.35">
      <c r="A166" s="145"/>
      <c r="B166" s="152"/>
      <c r="C166" s="93"/>
      <c r="D166" s="93"/>
      <c r="E166" s="95"/>
      <c r="F166" s="95"/>
      <c r="G166" s="95"/>
      <c r="H166" s="93"/>
      <c r="I166" s="93"/>
      <c r="J166" s="93"/>
    </row>
    <row r="167" spans="1:10" s="65" customFormat="1" ht="14" x14ac:dyDescent="0.35">
      <c r="A167" s="145"/>
      <c r="B167" s="152"/>
      <c r="C167" s="93"/>
      <c r="D167" s="93"/>
      <c r="E167" s="95"/>
      <c r="F167" s="95"/>
      <c r="G167" s="95"/>
      <c r="H167" s="93"/>
      <c r="I167" s="93"/>
      <c r="J167" s="93"/>
    </row>
    <row r="168" spans="1:10" s="65" customFormat="1" ht="14" x14ac:dyDescent="0.35">
      <c r="A168" s="145"/>
      <c r="B168" s="152"/>
      <c r="C168" s="93"/>
      <c r="D168" s="93"/>
      <c r="E168" s="95"/>
      <c r="F168" s="95"/>
      <c r="G168" s="95"/>
      <c r="H168" s="93"/>
      <c r="I168" s="93"/>
      <c r="J168" s="93"/>
    </row>
    <row r="169" spans="1:10" s="65" customFormat="1" ht="14" x14ac:dyDescent="0.35">
      <c r="A169" s="145"/>
      <c r="B169" s="152"/>
      <c r="C169" s="93"/>
      <c r="D169" s="93"/>
      <c r="E169" s="95"/>
      <c r="F169" s="95"/>
      <c r="G169" s="95"/>
      <c r="H169" s="93"/>
      <c r="I169" s="93"/>
      <c r="J169" s="93"/>
    </row>
    <row r="170" spans="1:10" s="65" customFormat="1" ht="14" x14ac:dyDescent="0.35">
      <c r="A170" s="145"/>
      <c r="B170" s="152"/>
      <c r="C170" s="93"/>
      <c r="D170" s="93"/>
      <c r="E170" s="95"/>
      <c r="F170" s="95"/>
      <c r="G170" s="95"/>
      <c r="H170" s="93"/>
      <c r="I170" s="93"/>
      <c r="J170" s="93"/>
    </row>
    <row r="171" spans="1:10" s="65" customFormat="1" ht="14" x14ac:dyDescent="0.35">
      <c r="A171" s="145"/>
      <c r="B171" s="152"/>
      <c r="C171" s="93"/>
      <c r="D171" s="93"/>
      <c r="E171" s="95"/>
      <c r="F171" s="95"/>
      <c r="G171" s="95"/>
      <c r="H171" s="93"/>
      <c r="I171" s="93"/>
      <c r="J171" s="93"/>
    </row>
    <row r="172" spans="1:10" s="65" customFormat="1" ht="14" x14ac:dyDescent="0.35">
      <c r="A172" s="145"/>
      <c r="B172" s="152"/>
      <c r="C172" s="93"/>
      <c r="D172" s="93"/>
      <c r="E172" s="95"/>
      <c r="F172" s="95"/>
      <c r="G172" s="95"/>
      <c r="H172" s="93"/>
      <c r="I172" s="93"/>
      <c r="J172" s="93"/>
    </row>
    <row r="173" spans="1:10" s="65" customFormat="1" ht="14" x14ac:dyDescent="0.35">
      <c r="A173" s="145"/>
      <c r="B173" s="152"/>
      <c r="C173" s="93"/>
      <c r="D173" s="93"/>
      <c r="E173" s="95"/>
      <c r="F173" s="95"/>
      <c r="G173" s="95"/>
      <c r="H173" s="93"/>
      <c r="I173" s="93"/>
      <c r="J173" s="93"/>
    </row>
    <row r="174" spans="1:10" s="65" customFormat="1" ht="14" x14ac:dyDescent="0.35">
      <c r="A174" s="145"/>
      <c r="B174" s="152"/>
      <c r="C174" s="93"/>
      <c r="D174" s="93"/>
      <c r="E174" s="95"/>
      <c r="F174" s="95"/>
      <c r="G174" s="95"/>
      <c r="H174" s="93"/>
      <c r="I174" s="93"/>
      <c r="J174" s="93"/>
    </row>
    <row r="175" spans="1:10" s="65" customFormat="1" ht="14" x14ac:dyDescent="0.35">
      <c r="A175" s="145"/>
      <c r="B175" s="152"/>
      <c r="C175" s="93"/>
      <c r="D175" s="93"/>
      <c r="E175" s="95"/>
      <c r="F175" s="95"/>
      <c r="G175" s="95"/>
      <c r="H175" s="93"/>
      <c r="I175" s="93"/>
      <c r="J175" s="93"/>
    </row>
    <row r="176" spans="1:10" s="65" customFormat="1" ht="14" x14ac:dyDescent="0.35">
      <c r="A176" s="145"/>
      <c r="B176" s="152"/>
      <c r="C176" s="93"/>
      <c r="D176" s="93"/>
      <c r="E176" s="95"/>
      <c r="F176" s="95"/>
      <c r="G176" s="95"/>
      <c r="H176" s="93"/>
      <c r="I176" s="93"/>
      <c r="J176" s="93"/>
    </row>
    <row r="177" spans="1:10" s="65" customFormat="1" ht="14" x14ac:dyDescent="0.35">
      <c r="A177" s="145"/>
      <c r="B177" s="152"/>
      <c r="C177" s="93"/>
      <c r="D177" s="93"/>
      <c r="E177" s="95"/>
      <c r="F177" s="95"/>
      <c r="G177" s="95"/>
      <c r="H177" s="93"/>
      <c r="I177" s="93"/>
      <c r="J177" s="93"/>
    </row>
    <row r="178" spans="1:10" s="65" customFormat="1" ht="14" x14ac:dyDescent="0.35">
      <c r="A178" s="145"/>
      <c r="B178" s="152"/>
      <c r="C178" s="93"/>
      <c r="D178" s="93"/>
      <c r="E178" s="95"/>
      <c r="F178" s="95"/>
      <c r="G178" s="95"/>
      <c r="H178" s="93"/>
      <c r="I178" s="93"/>
      <c r="J178" s="93"/>
    </row>
    <row r="179" spans="1:10" s="65" customFormat="1" ht="14" x14ac:dyDescent="0.35">
      <c r="A179" s="145"/>
      <c r="B179" s="152"/>
      <c r="C179" s="93"/>
      <c r="D179" s="93"/>
      <c r="E179" s="95"/>
      <c r="F179" s="95"/>
      <c r="G179" s="95"/>
      <c r="H179" s="93"/>
      <c r="I179" s="93"/>
      <c r="J179" s="93"/>
    </row>
    <row r="180" spans="1:10" s="65" customFormat="1" ht="14" x14ac:dyDescent="0.35">
      <c r="A180" s="145"/>
      <c r="B180" s="152"/>
      <c r="C180" s="93"/>
      <c r="D180" s="93"/>
      <c r="E180" s="95"/>
      <c r="F180" s="95"/>
      <c r="G180" s="95"/>
      <c r="H180" s="93"/>
      <c r="I180" s="93"/>
      <c r="J180" s="93"/>
    </row>
    <row r="181" spans="1:10" s="65" customFormat="1" ht="14" x14ac:dyDescent="0.35">
      <c r="A181" s="145"/>
      <c r="B181" s="152"/>
      <c r="C181" s="93"/>
      <c r="D181" s="93"/>
      <c r="E181" s="95"/>
      <c r="F181" s="95"/>
      <c r="G181" s="95"/>
      <c r="H181" s="93"/>
      <c r="I181" s="93"/>
      <c r="J181" s="93"/>
    </row>
    <row r="182" spans="1:10" s="65" customFormat="1" ht="14" x14ac:dyDescent="0.35">
      <c r="A182" s="145"/>
      <c r="B182" s="152"/>
      <c r="C182" s="93"/>
      <c r="D182" s="93"/>
      <c r="E182" s="95"/>
      <c r="F182" s="95"/>
      <c r="G182" s="95"/>
      <c r="H182" s="93"/>
      <c r="I182" s="93"/>
      <c r="J182" s="93"/>
    </row>
    <row r="183" spans="1:10" s="65" customFormat="1" ht="14" x14ac:dyDescent="0.35">
      <c r="A183" s="145"/>
      <c r="B183" s="152"/>
      <c r="C183" s="93"/>
      <c r="D183" s="93"/>
      <c r="E183" s="95"/>
      <c r="F183" s="95"/>
      <c r="G183" s="95"/>
      <c r="H183" s="93"/>
      <c r="I183" s="93"/>
      <c r="J183" s="93"/>
    </row>
    <row r="184" spans="1:10" s="65" customFormat="1" ht="14" x14ac:dyDescent="0.35">
      <c r="A184" s="145"/>
      <c r="B184" s="152"/>
      <c r="C184" s="93"/>
      <c r="D184" s="93"/>
      <c r="E184" s="95"/>
      <c r="F184" s="95"/>
      <c r="G184" s="95"/>
      <c r="H184" s="93"/>
      <c r="I184" s="93"/>
      <c r="J184" s="93"/>
    </row>
    <row r="185" spans="1:10" s="65" customFormat="1" ht="14" x14ac:dyDescent="0.35">
      <c r="A185" s="145"/>
      <c r="B185" s="152"/>
      <c r="C185" s="93"/>
      <c r="D185" s="93"/>
      <c r="E185" s="95"/>
      <c r="F185" s="95"/>
      <c r="G185" s="95"/>
      <c r="H185" s="93"/>
      <c r="I185" s="93"/>
      <c r="J185" s="93"/>
    </row>
    <row r="186" spans="1:10" s="65" customFormat="1" ht="14" x14ac:dyDescent="0.35">
      <c r="A186" s="145"/>
      <c r="B186" s="152"/>
      <c r="C186" s="93"/>
      <c r="D186" s="93"/>
      <c r="E186" s="95"/>
      <c r="F186" s="95"/>
      <c r="G186" s="95"/>
      <c r="H186" s="93"/>
      <c r="I186" s="93"/>
      <c r="J186" s="93"/>
    </row>
    <row r="187" spans="1:10" s="65" customFormat="1" ht="14" x14ac:dyDescent="0.35">
      <c r="A187" s="145"/>
      <c r="B187" s="152"/>
      <c r="C187" s="93"/>
      <c r="D187" s="93"/>
      <c r="E187" s="95"/>
      <c r="F187" s="95"/>
      <c r="G187" s="95"/>
      <c r="H187" s="93"/>
      <c r="I187" s="93"/>
      <c r="J187" s="93"/>
    </row>
    <row r="188" spans="1:10" s="65" customFormat="1" ht="14" x14ac:dyDescent="0.35">
      <c r="A188" s="145"/>
      <c r="B188" s="152"/>
      <c r="C188" s="93"/>
      <c r="D188" s="93"/>
      <c r="E188" s="95"/>
      <c r="F188" s="95"/>
      <c r="G188" s="95"/>
      <c r="H188" s="93"/>
      <c r="I188" s="93"/>
      <c r="J188" s="93"/>
    </row>
    <row r="189" spans="1:10" s="65" customFormat="1" ht="14" x14ac:dyDescent="0.35">
      <c r="A189" s="145"/>
      <c r="B189" s="152"/>
      <c r="C189" s="93"/>
      <c r="D189" s="93"/>
      <c r="E189" s="95"/>
      <c r="F189" s="95"/>
      <c r="G189" s="95"/>
      <c r="H189" s="93"/>
      <c r="I189" s="93"/>
      <c r="J189" s="93"/>
    </row>
    <row r="190" spans="1:10" s="65" customFormat="1" ht="14" x14ac:dyDescent="0.35">
      <c r="A190" s="145"/>
      <c r="B190" s="152"/>
      <c r="C190" s="93"/>
      <c r="D190" s="93"/>
      <c r="E190" s="95"/>
      <c r="F190" s="95"/>
      <c r="G190" s="95"/>
      <c r="H190" s="93"/>
      <c r="I190" s="93"/>
      <c r="J190" s="93"/>
    </row>
    <row r="191" spans="1:10" s="65" customFormat="1" ht="14" x14ac:dyDescent="0.35">
      <c r="A191" s="145"/>
      <c r="B191" s="152"/>
      <c r="C191" s="93"/>
      <c r="D191" s="93"/>
      <c r="E191" s="95"/>
      <c r="F191" s="95"/>
      <c r="G191" s="95"/>
      <c r="H191" s="93"/>
      <c r="I191" s="93"/>
      <c r="J191" s="93"/>
    </row>
    <row r="192" spans="1:10" s="65" customFormat="1" ht="14" x14ac:dyDescent="0.35">
      <c r="A192" s="145"/>
      <c r="B192" s="152"/>
      <c r="C192" s="93"/>
      <c r="D192" s="93"/>
      <c r="E192" s="95"/>
      <c r="F192" s="95"/>
      <c r="G192" s="95"/>
      <c r="H192" s="93"/>
      <c r="I192" s="93"/>
      <c r="J192" s="93"/>
    </row>
    <row r="193" spans="1:10" s="65" customFormat="1" ht="14" x14ac:dyDescent="0.35">
      <c r="A193" s="145"/>
      <c r="B193" s="152"/>
      <c r="C193" s="93"/>
      <c r="D193" s="93"/>
      <c r="E193" s="95"/>
      <c r="F193" s="95"/>
      <c r="G193" s="95"/>
      <c r="H193" s="93"/>
      <c r="I193" s="93"/>
      <c r="J193" s="93"/>
    </row>
    <row r="194" spans="1:10" s="65" customFormat="1" ht="14" x14ac:dyDescent="0.35">
      <c r="A194" s="145"/>
      <c r="B194" s="152"/>
      <c r="C194" s="93"/>
      <c r="D194" s="93"/>
      <c r="E194" s="95"/>
      <c r="F194" s="95"/>
      <c r="G194" s="95"/>
      <c r="H194" s="93"/>
      <c r="I194" s="93"/>
      <c r="J194" s="93"/>
    </row>
    <row r="195" spans="1:10" s="65" customFormat="1" ht="14" x14ac:dyDescent="0.35">
      <c r="A195" s="145"/>
      <c r="B195" s="152"/>
      <c r="C195" s="93"/>
      <c r="D195" s="93"/>
      <c r="E195" s="95"/>
      <c r="F195" s="95"/>
      <c r="G195" s="95"/>
      <c r="H195" s="93"/>
      <c r="I195" s="93"/>
      <c r="J195" s="93"/>
    </row>
    <row r="196" spans="1:10" s="65" customFormat="1" ht="14" x14ac:dyDescent="0.35">
      <c r="A196" s="145"/>
      <c r="B196" s="152"/>
      <c r="C196" s="93"/>
      <c r="D196" s="93"/>
      <c r="E196" s="95"/>
      <c r="F196" s="95"/>
      <c r="G196" s="95"/>
      <c r="H196" s="93"/>
      <c r="I196" s="93"/>
      <c r="J196" s="93"/>
    </row>
    <row r="197" spans="1:10" s="65" customFormat="1" ht="14" x14ac:dyDescent="0.35">
      <c r="A197" s="145"/>
      <c r="B197" s="152"/>
      <c r="C197" s="93"/>
      <c r="D197" s="93"/>
      <c r="E197" s="95"/>
      <c r="F197" s="95"/>
      <c r="G197" s="95"/>
      <c r="H197" s="93"/>
      <c r="I197" s="93"/>
      <c r="J197" s="93"/>
    </row>
    <row r="198" spans="1:10" s="65" customFormat="1" ht="14" x14ac:dyDescent="0.35">
      <c r="A198" s="145"/>
      <c r="B198" s="152"/>
      <c r="C198" s="93"/>
      <c r="D198" s="93"/>
      <c r="E198" s="95"/>
      <c r="F198" s="95"/>
      <c r="G198" s="95"/>
      <c r="H198" s="93"/>
      <c r="I198" s="93"/>
      <c r="J198" s="93"/>
    </row>
    <row r="199" spans="1:10" s="65" customFormat="1" ht="14" x14ac:dyDescent="0.35">
      <c r="A199" s="145"/>
      <c r="B199" s="152"/>
      <c r="C199" s="93"/>
      <c r="D199" s="93"/>
      <c r="E199" s="95"/>
      <c r="F199" s="95"/>
      <c r="G199" s="95"/>
      <c r="H199" s="93"/>
      <c r="I199" s="93"/>
      <c r="J199" s="93"/>
    </row>
    <row r="200" spans="1:10" s="65" customFormat="1" ht="14" x14ac:dyDescent="0.35">
      <c r="A200" s="145"/>
      <c r="B200" s="152"/>
      <c r="C200" s="93"/>
      <c r="D200" s="93"/>
      <c r="E200" s="95"/>
      <c r="F200" s="95"/>
      <c r="G200" s="95"/>
      <c r="H200" s="93"/>
      <c r="I200" s="93"/>
      <c r="J200" s="93"/>
    </row>
    <row r="201" spans="1:10" s="65" customFormat="1" ht="14" x14ac:dyDescent="0.35">
      <c r="A201" s="145"/>
      <c r="B201" s="152"/>
      <c r="C201" s="93"/>
      <c r="D201" s="93"/>
      <c r="E201" s="95"/>
      <c r="F201" s="95"/>
      <c r="G201" s="95"/>
      <c r="H201" s="93"/>
      <c r="I201" s="93"/>
      <c r="J201" s="93"/>
    </row>
    <row r="202" spans="1:10" s="65" customFormat="1" ht="14" x14ac:dyDescent="0.35">
      <c r="A202" s="145"/>
      <c r="B202" s="152"/>
      <c r="C202" s="93"/>
      <c r="D202" s="93"/>
      <c r="E202" s="95"/>
      <c r="F202" s="95"/>
      <c r="G202" s="95"/>
      <c r="H202" s="93"/>
      <c r="I202" s="93"/>
      <c r="J202" s="93"/>
    </row>
    <row r="203" spans="1:10" s="65" customFormat="1" ht="14" x14ac:dyDescent="0.35">
      <c r="A203" s="145"/>
      <c r="B203" s="152"/>
      <c r="C203" s="93"/>
      <c r="D203" s="93"/>
      <c r="E203" s="95"/>
      <c r="F203" s="95"/>
      <c r="G203" s="95"/>
      <c r="H203" s="93"/>
      <c r="I203" s="93"/>
      <c r="J203" s="93"/>
    </row>
    <row r="204" spans="1:10" s="65" customFormat="1" ht="14" x14ac:dyDescent="0.35">
      <c r="A204" s="145"/>
      <c r="B204" s="152"/>
      <c r="C204" s="93"/>
      <c r="D204" s="93"/>
      <c r="E204" s="95"/>
      <c r="F204" s="95"/>
      <c r="G204" s="95"/>
      <c r="H204" s="93"/>
      <c r="I204" s="93"/>
      <c r="J204" s="93"/>
    </row>
    <row r="205" spans="1:10" s="65" customFormat="1" ht="14" x14ac:dyDescent="0.35">
      <c r="A205" s="145"/>
      <c r="B205" s="152"/>
      <c r="C205" s="93"/>
      <c r="D205" s="93"/>
      <c r="E205" s="95"/>
      <c r="F205" s="95"/>
      <c r="G205" s="95"/>
      <c r="H205" s="93"/>
      <c r="I205" s="93"/>
      <c r="J205" s="93"/>
    </row>
    <row r="206" spans="1:10" s="65" customFormat="1" ht="14" x14ac:dyDescent="0.35">
      <c r="A206" s="145"/>
      <c r="B206" s="152"/>
      <c r="C206" s="93"/>
      <c r="D206" s="93"/>
      <c r="E206" s="95"/>
      <c r="F206" s="95"/>
      <c r="G206" s="95"/>
      <c r="H206" s="93"/>
      <c r="I206" s="93"/>
      <c r="J206" s="93"/>
    </row>
    <row r="207" spans="1:10" s="65" customFormat="1" ht="14" x14ac:dyDescent="0.35">
      <c r="A207" s="145"/>
      <c r="B207" s="152"/>
      <c r="C207" s="93"/>
      <c r="D207" s="93"/>
      <c r="E207" s="95"/>
      <c r="F207" s="95"/>
      <c r="G207" s="95"/>
      <c r="H207" s="93"/>
      <c r="I207" s="93"/>
      <c r="J207" s="93"/>
    </row>
    <row r="208" spans="1:10" s="65" customFormat="1" ht="14" x14ac:dyDescent="0.35">
      <c r="A208" s="145"/>
      <c r="B208" s="152"/>
      <c r="C208" s="93"/>
      <c r="D208" s="93"/>
      <c r="E208" s="95"/>
      <c r="F208" s="95"/>
      <c r="G208" s="95"/>
      <c r="H208" s="93"/>
      <c r="I208" s="93"/>
      <c r="J208" s="93"/>
    </row>
    <row r="209" spans="1:10" s="65" customFormat="1" ht="14" x14ac:dyDescent="0.35">
      <c r="A209" s="145"/>
      <c r="B209" s="152"/>
      <c r="C209" s="93"/>
      <c r="D209" s="93"/>
      <c r="E209" s="95"/>
      <c r="F209" s="95"/>
      <c r="G209" s="95"/>
      <c r="H209" s="93"/>
      <c r="I209" s="93"/>
      <c r="J209" s="93"/>
    </row>
    <row r="210" spans="1:10" s="65" customFormat="1" ht="14" x14ac:dyDescent="0.35">
      <c r="A210" s="145"/>
      <c r="B210" s="152"/>
      <c r="C210" s="93"/>
      <c r="D210" s="93"/>
      <c r="E210" s="95"/>
      <c r="F210" s="95"/>
      <c r="G210" s="95"/>
      <c r="H210" s="93"/>
      <c r="I210" s="93"/>
      <c r="J210" s="93"/>
    </row>
    <row r="211" spans="1:10" s="65" customFormat="1" ht="14" x14ac:dyDescent="0.35">
      <c r="A211" s="145"/>
      <c r="B211" s="152"/>
      <c r="C211" s="93"/>
      <c r="D211" s="93"/>
      <c r="E211" s="95"/>
      <c r="F211" s="95"/>
      <c r="G211" s="95"/>
      <c r="H211" s="93"/>
      <c r="I211" s="93"/>
      <c r="J211" s="93"/>
    </row>
    <row r="212" spans="1:10" s="65" customFormat="1" ht="14" x14ac:dyDescent="0.35">
      <c r="A212" s="145"/>
      <c r="B212" s="152"/>
      <c r="C212" s="93"/>
      <c r="D212" s="93"/>
      <c r="E212" s="95"/>
      <c r="F212" s="95"/>
      <c r="G212" s="95"/>
      <c r="H212" s="93"/>
      <c r="I212" s="93"/>
      <c r="J212" s="93"/>
    </row>
    <row r="213" spans="1:10" s="65" customFormat="1" ht="14" x14ac:dyDescent="0.35">
      <c r="A213" s="145"/>
      <c r="B213" s="152"/>
      <c r="C213" s="93"/>
      <c r="D213" s="93"/>
      <c r="E213" s="95"/>
      <c r="F213" s="95"/>
      <c r="G213" s="95"/>
      <c r="H213" s="93"/>
      <c r="I213" s="93"/>
      <c r="J213" s="93"/>
    </row>
    <row r="214" spans="1:10" s="65" customFormat="1" ht="14" x14ac:dyDescent="0.35">
      <c r="A214" s="145"/>
      <c r="B214" s="152"/>
      <c r="C214" s="93"/>
      <c r="D214" s="93"/>
      <c r="E214" s="95"/>
      <c r="F214" s="95"/>
      <c r="G214" s="95"/>
      <c r="H214" s="93"/>
      <c r="I214" s="93"/>
      <c r="J214" s="93"/>
    </row>
    <row r="215" spans="1:10" s="65" customFormat="1" ht="14" x14ac:dyDescent="0.35">
      <c r="A215" s="145"/>
      <c r="B215" s="152"/>
      <c r="C215" s="93"/>
      <c r="D215" s="93"/>
      <c r="E215" s="95"/>
      <c r="F215" s="95"/>
      <c r="G215" s="95"/>
      <c r="H215" s="93"/>
      <c r="I215" s="93"/>
      <c r="J215" s="93"/>
    </row>
    <row r="216" spans="1:10" s="65" customFormat="1" ht="14" x14ac:dyDescent="0.35">
      <c r="A216" s="145"/>
      <c r="B216" s="152"/>
      <c r="C216" s="93"/>
      <c r="D216" s="93"/>
      <c r="E216" s="95"/>
      <c r="F216" s="95"/>
      <c r="G216" s="95"/>
      <c r="H216" s="93"/>
      <c r="I216" s="93"/>
      <c r="J216" s="93"/>
    </row>
    <row r="217" spans="1:10" s="65" customFormat="1" ht="14" x14ac:dyDescent="0.35">
      <c r="A217" s="145"/>
      <c r="B217" s="152"/>
      <c r="C217" s="93"/>
      <c r="D217" s="93"/>
      <c r="E217" s="95"/>
      <c r="F217" s="95"/>
      <c r="G217" s="95"/>
      <c r="H217" s="93"/>
      <c r="I217" s="93"/>
      <c r="J217" s="93"/>
    </row>
    <row r="218" spans="1:10" s="65" customFormat="1" ht="14" x14ac:dyDescent="0.35">
      <c r="A218" s="145"/>
      <c r="B218" s="152"/>
      <c r="C218" s="93"/>
      <c r="D218" s="93"/>
      <c r="E218" s="95"/>
      <c r="F218" s="95"/>
      <c r="G218" s="95"/>
      <c r="H218" s="93"/>
      <c r="I218" s="93"/>
      <c r="J218" s="93"/>
    </row>
    <row r="219" spans="1:10" s="65" customFormat="1" ht="14" x14ac:dyDescent="0.35">
      <c r="A219" s="145"/>
      <c r="B219" s="152"/>
      <c r="C219" s="93"/>
      <c r="D219" s="93"/>
      <c r="E219" s="95"/>
      <c r="F219" s="95"/>
      <c r="G219" s="95"/>
      <c r="H219" s="93"/>
      <c r="I219" s="93"/>
      <c r="J219" s="93"/>
    </row>
    <row r="220" spans="1:10" s="65" customFormat="1" ht="14" x14ac:dyDescent="0.35">
      <c r="A220" s="145"/>
      <c r="B220" s="152"/>
      <c r="C220" s="93"/>
      <c r="D220" s="93"/>
      <c r="E220" s="95"/>
      <c r="F220" s="95"/>
      <c r="G220" s="95"/>
      <c r="H220" s="93"/>
      <c r="I220" s="93"/>
      <c r="J220" s="93"/>
    </row>
    <row r="221" spans="1:10" s="65" customFormat="1" ht="14" x14ac:dyDescent="0.35">
      <c r="A221" s="145"/>
      <c r="B221" s="152"/>
      <c r="C221" s="93"/>
      <c r="D221" s="93"/>
      <c r="E221" s="95"/>
      <c r="F221" s="95"/>
      <c r="G221" s="95"/>
      <c r="H221" s="93"/>
      <c r="I221" s="93"/>
      <c r="J221" s="93"/>
    </row>
    <row r="222" spans="1:10" s="65" customFormat="1" ht="14" x14ac:dyDescent="0.35">
      <c r="A222" s="145"/>
      <c r="B222" s="152"/>
      <c r="C222" s="93"/>
      <c r="D222" s="93"/>
      <c r="E222" s="95"/>
      <c r="F222" s="95"/>
      <c r="G222" s="95"/>
      <c r="H222" s="93"/>
      <c r="I222" s="93"/>
      <c r="J222" s="93"/>
    </row>
    <row r="223" spans="1:10" s="65" customFormat="1" ht="14" x14ac:dyDescent="0.35">
      <c r="A223" s="145"/>
      <c r="B223" s="152"/>
      <c r="C223" s="93"/>
      <c r="D223" s="93"/>
      <c r="E223" s="95"/>
      <c r="F223" s="95"/>
      <c r="G223" s="95"/>
      <c r="H223" s="93"/>
      <c r="I223" s="93"/>
      <c r="J223" s="93"/>
    </row>
    <row r="224" spans="1:10" s="65" customFormat="1" ht="14" x14ac:dyDescent="0.35">
      <c r="A224" s="145"/>
      <c r="B224" s="152"/>
      <c r="C224" s="93"/>
      <c r="D224" s="93"/>
      <c r="E224" s="95"/>
      <c r="F224" s="95"/>
      <c r="G224" s="95"/>
      <c r="H224" s="93"/>
      <c r="I224" s="93"/>
      <c r="J224" s="93"/>
    </row>
    <row r="225" spans="1:10" s="65" customFormat="1" ht="14" x14ac:dyDescent="0.35">
      <c r="A225" s="145"/>
      <c r="B225" s="152"/>
      <c r="C225" s="93"/>
      <c r="D225" s="93"/>
      <c r="E225" s="95"/>
      <c r="F225" s="95"/>
      <c r="G225" s="95"/>
      <c r="H225" s="93"/>
      <c r="I225" s="93"/>
      <c r="J225" s="93"/>
    </row>
    <row r="226" spans="1:10" s="65" customFormat="1" ht="14" x14ac:dyDescent="0.35">
      <c r="A226" s="145"/>
      <c r="B226" s="152"/>
      <c r="C226" s="93"/>
      <c r="D226" s="93"/>
      <c r="E226" s="95"/>
      <c r="F226" s="95"/>
      <c r="G226" s="95"/>
      <c r="H226" s="93"/>
      <c r="I226" s="93"/>
      <c r="J226" s="93"/>
    </row>
    <row r="227" spans="1:10" s="65" customFormat="1" ht="14" x14ac:dyDescent="0.35">
      <c r="A227" s="145"/>
      <c r="B227" s="152"/>
      <c r="C227" s="93"/>
      <c r="D227" s="93"/>
      <c r="E227" s="95"/>
      <c r="F227" s="95"/>
      <c r="G227" s="95"/>
      <c r="H227" s="93"/>
      <c r="I227" s="93"/>
      <c r="J227" s="93"/>
    </row>
    <row r="228" spans="1:10" s="65" customFormat="1" ht="14" x14ac:dyDescent="0.35">
      <c r="A228" s="145"/>
      <c r="B228" s="152"/>
      <c r="C228" s="93"/>
      <c r="D228" s="93"/>
      <c r="E228" s="95"/>
      <c r="F228" s="95"/>
      <c r="G228" s="95"/>
      <c r="H228" s="93"/>
      <c r="I228" s="93"/>
      <c r="J228" s="93"/>
    </row>
    <row r="229" spans="1:10" s="65" customFormat="1" ht="14" x14ac:dyDescent="0.35">
      <c r="A229" s="145"/>
      <c r="B229" s="152"/>
      <c r="C229" s="93"/>
      <c r="D229" s="93"/>
      <c r="E229" s="95"/>
      <c r="F229" s="95"/>
      <c r="G229" s="95"/>
      <c r="H229" s="93"/>
      <c r="I229" s="93"/>
      <c r="J229" s="93"/>
    </row>
    <row r="230" spans="1:10" s="65" customFormat="1" ht="14" x14ac:dyDescent="0.35">
      <c r="A230" s="145"/>
      <c r="B230" s="152"/>
      <c r="C230" s="93"/>
      <c r="D230" s="93"/>
      <c r="E230" s="95"/>
      <c r="F230" s="95"/>
      <c r="G230" s="95"/>
      <c r="H230" s="93"/>
      <c r="I230" s="93"/>
      <c r="J230" s="93"/>
    </row>
    <row r="231" spans="1:10" s="65" customFormat="1" ht="14" x14ac:dyDescent="0.35">
      <c r="A231" s="145"/>
      <c r="B231" s="152"/>
      <c r="C231" s="93"/>
      <c r="D231" s="93"/>
      <c r="E231" s="95"/>
      <c r="F231" s="95"/>
      <c r="G231" s="95"/>
      <c r="H231" s="93"/>
      <c r="I231" s="93"/>
      <c r="J231" s="93"/>
    </row>
    <row r="232" spans="1:10" s="65" customFormat="1" ht="14" x14ac:dyDescent="0.35">
      <c r="A232" s="145"/>
      <c r="B232" s="152"/>
      <c r="C232" s="93"/>
      <c r="D232" s="93"/>
      <c r="E232" s="95"/>
      <c r="F232" s="95"/>
      <c r="G232" s="95"/>
      <c r="H232" s="93"/>
      <c r="I232" s="93"/>
      <c r="J232" s="93"/>
    </row>
    <row r="233" spans="1:10" s="65" customFormat="1" ht="14" x14ac:dyDescent="0.35">
      <c r="A233" s="145"/>
      <c r="B233" s="152"/>
      <c r="C233" s="93"/>
      <c r="D233" s="93"/>
      <c r="E233" s="95"/>
      <c r="F233" s="95"/>
      <c r="G233" s="95"/>
      <c r="H233" s="93"/>
      <c r="I233" s="93"/>
      <c r="J233" s="93"/>
    </row>
    <row r="234" spans="1:10" s="65" customFormat="1" ht="14" x14ac:dyDescent="0.35">
      <c r="A234" s="145"/>
      <c r="B234" s="152"/>
      <c r="C234" s="93"/>
      <c r="D234" s="93"/>
      <c r="E234" s="95"/>
      <c r="F234" s="95"/>
      <c r="G234" s="95"/>
      <c r="H234" s="93"/>
      <c r="I234" s="93"/>
      <c r="J234" s="93"/>
    </row>
    <row r="235" spans="1:10" s="65" customFormat="1" ht="14" x14ac:dyDescent="0.35">
      <c r="A235" s="145"/>
      <c r="B235" s="152"/>
      <c r="C235" s="93"/>
      <c r="D235" s="93"/>
      <c r="E235" s="95"/>
      <c r="F235" s="95"/>
      <c r="G235" s="95"/>
      <c r="H235" s="93"/>
      <c r="I235" s="93"/>
      <c r="J235" s="93"/>
    </row>
    <row r="236" spans="1:10" s="65" customFormat="1" ht="14" x14ac:dyDescent="0.35">
      <c r="A236" s="145"/>
      <c r="B236" s="152"/>
      <c r="C236" s="93"/>
      <c r="D236" s="93"/>
      <c r="E236" s="95"/>
      <c r="F236" s="95"/>
      <c r="G236" s="95"/>
      <c r="H236" s="93"/>
      <c r="I236" s="93"/>
      <c r="J236" s="93"/>
    </row>
    <row r="237" spans="1:10" s="65" customFormat="1" ht="14" x14ac:dyDescent="0.35">
      <c r="A237" s="145"/>
      <c r="B237" s="152"/>
      <c r="C237" s="93"/>
      <c r="D237" s="93"/>
      <c r="E237" s="95"/>
      <c r="F237" s="95"/>
      <c r="G237" s="95"/>
      <c r="H237" s="93"/>
      <c r="I237" s="93"/>
      <c r="J237" s="93"/>
    </row>
    <row r="238" spans="1:10" s="65" customFormat="1" ht="14" x14ac:dyDescent="0.35">
      <c r="A238" s="145"/>
      <c r="B238" s="152"/>
      <c r="C238" s="93"/>
      <c r="D238" s="93"/>
      <c r="E238" s="95"/>
      <c r="F238" s="95"/>
      <c r="G238" s="95"/>
      <c r="H238" s="93"/>
      <c r="I238" s="93"/>
      <c r="J238" s="93"/>
    </row>
    <row r="239" spans="1:10" s="65" customFormat="1" ht="14" x14ac:dyDescent="0.35">
      <c r="A239" s="145"/>
      <c r="B239" s="152"/>
      <c r="C239" s="93"/>
      <c r="D239" s="93"/>
      <c r="E239" s="95"/>
      <c r="F239" s="95"/>
      <c r="G239" s="95"/>
      <c r="H239" s="93"/>
      <c r="I239" s="93"/>
      <c r="J239" s="93"/>
    </row>
    <row r="240" spans="1:10" s="65" customFormat="1" ht="14" x14ac:dyDescent="0.35">
      <c r="A240" s="145"/>
      <c r="B240" s="152"/>
      <c r="C240" s="93"/>
      <c r="D240" s="93"/>
      <c r="E240" s="95"/>
      <c r="F240" s="95"/>
      <c r="G240" s="95"/>
      <c r="H240" s="93"/>
      <c r="I240" s="93"/>
      <c r="J240" s="93"/>
    </row>
    <row r="241" spans="1:10" s="65" customFormat="1" ht="14" x14ac:dyDescent="0.35">
      <c r="A241" s="145"/>
      <c r="B241" s="152"/>
      <c r="C241" s="93"/>
      <c r="D241" s="93"/>
      <c r="E241" s="95"/>
      <c r="F241" s="95"/>
      <c r="G241" s="95"/>
      <c r="H241" s="93"/>
      <c r="I241" s="93"/>
      <c r="J241" s="93"/>
    </row>
    <row r="242" spans="1:10" s="65" customFormat="1" ht="14" x14ac:dyDescent="0.35">
      <c r="A242" s="145"/>
      <c r="B242" s="152"/>
      <c r="C242" s="93"/>
      <c r="D242" s="93"/>
      <c r="E242" s="95"/>
      <c r="F242" s="95"/>
      <c r="G242" s="95"/>
      <c r="H242" s="93"/>
      <c r="I242" s="93"/>
      <c r="J242" s="93"/>
    </row>
    <row r="243" spans="1:10" s="65" customFormat="1" ht="14" x14ac:dyDescent="0.35">
      <c r="A243" s="145"/>
      <c r="B243" s="152"/>
      <c r="C243" s="93"/>
      <c r="D243" s="93"/>
      <c r="E243" s="95"/>
      <c r="F243" s="95"/>
      <c r="G243" s="95"/>
      <c r="H243" s="93"/>
      <c r="I243" s="93"/>
      <c r="J243" s="93"/>
    </row>
    <row r="244" spans="1:10" s="65" customFormat="1" ht="14" x14ac:dyDescent="0.35">
      <c r="A244" s="145"/>
      <c r="B244" s="152"/>
      <c r="C244" s="93"/>
      <c r="D244" s="93"/>
      <c r="E244" s="95"/>
      <c r="F244" s="95"/>
      <c r="G244" s="95"/>
      <c r="H244" s="93"/>
      <c r="I244" s="93"/>
      <c r="J244" s="93"/>
    </row>
    <row r="245" spans="1:10" s="65" customFormat="1" ht="14" x14ac:dyDescent="0.35">
      <c r="A245" s="145"/>
      <c r="B245" s="152"/>
      <c r="C245" s="93"/>
      <c r="D245" s="93"/>
      <c r="E245" s="95"/>
      <c r="F245" s="95"/>
      <c r="G245" s="95"/>
      <c r="H245" s="93"/>
      <c r="I245" s="93"/>
      <c r="J245" s="93"/>
    </row>
    <row r="246" spans="1:10" s="65" customFormat="1" ht="14" x14ac:dyDescent="0.35">
      <c r="A246" s="145"/>
      <c r="B246" s="152"/>
      <c r="C246" s="93"/>
      <c r="D246" s="93"/>
      <c r="E246" s="95"/>
      <c r="F246" s="95"/>
      <c r="G246" s="95"/>
      <c r="H246" s="93"/>
      <c r="I246" s="93"/>
      <c r="J246" s="93"/>
    </row>
    <row r="247" spans="1:10" s="65" customFormat="1" ht="14" x14ac:dyDescent="0.35">
      <c r="A247" s="145"/>
      <c r="B247" s="152"/>
      <c r="C247" s="93"/>
      <c r="D247" s="93"/>
      <c r="E247" s="95"/>
      <c r="F247" s="95"/>
      <c r="G247" s="95"/>
      <c r="H247" s="93"/>
      <c r="I247" s="93"/>
      <c r="J247" s="93"/>
    </row>
    <row r="248" spans="1:10" s="65" customFormat="1" ht="14" x14ac:dyDescent="0.35">
      <c r="A248" s="145"/>
      <c r="B248" s="152"/>
      <c r="C248" s="93"/>
      <c r="D248" s="93"/>
      <c r="E248" s="95"/>
      <c r="F248" s="95"/>
      <c r="G248" s="95"/>
      <c r="H248" s="93"/>
      <c r="I248" s="93"/>
      <c r="J248" s="93"/>
    </row>
    <row r="249" spans="1:10" s="65" customFormat="1" ht="14" x14ac:dyDescent="0.35">
      <c r="A249" s="145"/>
      <c r="B249" s="152"/>
      <c r="C249" s="93"/>
      <c r="D249" s="93"/>
      <c r="E249" s="95"/>
      <c r="F249" s="95"/>
      <c r="G249" s="95"/>
      <c r="H249" s="93"/>
      <c r="I249" s="93"/>
      <c r="J249" s="93"/>
    </row>
    <row r="250" spans="1:10" s="65" customFormat="1" ht="14" x14ac:dyDescent="0.35">
      <c r="A250" s="145"/>
      <c r="B250" s="152"/>
      <c r="C250" s="93"/>
      <c r="D250" s="93"/>
      <c r="E250" s="95"/>
      <c r="F250" s="95"/>
      <c r="G250" s="95"/>
      <c r="H250" s="93"/>
      <c r="I250" s="93"/>
      <c r="J250" s="93"/>
    </row>
    <row r="251" spans="1:10" s="65" customFormat="1" ht="14" x14ac:dyDescent="0.35">
      <c r="A251" s="145"/>
      <c r="B251" s="152"/>
      <c r="C251" s="93"/>
      <c r="D251" s="93"/>
      <c r="E251" s="95"/>
      <c r="F251" s="95"/>
      <c r="G251" s="95"/>
      <c r="H251" s="93"/>
      <c r="I251" s="93"/>
      <c r="J251" s="93"/>
    </row>
    <row r="252" spans="1:10" s="65" customFormat="1" ht="14" x14ac:dyDescent="0.35">
      <c r="A252" s="145"/>
      <c r="B252" s="152"/>
      <c r="C252" s="93"/>
      <c r="D252" s="93"/>
      <c r="E252" s="95"/>
      <c r="F252" s="95"/>
      <c r="G252" s="95"/>
      <c r="H252" s="93"/>
      <c r="I252" s="93"/>
      <c r="J252" s="93"/>
    </row>
    <row r="253" spans="1:10" s="65" customFormat="1" ht="14" x14ac:dyDescent="0.35">
      <c r="A253" s="145"/>
      <c r="B253" s="152"/>
      <c r="C253" s="93"/>
      <c r="D253" s="93"/>
      <c r="E253" s="95"/>
      <c r="F253" s="95"/>
      <c r="G253" s="95"/>
      <c r="H253" s="93"/>
      <c r="I253" s="93"/>
      <c r="J253" s="93"/>
    </row>
    <row r="254" spans="1:10" s="65" customFormat="1" ht="14" x14ac:dyDescent="0.35">
      <c r="A254" s="145"/>
      <c r="B254" s="152"/>
      <c r="C254" s="93"/>
      <c r="D254" s="93"/>
      <c r="E254" s="95"/>
      <c r="F254" s="95"/>
      <c r="G254" s="95"/>
      <c r="H254" s="93"/>
      <c r="I254" s="93"/>
      <c r="J254" s="93"/>
    </row>
    <row r="255" spans="1:10" s="65" customFormat="1" ht="14" x14ac:dyDescent="0.35">
      <c r="A255" s="145"/>
      <c r="B255" s="152"/>
      <c r="C255" s="93"/>
      <c r="D255" s="93"/>
      <c r="E255" s="95"/>
      <c r="F255" s="95"/>
      <c r="G255" s="95"/>
      <c r="H255" s="93"/>
      <c r="I255" s="93"/>
      <c r="J255" s="93"/>
    </row>
    <row r="256" spans="1:10" s="65" customFormat="1" ht="14" x14ac:dyDescent="0.35">
      <c r="A256" s="145"/>
      <c r="B256" s="152"/>
      <c r="C256" s="93"/>
      <c r="D256" s="93"/>
      <c r="E256" s="95"/>
      <c r="F256" s="95"/>
      <c r="G256" s="95"/>
      <c r="H256" s="93"/>
      <c r="I256" s="93"/>
      <c r="J256" s="93"/>
    </row>
    <row r="257" spans="1:10" s="65" customFormat="1" ht="14" x14ac:dyDescent="0.35">
      <c r="A257" s="145"/>
      <c r="B257" s="152"/>
      <c r="C257" s="93"/>
      <c r="D257" s="93"/>
      <c r="E257" s="95"/>
      <c r="F257" s="95"/>
      <c r="G257" s="95"/>
      <c r="H257" s="93"/>
      <c r="I257" s="93"/>
      <c r="J257" s="93"/>
    </row>
    <row r="258" spans="1:10" s="65" customFormat="1" ht="14" x14ac:dyDescent="0.35">
      <c r="A258" s="145"/>
      <c r="B258" s="152"/>
      <c r="C258" s="93"/>
      <c r="D258" s="93"/>
      <c r="E258" s="95"/>
      <c r="F258" s="95"/>
      <c r="G258" s="95"/>
      <c r="H258" s="93"/>
      <c r="I258" s="93"/>
      <c r="J258" s="93"/>
    </row>
    <row r="259" spans="1:10" s="65" customFormat="1" ht="14" x14ac:dyDescent="0.35">
      <c r="A259" s="145"/>
      <c r="B259" s="152"/>
      <c r="C259" s="93"/>
      <c r="D259" s="93"/>
      <c r="E259" s="95"/>
      <c r="F259" s="95"/>
      <c r="G259" s="95"/>
      <c r="H259" s="93"/>
      <c r="I259" s="93"/>
      <c r="J259" s="93"/>
    </row>
    <row r="260" spans="1:10" s="65" customFormat="1" ht="14" x14ac:dyDescent="0.35">
      <c r="A260" s="145"/>
      <c r="B260" s="152"/>
      <c r="C260" s="93"/>
      <c r="D260" s="93"/>
      <c r="E260" s="95"/>
      <c r="F260" s="95"/>
      <c r="G260" s="95"/>
      <c r="H260" s="93"/>
      <c r="I260" s="93"/>
      <c r="J260" s="93"/>
    </row>
    <row r="261" spans="1:10" s="65" customFormat="1" ht="14" x14ac:dyDescent="0.35">
      <c r="A261" s="145"/>
      <c r="B261" s="152"/>
      <c r="C261" s="93"/>
      <c r="D261" s="93"/>
      <c r="E261" s="95"/>
      <c r="F261" s="95"/>
      <c r="G261" s="95"/>
      <c r="H261" s="93"/>
      <c r="I261" s="93"/>
      <c r="J261" s="93"/>
    </row>
    <row r="262" spans="1:10" s="65" customFormat="1" ht="14" x14ac:dyDescent="0.35">
      <c r="A262" s="145"/>
      <c r="B262" s="152"/>
      <c r="C262" s="93"/>
      <c r="D262" s="93"/>
      <c r="E262" s="95"/>
      <c r="F262" s="95"/>
      <c r="G262" s="95"/>
      <c r="H262" s="93"/>
      <c r="I262" s="93"/>
      <c r="J262" s="93"/>
    </row>
    <row r="263" spans="1:10" s="65" customFormat="1" ht="14" x14ac:dyDescent="0.35">
      <c r="A263" s="145"/>
      <c r="B263" s="152"/>
      <c r="C263" s="93"/>
      <c r="D263" s="93"/>
      <c r="E263" s="95"/>
      <c r="F263" s="95"/>
      <c r="G263" s="95"/>
      <c r="H263" s="93"/>
      <c r="I263" s="93"/>
      <c r="J263" s="93"/>
    </row>
    <row r="264" spans="1:10" s="65" customFormat="1" ht="14" x14ac:dyDescent="0.35">
      <c r="A264" s="145"/>
      <c r="B264" s="152"/>
      <c r="C264" s="93"/>
      <c r="D264" s="93"/>
      <c r="E264" s="95"/>
      <c r="F264" s="95"/>
      <c r="G264" s="95"/>
      <c r="H264" s="93"/>
      <c r="I264" s="93"/>
      <c r="J264" s="93"/>
    </row>
    <row r="265" spans="1:10" s="65" customFormat="1" ht="14" x14ac:dyDescent="0.35">
      <c r="A265" s="145"/>
      <c r="B265" s="152"/>
      <c r="C265" s="93"/>
      <c r="D265" s="93"/>
      <c r="E265" s="95"/>
      <c r="F265" s="95"/>
      <c r="G265" s="95"/>
      <c r="H265" s="93"/>
      <c r="I265" s="93"/>
      <c r="J265" s="93"/>
    </row>
    <row r="266" spans="1:10" s="65" customFormat="1" ht="14" x14ac:dyDescent="0.35">
      <c r="A266" s="145"/>
      <c r="B266" s="152"/>
      <c r="C266" s="93"/>
      <c r="D266" s="93"/>
      <c r="E266" s="95"/>
      <c r="F266" s="95"/>
      <c r="G266" s="95"/>
      <c r="H266" s="93"/>
      <c r="I266" s="93"/>
      <c r="J266" s="93"/>
    </row>
    <row r="267" spans="1:10" s="65" customFormat="1" ht="14" x14ac:dyDescent="0.35">
      <c r="A267" s="145"/>
      <c r="B267" s="152"/>
      <c r="C267" s="93"/>
      <c r="D267" s="93"/>
      <c r="E267" s="95"/>
      <c r="F267" s="95"/>
      <c r="G267" s="95"/>
      <c r="H267" s="93"/>
      <c r="I267" s="93"/>
      <c r="J267" s="93"/>
    </row>
    <row r="268" spans="1:10" s="65" customFormat="1" ht="14" x14ac:dyDescent="0.35">
      <c r="A268" s="145"/>
      <c r="B268" s="152"/>
      <c r="C268" s="93"/>
      <c r="D268" s="93"/>
      <c r="E268" s="95"/>
      <c r="F268" s="95"/>
      <c r="G268" s="95"/>
      <c r="H268" s="93"/>
      <c r="I268" s="93"/>
      <c r="J268" s="93"/>
    </row>
    <row r="269" spans="1:10" s="65" customFormat="1" ht="14" x14ac:dyDescent="0.35">
      <c r="A269" s="145"/>
      <c r="B269" s="152"/>
      <c r="C269" s="93"/>
      <c r="D269" s="93"/>
      <c r="E269" s="95"/>
      <c r="F269" s="95"/>
      <c r="G269" s="95"/>
      <c r="H269" s="93"/>
      <c r="I269" s="93"/>
      <c r="J269" s="93"/>
    </row>
    <row r="270" spans="1:10" s="65" customFormat="1" ht="14" x14ac:dyDescent="0.35">
      <c r="A270" s="145"/>
      <c r="B270" s="152"/>
      <c r="C270" s="93"/>
      <c r="D270" s="93"/>
      <c r="E270" s="95"/>
      <c r="F270" s="95"/>
      <c r="G270" s="95"/>
      <c r="H270" s="93"/>
      <c r="I270" s="93"/>
      <c r="J270" s="93"/>
    </row>
    <row r="271" spans="1:10" s="65" customFormat="1" ht="14" x14ac:dyDescent="0.35">
      <c r="A271" s="145"/>
      <c r="B271" s="152"/>
      <c r="C271" s="93"/>
      <c r="D271" s="93"/>
      <c r="E271" s="95"/>
      <c r="F271" s="95"/>
      <c r="G271" s="95"/>
      <c r="H271" s="93"/>
      <c r="I271" s="93"/>
      <c r="J271" s="93"/>
    </row>
    <row r="272" spans="1:10" s="65" customFormat="1" ht="14" x14ac:dyDescent="0.35">
      <c r="A272" s="145"/>
      <c r="B272" s="152"/>
      <c r="C272" s="93"/>
      <c r="D272" s="93"/>
      <c r="E272" s="95"/>
      <c r="F272" s="95"/>
      <c r="G272" s="95"/>
      <c r="H272" s="93"/>
      <c r="I272" s="93"/>
      <c r="J272" s="93"/>
    </row>
    <row r="273" spans="1:10" s="65" customFormat="1" ht="14" x14ac:dyDescent="0.35">
      <c r="A273" s="145"/>
      <c r="B273" s="152"/>
      <c r="C273" s="93"/>
      <c r="D273" s="93"/>
      <c r="E273" s="95"/>
      <c r="F273" s="95"/>
      <c r="G273" s="95"/>
      <c r="H273" s="93"/>
      <c r="I273" s="93"/>
      <c r="J273" s="93"/>
    </row>
    <row r="274" spans="1:10" s="65" customFormat="1" ht="14" x14ac:dyDescent="0.35">
      <c r="A274" s="145"/>
      <c r="B274" s="152"/>
      <c r="C274" s="93"/>
      <c r="D274" s="93"/>
      <c r="E274" s="95"/>
      <c r="F274" s="95"/>
      <c r="G274" s="95"/>
      <c r="H274" s="93"/>
      <c r="I274" s="93"/>
      <c r="J274" s="93"/>
    </row>
    <row r="275" spans="1:10" s="65" customFormat="1" ht="14" x14ac:dyDescent="0.35">
      <c r="A275" s="145"/>
      <c r="B275" s="152"/>
      <c r="C275" s="93"/>
      <c r="D275" s="93"/>
      <c r="E275" s="95"/>
      <c r="F275" s="95"/>
      <c r="G275" s="95"/>
      <c r="H275" s="93"/>
      <c r="I275" s="93"/>
      <c r="J275" s="93"/>
    </row>
    <row r="276" spans="1:10" s="65" customFormat="1" ht="14" x14ac:dyDescent="0.35">
      <c r="A276" s="145"/>
      <c r="B276" s="152"/>
      <c r="C276" s="93"/>
      <c r="D276" s="93"/>
      <c r="E276" s="95"/>
      <c r="F276" s="95"/>
      <c r="G276" s="95"/>
      <c r="H276" s="93"/>
      <c r="I276" s="93"/>
      <c r="J276" s="93"/>
    </row>
    <row r="277" spans="1:10" s="65" customFormat="1" ht="14" x14ac:dyDescent="0.35">
      <c r="A277" s="145"/>
      <c r="B277" s="152"/>
      <c r="C277" s="93"/>
      <c r="D277" s="93"/>
      <c r="E277" s="95"/>
      <c r="F277" s="95"/>
      <c r="G277" s="95"/>
      <c r="H277" s="93"/>
      <c r="I277" s="93"/>
      <c r="J277" s="93"/>
    </row>
    <row r="278" spans="1:10" s="65" customFormat="1" ht="14" x14ac:dyDescent="0.35">
      <c r="A278" s="145"/>
      <c r="B278" s="152"/>
      <c r="C278" s="93"/>
      <c r="D278" s="93"/>
      <c r="E278" s="95"/>
      <c r="F278" s="95"/>
      <c r="G278" s="95"/>
      <c r="H278" s="93"/>
      <c r="I278" s="93"/>
      <c r="J278" s="93"/>
    </row>
    <row r="279" spans="1:10" s="65" customFormat="1" ht="14" x14ac:dyDescent="0.35">
      <c r="A279" s="145"/>
      <c r="B279" s="152"/>
      <c r="C279" s="93"/>
      <c r="D279" s="93"/>
      <c r="E279" s="95"/>
      <c r="F279" s="95"/>
      <c r="G279" s="95"/>
      <c r="H279" s="93"/>
      <c r="I279" s="93"/>
      <c r="J279" s="93"/>
    </row>
    <row r="280" spans="1:10" s="65" customFormat="1" ht="14" x14ac:dyDescent="0.35">
      <c r="A280" s="145"/>
      <c r="B280" s="152"/>
      <c r="C280" s="93"/>
      <c r="D280" s="93"/>
      <c r="E280" s="95"/>
      <c r="F280" s="95"/>
      <c r="G280" s="95"/>
      <c r="H280" s="93"/>
      <c r="I280" s="93"/>
      <c r="J280" s="93"/>
    </row>
    <row r="281" spans="1:10" s="65" customFormat="1" ht="14" x14ac:dyDescent="0.35">
      <c r="A281" s="145"/>
      <c r="B281" s="152"/>
      <c r="C281" s="93"/>
      <c r="D281" s="93"/>
      <c r="E281" s="95"/>
      <c r="F281" s="95"/>
      <c r="G281" s="95"/>
      <c r="H281" s="93"/>
      <c r="I281" s="93"/>
      <c r="J281" s="93"/>
    </row>
    <row r="282" spans="1:10" s="65" customFormat="1" ht="14" x14ac:dyDescent="0.35">
      <c r="A282" s="145"/>
      <c r="B282" s="152"/>
      <c r="C282" s="93"/>
      <c r="D282" s="93"/>
      <c r="E282" s="95"/>
      <c r="F282" s="95"/>
      <c r="G282" s="95"/>
      <c r="H282" s="93"/>
      <c r="I282" s="93"/>
      <c r="J282" s="93"/>
    </row>
    <row r="283" spans="1:10" s="65" customFormat="1" ht="14" x14ac:dyDescent="0.35">
      <c r="A283" s="145"/>
      <c r="B283" s="152"/>
      <c r="C283" s="93"/>
      <c r="D283" s="93"/>
      <c r="E283" s="95"/>
      <c r="F283" s="95"/>
      <c r="G283" s="95"/>
      <c r="H283" s="93"/>
      <c r="I283" s="93"/>
      <c r="J283" s="93"/>
    </row>
    <row r="284" spans="1:10" s="65" customFormat="1" ht="14" x14ac:dyDescent="0.35">
      <c r="A284" s="145"/>
      <c r="B284" s="152"/>
      <c r="C284" s="93"/>
      <c r="D284" s="93"/>
      <c r="E284" s="95"/>
      <c r="F284" s="95"/>
      <c r="G284" s="95"/>
      <c r="H284" s="93"/>
      <c r="I284" s="93"/>
      <c r="J284" s="93"/>
    </row>
    <row r="285" spans="1:10" s="65" customFormat="1" ht="14" x14ac:dyDescent="0.35">
      <c r="A285" s="145"/>
      <c r="B285" s="152"/>
      <c r="C285" s="93"/>
      <c r="D285" s="93"/>
      <c r="E285" s="95"/>
      <c r="F285" s="95"/>
      <c r="G285" s="95"/>
      <c r="H285" s="93"/>
      <c r="I285" s="93"/>
      <c r="J285" s="93"/>
    </row>
    <row r="286" spans="1:10" s="65" customFormat="1" ht="14" x14ac:dyDescent="0.35">
      <c r="A286" s="145"/>
      <c r="B286" s="152"/>
      <c r="C286" s="93"/>
      <c r="D286" s="93"/>
      <c r="E286" s="95"/>
      <c r="F286" s="95"/>
      <c r="G286" s="95"/>
      <c r="H286" s="93"/>
      <c r="I286" s="93"/>
      <c r="J286" s="93"/>
    </row>
    <row r="287" spans="1:10" s="65" customFormat="1" ht="14" x14ac:dyDescent="0.35">
      <c r="A287" s="145"/>
      <c r="B287" s="152"/>
      <c r="C287" s="93"/>
      <c r="D287" s="93"/>
      <c r="E287" s="95"/>
      <c r="F287" s="95"/>
      <c r="G287" s="95"/>
      <c r="H287" s="93"/>
      <c r="I287" s="93"/>
      <c r="J287" s="93"/>
    </row>
    <row r="288" spans="1:10" s="65" customFormat="1" ht="14" x14ac:dyDescent="0.35">
      <c r="A288" s="145"/>
      <c r="B288" s="152"/>
      <c r="C288" s="93"/>
      <c r="D288" s="93"/>
      <c r="E288" s="95"/>
      <c r="F288" s="95"/>
      <c r="G288" s="95"/>
      <c r="H288" s="93"/>
      <c r="I288" s="93"/>
      <c r="J288" s="93"/>
    </row>
    <row r="289" spans="1:10" s="65" customFormat="1" ht="14" x14ac:dyDescent="0.35">
      <c r="A289" s="145"/>
      <c r="B289" s="152"/>
      <c r="C289" s="93"/>
      <c r="D289" s="93"/>
      <c r="E289" s="95"/>
      <c r="F289" s="95"/>
      <c r="G289" s="95"/>
      <c r="H289" s="93"/>
      <c r="I289" s="93"/>
      <c r="J289" s="93"/>
    </row>
    <row r="290" spans="1:10" s="65" customFormat="1" ht="14" x14ac:dyDescent="0.35">
      <c r="A290" s="145"/>
      <c r="B290" s="152"/>
      <c r="C290" s="93"/>
      <c r="D290" s="93"/>
      <c r="E290" s="95"/>
      <c r="F290" s="95"/>
      <c r="G290" s="95"/>
      <c r="H290" s="93"/>
      <c r="I290" s="93"/>
      <c r="J290" s="93"/>
    </row>
    <row r="291" spans="1:10" s="65" customFormat="1" ht="14" x14ac:dyDescent="0.35">
      <c r="A291" s="145"/>
      <c r="B291" s="152"/>
      <c r="C291" s="93"/>
      <c r="D291" s="93"/>
      <c r="E291" s="95"/>
      <c r="F291" s="95"/>
      <c r="G291" s="95"/>
      <c r="H291" s="93"/>
      <c r="I291" s="93"/>
      <c r="J291" s="93"/>
    </row>
    <row r="292" spans="1:10" s="65" customFormat="1" ht="14" x14ac:dyDescent="0.35">
      <c r="A292" s="145"/>
      <c r="B292" s="152"/>
      <c r="C292" s="93"/>
      <c r="D292" s="93"/>
      <c r="E292" s="95"/>
      <c r="F292" s="95"/>
      <c r="G292" s="95"/>
      <c r="H292" s="93"/>
      <c r="I292" s="93"/>
      <c r="J292" s="93"/>
    </row>
    <row r="293" spans="1:10" s="65" customFormat="1" ht="14" x14ac:dyDescent="0.35">
      <c r="A293" s="145"/>
      <c r="B293" s="152"/>
      <c r="C293" s="93"/>
      <c r="D293" s="93"/>
      <c r="E293" s="95"/>
      <c r="F293" s="95"/>
      <c r="G293" s="95"/>
      <c r="H293" s="93"/>
      <c r="I293" s="93"/>
      <c r="J293" s="93"/>
    </row>
    <row r="294" spans="1:10" s="65" customFormat="1" ht="14" x14ac:dyDescent="0.35">
      <c r="A294" s="145"/>
      <c r="B294" s="152"/>
      <c r="C294" s="93"/>
      <c r="D294" s="93"/>
      <c r="E294" s="95"/>
      <c r="F294" s="95"/>
      <c r="G294" s="95"/>
      <c r="H294" s="93"/>
      <c r="I294" s="93"/>
      <c r="J294" s="93"/>
    </row>
    <row r="295" spans="1:10" s="65" customFormat="1" ht="14" x14ac:dyDescent="0.35">
      <c r="A295" s="145"/>
      <c r="B295" s="152"/>
      <c r="C295" s="93"/>
      <c r="D295" s="93"/>
      <c r="E295" s="95"/>
      <c r="F295" s="95"/>
      <c r="G295" s="95"/>
      <c r="H295" s="93"/>
      <c r="I295" s="93"/>
      <c r="J295" s="93"/>
    </row>
    <row r="296" spans="1:10" s="65" customFormat="1" ht="14" x14ac:dyDescent="0.35">
      <c r="A296" s="145"/>
      <c r="B296" s="152"/>
      <c r="C296" s="93"/>
      <c r="D296" s="93"/>
      <c r="E296" s="95"/>
      <c r="F296" s="95"/>
      <c r="G296" s="95"/>
      <c r="H296" s="93"/>
      <c r="I296" s="93"/>
      <c r="J296" s="93"/>
    </row>
    <row r="297" spans="1:10" s="65" customFormat="1" ht="14" x14ac:dyDescent="0.35">
      <c r="A297" s="145"/>
      <c r="B297" s="152"/>
      <c r="C297" s="93"/>
      <c r="D297" s="93"/>
      <c r="E297" s="95"/>
      <c r="F297" s="95"/>
      <c r="G297" s="95"/>
      <c r="H297" s="93"/>
      <c r="I297" s="93"/>
      <c r="J297" s="93"/>
    </row>
    <row r="298" spans="1:10" s="65" customFormat="1" ht="14" x14ac:dyDescent="0.35">
      <c r="A298" s="145"/>
      <c r="B298" s="152"/>
      <c r="C298" s="93"/>
      <c r="D298" s="93"/>
      <c r="E298" s="95"/>
      <c r="F298" s="95"/>
      <c r="G298" s="95"/>
      <c r="H298" s="93"/>
      <c r="I298" s="93"/>
      <c r="J298" s="93"/>
    </row>
    <row r="299" spans="1:10" s="65" customFormat="1" ht="14" x14ac:dyDescent="0.35">
      <c r="A299" s="145"/>
      <c r="B299" s="152"/>
      <c r="C299" s="93"/>
      <c r="D299" s="93"/>
      <c r="E299" s="95"/>
      <c r="F299" s="95"/>
      <c r="G299" s="95"/>
      <c r="H299" s="93"/>
      <c r="I299" s="93"/>
      <c r="J299" s="93"/>
    </row>
    <row r="300" spans="1:10" s="65" customFormat="1" ht="14" x14ac:dyDescent="0.35">
      <c r="A300" s="145"/>
      <c r="B300" s="152"/>
      <c r="C300" s="93"/>
      <c r="D300" s="93"/>
      <c r="E300" s="95"/>
      <c r="F300" s="95"/>
      <c r="G300" s="95"/>
      <c r="H300" s="93"/>
      <c r="I300" s="93"/>
      <c r="J300" s="93"/>
    </row>
    <row r="301" spans="1:10" s="65" customFormat="1" ht="14" x14ac:dyDescent="0.35">
      <c r="A301" s="145"/>
      <c r="B301" s="152"/>
      <c r="C301" s="93"/>
      <c r="D301" s="93"/>
      <c r="E301" s="95"/>
      <c r="F301" s="95"/>
      <c r="G301" s="95"/>
      <c r="H301" s="93"/>
      <c r="I301" s="93"/>
      <c r="J301" s="93"/>
    </row>
    <row r="302" spans="1:10" s="65" customFormat="1" ht="14" x14ac:dyDescent="0.35">
      <c r="A302" s="145"/>
      <c r="B302" s="152"/>
      <c r="C302" s="93"/>
      <c r="D302" s="93"/>
      <c r="E302" s="95"/>
      <c r="F302" s="95"/>
      <c r="G302" s="95"/>
      <c r="H302" s="93"/>
      <c r="I302" s="93"/>
      <c r="J302" s="93"/>
    </row>
    <row r="303" spans="1:10" s="65" customFormat="1" ht="14" x14ac:dyDescent="0.35">
      <c r="A303" s="145"/>
      <c r="B303" s="152"/>
      <c r="C303" s="93"/>
      <c r="D303" s="93"/>
      <c r="E303" s="95"/>
      <c r="F303" s="95"/>
      <c r="G303" s="95"/>
      <c r="H303" s="93"/>
      <c r="I303" s="93"/>
      <c r="J303" s="93"/>
    </row>
    <row r="304" spans="1:10" s="65" customFormat="1" ht="14" x14ac:dyDescent="0.35">
      <c r="A304" s="145"/>
      <c r="B304" s="152"/>
      <c r="C304" s="93"/>
      <c r="D304" s="93"/>
      <c r="E304" s="95"/>
      <c r="F304" s="95"/>
      <c r="G304" s="95"/>
      <c r="H304" s="93"/>
      <c r="I304" s="93"/>
      <c r="J304" s="93"/>
    </row>
    <row r="305" spans="1:10" s="65" customFormat="1" ht="14" x14ac:dyDescent="0.35">
      <c r="A305" s="145"/>
      <c r="B305" s="152"/>
      <c r="C305" s="93"/>
      <c r="D305" s="93"/>
      <c r="E305" s="95"/>
      <c r="F305" s="95"/>
      <c r="G305" s="95"/>
      <c r="H305" s="93"/>
      <c r="I305" s="93"/>
      <c r="J305" s="93"/>
    </row>
    <row r="306" spans="1:10" s="65" customFormat="1" ht="14" x14ac:dyDescent="0.35">
      <c r="A306" s="145"/>
      <c r="B306" s="152"/>
      <c r="C306" s="93"/>
      <c r="D306" s="93"/>
      <c r="E306" s="95"/>
      <c r="F306" s="95"/>
      <c r="G306" s="95"/>
      <c r="H306" s="93"/>
      <c r="I306" s="93"/>
      <c r="J306" s="93"/>
    </row>
    <row r="307" spans="1:10" s="65" customFormat="1" ht="14" x14ac:dyDescent="0.35">
      <c r="A307" s="145"/>
      <c r="B307" s="152"/>
      <c r="C307" s="93"/>
      <c r="D307" s="93"/>
      <c r="E307" s="95"/>
      <c r="F307" s="95"/>
      <c r="G307" s="95"/>
      <c r="H307" s="93"/>
      <c r="I307" s="93"/>
      <c r="J307" s="93"/>
    </row>
    <row r="308" spans="1:10" s="65" customFormat="1" ht="14" x14ac:dyDescent="0.35">
      <c r="A308" s="145"/>
      <c r="B308" s="152"/>
      <c r="C308" s="93"/>
      <c r="D308" s="93"/>
      <c r="E308" s="95"/>
      <c r="F308" s="95"/>
      <c r="G308" s="95"/>
      <c r="H308" s="93"/>
      <c r="I308" s="93"/>
      <c r="J308" s="93"/>
    </row>
    <row r="309" spans="1:10" s="65" customFormat="1" ht="14" x14ac:dyDescent="0.35">
      <c r="A309" s="145"/>
      <c r="B309" s="152"/>
      <c r="C309" s="93"/>
      <c r="D309" s="93"/>
      <c r="E309" s="95"/>
      <c r="F309" s="95"/>
      <c r="G309" s="95"/>
      <c r="H309" s="93"/>
      <c r="I309" s="93"/>
      <c r="J309" s="93"/>
    </row>
    <row r="310" spans="1:10" s="65" customFormat="1" ht="14" x14ac:dyDescent="0.35">
      <c r="A310" s="145"/>
      <c r="B310" s="152"/>
      <c r="C310" s="93"/>
      <c r="D310" s="93"/>
      <c r="E310" s="95"/>
      <c r="F310" s="95"/>
      <c r="G310" s="95"/>
      <c r="H310" s="93"/>
      <c r="I310" s="93"/>
      <c r="J310" s="93"/>
    </row>
    <row r="311" spans="1:10" s="65" customFormat="1" ht="14" x14ac:dyDescent="0.35">
      <c r="A311" s="145"/>
      <c r="B311" s="152"/>
      <c r="C311" s="93"/>
      <c r="D311" s="93"/>
      <c r="E311" s="95"/>
      <c r="F311" s="95"/>
      <c r="G311" s="95"/>
      <c r="H311" s="93"/>
      <c r="I311" s="93"/>
      <c r="J311" s="93"/>
    </row>
    <row r="312" spans="1:10" s="65" customFormat="1" ht="14" x14ac:dyDescent="0.35">
      <c r="A312" s="145"/>
      <c r="B312" s="152"/>
      <c r="C312" s="93"/>
      <c r="D312" s="93"/>
      <c r="E312" s="95"/>
      <c r="F312" s="95"/>
      <c r="G312" s="95"/>
      <c r="H312" s="93"/>
      <c r="I312" s="93"/>
      <c r="J312" s="93"/>
    </row>
    <row r="313" spans="1:10" s="65" customFormat="1" ht="14" x14ac:dyDescent="0.35">
      <c r="A313" s="145"/>
      <c r="B313" s="152"/>
      <c r="C313" s="93"/>
      <c r="D313" s="93"/>
      <c r="E313" s="95"/>
      <c r="F313" s="95"/>
      <c r="G313" s="95"/>
      <c r="H313" s="93"/>
      <c r="I313" s="93"/>
      <c r="J313" s="93"/>
    </row>
    <row r="314" spans="1:10" s="65" customFormat="1" ht="14" x14ac:dyDescent="0.35">
      <c r="A314" s="145"/>
      <c r="B314" s="152"/>
      <c r="C314" s="93"/>
      <c r="D314" s="93"/>
      <c r="E314" s="95"/>
      <c r="F314" s="95"/>
      <c r="G314" s="95"/>
      <c r="H314" s="93"/>
      <c r="I314" s="93"/>
      <c r="J314" s="93"/>
    </row>
    <row r="315" spans="1:10" s="65" customFormat="1" ht="14" x14ac:dyDescent="0.35">
      <c r="A315" s="145"/>
      <c r="B315" s="152"/>
      <c r="C315" s="93"/>
      <c r="D315" s="93"/>
      <c r="E315" s="95"/>
      <c r="F315" s="95"/>
      <c r="G315" s="95"/>
      <c r="H315" s="93"/>
      <c r="I315" s="93"/>
      <c r="J315" s="93"/>
    </row>
    <row r="316" spans="1:10" s="65" customFormat="1" ht="14" x14ac:dyDescent="0.35">
      <c r="A316" s="145"/>
      <c r="B316" s="152"/>
      <c r="C316" s="93"/>
      <c r="D316" s="93"/>
      <c r="E316" s="95"/>
      <c r="F316" s="95"/>
      <c r="G316" s="95"/>
      <c r="H316" s="93"/>
      <c r="I316" s="93"/>
      <c r="J316" s="93"/>
    </row>
    <row r="317" spans="1:10" s="65" customFormat="1" ht="14" x14ac:dyDescent="0.35">
      <c r="A317" s="145"/>
      <c r="B317" s="152"/>
      <c r="C317" s="93"/>
      <c r="D317" s="93"/>
      <c r="E317" s="95"/>
      <c r="F317" s="95"/>
      <c r="G317" s="95"/>
      <c r="H317" s="93"/>
      <c r="I317" s="93"/>
      <c r="J317" s="93"/>
    </row>
    <row r="318" spans="1:10" s="65" customFormat="1" ht="14" x14ac:dyDescent="0.35">
      <c r="A318" s="145"/>
      <c r="B318" s="152"/>
      <c r="C318" s="93"/>
      <c r="D318" s="93"/>
      <c r="E318" s="95"/>
      <c r="F318" s="95"/>
      <c r="G318" s="95"/>
      <c r="H318" s="93"/>
      <c r="I318" s="93"/>
      <c r="J318" s="93"/>
    </row>
    <row r="319" spans="1:10" s="65" customFormat="1" ht="14" x14ac:dyDescent="0.35">
      <c r="A319" s="145"/>
      <c r="B319" s="152"/>
      <c r="C319" s="93"/>
      <c r="D319" s="93"/>
      <c r="E319" s="95"/>
      <c r="F319" s="95"/>
      <c r="G319" s="95"/>
      <c r="H319" s="93"/>
      <c r="I319" s="93"/>
      <c r="J319" s="93"/>
    </row>
    <row r="320" spans="1:10" s="65" customFormat="1" ht="14" x14ac:dyDescent="0.35">
      <c r="A320" s="145"/>
      <c r="B320" s="152"/>
      <c r="C320" s="93"/>
      <c r="D320" s="93"/>
      <c r="E320" s="95"/>
      <c r="F320" s="95"/>
      <c r="G320" s="95"/>
      <c r="H320" s="93"/>
      <c r="I320" s="93"/>
      <c r="J320" s="93"/>
    </row>
    <row r="321" spans="1:10" s="65" customFormat="1" ht="14" x14ac:dyDescent="0.35">
      <c r="A321" s="145"/>
      <c r="B321" s="152"/>
      <c r="C321" s="93"/>
      <c r="D321" s="93"/>
      <c r="E321" s="95"/>
      <c r="F321" s="95"/>
      <c r="G321" s="95"/>
      <c r="H321" s="93"/>
      <c r="I321" s="93"/>
      <c r="J321" s="93"/>
    </row>
    <row r="322" spans="1:10" s="65" customFormat="1" ht="14" x14ac:dyDescent="0.35">
      <c r="A322" s="145"/>
      <c r="B322" s="152"/>
      <c r="C322" s="93"/>
      <c r="D322" s="93"/>
      <c r="E322" s="95"/>
      <c r="F322" s="95"/>
      <c r="G322" s="95"/>
      <c r="H322" s="93"/>
      <c r="I322" s="93"/>
      <c r="J322" s="93"/>
    </row>
    <row r="323" spans="1:10" s="65" customFormat="1" ht="14" x14ac:dyDescent="0.35">
      <c r="A323" s="145"/>
      <c r="B323" s="152"/>
      <c r="C323" s="93"/>
      <c r="D323" s="93"/>
      <c r="E323" s="95"/>
      <c r="F323" s="95"/>
      <c r="G323" s="95"/>
      <c r="H323" s="93"/>
      <c r="I323" s="93"/>
      <c r="J323" s="93"/>
    </row>
    <row r="324" spans="1:10" s="65" customFormat="1" ht="14" x14ac:dyDescent="0.35">
      <c r="A324" s="145"/>
      <c r="B324" s="152"/>
      <c r="C324" s="93"/>
      <c r="D324" s="93"/>
      <c r="E324" s="95"/>
      <c r="F324" s="95"/>
      <c r="G324" s="95"/>
      <c r="H324" s="93"/>
      <c r="I324" s="93"/>
      <c r="J324" s="93"/>
    </row>
    <row r="325" spans="1:10" s="65" customFormat="1" ht="14" x14ac:dyDescent="0.35">
      <c r="A325" s="145"/>
      <c r="B325" s="152"/>
      <c r="C325" s="93"/>
      <c r="D325" s="93"/>
      <c r="E325" s="95"/>
      <c r="F325" s="95"/>
      <c r="G325" s="95"/>
      <c r="H325" s="93"/>
      <c r="I325" s="93"/>
      <c r="J325" s="93"/>
    </row>
    <row r="326" spans="1:10" s="65" customFormat="1" ht="14" x14ac:dyDescent="0.35">
      <c r="A326" s="145"/>
      <c r="B326" s="152"/>
      <c r="C326" s="93"/>
      <c r="D326" s="93"/>
      <c r="E326" s="95"/>
      <c r="F326" s="95"/>
      <c r="G326" s="95"/>
      <c r="H326" s="93"/>
      <c r="I326" s="93"/>
      <c r="J326" s="93"/>
    </row>
    <row r="327" spans="1:10" s="65" customFormat="1" ht="14" x14ac:dyDescent="0.35">
      <c r="A327" s="145"/>
      <c r="B327" s="152"/>
      <c r="C327" s="93"/>
      <c r="D327" s="93"/>
      <c r="E327" s="95"/>
      <c r="F327" s="95"/>
      <c r="G327" s="95"/>
      <c r="H327" s="93"/>
      <c r="I327" s="93"/>
      <c r="J327" s="93"/>
    </row>
    <row r="328" spans="1:10" s="65" customFormat="1" ht="14" x14ac:dyDescent="0.35">
      <c r="A328" s="145"/>
      <c r="B328" s="152"/>
      <c r="C328" s="93"/>
      <c r="D328" s="93"/>
      <c r="E328" s="95"/>
      <c r="F328" s="95"/>
      <c r="G328" s="95"/>
      <c r="H328" s="93"/>
      <c r="I328" s="93"/>
      <c r="J328" s="93"/>
    </row>
    <row r="329" spans="1:10" s="65" customFormat="1" ht="14" x14ac:dyDescent="0.35">
      <c r="A329" s="145"/>
      <c r="B329" s="152"/>
      <c r="C329" s="93"/>
      <c r="D329" s="93"/>
      <c r="E329" s="95"/>
      <c r="F329" s="95"/>
      <c r="G329" s="95"/>
      <c r="H329" s="93"/>
      <c r="I329" s="93"/>
      <c r="J329" s="93"/>
    </row>
    <row r="330" spans="1:10" s="65" customFormat="1" ht="14" x14ac:dyDescent="0.35">
      <c r="A330" s="145"/>
      <c r="B330" s="152"/>
      <c r="C330" s="93"/>
      <c r="D330" s="93"/>
      <c r="E330" s="95"/>
      <c r="F330" s="95"/>
      <c r="G330" s="95"/>
      <c r="H330" s="93"/>
      <c r="I330" s="93"/>
      <c r="J330" s="93"/>
    </row>
    <row r="331" spans="1:10" s="65" customFormat="1" ht="14" x14ac:dyDescent="0.35">
      <c r="A331" s="145"/>
      <c r="B331" s="152"/>
      <c r="C331" s="93"/>
      <c r="D331" s="93"/>
      <c r="E331" s="95"/>
      <c r="F331" s="95"/>
      <c r="G331" s="95"/>
      <c r="H331" s="93"/>
      <c r="I331" s="93"/>
      <c r="J331" s="93"/>
    </row>
    <row r="332" spans="1:10" s="65" customFormat="1" ht="14" x14ac:dyDescent="0.35">
      <c r="A332" s="145"/>
      <c r="B332" s="152"/>
      <c r="C332" s="93"/>
      <c r="D332" s="93"/>
      <c r="E332" s="95"/>
      <c r="F332" s="95"/>
      <c r="G332" s="95"/>
      <c r="H332" s="93"/>
      <c r="I332" s="93"/>
      <c r="J332" s="93"/>
    </row>
    <row r="333" spans="1:10" s="65" customFormat="1" ht="14" x14ac:dyDescent="0.35">
      <c r="A333" s="145"/>
      <c r="B333" s="152"/>
      <c r="C333" s="93"/>
      <c r="D333" s="93"/>
      <c r="E333" s="95"/>
      <c r="F333" s="95"/>
      <c r="G333" s="95"/>
      <c r="H333" s="93"/>
      <c r="I333" s="93"/>
      <c r="J333" s="93"/>
    </row>
    <row r="334" spans="1:10" s="65" customFormat="1" ht="14" x14ac:dyDescent="0.35">
      <c r="A334" s="145"/>
      <c r="B334" s="152"/>
      <c r="C334" s="93"/>
      <c r="D334" s="93"/>
      <c r="E334" s="95"/>
      <c r="F334" s="95"/>
      <c r="G334" s="95"/>
      <c r="H334" s="93"/>
      <c r="I334" s="93"/>
      <c r="J334" s="93"/>
    </row>
    <row r="335" spans="1:10" s="65" customFormat="1" ht="14" x14ac:dyDescent="0.35">
      <c r="A335" s="145"/>
      <c r="B335" s="152"/>
      <c r="C335" s="93"/>
      <c r="D335" s="93"/>
      <c r="E335" s="95"/>
      <c r="F335" s="95"/>
      <c r="G335" s="95"/>
      <c r="H335" s="93"/>
      <c r="I335" s="93"/>
      <c r="J335" s="93"/>
    </row>
    <row r="336" spans="1:10" s="65" customFormat="1" ht="14" x14ac:dyDescent="0.35">
      <c r="A336" s="145"/>
      <c r="B336" s="152"/>
      <c r="C336" s="93"/>
      <c r="D336" s="93"/>
      <c r="E336" s="95"/>
      <c r="F336" s="95"/>
      <c r="G336" s="95"/>
      <c r="H336" s="93"/>
      <c r="I336" s="93"/>
      <c r="J336" s="93"/>
    </row>
    <row r="337" spans="1:10" s="65" customFormat="1" ht="14" x14ac:dyDescent="0.35">
      <c r="A337" s="145"/>
      <c r="B337" s="152"/>
      <c r="C337" s="93"/>
      <c r="D337" s="93"/>
      <c r="E337" s="95"/>
      <c r="F337" s="95"/>
      <c r="G337" s="95"/>
      <c r="H337" s="93"/>
      <c r="I337" s="93"/>
      <c r="J337" s="93"/>
    </row>
    <row r="338" spans="1:10" s="65" customFormat="1" ht="14" x14ac:dyDescent="0.35">
      <c r="A338" s="145"/>
      <c r="B338" s="152"/>
      <c r="C338" s="93"/>
      <c r="D338" s="93"/>
      <c r="E338" s="95"/>
      <c r="F338" s="95"/>
      <c r="G338" s="95"/>
      <c r="H338" s="93"/>
      <c r="I338" s="93"/>
      <c r="J338" s="93"/>
    </row>
    <row r="339" spans="1:10" s="65" customFormat="1" ht="14" x14ac:dyDescent="0.35">
      <c r="A339" s="145"/>
      <c r="B339" s="152"/>
      <c r="C339" s="93"/>
      <c r="D339" s="93"/>
      <c r="E339" s="95"/>
      <c r="F339" s="95"/>
      <c r="G339" s="95"/>
      <c r="H339" s="93"/>
      <c r="I339" s="93"/>
      <c r="J339" s="93"/>
    </row>
    <row r="340" spans="1:10" s="65" customFormat="1" ht="14" x14ac:dyDescent="0.35">
      <c r="A340" s="145"/>
      <c r="B340" s="152"/>
      <c r="C340" s="93"/>
      <c r="D340" s="93"/>
      <c r="E340" s="95"/>
      <c r="F340" s="95"/>
      <c r="G340" s="95"/>
      <c r="H340" s="93"/>
      <c r="I340" s="93"/>
      <c r="J340" s="93"/>
    </row>
    <row r="341" spans="1:10" s="65" customFormat="1" ht="14" x14ac:dyDescent="0.35">
      <c r="A341" s="145"/>
      <c r="B341" s="152"/>
      <c r="C341" s="93"/>
      <c r="D341" s="93"/>
      <c r="E341" s="95"/>
      <c r="F341" s="95"/>
      <c r="G341" s="95"/>
      <c r="H341" s="93"/>
      <c r="I341" s="93"/>
      <c r="J341" s="93"/>
    </row>
    <row r="342" spans="1:10" s="65" customFormat="1" ht="14" x14ac:dyDescent="0.35">
      <c r="A342" s="145"/>
      <c r="B342" s="152"/>
      <c r="C342" s="93"/>
      <c r="D342" s="93"/>
      <c r="E342" s="95"/>
      <c r="F342" s="95"/>
      <c r="G342" s="95"/>
      <c r="H342" s="93"/>
      <c r="I342" s="93"/>
      <c r="J342" s="93"/>
    </row>
    <row r="343" spans="1:10" s="65" customFormat="1" ht="14" x14ac:dyDescent="0.35">
      <c r="A343" s="145"/>
      <c r="B343" s="152"/>
      <c r="C343" s="93"/>
      <c r="D343" s="93"/>
      <c r="E343" s="95"/>
      <c r="F343" s="95"/>
      <c r="G343" s="95"/>
      <c r="H343" s="93"/>
      <c r="I343" s="93"/>
      <c r="J343" s="93"/>
    </row>
    <row r="344" spans="1:10" s="65" customFormat="1" ht="14" x14ac:dyDescent="0.35">
      <c r="A344" s="145"/>
      <c r="B344" s="152"/>
      <c r="C344" s="93"/>
      <c r="D344" s="93"/>
      <c r="E344" s="95"/>
      <c r="F344" s="95"/>
      <c r="G344" s="95"/>
      <c r="H344" s="93"/>
      <c r="I344" s="93"/>
      <c r="J344" s="93"/>
    </row>
    <row r="345" spans="1:10" s="65" customFormat="1" ht="14" x14ac:dyDescent="0.35">
      <c r="A345" s="145"/>
      <c r="B345" s="152"/>
      <c r="C345" s="93"/>
      <c r="D345" s="93"/>
      <c r="E345" s="95"/>
      <c r="F345" s="95"/>
      <c r="G345" s="95"/>
      <c r="H345" s="93"/>
      <c r="I345" s="93"/>
      <c r="J345" s="93"/>
    </row>
    <row r="346" spans="1:10" s="65" customFormat="1" ht="14" x14ac:dyDescent="0.35">
      <c r="A346" s="145"/>
      <c r="B346" s="152"/>
      <c r="C346" s="93"/>
      <c r="D346" s="93"/>
      <c r="E346" s="95"/>
      <c r="F346" s="95"/>
      <c r="G346" s="95"/>
      <c r="H346" s="93"/>
      <c r="I346" s="93"/>
      <c r="J346" s="93"/>
    </row>
    <row r="347" spans="1:10" s="65" customFormat="1" ht="14" x14ac:dyDescent="0.35">
      <c r="A347" s="145"/>
      <c r="B347" s="152"/>
      <c r="C347" s="93"/>
      <c r="D347" s="93"/>
      <c r="E347" s="95"/>
      <c r="F347" s="95"/>
      <c r="G347" s="95"/>
      <c r="H347" s="93"/>
      <c r="I347" s="93"/>
      <c r="J347" s="93"/>
    </row>
    <row r="348" spans="1:10" s="65" customFormat="1" ht="14" x14ac:dyDescent="0.35">
      <c r="A348" s="145"/>
      <c r="B348" s="152"/>
      <c r="C348" s="93"/>
      <c r="D348" s="93"/>
      <c r="E348" s="95"/>
      <c r="F348" s="95"/>
      <c r="G348" s="95"/>
      <c r="H348" s="93"/>
      <c r="I348" s="93"/>
      <c r="J348" s="93"/>
    </row>
    <row r="349" spans="1:10" s="65" customFormat="1" ht="14" x14ac:dyDescent="0.35">
      <c r="A349" s="145"/>
      <c r="B349" s="152"/>
      <c r="C349" s="93"/>
      <c r="D349" s="93"/>
      <c r="E349" s="95"/>
      <c r="F349" s="95"/>
      <c r="G349" s="95"/>
      <c r="H349" s="93"/>
      <c r="I349" s="93"/>
      <c r="J349" s="93"/>
    </row>
    <row r="350" spans="1:10" s="65" customFormat="1" ht="14" x14ac:dyDescent="0.35">
      <c r="A350" s="145"/>
      <c r="B350" s="152"/>
      <c r="C350" s="93"/>
      <c r="D350" s="93"/>
      <c r="E350" s="95"/>
      <c r="F350" s="95"/>
      <c r="G350" s="95"/>
      <c r="H350" s="93"/>
      <c r="I350" s="93"/>
      <c r="J350" s="93"/>
    </row>
    <row r="351" spans="1:10" s="65" customFormat="1" ht="14" x14ac:dyDescent="0.35">
      <c r="A351" s="145"/>
      <c r="B351" s="152"/>
      <c r="C351" s="93"/>
      <c r="D351" s="93"/>
      <c r="E351" s="95"/>
      <c r="F351" s="95"/>
      <c r="G351" s="95"/>
      <c r="H351" s="93"/>
      <c r="I351" s="93"/>
      <c r="J351" s="93"/>
    </row>
    <row r="352" spans="1:10" s="65" customFormat="1" ht="14" x14ac:dyDescent="0.35">
      <c r="A352" s="145"/>
      <c r="B352" s="152"/>
      <c r="C352" s="93"/>
      <c r="D352" s="93"/>
      <c r="E352" s="95"/>
      <c r="F352" s="95"/>
      <c r="G352" s="95"/>
      <c r="H352" s="93"/>
      <c r="I352" s="93"/>
      <c r="J352" s="93"/>
    </row>
    <row r="353" spans="1:10" s="65" customFormat="1" ht="14" x14ac:dyDescent="0.35">
      <c r="A353" s="145"/>
      <c r="B353" s="152"/>
      <c r="C353" s="93"/>
      <c r="D353" s="93"/>
      <c r="E353" s="95"/>
      <c r="F353" s="95"/>
      <c r="G353" s="95"/>
      <c r="H353" s="93"/>
      <c r="I353" s="93"/>
      <c r="J353" s="93"/>
    </row>
    <row r="354" spans="1:10" s="65" customFormat="1" ht="14" x14ac:dyDescent="0.35">
      <c r="A354" s="145"/>
      <c r="B354" s="152"/>
      <c r="C354" s="93"/>
      <c r="D354" s="93"/>
      <c r="E354" s="95"/>
      <c r="F354" s="95"/>
      <c r="G354" s="95"/>
      <c r="H354" s="93"/>
      <c r="I354" s="93"/>
      <c r="J354" s="93"/>
    </row>
    <row r="355" spans="1:10" s="65" customFormat="1" ht="14" x14ac:dyDescent="0.35">
      <c r="A355" s="145"/>
      <c r="B355" s="152"/>
      <c r="C355" s="93"/>
      <c r="D355" s="93"/>
      <c r="E355" s="95"/>
      <c r="F355" s="95"/>
      <c r="G355" s="95"/>
      <c r="H355" s="93"/>
      <c r="I355" s="93"/>
      <c r="J355" s="93"/>
    </row>
    <row r="356" spans="1:10" s="65" customFormat="1" ht="14" x14ac:dyDescent="0.35">
      <c r="A356" s="145"/>
      <c r="B356" s="152"/>
      <c r="C356" s="93"/>
      <c r="D356" s="93"/>
      <c r="E356" s="95"/>
      <c r="F356" s="95"/>
      <c r="G356" s="95"/>
      <c r="H356" s="93"/>
      <c r="I356" s="93"/>
      <c r="J356" s="93"/>
    </row>
    <row r="357" spans="1:10" s="65" customFormat="1" ht="14" x14ac:dyDescent="0.35">
      <c r="A357" s="145"/>
      <c r="B357" s="152"/>
      <c r="C357" s="93"/>
      <c r="D357" s="93"/>
      <c r="E357" s="95"/>
      <c r="F357" s="95"/>
      <c r="G357" s="95"/>
      <c r="H357" s="93"/>
      <c r="I357" s="93"/>
      <c r="J357" s="93"/>
    </row>
    <row r="358" spans="1:10" s="65" customFormat="1" ht="14" x14ac:dyDescent="0.35">
      <c r="A358" s="145"/>
      <c r="B358" s="152"/>
      <c r="C358" s="93"/>
      <c r="D358" s="93"/>
      <c r="E358" s="95"/>
      <c r="F358" s="95"/>
      <c r="G358" s="95"/>
      <c r="H358" s="93"/>
      <c r="I358" s="93"/>
      <c r="J358" s="93"/>
    </row>
    <row r="359" spans="1:10" s="65" customFormat="1" ht="14" x14ac:dyDescent="0.35">
      <c r="A359" s="145"/>
      <c r="B359" s="152"/>
      <c r="C359" s="93"/>
      <c r="D359" s="93"/>
      <c r="E359" s="95"/>
      <c r="F359" s="95"/>
      <c r="G359" s="95"/>
      <c r="H359" s="93"/>
      <c r="I359" s="93"/>
      <c r="J359" s="93"/>
    </row>
    <row r="360" spans="1:10" s="65" customFormat="1" ht="14" x14ac:dyDescent="0.35">
      <c r="A360" s="145"/>
      <c r="B360" s="152"/>
      <c r="C360" s="93"/>
      <c r="D360" s="93"/>
      <c r="E360" s="95"/>
      <c r="F360" s="95"/>
      <c r="G360" s="95"/>
      <c r="H360" s="93"/>
      <c r="I360" s="93"/>
      <c r="J360" s="93"/>
    </row>
    <row r="361" spans="1:10" s="65" customFormat="1" ht="14" x14ac:dyDescent="0.35">
      <c r="A361" s="145"/>
      <c r="B361" s="152"/>
      <c r="C361" s="93"/>
      <c r="D361" s="93"/>
      <c r="E361" s="95"/>
      <c r="F361" s="95"/>
      <c r="G361" s="95"/>
      <c r="H361" s="93"/>
      <c r="I361" s="93"/>
      <c r="J361" s="93"/>
    </row>
    <row r="362" spans="1:10" s="65" customFormat="1" ht="14" x14ac:dyDescent="0.35">
      <c r="A362" s="145"/>
      <c r="B362" s="152"/>
      <c r="C362" s="93"/>
      <c r="D362" s="93"/>
      <c r="E362" s="95"/>
      <c r="F362" s="95"/>
      <c r="G362" s="95"/>
      <c r="H362" s="93"/>
      <c r="I362" s="93"/>
      <c r="J362" s="93"/>
    </row>
    <row r="363" spans="1:10" s="65" customFormat="1" ht="14" x14ac:dyDescent="0.35">
      <c r="A363" s="145"/>
      <c r="B363" s="152"/>
      <c r="C363" s="93"/>
      <c r="D363" s="93"/>
      <c r="E363" s="95"/>
      <c r="F363" s="95"/>
      <c r="G363" s="95"/>
      <c r="H363" s="93"/>
      <c r="I363" s="93"/>
      <c r="J363" s="93"/>
    </row>
    <row r="364" spans="1:10" s="65" customFormat="1" ht="14" x14ac:dyDescent="0.35">
      <c r="A364" s="145"/>
      <c r="B364" s="152"/>
      <c r="C364" s="93"/>
      <c r="D364" s="93"/>
      <c r="E364" s="95"/>
      <c r="F364" s="95"/>
      <c r="G364" s="95"/>
      <c r="H364" s="93"/>
      <c r="I364" s="93"/>
      <c r="J364" s="93"/>
    </row>
    <row r="365" spans="1:10" s="65" customFormat="1" ht="14" x14ac:dyDescent="0.35">
      <c r="A365" s="145"/>
      <c r="B365" s="152"/>
      <c r="C365" s="93"/>
      <c r="D365" s="93"/>
      <c r="E365" s="95"/>
      <c r="F365" s="95"/>
      <c r="G365" s="95"/>
      <c r="H365" s="93"/>
      <c r="I365" s="93"/>
      <c r="J365" s="93"/>
    </row>
    <row r="366" spans="1:10" s="65" customFormat="1" ht="14" x14ac:dyDescent="0.35">
      <c r="A366" s="145"/>
      <c r="B366" s="152"/>
      <c r="C366" s="93"/>
      <c r="D366" s="93"/>
      <c r="E366" s="95"/>
      <c r="F366" s="95"/>
      <c r="G366" s="95"/>
      <c r="H366" s="93"/>
      <c r="I366" s="93"/>
      <c r="J366" s="93"/>
    </row>
    <row r="367" spans="1:10" s="65" customFormat="1" ht="14" x14ac:dyDescent="0.35">
      <c r="A367" s="145"/>
      <c r="B367" s="152"/>
      <c r="C367" s="93"/>
      <c r="D367" s="93"/>
      <c r="E367" s="95"/>
      <c r="F367" s="95"/>
      <c r="G367" s="95"/>
      <c r="H367" s="93"/>
      <c r="I367" s="93"/>
      <c r="J367" s="93"/>
    </row>
    <row r="368" spans="1:10" s="65" customFormat="1" ht="14" x14ac:dyDescent="0.35">
      <c r="A368" s="145"/>
      <c r="B368" s="152"/>
      <c r="C368" s="93"/>
      <c r="D368" s="93"/>
      <c r="E368" s="95"/>
      <c r="F368" s="95"/>
      <c r="G368" s="95"/>
      <c r="H368" s="93"/>
      <c r="I368" s="93"/>
      <c r="J368" s="93"/>
    </row>
    <row r="369" spans="1:10" s="65" customFormat="1" ht="14" x14ac:dyDescent="0.35">
      <c r="A369" s="145"/>
      <c r="B369" s="152"/>
      <c r="C369" s="93"/>
      <c r="D369" s="93"/>
      <c r="E369" s="95"/>
      <c r="F369" s="95"/>
      <c r="G369" s="95"/>
      <c r="H369" s="93"/>
      <c r="I369" s="93"/>
      <c r="J369" s="93"/>
    </row>
    <row r="370" spans="1:10" s="65" customFormat="1" ht="14" x14ac:dyDescent="0.35">
      <c r="A370" s="145"/>
      <c r="B370" s="152"/>
      <c r="C370" s="93"/>
      <c r="D370" s="93"/>
      <c r="E370" s="95"/>
      <c r="F370" s="95"/>
      <c r="G370" s="95"/>
      <c r="H370" s="93"/>
      <c r="I370" s="93"/>
      <c r="J370" s="93"/>
    </row>
    <row r="371" spans="1:10" s="65" customFormat="1" ht="14" x14ac:dyDescent="0.35">
      <c r="A371" s="145"/>
      <c r="B371" s="152"/>
      <c r="C371" s="93"/>
      <c r="D371" s="93"/>
      <c r="E371" s="95"/>
      <c r="F371" s="95"/>
      <c r="G371" s="95"/>
      <c r="H371" s="93"/>
      <c r="I371" s="93"/>
      <c r="J371" s="93"/>
    </row>
    <row r="372" spans="1:10" s="65" customFormat="1" ht="14" x14ac:dyDescent="0.35">
      <c r="A372" s="145"/>
      <c r="B372" s="152"/>
      <c r="C372" s="93"/>
      <c r="D372" s="93"/>
      <c r="E372" s="95"/>
      <c r="F372" s="95"/>
      <c r="G372" s="95"/>
      <c r="H372" s="93"/>
      <c r="I372" s="93"/>
      <c r="J372" s="93"/>
    </row>
    <row r="373" spans="1:10" s="65" customFormat="1" ht="14" x14ac:dyDescent="0.35">
      <c r="A373" s="145"/>
      <c r="B373" s="152"/>
      <c r="C373" s="93"/>
      <c r="D373" s="93"/>
      <c r="E373" s="95"/>
      <c r="F373" s="95"/>
      <c r="G373" s="95"/>
      <c r="H373" s="93"/>
      <c r="I373" s="93"/>
      <c r="J373" s="93"/>
    </row>
    <row r="374" spans="1:10" s="65" customFormat="1" ht="14" x14ac:dyDescent="0.35">
      <c r="A374" s="145"/>
      <c r="B374" s="152"/>
      <c r="C374" s="93"/>
      <c r="D374" s="93"/>
      <c r="E374" s="95"/>
      <c r="F374" s="95"/>
      <c r="G374" s="95"/>
      <c r="H374" s="93"/>
      <c r="I374" s="93"/>
      <c r="J374" s="93"/>
    </row>
    <row r="375" spans="1:10" s="65" customFormat="1" ht="14" x14ac:dyDescent="0.35">
      <c r="A375" s="145"/>
      <c r="B375" s="152"/>
      <c r="C375" s="93"/>
      <c r="D375" s="93"/>
      <c r="E375" s="95"/>
      <c r="F375" s="95"/>
      <c r="G375" s="95"/>
      <c r="H375" s="93"/>
      <c r="I375" s="93"/>
      <c r="J375" s="93"/>
    </row>
    <row r="376" spans="1:10" s="65" customFormat="1" ht="14" x14ac:dyDescent="0.35">
      <c r="A376" s="145"/>
      <c r="B376" s="152"/>
      <c r="C376" s="93"/>
      <c r="D376" s="93"/>
      <c r="E376" s="95"/>
      <c r="F376" s="95"/>
      <c r="G376" s="95"/>
      <c r="H376" s="93"/>
      <c r="I376" s="93"/>
      <c r="J376" s="93"/>
    </row>
    <row r="377" spans="1:10" s="65" customFormat="1" ht="14" x14ac:dyDescent="0.35">
      <c r="A377" s="145"/>
      <c r="B377" s="152"/>
      <c r="C377" s="93"/>
      <c r="D377" s="93"/>
      <c r="E377" s="95"/>
      <c r="F377" s="95"/>
      <c r="G377" s="95"/>
      <c r="H377" s="93"/>
      <c r="I377" s="93"/>
      <c r="J377" s="93"/>
    </row>
    <row r="378" spans="1:10" s="65" customFormat="1" ht="14" x14ac:dyDescent="0.35">
      <c r="A378" s="145"/>
      <c r="B378" s="152"/>
      <c r="C378" s="93"/>
      <c r="D378" s="93"/>
      <c r="E378" s="95"/>
      <c r="F378" s="95"/>
      <c r="G378" s="95"/>
      <c r="H378" s="93"/>
      <c r="I378" s="93"/>
      <c r="J378" s="93"/>
    </row>
    <row r="379" spans="1:10" s="65" customFormat="1" ht="14" x14ac:dyDescent="0.35">
      <c r="A379" s="145"/>
      <c r="B379" s="152"/>
      <c r="C379" s="93"/>
      <c r="D379" s="93"/>
      <c r="E379" s="95"/>
      <c r="F379" s="95"/>
      <c r="G379" s="95"/>
      <c r="H379" s="93"/>
      <c r="I379" s="93"/>
      <c r="J379" s="93"/>
    </row>
    <row r="380" spans="1:10" s="65" customFormat="1" ht="14" x14ac:dyDescent="0.35">
      <c r="A380" s="145"/>
      <c r="B380" s="152"/>
      <c r="C380" s="93"/>
      <c r="D380" s="93"/>
      <c r="E380" s="95"/>
      <c r="F380" s="95"/>
      <c r="G380" s="95"/>
      <c r="H380" s="93"/>
      <c r="I380" s="93"/>
      <c r="J380" s="93"/>
    </row>
    <row r="381" spans="1:10" s="65" customFormat="1" ht="14" x14ac:dyDescent="0.35">
      <c r="A381" s="145"/>
      <c r="B381" s="152"/>
      <c r="C381" s="93"/>
      <c r="D381" s="93"/>
      <c r="E381" s="95"/>
      <c r="F381" s="95"/>
      <c r="G381" s="95"/>
      <c r="H381" s="93"/>
      <c r="I381" s="93"/>
      <c r="J381" s="93"/>
    </row>
    <row r="382" spans="1:10" s="65" customFormat="1" ht="14" x14ac:dyDescent="0.35">
      <c r="A382" s="145"/>
      <c r="B382" s="152"/>
      <c r="C382" s="93"/>
      <c r="D382" s="93"/>
      <c r="E382" s="95"/>
      <c r="F382" s="95"/>
      <c r="G382" s="95"/>
      <c r="H382" s="93"/>
      <c r="I382" s="93"/>
      <c r="J382" s="93"/>
    </row>
    <row r="383" spans="1:10" s="65" customFormat="1" ht="14" x14ac:dyDescent="0.35">
      <c r="A383" s="145"/>
      <c r="B383" s="152"/>
      <c r="C383" s="93"/>
      <c r="D383" s="93"/>
      <c r="E383" s="95"/>
      <c r="F383" s="95"/>
      <c r="G383" s="95"/>
      <c r="H383" s="93"/>
      <c r="I383" s="93"/>
      <c r="J383" s="93"/>
    </row>
    <row r="384" spans="1:10" s="65" customFormat="1" ht="14" x14ac:dyDescent="0.35">
      <c r="A384" s="145"/>
      <c r="B384" s="152"/>
      <c r="C384" s="93"/>
      <c r="D384" s="93"/>
      <c r="E384" s="95"/>
      <c r="F384" s="95"/>
      <c r="G384" s="95"/>
      <c r="H384" s="93"/>
      <c r="I384" s="93"/>
      <c r="J384" s="93"/>
    </row>
    <row r="385" spans="1:10" s="65" customFormat="1" ht="14" x14ac:dyDescent="0.35">
      <c r="A385" s="145"/>
      <c r="B385" s="152"/>
      <c r="C385" s="93"/>
      <c r="D385" s="93"/>
      <c r="E385" s="95"/>
      <c r="F385" s="95"/>
      <c r="G385" s="95"/>
      <c r="H385" s="93"/>
      <c r="I385" s="93"/>
      <c r="J385" s="93"/>
    </row>
    <row r="386" spans="1:10" s="65" customFormat="1" ht="14" x14ac:dyDescent="0.35">
      <c r="A386" s="145"/>
      <c r="B386" s="152"/>
      <c r="C386" s="93"/>
      <c r="D386" s="93"/>
      <c r="E386" s="95"/>
      <c r="F386" s="95"/>
      <c r="G386" s="95"/>
      <c r="H386" s="93"/>
      <c r="I386" s="93"/>
      <c r="J386" s="93"/>
    </row>
    <row r="387" spans="1:10" s="65" customFormat="1" ht="14" x14ac:dyDescent="0.35">
      <c r="A387" s="145"/>
      <c r="B387" s="152"/>
      <c r="C387" s="93"/>
      <c r="D387" s="93"/>
      <c r="E387" s="95"/>
      <c r="F387" s="95"/>
      <c r="G387" s="95"/>
      <c r="H387" s="93"/>
      <c r="I387" s="93"/>
      <c r="J387" s="93"/>
    </row>
    <row r="388" spans="1:10" s="65" customFormat="1" ht="14" x14ac:dyDescent="0.35">
      <c r="A388" s="145"/>
      <c r="B388" s="152"/>
      <c r="C388" s="93"/>
      <c r="D388" s="93"/>
      <c r="E388" s="95"/>
      <c r="F388" s="95"/>
      <c r="G388" s="95"/>
      <c r="H388" s="93"/>
      <c r="I388" s="93"/>
      <c r="J388" s="93"/>
    </row>
    <row r="389" spans="1:10" s="65" customFormat="1" ht="14" x14ac:dyDescent="0.35">
      <c r="A389" s="145"/>
      <c r="B389" s="152"/>
      <c r="C389" s="93"/>
      <c r="D389" s="93"/>
      <c r="E389" s="95"/>
      <c r="F389" s="95"/>
      <c r="G389" s="95"/>
      <c r="H389" s="93"/>
      <c r="I389" s="93"/>
      <c r="J389" s="93"/>
    </row>
    <row r="390" spans="1:10" s="65" customFormat="1" ht="14" x14ac:dyDescent="0.35">
      <c r="A390" s="145"/>
      <c r="B390" s="152"/>
      <c r="C390" s="93"/>
      <c r="D390" s="93"/>
      <c r="E390" s="95"/>
      <c r="F390" s="95"/>
      <c r="G390" s="95"/>
      <c r="H390" s="93"/>
      <c r="I390" s="93"/>
      <c r="J390" s="93"/>
    </row>
    <row r="391" spans="1:10" s="65" customFormat="1" ht="14" x14ac:dyDescent="0.35">
      <c r="A391" s="145"/>
      <c r="B391" s="152"/>
      <c r="C391" s="93"/>
      <c r="D391" s="93"/>
      <c r="E391" s="95"/>
      <c r="F391" s="95"/>
      <c r="G391" s="95"/>
      <c r="H391" s="93"/>
      <c r="I391" s="93"/>
      <c r="J391" s="93"/>
    </row>
    <row r="392" spans="1:10" s="65" customFormat="1" ht="14" x14ac:dyDescent="0.35">
      <c r="A392" s="145"/>
      <c r="B392" s="152"/>
      <c r="C392" s="93"/>
      <c r="D392" s="93"/>
      <c r="E392" s="95"/>
      <c r="F392" s="95"/>
      <c r="G392" s="95"/>
      <c r="H392" s="93"/>
      <c r="I392" s="93"/>
      <c r="J392" s="93"/>
    </row>
    <row r="393" spans="1:10" s="65" customFormat="1" ht="14" x14ac:dyDescent="0.35">
      <c r="A393" s="145"/>
      <c r="B393" s="152"/>
      <c r="C393" s="93"/>
      <c r="D393" s="93"/>
      <c r="E393" s="95"/>
      <c r="F393" s="95"/>
      <c r="G393" s="95"/>
      <c r="H393" s="93"/>
      <c r="I393" s="93"/>
      <c r="J393" s="93"/>
    </row>
    <row r="394" spans="1:10" s="65" customFormat="1" ht="14" x14ac:dyDescent="0.35">
      <c r="A394" s="145"/>
      <c r="B394" s="152"/>
      <c r="C394" s="93"/>
      <c r="D394" s="93"/>
      <c r="E394" s="95"/>
      <c r="F394" s="95"/>
      <c r="G394" s="95"/>
      <c r="H394" s="93"/>
      <c r="I394" s="93"/>
      <c r="J394" s="93"/>
    </row>
    <row r="395" spans="1:10" s="65" customFormat="1" ht="14" x14ac:dyDescent="0.35">
      <c r="A395" s="145"/>
      <c r="B395" s="152"/>
      <c r="C395" s="93"/>
      <c r="D395" s="93"/>
      <c r="E395" s="95"/>
      <c r="F395" s="95"/>
      <c r="G395" s="95"/>
      <c r="H395" s="93"/>
      <c r="I395" s="93"/>
      <c r="J395" s="93"/>
    </row>
    <row r="396" spans="1:10" s="65" customFormat="1" ht="14" x14ac:dyDescent="0.35">
      <c r="A396" s="145"/>
      <c r="B396" s="152"/>
      <c r="C396" s="93"/>
      <c r="D396" s="93"/>
      <c r="E396" s="95"/>
      <c r="F396" s="95"/>
      <c r="G396" s="95"/>
      <c r="H396" s="93"/>
      <c r="I396" s="93"/>
      <c r="J396" s="93"/>
    </row>
    <row r="397" spans="1:10" s="65" customFormat="1" ht="14" x14ac:dyDescent="0.35">
      <c r="A397" s="145"/>
      <c r="B397" s="152"/>
      <c r="C397" s="93"/>
      <c r="D397" s="93"/>
      <c r="E397" s="95"/>
      <c r="F397" s="95"/>
      <c r="G397" s="95"/>
      <c r="H397" s="93"/>
      <c r="I397" s="93"/>
      <c r="J397" s="93"/>
    </row>
    <row r="398" spans="1:10" s="65" customFormat="1" ht="14" x14ac:dyDescent="0.35">
      <c r="A398" s="145"/>
      <c r="B398" s="152"/>
      <c r="C398" s="93"/>
      <c r="D398" s="93"/>
      <c r="E398" s="95"/>
      <c r="F398" s="95"/>
      <c r="G398" s="95"/>
      <c r="H398" s="93"/>
      <c r="I398" s="93"/>
      <c r="J398" s="93"/>
    </row>
    <row r="399" spans="1:10" s="65" customFormat="1" ht="14" x14ac:dyDescent="0.35">
      <c r="A399" s="145"/>
      <c r="B399" s="152"/>
      <c r="C399" s="93"/>
      <c r="D399" s="93"/>
      <c r="E399" s="95"/>
      <c r="F399" s="95"/>
      <c r="G399" s="95"/>
      <c r="H399" s="93"/>
      <c r="I399" s="93"/>
      <c r="J399" s="93"/>
    </row>
    <row r="400" spans="1:10" s="65" customFormat="1" ht="14" x14ac:dyDescent="0.35">
      <c r="A400" s="145"/>
      <c r="B400" s="152"/>
      <c r="C400" s="93"/>
      <c r="D400" s="93"/>
      <c r="E400" s="95"/>
      <c r="F400" s="95"/>
      <c r="G400" s="95"/>
      <c r="H400" s="93"/>
      <c r="I400" s="93"/>
      <c r="J400" s="93"/>
    </row>
    <row r="401" spans="1:10" s="65" customFormat="1" ht="14" x14ac:dyDescent="0.35">
      <c r="A401" s="145"/>
      <c r="B401" s="152"/>
      <c r="C401" s="93"/>
      <c r="D401" s="93"/>
      <c r="E401" s="95"/>
      <c r="F401" s="95"/>
      <c r="G401" s="95"/>
      <c r="H401" s="93"/>
      <c r="I401" s="93"/>
      <c r="J401" s="93"/>
    </row>
    <row r="402" spans="1:10" s="65" customFormat="1" ht="14" x14ac:dyDescent="0.35">
      <c r="A402" s="145"/>
      <c r="B402" s="152"/>
      <c r="C402" s="93"/>
      <c r="D402" s="93"/>
      <c r="E402" s="95"/>
      <c r="F402" s="95"/>
      <c r="G402" s="95"/>
      <c r="H402" s="93"/>
      <c r="I402" s="93"/>
      <c r="J402" s="93"/>
    </row>
    <row r="403" spans="1:10" s="65" customFormat="1" ht="14" x14ac:dyDescent="0.35">
      <c r="A403" s="145"/>
      <c r="B403" s="152"/>
      <c r="C403" s="93"/>
      <c r="D403" s="93"/>
      <c r="E403" s="95"/>
      <c r="F403" s="95"/>
      <c r="G403" s="95"/>
      <c r="H403" s="93"/>
      <c r="I403" s="93"/>
      <c r="J403" s="93"/>
    </row>
    <row r="404" spans="1:10" s="65" customFormat="1" ht="14" x14ac:dyDescent="0.35">
      <c r="A404" s="145"/>
      <c r="B404" s="152"/>
      <c r="C404" s="93"/>
      <c r="D404" s="93"/>
      <c r="E404" s="95"/>
      <c r="F404" s="95"/>
      <c r="G404" s="95"/>
      <c r="H404" s="93"/>
      <c r="I404" s="93"/>
      <c r="J404" s="93"/>
    </row>
    <row r="405" spans="1:10" s="65" customFormat="1" ht="14" x14ac:dyDescent="0.35">
      <c r="A405" s="145"/>
      <c r="B405" s="152"/>
      <c r="C405" s="93"/>
      <c r="D405" s="93"/>
      <c r="E405" s="95"/>
      <c r="F405" s="95"/>
      <c r="G405" s="95"/>
      <c r="H405" s="93"/>
      <c r="I405" s="93"/>
      <c r="J405" s="93"/>
    </row>
    <row r="406" spans="1:10" s="65" customFormat="1" ht="14" x14ac:dyDescent="0.35">
      <c r="A406" s="145"/>
      <c r="B406" s="152"/>
      <c r="C406" s="93"/>
      <c r="D406" s="93"/>
      <c r="E406" s="95"/>
      <c r="F406" s="95"/>
      <c r="G406" s="95"/>
      <c r="H406" s="93"/>
      <c r="I406" s="93"/>
      <c r="J406" s="93"/>
    </row>
    <row r="407" spans="1:10" s="65" customFormat="1" ht="14" x14ac:dyDescent="0.35">
      <c r="A407" s="145"/>
      <c r="B407" s="152"/>
      <c r="C407" s="93"/>
      <c r="D407" s="93"/>
      <c r="E407" s="95"/>
      <c r="F407" s="95"/>
      <c r="G407" s="95"/>
      <c r="H407" s="93"/>
      <c r="I407" s="93"/>
      <c r="J407" s="93"/>
    </row>
    <row r="408" spans="1:10" s="65" customFormat="1" ht="14" x14ac:dyDescent="0.35">
      <c r="A408" s="145"/>
      <c r="B408" s="152"/>
      <c r="C408" s="93"/>
      <c r="D408" s="93"/>
      <c r="E408" s="95"/>
      <c r="F408" s="95"/>
      <c r="G408" s="95"/>
      <c r="H408" s="93"/>
      <c r="I408" s="93"/>
      <c r="J408" s="93"/>
    </row>
    <row r="409" spans="1:10" s="65" customFormat="1" ht="14" x14ac:dyDescent="0.35">
      <c r="A409" s="145"/>
      <c r="B409" s="152"/>
      <c r="C409" s="93"/>
      <c r="D409" s="93"/>
      <c r="E409" s="95"/>
      <c r="F409" s="95"/>
      <c r="G409" s="95"/>
      <c r="H409" s="93"/>
      <c r="I409" s="93"/>
      <c r="J409" s="93"/>
    </row>
    <row r="410" spans="1:10" s="65" customFormat="1" ht="14" x14ac:dyDescent="0.35">
      <c r="A410" s="145"/>
      <c r="B410" s="152"/>
      <c r="C410" s="93"/>
      <c r="D410" s="93"/>
      <c r="E410" s="95"/>
      <c r="F410" s="95"/>
      <c r="G410" s="95"/>
      <c r="H410" s="93"/>
      <c r="I410" s="93"/>
      <c r="J410" s="93"/>
    </row>
    <row r="411" spans="1:10" s="65" customFormat="1" ht="14" x14ac:dyDescent="0.35">
      <c r="A411" s="145"/>
      <c r="B411" s="152"/>
      <c r="C411" s="93"/>
      <c r="D411" s="93"/>
      <c r="E411" s="95"/>
      <c r="F411" s="95"/>
      <c r="G411" s="95"/>
      <c r="H411" s="93"/>
      <c r="I411" s="93"/>
      <c r="J411" s="93"/>
    </row>
    <row r="412" spans="1:10" s="65" customFormat="1" ht="14" x14ac:dyDescent="0.35">
      <c r="A412" s="145"/>
      <c r="B412" s="152"/>
      <c r="C412" s="93"/>
      <c r="D412" s="93"/>
      <c r="E412" s="95"/>
      <c r="F412" s="95"/>
      <c r="G412" s="95"/>
      <c r="H412" s="93"/>
      <c r="I412" s="93"/>
      <c r="J412" s="93"/>
    </row>
    <row r="413" spans="1:10" s="65" customFormat="1" ht="14" x14ac:dyDescent="0.35">
      <c r="A413" s="145"/>
      <c r="B413" s="152"/>
      <c r="C413" s="93"/>
      <c r="D413" s="93"/>
      <c r="E413" s="95"/>
      <c r="F413" s="95"/>
      <c r="G413" s="95"/>
      <c r="H413" s="93"/>
      <c r="I413" s="93"/>
      <c r="J413" s="93"/>
    </row>
    <row r="414" spans="1:10" s="65" customFormat="1" ht="14" x14ac:dyDescent="0.35">
      <c r="A414" s="145"/>
      <c r="B414" s="152"/>
      <c r="C414" s="93"/>
      <c r="D414" s="93"/>
      <c r="E414" s="95"/>
      <c r="F414" s="95"/>
      <c r="G414" s="95"/>
      <c r="H414" s="93"/>
      <c r="I414" s="93"/>
      <c r="J414" s="93"/>
    </row>
    <row r="415" spans="1:10" s="65" customFormat="1" ht="14" x14ac:dyDescent="0.35">
      <c r="A415" s="145"/>
      <c r="B415" s="152"/>
      <c r="C415" s="93"/>
      <c r="D415" s="93"/>
      <c r="E415" s="95"/>
      <c r="F415" s="95"/>
      <c r="G415" s="95"/>
      <c r="H415" s="93"/>
      <c r="I415" s="93"/>
      <c r="J415" s="93"/>
    </row>
    <row r="416" spans="1:10" s="65" customFormat="1" ht="14" x14ac:dyDescent="0.35">
      <c r="A416" s="145"/>
      <c r="B416" s="152"/>
      <c r="C416" s="93"/>
      <c r="D416" s="93"/>
      <c r="E416" s="95"/>
      <c r="F416" s="95"/>
      <c r="G416" s="95"/>
      <c r="H416" s="93"/>
      <c r="I416" s="93"/>
      <c r="J416" s="93"/>
    </row>
    <row r="417" spans="1:10" s="65" customFormat="1" ht="14" x14ac:dyDescent="0.35">
      <c r="A417" s="145"/>
      <c r="B417" s="152"/>
      <c r="C417" s="93"/>
      <c r="D417" s="93"/>
      <c r="E417" s="95"/>
      <c r="F417" s="95"/>
      <c r="G417" s="95"/>
      <c r="H417" s="93"/>
      <c r="I417" s="93"/>
      <c r="J417" s="93"/>
    </row>
    <row r="418" spans="1:10" s="65" customFormat="1" ht="14" x14ac:dyDescent="0.35">
      <c r="A418" s="145"/>
      <c r="B418" s="152"/>
      <c r="C418" s="93"/>
      <c r="D418" s="93"/>
      <c r="E418" s="95"/>
      <c r="F418" s="95"/>
      <c r="G418" s="95"/>
      <c r="H418" s="93"/>
      <c r="I418" s="93"/>
      <c r="J418" s="93"/>
    </row>
    <row r="419" spans="1:10" s="65" customFormat="1" ht="14" x14ac:dyDescent="0.35">
      <c r="A419" s="145"/>
      <c r="B419" s="152"/>
      <c r="C419" s="93"/>
      <c r="D419" s="93"/>
      <c r="E419" s="95"/>
      <c r="F419" s="95"/>
      <c r="G419" s="95"/>
      <c r="H419" s="93"/>
      <c r="I419" s="93"/>
      <c r="J419" s="93"/>
    </row>
    <row r="420" spans="1:10" s="65" customFormat="1" ht="14" x14ac:dyDescent="0.35">
      <c r="A420" s="145"/>
      <c r="B420" s="152"/>
      <c r="C420" s="93"/>
      <c r="D420" s="93"/>
      <c r="E420" s="95"/>
      <c r="F420" s="95"/>
      <c r="G420" s="95"/>
      <c r="H420" s="93"/>
      <c r="I420" s="93"/>
      <c r="J420" s="93"/>
    </row>
    <row r="421" spans="1:10" s="65" customFormat="1" ht="14" x14ac:dyDescent="0.35">
      <c r="A421" s="145"/>
      <c r="B421" s="152"/>
      <c r="C421" s="93"/>
      <c r="D421" s="93"/>
      <c r="E421" s="95"/>
      <c r="F421" s="95"/>
      <c r="G421" s="95"/>
      <c r="H421" s="93"/>
      <c r="I421" s="93"/>
      <c r="J421" s="93"/>
    </row>
    <row r="422" spans="1:10" s="65" customFormat="1" ht="14" x14ac:dyDescent="0.35">
      <c r="A422" s="145"/>
      <c r="B422" s="152"/>
      <c r="C422" s="93"/>
      <c r="D422" s="93"/>
      <c r="E422" s="95"/>
      <c r="F422" s="95"/>
      <c r="G422" s="95"/>
      <c r="H422" s="93"/>
      <c r="I422" s="93"/>
      <c r="J422" s="93"/>
    </row>
    <row r="423" spans="1:10" s="65" customFormat="1" ht="14" x14ac:dyDescent="0.35">
      <c r="A423" s="145"/>
      <c r="B423" s="152"/>
      <c r="C423" s="93"/>
      <c r="D423" s="93"/>
      <c r="E423" s="95"/>
      <c r="F423" s="95"/>
      <c r="G423" s="95"/>
      <c r="H423" s="93"/>
      <c r="I423" s="93"/>
      <c r="J423" s="93"/>
    </row>
    <row r="424" spans="1:10" s="65" customFormat="1" ht="14" x14ac:dyDescent="0.35">
      <c r="A424" s="145"/>
      <c r="B424" s="152"/>
      <c r="C424" s="93"/>
      <c r="D424" s="93"/>
      <c r="E424" s="95"/>
      <c r="F424" s="95"/>
      <c r="G424" s="95"/>
      <c r="H424" s="93"/>
      <c r="I424" s="93"/>
      <c r="J424" s="93"/>
    </row>
    <row r="425" spans="1:10" s="65" customFormat="1" ht="14" x14ac:dyDescent="0.35">
      <c r="A425" s="145"/>
      <c r="B425" s="152"/>
      <c r="C425" s="93"/>
      <c r="D425" s="93"/>
      <c r="E425" s="95"/>
      <c r="F425" s="95"/>
      <c r="G425" s="95"/>
      <c r="H425" s="93"/>
      <c r="I425" s="93"/>
      <c r="J425" s="93"/>
    </row>
    <row r="426" spans="1:10" s="65" customFormat="1" ht="14" x14ac:dyDescent="0.35">
      <c r="A426" s="145"/>
      <c r="B426" s="152"/>
      <c r="C426" s="93"/>
      <c r="D426" s="93"/>
      <c r="E426" s="95"/>
      <c r="F426" s="95"/>
      <c r="G426" s="95"/>
      <c r="H426" s="93"/>
      <c r="I426" s="93"/>
      <c r="J426" s="93"/>
    </row>
    <row r="427" spans="1:10" s="65" customFormat="1" ht="14" x14ac:dyDescent="0.35">
      <c r="A427" s="145"/>
      <c r="B427" s="152"/>
      <c r="C427" s="93"/>
      <c r="D427" s="93"/>
      <c r="E427" s="95"/>
      <c r="F427" s="95"/>
      <c r="G427" s="95"/>
      <c r="H427" s="93"/>
      <c r="I427" s="93"/>
      <c r="J427" s="93"/>
    </row>
    <row r="428" spans="1:10" s="65" customFormat="1" ht="14" x14ac:dyDescent="0.35">
      <c r="A428" s="145"/>
      <c r="B428" s="152"/>
      <c r="C428" s="93"/>
      <c r="D428" s="93"/>
      <c r="E428" s="95"/>
      <c r="F428" s="95"/>
      <c r="G428" s="95"/>
      <c r="H428" s="93"/>
      <c r="I428" s="93"/>
      <c r="J428" s="93"/>
    </row>
    <row r="429" spans="1:10" s="65" customFormat="1" ht="14" x14ac:dyDescent="0.35">
      <c r="A429" s="145"/>
      <c r="B429" s="152"/>
      <c r="C429" s="93"/>
      <c r="D429" s="93"/>
      <c r="E429" s="95"/>
      <c r="F429" s="95"/>
      <c r="G429" s="95"/>
      <c r="H429" s="93"/>
      <c r="I429" s="93"/>
      <c r="J429" s="93"/>
    </row>
    <row r="430" spans="1:10" s="65" customFormat="1" ht="14" x14ac:dyDescent="0.35">
      <c r="A430" s="145"/>
      <c r="B430" s="152"/>
      <c r="C430" s="93"/>
      <c r="D430" s="93"/>
      <c r="E430" s="95"/>
      <c r="F430" s="95"/>
      <c r="G430" s="95"/>
      <c r="H430" s="93"/>
      <c r="I430" s="93"/>
      <c r="J430" s="93"/>
    </row>
    <row r="431" spans="1:10" s="65" customFormat="1" ht="14" x14ac:dyDescent="0.35">
      <c r="A431" s="145"/>
      <c r="B431" s="152"/>
      <c r="C431" s="93"/>
      <c r="D431" s="93"/>
      <c r="E431" s="95"/>
      <c r="F431" s="95"/>
      <c r="G431" s="95"/>
      <c r="H431" s="93"/>
      <c r="I431" s="93"/>
      <c r="J431" s="93"/>
    </row>
    <row r="432" spans="1:10" s="65" customFormat="1" ht="14" x14ac:dyDescent="0.35">
      <c r="A432" s="145"/>
      <c r="B432" s="152"/>
      <c r="C432" s="93"/>
      <c r="D432" s="93"/>
      <c r="E432" s="95"/>
      <c r="F432" s="95"/>
      <c r="G432" s="95"/>
      <c r="H432" s="93"/>
      <c r="I432" s="93"/>
      <c r="J432" s="93"/>
    </row>
    <row r="433" spans="1:10" s="65" customFormat="1" ht="14" x14ac:dyDescent="0.35">
      <c r="A433" s="145"/>
      <c r="B433" s="152"/>
      <c r="C433" s="93"/>
      <c r="D433" s="93"/>
      <c r="E433" s="95"/>
      <c r="F433" s="95"/>
      <c r="G433" s="95"/>
      <c r="H433" s="93"/>
      <c r="I433" s="93"/>
      <c r="J433" s="93"/>
    </row>
    <row r="434" spans="1:10" s="65" customFormat="1" ht="14" x14ac:dyDescent="0.35">
      <c r="A434" s="145"/>
      <c r="B434" s="152"/>
      <c r="C434" s="93"/>
      <c r="D434" s="93"/>
      <c r="E434" s="95"/>
      <c r="F434" s="95"/>
      <c r="G434" s="95"/>
      <c r="H434" s="93"/>
      <c r="I434" s="93"/>
      <c r="J434" s="93"/>
    </row>
    <row r="435" spans="1:10" s="65" customFormat="1" ht="14" x14ac:dyDescent="0.35">
      <c r="A435" s="145"/>
      <c r="B435" s="152"/>
      <c r="C435" s="93"/>
      <c r="D435" s="93"/>
      <c r="E435" s="95"/>
      <c r="F435" s="95"/>
      <c r="G435" s="95"/>
      <c r="H435" s="93"/>
      <c r="I435" s="93"/>
      <c r="J435" s="93"/>
    </row>
    <row r="436" spans="1:10" s="65" customFormat="1" ht="14" x14ac:dyDescent="0.35">
      <c r="A436" s="145"/>
      <c r="B436" s="152"/>
      <c r="C436" s="93"/>
      <c r="D436" s="93"/>
      <c r="E436" s="95"/>
      <c r="F436" s="95"/>
      <c r="G436" s="95"/>
      <c r="H436" s="93"/>
      <c r="I436" s="93"/>
      <c r="J436" s="93"/>
    </row>
    <row r="437" spans="1:10" s="65" customFormat="1" ht="14" x14ac:dyDescent="0.35">
      <c r="A437" s="145"/>
      <c r="B437" s="152"/>
      <c r="C437" s="93"/>
      <c r="D437" s="93"/>
      <c r="E437" s="95"/>
      <c r="F437" s="95"/>
      <c r="G437" s="95"/>
      <c r="H437" s="93"/>
      <c r="I437" s="93"/>
      <c r="J437" s="93"/>
    </row>
    <row r="438" spans="1:10" s="65" customFormat="1" ht="14" x14ac:dyDescent="0.35">
      <c r="A438" s="145"/>
      <c r="B438" s="152"/>
      <c r="C438" s="93"/>
      <c r="D438" s="93"/>
      <c r="E438" s="95"/>
      <c r="F438" s="95"/>
      <c r="G438" s="95"/>
      <c r="H438" s="93"/>
      <c r="I438" s="93"/>
      <c r="J438" s="93"/>
    </row>
    <row r="439" spans="1:10" s="65" customFormat="1" ht="14" x14ac:dyDescent="0.35">
      <c r="A439" s="145"/>
      <c r="B439" s="152"/>
      <c r="C439" s="93"/>
      <c r="D439" s="93"/>
      <c r="E439" s="95"/>
      <c r="F439" s="95"/>
      <c r="G439" s="95"/>
      <c r="H439" s="93"/>
      <c r="I439" s="93"/>
      <c r="J439" s="93"/>
    </row>
    <row r="440" spans="1:10" s="65" customFormat="1" ht="14" x14ac:dyDescent="0.35">
      <c r="A440" s="145"/>
      <c r="B440" s="152"/>
      <c r="C440" s="93"/>
      <c r="D440" s="93"/>
      <c r="E440" s="95"/>
      <c r="F440" s="95"/>
      <c r="G440" s="95"/>
      <c r="H440" s="93"/>
      <c r="I440" s="93"/>
      <c r="J440" s="93"/>
    </row>
    <row r="441" spans="1:10" s="65" customFormat="1" ht="14" x14ac:dyDescent="0.35">
      <c r="A441" s="145"/>
      <c r="B441" s="152"/>
      <c r="C441" s="93"/>
      <c r="D441" s="93"/>
      <c r="E441" s="95"/>
      <c r="F441" s="95"/>
      <c r="G441" s="95"/>
      <c r="H441" s="93"/>
      <c r="I441" s="93"/>
      <c r="J441" s="93"/>
    </row>
    <row r="442" spans="1:10" s="65" customFormat="1" ht="14" x14ac:dyDescent="0.35">
      <c r="A442" s="145"/>
      <c r="B442" s="152"/>
      <c r="C442" s="93"/>
      <c r="D442" s="93"/>
      <c r="E442" s="95"/>
      <c r="F442" s="95"/>
      <c r="G442" s="95"/>
      <c r="H442" s="93"/>
      <c r="I442" s="93"/>
      <c r="J442" s="93"/>
    </row>
    <row r="443" spans="1:10" s="65" customFormat="1" ht="14" x14ac:dyDescent="0.35">
      <c r="A443" s="145"/>
      <c r="B443" s="152"/>
      <c r="C443" s="93"/>
      <c r="D443" s="93"/>
      <c r="E443" s="95"/>
      <c r="F443" s="95"/>
      <c r="G443" s="95"/>
      <c r="H443" s="93"/>
      <c r="I443" s="93"/>
      <c r="J443" s="93"/>
    </row>
    <row r="444" spans="1:10" s="65" customFormat="1" ht="14" x14ac:dyDescent="0.35">
      <c r="A444" s="145"/>
      <c r="B444" s="152"/>
      <c r="C444" s="93"/>
      <c r="D444" s="93"/>
      <c r="E444" s="95"/>
      <c r="F444" s="95"/>
      <c r="G444" s="95"/>
      <c r="H444" s="93"/>
      <c r="I444" s="93"/>
      <c r="J444" s="93"/>
    </row>
    <row r="445" spans="1:10" s="65" customFormat="1" ht="14" x14ac:dyDescent="0.35">
      <c r="A445" s="145"/>
      <c r="B445" s="152"/>
      <c r="C445" s="93"/>
      <c r="D445" s="93"/>
      <c r="E445" s="95"/>
      <c r="F445" s="95"/>
      <c r="G445" s="95"/>
      <c r="H445" s="93"/>
      <c r="I445" s="93"/>
      <c r="J445" s="93"/>
    </row>
    <row r="446" spans="1:10" s="65" customFormat="1" ht="14" x14ac:dyDescent="0.35">
      <c r="A446" s="145"/>
      <c r="B446" s="152"/>
      <c r="C446" s="93"/>
      <c r="D446" s="93"/>
      <c r="E446" s="95"/>
      <c r="F446" s="95"/>
      <c r="G446" s="95"/>
      <c r="H446" s="93"/>
      <c r="I446" s="93"/>
      <c r="J446" s="93"/>
    </row>
    <row r="447" spans="1:10" s="65" customFormat="1" ht="14" x14ac:dyDescent="0.35">
      <c r="A447" s="145"/>
      <c r="B447" s="152"/>
      <c r="C447" s="93"/>
      <c r="D447" s="93"/>
      <c r="E447" s="95"/>
      <c r="F447" s="95"/>
      <c r="G447" s="95"/>
      <c r="H447" s="93"/>
      <c r="I447" s="93"/>
      <c r="J447" s="93"/>
    </row>
    <row r="448" spans="1:10" s="65" customFormat="1" ht="14" x14ac:dyDescent="0.35">
      <c r="A448" s="145"/>
      <c r="B448" s="152"/>
      <c r="C448" s="93"/>
      <c r="D448" s="93"/>
      <c r="E448" s="95"/>
      <c r="F448" s="95"/>
      <c r="G448" s="95"/>
      <c r="H448" s="93"/>
      <c r="I448" s="93"/>
      <c r="J448" s="93"/>
    </row>
    <row r="449" spans="1:10" s="65" customFormat="1" ht="14" x14ac:dyDescent="0.35">
      <c r="A449" s="145"/>
      <c r="B449" s="152"/>
      <c r="C449" s="93"/>
      <c r="D449" s="93"/>
      <c r="E449" s="95"/>
      <c r="F449" s="95"/>
      <c r="G449" s="95"/>
      <c r="H449" s="93"/>
      <c r="I449" s="93"/>
      <c r="J449" s="93"/>
    </row>
    <row r="450" spans="1:10" s="65" customFormat="1" ht="14" x14ac:dyDescent="0.35">
      <c r="A450" s="145"/>
      <c r="B450" s="152"/>
      <c r="C450" s="93"/>
      <c r="D450" s="93"/>
      <c r="E450" s="95"/>
      <c r="F450" s="95"/>
      <c r="G450" s="95"/>
      <c r="H450" s="93"/>
      <c r="I450" s="93"/>
      <c r="J450" s="93"/>
    </row>
    <row r="451" spans="1:10" s="65" customFormat="1" ht="14" x14ac:dyDescent="0.35">
      <c r="A451" s="145"/>
      <c r="B451" s="152"/>
      <c r="C451" s="93"/>
      <c r="D451" s="93"/>
      <c r="E451" s="95"/>
      <c r="F451" s="95"/>
      <c r="G451" s="95"/>
      <c r="H451" s="93"/>
      <c r="I451" s="93"/>
      <c r="J451" s="93"/>
    </row>
    <row r="452" spans="1:10" s="65" customFormat="1" ht="14" x14ac:dyDescent="0.35">
      <c r="A452" s="145"/>
      <c r="B452" s="152"/>
      <c r="C452" s="93"/>
      <c r="D452" s="93"/>
      <c r="E452" s="95"/>
      <c r="F452" s="95"/>
      <c r="G452" s="95"/>
      <c r="H452" s="93"/>
      <c r="I452" s="93"/>
      <c r="J452" s="93"/>
    </row>
    <row r="453" spans="1:10" s="65" customFormat="1" ht="14" x14ac:dyDescent="0.35">
      <c r="A453" s="145"/>
      <c r="B453" s="152"/>
      <c r="C453" s="93"/>
      <c r="D453" s="93"/>
      <c r="E453" s="95"/>
      <c r="F453" s="95"/>
      <c r="G453" s="95"/>
      <c r="H453" s="93"/>
      <c r="I453" s="93"/>
      <c r="J453" s="93"/>
    </row>
    <row r="454" spans="1:10" s="65" customFormat="1" ht="14" x14ac:dyDescent="0.35">
      <c r="A454" s="145"/>
      <c r="B454" s="152"/>
      <c r="C454" s="93"/>
      <c r="D454" s="93"/>
      <c r="E454" s="95"/>
      <c r="F454" s="95"/>
      <c r="G454" s="95"/>
      <c r="H454" s="93"/>
      <c r="I454" s="93"/>
      <c r="J454" s="93"/>
    </row>
    <row r="455" spans="1:10" s="65" customFormat="1" ht="14" x14ac:dyDescent="0.35">
      <c r="A455" s="145"/>
      <c r="B455" s="152"/>
      <c r="C455" s="93"/>
      <c r="D455" s="93"/>
      <c r="E455" s="95"/>
      <c r="F455" s="95"/>
      <c r="G455" s="95"/>
      <c r="H455" s="93"/>
      <c r="I455" s="93"/>
      <c r="J455" s="93"/>
    </row>
    <row r="456" spans="1:10" s="65" customFormat="1" ht="14" x14ac:dyDescent="0.35">
      <c r="A456" s="145"/>
      <c r="B456" s="152"/>
      <c r="C456" s="93"/>
      <c r="D456" s="93"/>
      <c r="E456" s="95"/>
      <c r="F456" s="95"/>
      <c r="G456" s="95"/>
      <c r="H456" s="93"/>
      <c r="I456" s="93"/>
      <c r="J456" s="93"/>
    </row>
    <row r="457" spans="1:10" s="65" customFormat="1" ht="14" x14ac:dyDescent="0.35">
      <c r="A457" s="145"/>
      <c r="B457" s="152"/>
      <c r="C457" s="93"/>
      <c r="D457" s="93"/>
      <c r="E457" s="95"/>
      <c r="F457" s="95"/>
      <c r="G457" s="95"/>
      <c r="H457" s="93"/>
      <c r="I457" s="93"/>
      <c r="J457" s="93"/>
    </row>
    <row r="458" spans="1:10" s="65" customFormat="1" ht="14" x14ac:dyDescent="0.35">
      <c r="A458" s="145"/>
      <c r="B458" s="152"/>
      <c r="C458" s="93"/>
      <c r="D458" s="93"/>
      <c r="E458" s="95"/>
      <c r="F458" s="95"/>
      <c r="G458" s="95"/>
      <c r="H458" s="93"/>
      <c r="I458" s="93"/>
      <c r="J458" s="93"/>
    </row>
    <row r="459" spans="1:10" s="65" customFormat="1" ht="14" x14ac:dyDescent="0.35">
      <c r="A459" s="145"/>
      <c r="B459" s="152"/>
      <c r="C459" s="93"/>
      <c r="D459" s="93"/>
      <c r="E459" s="95"/>
      <c r="F459" s="95"/>
      <c r="G459" s="95"/>
      <c r="H459" s="93"/>
      <c r="I459" s="93"/>
      <c r="J459" s="93"/>
    </row>
    <row r="460" spans="1:10" s="65" customFormat="1" ht="14" x14ac:dyDescent="0.35">
      <c r="A460" s="145"/>
      <c r="B460" s="152"/>
      <c r="C460" s="93"/>
      <c r="D460" s="93"/>
      <c r="E460" s="95"/>
      <c r="F460" s="95"/>
      <c r="G460" s="95"/>
      <c r="H460" s="93"/>
      <c r="I460" s="93"/>
      <c r="J460" s="93"/>
    </row>
    <row r="461" spans="1:10" s="65" customFormat="1" ht="14" x14ac:dyDescent="0.35">
      <c r="A461" s="145"/>
      <c r="B461" s="152"/>
      <c r="C461" s="93"/>
      <c r="D461" s="93"/>
      <c r="E461" s="95"/>
      <c r="F461" s="95"/>
      <c r="G461" s="95"/>
      <c r="H461" s="93"/>
      <c r="I461" s="93"/>
      <c r="J461" s="93"/>
    </row>
    <row r="462" spans="1:10" s="65" customFormat="1" ht="14" x14ac:dyDescent="0.35">
      <c r="A462" s="145"/>
      <c r="B462" s="152"/>
      <c r="C462" s="93"/>
      <c r="D462" s="93"/>
      <c r="E462" s="95"/>
      <c r="F462" s="95"/>
      <c r="G462" s="95"/>
      <c r="H462" s="93"/>
      <c r="I462" s="93"/>
      <c r="J462" s="93"/>
    </row>
    <row r="463" spans="1:10" s="65" customFormat="1" ht="14" x14ac:dyDescent="0.35">
      <c r="A463" s="145"/>
      <c r="B463" s="152"/>
      <c r="C463" s="93"/>
      <c r="D463" s="93"/>
      <c r="E463" s="95"/>
      <c r="F463" s="95"/>
      <c r="G463" s="95"/>
      <c r="H463" s="93"/>
      <c r="I463" s="93"/>
      <c r="J463" s="93"/>
    </row>
    <row r="464" spans="1:10" s="65" customFormat="1" ht="14" x14ac:dyDescent="0.35">
      <c r="A464" s="145"/>
      <c r="B464" s="152"/>
      <c r="C464" s="93"/>
      <c r="D464" s="93"/>
      <c r="E464" s="95"/>
      <c r="F464" s="95"/>
      <c r="G464" s="95"/>
      <c r="H464" s="93"/>
      <c r="I464" s="93"/>
      <c r="J464" s="93"/>
    </row>
    <row r="465" spans="1:10" s="65" customFormat="1" ht="14" x14ac:dyDescent="0.35">
      <c r="A465" s="145"/>
      <c r="B465" s="152"/>
      <c r="C465" s="93"/>
      <c r="D465" s="93"/>
      <c r="E465" s="95"/>
      <c r="F465" s="95"/>
      <c r="G465" s="95"/>
      <c r="H465" s="93"/>
      <c r="I465" s="93"/>
      <c r="J465" s="93"/>
    </row>
    <row r="466" spans="1:10" s="65" customFormat="1" ht="14" x14ac:dyDescent="0.35">
      <c r="A466" s="145"/>
      <c r="B466" s="152"/>
      <c r="C466" s="93"/>
      <c r="D466" s="93"/>
      <c r="E466" s="95"/>
      <c r="F466" s="95"/>
      <c r="G466" s="95"/>
      <c r="H466" s="93"/>
      <c r="I466" s="93"/>
      <c r="J466" s="93"/>
    </row>
    <row r="467" spans="1:10" s="65" customFormat="1" ht="14" x14ac:dyDescent="0.35">
      <c r="A467" s="145"/>
      <c r="B467" s="152"/>
      <c r="C467" s="93"/>
      <c r="D467" s="93"/>
      <c r="E467" s="95"/>
      <c r="F467" s="95"/>
      <c r="G467" s="95"/>
      <c r="H467" s="93"/>
      <c r="I467" s="93"/>
      <c r="J467" s="93"/>
    </row>
    <row r="468" spans="1:10" s="65" customFormat="1" ht="14" x14ac:dyDescent="0.35">
      <c r="A468" s="145"/>
      <c r="B468" s="152"/>
      <c r="C468" s="93"/>
      <c r="D468" s="93"/>
      <c r="E468" s="95"/>
      <c r="F468" s="95"/>
      <c r="G468" s="95"/>
      <c r="H468" s="93"/>
      <c r="I468" s="93"/>
      <c r="J468" s="93"/>
    </row>
    <row r="469" spans="1:10" s="65" customFormat="1" ht="14" x14ac:dyDescent="0.35">
      <c r="A469" s="145"/>
      <c r="B469" s="152"/>
      <c r="C469" s="93"/>
      <c r="D469" s="93"/>
      <c r="E469" s="95"/>
      <c r="F469" s="95"/>
      <c r="G469" s="95"/>
      <c r="H469" s="93"/>
      <c r="I469" s="93"/>
      <c r="J469" s="93"/>
    </row>
    <row r="470" spans="1:10" s="65" customFormat="1" ht="14" x14ac:dyDescent="0.35">
      <c r="A470" s="145"/>
      <c r="B470" s="152"/>
      <c r="C470" s="93"/>
      <c r="D470" s="93"/>
      <c r="E470" s="95"/>
      <c r="F470" s="95"/>
      <c r="G470" s="95"/>
      <c r="H470" s="93"/>
      <c r="I470" s="93"/>
      <c r="J470" s="93"/>
    </row>
    <row r="471" spans="1:10" s="65" customFormat="1" ht="14" x14ac:dyDescent="0.35">
      <c r="A471" s="145"/>
      <c r="B471" s="152"/>
      <c r="C471" s="93"/>
      <c r="D471" s="93"/>
      <c r="E471" s="95"/>
      <c r="F471" s="95"/>
      <c r="G471" s="95"/>
      <c r="H471" s="93"/>
      <c r="I471" s="93"/>
      <c r="J471" s="93"/>
    </row>
    <row r="472" spans="1:10" s="65" customFormat="1" ht="14" x14ac:dyDescent="0.35">
      <c r="A472" s="145"/>
      <c r="B472" s="152"/>
      <c r="C472" s="93"/>
      <c r="D472" s="93"/>
      <c r="E472" s="95"/>
      <c r="F472" s="95"/>
      <c r="G472" s="95"/>
      <c r="H472" s="93"/>
      <c r="I472" s="93"/>
      <c r="J472" s="93"/>
    </row>
    <row r="473" spans="1:10" s="65" customFormat="1" ht="14" x14ac:dyDescent="0.35">
      <c r="A473" s="145"/>
      <c r="B473" s="152"/>
      <c r="C473" s="93"/>
      <c r="D473" s="93"/>
      <c r="E473" s="95"/>
      <c r="F473" s="95"/>
      <c r="G473" s="95"/>
      <c r="H473" s="93"/>
      <c r="I473" s="93"/>
      <c r="J473" s="93"/>
    </row>
    <row r="474" spans="1:10" s="65" customFormat="1" ht="14" x14ac:dyDescent="0.35">
      <c r="A474" s="145"/>
      <c r="B474" s="152"/>
      <c r="C474" s="93"/>
      <c r="D474" s="93"/>
      <c r="E474" s="95"/>
      <c r="F474" s="95"/>
      <c r="G474" s="95"/>
      <c r="H474" s="93"/>
      <c r="I474" s="93"/>
      <c r="J474" s="93"/>
    </row>
    <row r="475" spans="1:10" s="65" customFormat="1" ht="14" x14ac:dyDescent="0.35">
      <c r="A475" s="145"/>
      <c r="B475" s="152"/>
      <c r="C475" s="93"/>
      <c r="D475" s="93"/>
      <c r="E475" s="95"/>
      <c r="F475" s="95"/>
      <c r="G475" s="95"/>
      <c r="H475" s="93"/>
      <c r="I475" s="93"/>
      <c r="J475" s="93"/>
    </row>
    <row r="476" spans="1:10" s="65" customFormat="1" ht="14" x14ac:dyDescent="0.35">
      <c r="A476" s="145"/>
      <c r="B476" s="152"/>
      <c r="C476" s="93"/>
      <c r="D476" s="93"/>
      <c r="E476" s="95"/>
      <c r="F476" s="95"/>
      <c r="G476" s="95"/>
      <c r="H476" s="93"/>
      <c r="I476" s="93"/>
      <c r="J476" s="93"/>
    </row>
    <row r="477" spans="1:10" s="65" customFormat="1" ht="14" x14ac:dyDescent="0.35">
      <c r="A477" s="145"/>
      <c r="B477" s="152"/>
      <c r="C477" s="93"/>
      <c r="D477" s="93"/>
      <c r="E477" s="95"/>
      <c r="F477" s="95"/>
      <c r="G477" s="95"/>
      <c r="H477" s="93"/>
      <c r="I477" s="93"/>
      <c r="J477" s="93"/>
    </row>
    <row r="478" spans="1:10" s="65" customFormat="1" ht="14" x14ac:dyDescent="0.35">
      <c r="A478" s="145"/>
      <c r="B478" s="152"/>
      <c r="C478" s="93"/>
      <c r="D478" s="93"/>
      <c r="E478" s="95"/>
      <c r="F478" s="95"/>
      <c r="G478" s="95"/>
      <c r="H478" s="93"/>
      <c r="I478" s="93"/>
      <c r="J478" s="93"/>
    </row>
    <row r="479" spans="1:10" s="65" customFormat="1" ht="14" x14ac:dyDescent="0.35">
      <c r="A479" s="145"/>
      <c r="B479" s="152"/>
      <c r="C479" s="93"/>
      <c r="D479" s="93"/>
      <c r="E479" s="95"/>
      <c r="F479" s="95"/>
      <c r="G479" s="95"/>
      <c r="H479" s="93"/>
      <c r="I479" s="93"/>
      <c r="J479" s="93"/>
    </row>
    <row r="480" spans="1:10" s="65" customFormat="1" ht="14" x14ac:dyDescent="0.35">
      <c r="A480" s="145"/>
      <c r="B480" s="152"/>
      <c r="C480" s="93"/>
      <c r="D480" s="93"/>
      <c r="E480" s="95"/>
      <c r="F480" s="95"/>
      <c r="G480" s="95"/>
      <c r="H480" s="93"/>
      <c r="I480" s="93"/>
      <c r="J480" s="93"/>
    </row>
    <row r="481" spans="1:10" s="65" customFormat="1" ht="14" x14ac:dyDescent="0.35">
      <c r="A481" s="145"/>
      <c r="B481" s="152"/>
      <c r="C481" s="93"/>
      <c r="D481" s="93"/>
      <c r="E481" s="95"/>
      <c r="F481" s="95"/>
      <c r="G481" s="95"/>
      <c r="H481" s="93"/>
      <c r="I481" s="93"/>
      <c r="J481" s="93"/>
    </row>
    <row r="482" spans="1:10" s="65" customFormat="1" ht="14" x14ac:dyDescent="0.35">
      <c r="A482" s="145"/>
      <c r="B482" s="152"/>
      <c r="C482" s="93"/>
      <c r="D482" s="93"/>
      <c r="E482" s="95"/>
      <c r="F482" s="95"/>
      <c r="G482" s="95"/>
      <c r="H482" s="93"/>
      <c r="I482" s="93"/>
      <c r="J482" s="93"/>
    </row>
    <row r="483" spans="1:10" s="65" customFormat="1" ht="14" x14ac:dyDescent="0.35">
      <c r="A483" s="145"/>
      <c r="B483" s="152"/>
      <c r="C483" s="93"/>
      <c r="D483" s="93"/>
      <c r="E483" s="95"/>
      <c r="F483" s="95"/>
      <c r="G483" s="95"/>
      <c r="H483" s="93"/>
      <c r="I483" s="93"/>
      <c r="J483" s="93"/>
    </row>
    <row r="484" spans="1:10" s="65" customFormat="1" ht="14" x14ac:dyDescent="0.35">
      <c r="A484" s="145"/>
      <c r="B484" s="152"/>
      <c r="C484" s="93"/>
      <c r="D484" s="93"/>
      <c r="E484" s="95"/>
      <c r="F484" s="95"/>
      <c r="G484" s="95"/>
      <c r="H484" s="93"/>
      <c r="I484" s="93"/>
      <c r="J484" s="93"/>
    </row>
    <row r="485" spans="1:10" s="65" customFormat="1" ht="14" x14ac:dyDescent="0.35">
      <c r="A485" s="145"/>
      <c r="B485" s="152"/>
      <c r="C485" s="93"/>
      <c r="D485" s="93"/>
      <c r="E485" s="95"/>
      <c r="F485" s="95"/>
      <c r="G485" s="95"/>
      <c r="H485" s="93"/>
      <c r="I485" s="93"/>
      <c r="J485" s="93"/>
    </row>
    <row r="486" spans="1:10" s="65" customFormat="1" ht="14" x14ac:dyDescent="0.35">
      <c r="A486" s="145"/>
      <c r="B486" s="152"/>
      <c r="C486" s="93"/>
      <c r="D486" s="93"/>
      <c r="E486" s="95"/>
      <c r="F486" s="95"/>
      <c r="G486" s="95"/>
      <c r="H486" s="93"/>
      <c r="I486" s="93"/>
      <c r="J486" s="93"/>
    </row>
    <row r="487" spans="1:10" s="65" customFormat="1" ht="14" x14ac:dyDescent="0.35">
      <c r="A487" s="145"/>
      <c r="B487" s="152"/>
      <c r="C487" s="93"/>
      <c r="D487" s="93"/>
      <c r="E487" s="95"/>
      <c r="F487" s="95"/>
      <c r="G487" s="95"/>
      <c r="H487" s="93"/>
      <c r="I487" s="93"/>
      <c r="J487" s="93"/>
    </row>
    <row r="488" spans="1:10" s="65" customFormat="1" ht="14" x14ac:dyDescent="0.35">
      <c r="A488" s="145"/>
      <c r="B488" s="152"/>
      <c r="C488" s="93"/>
      <c r="D488" s="93"/>
      <c r="E488" s="95"/>
      <c r="F488" s="95"/>
      <c r="G488" s="95"/>
      <c r="H488" s="93"/>
      <c r="I488" s="93"/>
      <c r="J488" s="93"/>
    </row>
    <row r="489" spans="1:10" s="65" customFormat="1" ht="14" x14ac:dyDescent="0.35">
      <c r="A489" s="145"/>
      <c r="B489" s="152"/>
      <c r="C489" s="93"/>
      <c r="D489" s="93"/>
      <c r="E489" s="95"/>
      <c r="F489" s="95"/>
      <c r="G489" s="95"/>
      <c r="H489" s="93"/>
      <c r="I489" s="93"/>
      <c r="J489" s="93"/>
    </row>
    <row r="490" spans="1:10" s="65" customFormat="1" ht="14" x14ac:dyDescent="0.35">
      <c r="A490" s="145"/>
      <c r="B490" s="152"/>
      <c r="C490" s="93"/>
      <c r="D490" s="93"/>
      <c r="E490" s="95"/>
      <c r="F490" s="95"/>
      <c r="G490" s="95"/>
      <c r="H490" s="93"/>
      <c r="I490" s="93"/>
      <c r="J490" s="93"/>
    </row>
    <row r="491" spans="1:10" s="65" customFormat="1" ht="14" x14ac:dyDescent="0.35">
      <c r="A491" s="145"/>
      <c r="B491" s="152"/>
      <c r="C491" s="93"/>
      <c r="D491" s="93"/>
      <c r="E491" s="95"/>
      <c r="F491" s="95"/>
      <c r="G491" s="95"/>
      <c r="H491" s="93"/>
      <c r="I491" s="93"/>
      <c r="J491" s="93"/>
    </row>
    <row r="492" spans="1:10" s="65" customFormat="1" ht="14" x14ac:dyDescent="0.35">
      <c r="A492" s="145"/>
      <c r="B492" s="152"/>
      <c r="C492" s="93"/>
      <c r="D492" s="93"/>
      <c r="E492" s="95"/>
      <c r="F492" s="95"/>
      <c r="G492" s="95"/>
      <c r="H492" s="93"/>
      <c r="I492" s="93"/>
      <c r="J492" s="93"/>
    </row>
    <row r="493" spans="1:10" s="65" customFormat="1" ht="14" x14ac:dyDescent="0.35">
      <c r="A493" s="145"/>
      <c r="B493" s="152"/>
      <c r="C493" s="93"/>
      <c r="D493" s="93"/>
      <c r="E493" s="95"/>
      <c r="F493" s="95"/>
      <c r="G493" s="95"/>
      <c r="H493" s="93"/>
      <c r="I493" s="93"/>
      <c r="J493" s="93"/>
    </row>
    <row r="494" spans="1:10" s="65" customFormat="1" ht="14" x14ac:dyDescent="0.35">
      <c r="A494" s="145"/>
      <c r="B494" s="152"/>
      <c r="C494" s="93"/>
      <c r="D494" s="93"/>
      <c r="E494" s="95"/>
      <c r="F494" s="95"/>
      <c r="G494" s="95"/>
      <c r="H494" s="93"/>
      <c r="I494" s="93"/>
      <c r="J494" s="93"/>
    </row>
    <row r="495" spans="1:10" s="65" customFormat="1" ht="14" x14ac:dyDescent="0.35">
      <c r="A495" s="145"/>
      <c r="B495" s="152"/>
      <c r="C495" s="93"/>
      <c r="D495" s="93"/>
      <c r="E495" s="95"/>
      <c r="F495" s="95"/>
      <c r="G495" s="95"/>
      <c r="H495" s="93"/>
      <c r="I495" s="93"/>
      <c r="J495" s="93"/>
    </row>
    <row r="496" spans="1:10" s="65" customFormat="1" ht="14" x14ac:dyDescent="0.35">
      <c r="A496" s="145"/>
      <c r="B496" s="152"/>
      <c r="C496" s="93"/>
      <c r="D496" s="93"/>
      <c r="E496" s="95"/>
      <c r="F496" s="95"/>
      <c r="G496" s="95"/>
      <c r="H496" s="93"/>
      <c r="I496" s="93"/>
      <c r="J496" s="93"/>
    </row>
    <row r="497" spans="1:10" s="65" customFormat="1" ht="14" x14ac:dyDescent="0.35">
      <c r="A497" s="145"/>
      <c r="B497" s="152"/>
      <c r="C497" s="93"/>
      <c r="D497" s="93"/>
      <c r="E497" s="95"/>
      <c r="F497" s="95"/>
      <c r="G497" s="95"/>
      <c r="H497" s="93"/>
      <c r="I497" s="93"/>
      <c r="J497" s="93"/>
    </row>
    <row r="498" spans="1:10" s="65" customFormat="1" ht="14" x14ac:dyDescent="0.35">
      <c r="A498" s="145"/>
      <c r="B498" s="152"/>
      <c r="C498" s="93"/>
      <c r="D498" s="93"/>
      <c r="E498" s="95"/>
      <c r="F498" s="95"/>
      <c r="G498" s="95"/>
      <c r="H498" s="93"/>
      <c r="I498" s="93"/>
      <c r="J498" s="93"/>
    </row>
    <row r="499" spans="1:10" s="65" customFormat="1" ht="14" x14ac:dyDescent="0.35">
      <c r="A499" s="145"/>
      <c r="B499" s="152"/>
      <c r="C499" s="93"/>
      <c r="D499" s="93"/>
      <c r="E499" s="95"/>
      <c r="F499" s="95"/>
      <c r="G499" s="95"/>
      <c r="H499" s="93"/>
      <c r="I499" s="93"/>
      <c r="J499" s="93"/>
    </row>
    <row r="500" spans="1:10" s="65" customFormat="1" ht="14" x14ac:dyDescent="0.35">
      <c r="A500" s="145"/>
      <c r="B500" s="152"/>
      <c r="C500" s="93"/>
      <c r="D500" s="93"/>
      <c r="E500" s="95"/>
      <c r="F500" s="95"/>
      <c r="G500" s="95"/>
      <c r="H500" s="93"/>
      <c r="I500" s="93"/>
      <c r="J500" s="93"/>
    </row>
    <row r="501" spans="1:10" s="65" customFormat="1" ht="14" x14ac:dyDescent="0.35">
      <c r="A501" s="145"/>
      <c r="B501" s="152"/>
      <c r="C501" s="93"/>
      <c r="D501" s="93"/>
      <c r="E501" s="95"/>
      <c r="F501" s="95"/>
      <c r="G501" s="95"/>
      <c r="H501" s="93"/>
      <c r="I501" s="93"/>
      <c r="J501" s="93"/>
    </row>
    <row r="502" spans="1:10" s="65" customFormat="1" ht="14" x14ac:dyDescent="0.35">
      <c r="A502" s="145"/>
      <c r="B502" s="152"/>
      <c r="C502" s="93"/>
      <c r="D502" s="93"/>
      <c r="E502" s="95"/>
      <c r="F502" s="95"/>
      <c r="G502" s="95"/>
      <c r="H502" s="93"/>
      <c r="I502" s="93"/>
      <c r="J502" s="93"/>
    </row>
    <row r="503" spans="1:10" s="65" customFormat="1" ht="14" x14ac:dyDescent="0.35">
      <c r="A503" s="145"/>
      <c r="B503" s="152"/>
      <c r="C503" s="93"/>
      <c r="D503" s="93"/>
      <c r="E503" s="95"/>
      <c r="F503" s="95"/>
      <c r="G503" s="95"/>
      <c r="H503" s="93"/>
      <c r="I503" s="93"/>
      <c r="J503" s="93"/>
    </row>
    <row r="504" spans="1:10" s="65" customFormat="1" ht="14" x14ac:dyDescent="0.35">
      <c r="A504" s="145"/>
      <c r="B504" s="152"/>
      <c r="C504" s="93"/>
      <c r="D504" s="93"/>
      <c r="E504" s="95"/>
      <c r="F504" s="95"/>
      <c r="G504" s="95"/>
      <c r="H504" s="93"/>
      <c r="I504" s="93"/>
      <c r="J504" s="93"/>
    </row>
    <row r="505" spans="1:10" s="65" customFormat="1" ht="14" x14ac:dyDescent="0.35">
      <c r="A505" s="145"/>
      <c r="B505" s="152"/>
      <c r="C505" s="93"/>
      <c r="D505" s="93"/>
      <c r="E505" s="95"/>
      <c r="F505" s="95"/>
      <c r="G505" s="95"/>
      <c r="H505" s="93"/>
      <c r="I505" s="93"/>
      <c r="J505" s="93"/>
    </row>
    <row r="506" spans="1:10" s="65" customFormat="1" ht="14" x14ac:dyDescent="0.35">
      <c r="A506" s="145"/>
      <c r="B506" s="152"/>
      <c r="C506" s="93"/>
      <c r="D506" s="93"/>
      <c r="E506" s="95"/>
      <c r="F506" s="95"/>
      <c r="G506" s="95"/>
      <c r="H506" s="93"/>
      <c r="I506" s="93"/>
      <c r="J506" s="93"/>
    </row>
    <row r="507" spans="1:10" s="65" customFormat="1" ht="14" x14ac:dyDescent="0.35">
      <c r="A507" s="145"/>
      <c r="B507" s="152"/>
      <c r="C507" s="93"/>
      <c r="D507" s="93"/>
      <c r="E507" s="95"/>
      <c r="F507" s="95"/>
      <c r="G507" s="95"/>
      <c r="H507" s="93"/>
      <c r="I507" s="93"/>
      <c r="J507" s="93"/>
    </row>
    <row r="508" spans="1:10" s="65" customFormat="1" ht="14" x14ac:dyDescent="0.35">
      <c r="A508" s="145"/>
      <c r="B508" s="152"/>
      <c r="C508" s="93"/>
      <c r="D508" s="93"/>
      <c r="E508" s="95"/>
      <c r="F508" s="95"/>
      <c r="G508" s="95"/>
      <c r="H508" s="93"/>
      <c r="I508" s="93"/>
      <c r="J508" s="93"/>
    </row>
    <row r="509" spans="1:10" s="65" customFormat="1" ht="14" x14ac:dyDescent="0.35">
      <c r="A509" s="145"/>
      <c r="B509" s="152"/>
      <c r="C509" s="93"/>
      <c r="D509" s="93"/>
      <c r="E509" s="95"/>
      <c r="F509" s="95"/>
      <c r="G509" s="95"/>
      <c r="H509" s="93"/>
      <c r="I509" s="93"/>
      <c r="J509" s="93"/>
    </row>
    <row r="510" spans="1:10" s="65" customFormat="1" ht="14" x14ac:dyDescent="0.35">
      <c r="A510" s="145"/>
      <c r="B510" s="152"/>
      <c r="C510" s="93"/>
      <c r="D510" s="93"/>
      <c r="E510" s="95"/>
      <c r="F510" s="95"/>
      <c r="G510" s="95"/>
      <c r="H510" s="93"/>
      <c r="I510" s="93"/>
      <c r="J510" s="93"/>
    </row>
    <row r="511" spans="1:10" s="65" customFormat="1" ht="14" x14ac:dyDescent="0.35">
      <c r="A511" s="145"/>
      <c r="B511" s="152"/>
      <c r="C511" s="93"/>
      <c r="D511" s="93"/>
      <c r="E511" s="95"/>
      <c r="F511" s="95"/>
      <c r="G511" s="95"/>
      <c r="H511" s="93"/>
      <c r="I511" s="93"/>
      <c r="J511" s="93"/>
    </row>
    <row r="512" spans="1:10" s="65" customFormat="1" ht="14" x14ac:dyDescent="0.35">
      <c r="A512" s="145"/>
      <c r="B512" s="152"/>
      <c r="C512" s="93"/>
      <c r="D512" s="93"/>
      <c r="E512" s="95"/>
      <c r="F512" s="95"/>
      <c r="G512" s="95"/>
      <c r="H512" s="93"/>
      <c r="I512" s="93"/>
      <c r="J512" s="93"/>
    </row>
    <row r="513" spans="1:10" s="65" customFormat="1" ht="14" x14ac:dyDescent="0.35">
      <c r="A513" s="145"/>
      <c r="B513" s="152"/>
      <c r="C513" s="93"/>
      <c r="D513" s="93"/>
      <c r="E513" s="95"/>
      <c r="F513" s="95"/>
      <c r="G513" s="95"/>
      <c r="H513" s="93"/>
      <c r="I513" s="93"/>
      <c r="J513" s="93"/>
    </row>
    <row r="514" spans="1:10" s="65" customFormat="1" ht="14" x14ac:dyDescent="0.35">
      <c r="A514" s="145"/>
      <c r="B514" s="152"/>
      <c r="C514" s="93"/>
      <c r="D514" s="93"/>
      <c r="E514" s="95"/>
      <c r="F514" s="95"/>
      <c r="G514" s="95"/>
      <c r="H514" s="93"/>
      <c r="I514" s="93"/>
      <c r="J514" s="93"/>
    </row>
    <row r="515" spans="1:10" s="65" customFormat="1" ht="14" x14ac:dyDescent="0.35">
      <c r="A515" s="145"/>
      <c r="B515" s="152"/>
      <c r="C515" s="93"/>
      <c r="D515" s="93"/>
      <c r="E515" s="95"/>
      <c r="F515" s="95"/>
      <c r="G515" s="95"/>
      <c r="H515" s="93"/>
      <c r="I515" s="93"/>
      <c r="J515" s="93"/>
    </row>
    <row r="516" spans="1:10" s="65" customFormat="1" ht="14" x14ac:dyDescent="0.35">
      <c r="A516" s="145"/>
      <c r="B516" s="152"/>
      <c r="C516" s="93"/>
      <c r="D516" s="93"/>
      <c r="E516" s="95"/>
      <c r="F516" s="95"/>
      <c r="G516" s="95"/>
      <c r="H516" s="93"/>
      <c r="I516" s="93"/>
      <c r="J516" s="93"/>
    </row>
    <row r="517" spans="1:10" s="65" customFormat="1" ht="14" x14ac:dyDescent="0.35">
      <c r="A517" s="145"/>
      <c r="B517" s="152"/>
      <c r="C517" s="93"/>
      <c r="D517" s="93"/>
      <c r="E517" s="95"/>
      <c r="F517" s="95"/>
      <c r="G517" s="95"/>
      <c r="H517" s="93"/>
      <c r="I517" s="93"/>
      <c r="J517" s="93"/>
    </row>
    <row r="518" spans="1:10" s="65" customFormat="1" ht="14" x14ac:dyDescent="0.35">
      <c r="A518" s="145"/>
      <c r="B518" s="152"/>
      <c r="C518" s="93"/>
      <c r="D518" s="93"/>
      <c r="E518" s="95"/>
      <c r="F518" s="95"/>
      <c r="G518" s="95"/>
      <c r="H518" s="93"/>
      <c r="I518" s="93"/>
      <c r="J518" s="93"/>
    </row>
    <row r="519" spans="1:10" s="65" customFormat="1" ht="14" x14ac:dyDescent="0.35">
      <c r="A519" s="145"/>
      <c r="B519" s="152"/>
      <c r="C519" s="93"/>
      <c r="D519" s="93"/>
      <c r="E519" s="95"/>
      <c r="F519" s="95"/>
      <c r="G519" s="95"/>
      <c r="H519" s="93"/>
      <c r="I519" s="93"/>
      <c r="J519" s="93"/>
    </row>
    <row r="520" spans="1:10" s="65" customFormat="1" ht="14" x14ac:dyDescent="0.35">
      <c r="A520" s="145"/>
      <c r="B520" s="152"/>
      <c r="C520" s="93"/>
      <c r="D520" s="93"/>
      <c r="E520" s="95"/>
      <c r="F520" s="95"/>
      <c r="G520" s="95"/>
      <c r="H520" s="93"/>
      <c r="I520" s="93"/>
      <c r="J520" s="93"/>
    </row>
    <row r="521" spans="1:10" s="65" customFormat="1" ht="14" x14ac:dyDescent="0.35">
      <c r="A521" s="145"/>
      <c r="B521" s="152"/>
      <c r="C521" s="93"/>
      <c r="D521" s="93"/>
      <c r="E521" s="95"/>
      <c r="F521" s="95"/>
      <c r="G521" s="95"/>
      <c r="H521" s="93"/>
      <c r="I521" s="93"/>
      <c r="J521" s="93"/>
    </row>
    <row r="522" spans="1:10" s="65" customFormat="1" ht="14" x14ac:dyDescent="0.35">
      <c r="A522" s="145"/>
      <c r="B522" s="152"/>
      <c r="C522" s="93"/>
      <c r="D522" s="93"/>
      <c r="E522" s="95"/>
      <c r="F522" s="95"/>
      <c r="G522" s="95"/>
      <c r="H522" s="93"/>
      <c r="I522" s="93"/>
      <c r="J522" s="93"/>
    </row>
    <row r="523" spans="1:10" s="65" customFormat="1" ht="14" x14ac:dyDescent="0.35">
      <c r="A523" s="145"/>
      <c r="B523" s="152"/>
      <c r="C523" s="93"/>
      <c r="D523" s="93"/>
      <c r="E523" s="95"/>
      <c r="F523" s="95"/>
      <c r="G523" s="95"/>
      <c r="H523" s="93"/>
      <c r="I523" s="93"/>
      <c r="J523" s="93"/>
    </row>
    <row r="524" spans="1:10" s="65" customFormat="1" ht="14" x14ac:dyDescent="0.35">
      <c r="A524" s="145"/>
      <c r="B524" s="152"/>
      <c r="C524" s="93"/>
      <c r="D524" s="93"/>
      <c r="E524" s="95"/>
      <c r="F524" s="95"/>
      <c r="G524" s="95"/>
      <c r="H524" s="93"/>
      <c r="I524" s="93"/>
      <c r="J524" s="93"/>
    </row>
    <row r="525" spans="1:10" s="65" customFormat="1" ht="14" x14ac:dyDescent="0.35">
      <c r="A525" s="145"/>
      <c r="B525" s="152"/>
      <c r="C525" s="93"/>
      <c r="D525" s="93"/>
      <c r="E525" s="95"/>
      <c r="F525" s="95"/>
      <c r="G525" s="95"/>
      <c r="H525" s="93"/>
      <c r="I525" s="93"/>
      <c r="J525" s="93"/>
    </row>
    <row r="526" spans="1:10" s="65" customFormat="1" ht="14" x14ac:dyDescent="0.35">
      <c r="A526" s="145"/>
      <c r="B526" s="152"/>
      <c r="C526" s="93"/>
      <c r="D526" s="93"/>
      <c r="E526" s="95"/>
      <c r="F526" s="95"/>
      <c r="G526" s="95"/>
      <c r="H526" s="93"/>
      <c r="I526" s="93"/>
      <c r="J526" s="93"/>
    </row>
    <row r="527" spans="1:10" s="65" customFormat="1" ht="14" x14ac:dyDescent="0.35">
      <c r="A527" s="145"/>
      <c r="B527" s="152"/>
      <c r="C527" s="93"/>
      <c r="D527" s="93"/>
      <c r="E527" s="95"/>
      <c r="F527" s="95"/>
      <c r="G527" s="95"/>
      <c r="H527" s="93"/>
      <c r="I527" s="93"/>
      <c r="J527" s="93"/>
    </row>
    <row r="528" spans="1:10" s="65" customFormat="1" ht="14" x14ac:dyDescent="0.35">
      <c r="A528" s="145"/>
      <c r="B528" s="152"/>
      <c r="C528" s="93"/>
      <c r="D528" s="93"/>
      <c r="E528" s="95"/>
      <c r="F528" s="95"/>
      <c r="G528" s="95"/>
      <c r="H528" s="93"/>
      <c r="I528" s="93"/>
      <c r="J528" s="93"/>
    </row>
    <row r="529" spans="1:10" s="65" customFormat="1" ht="14" x14ac:dyDescent="0.35">
      <c r="A529" s="145"/>
      <c r="B529" s="152"/>
      <c r="C529" s="93"/>
      <c r="D529" s="93"/>
      <c r="E529" s="95"/>
      <c r="F529" s="95"/>
      <c r="G529" s="95"/>
      <c r="H529" s="93"/>
      <c r="I529" s="93"/>
      <c r="J529" s="93"/>
    </row>
    <row r="530" spans="1:10" s="65" customFormat="1" ht="14" x14ac:dyDescent="0.35">
      <c r="A530" s="145"/>
      <c r="B530" s="152"/>
      <c r="C530" s="93"/>
      <c r="D530" s="93"/>
      <c r="E530" s="95"/>
      <c r="F530" s="95"/>
      <c r="G530" s="95"/>
      <c r="H530" s="93"/>
      <c r="I530" s="93"/>
      <c r="J530" s="93"/>
    </row>
    <row r="531" spans="1:10" s="65" customFormat="1" ht="14" x14ac:dyDescent="0.35">
      <c r="A531" s="145"/>
      <c r="B531" s="152"/>
      <c r="C531" s="93"/>
      <c r="D531" s="93"/>
      <c r="E531" s="95"/>
      <c r="F531" s="95"/>
      <c r="G531" s="95"/>
      <c r="H531" s="93"/>
      <c r="I531" s="93"/>
      <c r="J531" s="93"/>
    </row>
    <row r="532" spans="1:10" s="65" customFormat="1" ht="14" x14ac:dyDescent="0.35">
      <c r="A532" s="145"/>
      <c r="B532" s="152"/>
      <c r="C532" s="93"/>
      <c r="D532" s="93"/>
      <c r="E532" s="95"/>
      <c r="F532" s="95"/>
      <c r="G532" s="95"/>
      <c r="H532" s="93"/>
      <c r="I532" s="93"/>
      <c r="J532" s="93"/>
    </row>
    <row r="533" spans="1:10" s="65" customFormat="1" ht="14" x14ac:dyDescent="0.35">
      <c r="A533" s="145"/>
      <c r="B533" s="152"/>
      <c r="C533" s="93"/>
      <c r="D533" s="93"/>
      <c r="E533" s="95"/>
      <c r="F533" s="95"/>
      <c r="G533" s="95"/>
      <c r="H533" s="93"/>
      <c r="I533" s="93"/>
      <c r="J533" s="93"/>
    </row>
    <row r="534" spans="1:10" s="65" customFormat="1" ht="14" x14ac:dyDescent="0.35">
      <c r="A534" s="145"/>
      <c r="B534" s="152"/>
      <c r="C534" s="93"/>
      <c r="D534" s="93"/>
      <c r="E534" s="95"/>
      <c r="F534" s="95"/>
      <c r="G534" s="95"/>
      <c r="H534" s="93"/>
      <c r="I534" s="93"/>
      <c r="J534" s="93"/>
    </row>
    <row r="535" spans="1:10" s="65" customFormat="1" ht="14" x14ac:dyDescent="0.35">
      <c r="A535" s="145"/>
      <c r="B535" s="152"/>
      <c r="C535" s="93"/>
      <c r="D535" s="93"/>
      <c r="E535" s="95"/>
      <c r="F535" s="95"/>
      <c r="G535" s="95"/>
      <c r="H535" s="93"/>
      <c r="I535" s="93"/>
      <c r="J535" s="93"/>
    </row>
    <row r="536" spans="1:10" s="65" customFormat="1" ht="14" x14ac:dyDescent="0.35">
      <c r="A536" s="145"/>
      <c r="B536" s="152"/>
      <c r="C536" s="93"/>
      <c r="D536" s="93"/>
      <c r="E536" s="95"/>
      <c r="F536" s="95"/>
      <c r="G536" s="95"/>
      <c r="H536" s="93"/>
      <c r="I536" s="93"/>
      <c r="J536" s="93"/>
    </row>
    <row r="537" spans="1:10" s="65" customFormat="1" ht="14" x14ac:dyDescent="0.35">
      <c r="A537" s="145"/>
      <c r="B537" s="152"/>
      <c r="C537" s="93"/>
      <c r="D537" s="93"/>
      <c r="E537" s="95"/>
      <c r="F537" s="95"/>
      <c r="G537" s="95"/>
      <c r="H537" s="93"/>
      <c r="I537" s="93"/>
      <c r="J537" s="93"/>
    </row>
    <row r="538" spans="1:10" s="65" customFormat="1" ht="14" x14ac:dyDescent="0.35">
      <c r="A538" s="145"/>
      <c r="B538" s="152"/>
      <c r="C538" s="93"/>
      <c r="D538" s="93"/>
      <c r="E538" s="95"/>
      <c r="F538" s="95"/>
      <c r="G538" s="95"/>
      <c r="H538" s="93"/>
      <c r="I538" s="93"/>
      <c r="J538" s="93"/>
    </row>
    <row r="539" spans="1:10" s="65" customFormat="1" ht="14" x14ac:dyDescent="0.35">
      <c r="A539" s="145"/>
      <c r="B539" s="152"/>
      <c r="C539" s="93"/>
      <c r="D539" s="93"/>
      <c r="E539" s="95"/>
      <c r="F539" s="95"/>
      <c r="G539" s="95"/>
      <c r="H539" s="93"/>
      <c r="I539" s="93"/>
      <c r="J539" s="93"/>
    </row>
    <row r="540" spans="1:10" s="65" customFormat="1" ht="14" x14ac:dyDescent="0.35">
      <c r="A540" s="145"/>
      <c r="B540" s="152"/>
      <c r="C540" s="93"/>
      <c r="D540" s="93"/>
      <c r="E540" s="95"/>
      <c r="F540" s="95"/>
      <c r="G540" s="95"/>
      <c r="H540" s="93"/>
      <c r="I540" s="93"/>
      <c r="J540" s="93"/>
    </row>
    <row r="541" spans="1:10" s="65" customFormat="1" ht="14" x14ac:dyDescent="0.35">
      <c r="A541" s="145"/>
      <c r="B541" s="152"/>
      <c r="C541" s="93"/>
      <c r="D541" s="93"/>
      <c r="E541" s="95"/>
      <c r="F541" s="95"/>
      <c r="G541" s="95"/>
      <c r="H541" s="93"/>
      <c r="I541" s="93"/>
      <c r="J541" s="93"/>
    </row>
    <row r="542" spans="1:10" s="65" customFormat="1" ht="14" x14ac:dyDescent="0.35">
      <c r="A542" s="145"/>
      <c r="B542" s="152"/>
      <c r="C542" s="93"/>
      <c r="D542" s="93"/>
      <c r="E542" s="95"/>
      <c r="F542" s="95"/>
      <c r="G542" s="95"/>
      <c r="H542" s="93"/>
      <c r="I542" s="93"/>
      <c r="J542" s="93"/>
    </row>
    <row r="543" spans="1:10" s="65" customFormat="1" ht="14" x14ac:dyDescent="0.35">
      <c r="A543" s="145"/>
      <c r="B543" s="152"/>
      <c r="C543" s="93"/>
      <c r="D543" s="93"/>
      <c r="E543" s="95"/>
      <c r="F543" s="95"/>
      <c r="G543" s="95"/>
      <c r="H543" s="93"/>
      <c r="I543" s="93"/>
      <c r="J543" s="93"/>
    </row>
    <row r="544" spans="1:10" s="65" customFormat="1" ht="14" x14ac:dyDescent="0.35">
      <c r="A544" s="145"/>
      <c r="B544" s="152"/>
      <c r="C544" s="93"/>
      <c r="D544" s="93"/>
      <c r="E544" s="95"/>
      <c r="F544" s="95"/>
      <c r="G544" s="95"/>
      <c r="H544" s="93"/>
      <c r="I544" s="93"/>
      <c r="J544" s="93"/>
    </row>
    <row r="545" spans="1:10" s="65" customFormat="1" ht="14" x14ac:dyDescent="0.35">
      <c r="A545" s="145"/>
      <c r="B545" s="152"/>
      <c r="C545" s="93"/>
      <c r="D545" s="93"/>
      <c r="E545" s="95"/>
      <c r="F545" s="95"/>
      <c r="G545" s="95"/>
      <c r="H545" s="93"/>
      <c r="I545" s="93"/>
      <c r="J545" s="93"/>
    </row>
    <row r="546" spans="1:10" s="65" customFormat="1" ht="14" x14ac:dyDescent="0.35">
      <c r="A546" s="145"/>
      <c r="B546" s="152"/>
      <c r="C546" s="93"/>
      <c r="D546" s="93"/>
      <c r="E546" s="95"/>
      <c r="F546" s="95"/>
      <c r="G546" s="95"/>
      <c r="H546" s="93"/>
      <c r="I546" s="93"/>
      <c r="J546" s="93"/>
    </row>
    <row r="547" spans="1:10" s="65" customFormat="1" ht="14" x14ac:dyDescent="0.35">
      <c r="A547" s="145"/>
      <c r="B547" s="152"/>
      <c r="C547" s="93"/>
      <c r="D547" s="93"/>
      <c r="E547" s="95"/>
      <c r="F547" s="95"/>
      <c r="G547" s="95"/>
      <c r="H547" s="93"/>
      <c r="I547" s="93"/>
      <c r="J547" s="93"/>
    </row>
    <row r="548" spans="1:10" s="65" customFormat="1" ht="14" x14ac:dyDescent="0.35">
      <c r="A548" s="145"/>
      <c r="B548" s="152"/>
      <c r="C548" s="93"/>
      <c r="D548" s="93"/>
      <c r="E548" s="95"/>
      <c r="F548" s="95"/>
      <c r="G548" s="95"/>
      <c r="H548" s="93"/>
      <c r="I548" s="93"/>
      <c r="J548" s="93"/>
    </row>
    <row r="549" spans="1:10" s="65" customFormat="1" ht="14" x14ac:dyDescent="0.35">
      <c r="A549" s="145"/>
      <c r="B549" s="152"/>
      <c r="C549" s="93"/>
      <c r="D549" s="93"/>
      <c r="E549" s="95"/>
      <c r="F549" s="95"/>
      <c r="G549" s="95"/>
      <c r="H549" s="93"/>
      <c r="I549" s="93"/>
      <c r="J549" s="93"/>
    </row>
    <row r="550" spans="1:10" s="65" customFormat="1" ht="14" x14ac:dyDescent="0.35">
      <c r="A550" s="145"/>
      <c r="B550" s="152"/>
      <c r="C550" s="93"/>
      <c r="D550" s="93"/>
      <c r="E550" s="95"/>
      <c r="F550" s="95"/>
      <c r="G550" s="95"/>
      <c r="H550" s="93"/>
      <c r="I550" s="93"/>
      <c r="J550" s="93"/>
    </row>
    <row r="551" spans="1:10" s="65" customFormat="1" ht="14" x14ac:dyDescent="0.35">
      <c r="A551" s="145"/>
      <c r="B551" s="152"/>
      <c r="C551" s="93"/>
      <c r="D551" s="93"/>
      <c r="E551" s="95"/>
      <c r="F551" s="95"/>
      <c r="G551" s="95"/>
      <c r="H551" s="93"/>
      <c r="I551" s="93"/>
      <c r="J551" s="93"/>
    </row>
    <row r="552" spans="1:10" s="65" customFormat="1" ht="14" x14ac:dyDescent="0.35">
      <c r="A552" s="145"/>
      <c r="B552" s="152"/>
      <c r="C552" s="93"/>
      <c r="D552" s="93"/>
      <c r="E552" s="95"/>
      <c r="F552" s="95"/>
      <c r="G552" s="95"/>
      <c r="H552" s="93"/>
      <c r="I552" s="93"/>
      <c r="J552" s="93"/>
    </row>
    <row r="553" spans="1:10" s="65" customFormat="1" ht="14" x14ac:dyDescent="0.35">
      <c r="A553" s="145"/>
      <c r="B553" s="152"/>
      <c r="C553" s="93"/>
      <c r="D553" s="93"/>
      <c r="E553" s="95"/>
      <c r="F553" s="95"/>
      <c r="G553" s="95"/>
      <c r="H553" s="93"/>
      <c r="I553" s="93"/>
      <c r="J553" s="93"/>
    </row>
    <row r="554" spans="1:10" s="65" customFormat="1" ht="14" x14ac:dyDescent="0.35">
      <c r="A554" s="145"/>
      <c r="B554" s="152"/>
      <c r="C554" s="93"/>
      <c r="D554" s="93"/>
      <c r="E554" s="95"/>
      <c r="F554" s="95"/>
      <c r="G554" s="95"/>
      <c r="H554" s="93"/>
      <c r="I554" s="93"/>
      <c r="J554" s="93"/>
    </row>
    <row r="555" spans="1:10" s="65" customFormat="1" ht="14" x14ac:dyDescent="0.35">
      <c r="A555" s="145"/>
      <c r="B555" s="152"/>
      <c r="C555" s="93"/>
      <c r="D555" s="93"/>
      <c r="E555" s="95"/>
      <c r="F555" s="95"/>
      <c r="G555" s="95"/>
      <c r="H555" s="93"/>
      <c r="I555" s="93"/>
      <c r="J555" s="93"/>
    </row>
    <row r="556" spans="1:10" s="65" customFormat="1" ht="14" x14ac:dyDescent="0.35">
      <c r="A556" s="145"/>
      <c r="B556" s="152"/>
      <c r="C556" s="93"/>
      <c r="D556" s="93"/>
      <c r="E556" s="95"/>
      <c r="F556" s="95"/>
      <c r="G556" s="95"/>
      <c r="H556" s="93"/>
      <c r="I556" s="93"/>
      <c r="J556" s="93"/>
    </row>
    <row r="557" spans="1:10" s="65" customFormat="1" ht="14" x14ac:dyDescent="0.35">
      <c r="A557" s="145"/>
      <c r="B557" s="152"/>
      <c r="C557" s="93"/>
      <c r="D557" s="93"/>
      <c r="E557" s="95"/>
      <c r="F557" s="95"/>
      <c r="G557" s="95"/>
      <c r="H557" s="93"/>
      <c r="I557" s="93"/>
      <c r="J557" s="93"/>
    </row>
    <row r="558" spans="1:10" s="65" customFormat="1" ht="14" x14ac:dyDescent="0.35">
      <c r="A558" s="145"/>
      <c r="B558" s="152"/>
      <c r="C558" s="93"/>
      <c r="D558" s="93"/>
      <c r="E558" s="95"/>
      <c r="F558" s="95"/>
      <c r="G558" s="95"/>
      <c r="H558" s="93"/>
      <c r="I558" s="93"/>
      <c r="J558" s="93"/>
    </row>
    <row r="559" spans="1:10" s="65" customFormat="1" ht="14" x14ac:dyDescent="0.35">
      <c r="A559" s="145"/>
      <c r="B559" s="152"/>
      <c r="C559" s="93"/>
      <c r="D559" s="93"/>
      <c r="E559" s="95"/>
      <c r="F559" s="95"/>
      <c r="G559" s="95"/>
      <c r="H559" s="93"/>
      <c r="I559" s="93"/>
      <c r="J559" s="93"/>
    </row>
    <row r="560" spans="1:10" s="65" customFormat="1" ht="14" x14ac:dyDescent="0.35">
      <c r="A560" s="145"/>
      <c r="B560" s="152"/>
      <c r="C560" s="93"/>
      <c r="D560" s="93"/>
      <c r="E560" s="95"/>
      <c r="F560" s="95"/>
      <c r="G560" s="95"/>
      <c r="H560" s="93"/>
      <c r="I560" s="93"/>
      <c r="J560" s="93"/>
    </row>
    <row r="561" spans="1:10" s="65" customFormat="1" ht="14" x14ac:dyDescent="0.35">
      <c r="A561" s="145"/>
      <c r="B561" s="152"/>
      <c r="C561" s="93"/>
      <c r="D561" s="93"/>
      <c r="E561" s="95"/>
      <c r="F561" s="95"/>
      <c r="G561" s="95"/>
      <c r="H561" s="93"/>
      <c r="I561" s="93"/>
      <c r="J561" s="93"/>
    </row>
    <row r="562" spans="1:10" s="65" customFormat="1" ht="14" x14ac:dyDescent="0.35">
      <c r="A562" s="145"/>
      <c r="B562" s="152"/>
      <c r="C562" s="93"/>
      <c r="D562" s="93"/>
      <c r="E562" s="95"/>
      <c r="F562" s="95"/>
      <c r="G562" s="95"/>
      <c r="H562" s="93"/>
      <c r="I562" s="93"/>
      <c r="J562" s="93"/>
    </row>
    <row r="563" spans="1:10" s="65" customFormat="1" ht="14" x14ac:dyDescent="0.35">
      <c r="A563" s="145"/>
      <c r="B563" s="152"/>
      <c r="C563" s="93"/>
      <c r="D563" s="93"/>
      <c r="E563" s="95"/>
      <c r="F563" s="95"/>
      <c r="G563" s="95"/>
      <c r="H563" s="93"/>
      <c r="I563" s="93"/>
      <c r="J563" s="93"/>
    </row>
    <row r="564" spans="1:10" s="65" customFormat="1" ht="14" x14ac:dyDescent="0.35">
      <c r="A564" s="145"/>
      <c r="B564" s="152"/>
      <c r="C564" s="93"/>
      <c r="D564" s="93"/>
      <c r="E564" s="95"/>
      <c r="F564" s="95"/>
      <c r="G564" s="95"/>
      <c r="H564" s="93"/>
      <c r="I564" s="93"/>
      <c r="J564" s="93"/>
    </row>
    <row r="565" spans="1:10" s="65" customFormat="1" ht="14" x14ac:dyDescent="0.35">
      <c r="A565" s="145"/>
      <c r="B565" s="152"/>
      <c r="C565" s="93"/>
      <c r="D565" s="93"/>
      <c r="E565" s="95"/>
      <c r="F565" s="95"/>
      <c r="G565" s="95"/>
      <c r="H565" s="93"/>
      <c r="I565" s="93"/>
      <c r="J565" s="93"/>
    </row>
    <row r="566" spans="1:10" s="65" customFormat="1" ht="14" x14ac:dyDescent="0.35">
      <c r="A566" s="145"/>
      <c r="B566" s="152"/>
      <c r="C566" s="93"/>
      <c r="D566" s="93"/>
      <c r="E566" s="95"/>
      <c r="F566" s="95"/>
      <c r="G566" s="95"/>
      <c r="H566" s="93"/>
      <c r="I566" s="93"/>
      <c r="J566" s="93"/>
    </row>
    <row r="567" spans="1:10" s="65" customFormat="1" ht="14" x14ac:dyDescent="0.35">
      <c r="A567" s="145"/>
      <c r="B567" s="152"/>
      <c r="C567" s="93"/>
      <c r="D567" s="93"/>
      <c r="E567" s="95"/>
      <c r="F567" s="95"/>
      <c r="G567" s="95"/>
      <c r="H567" s="93"/>
      <c r="I567" s="93"/>
      <c r="J567" s="93"/>
    </row>
    <row r="568" spans="1:10" s="65" customFormat="1" ht="14" x14ac:dyDescent="0.35">
      <c r="A568" s="145"/>
      <c r="B568" s="152"/>
      <c r="C568" s="93"/>
      <c r="D568" s="93"/>
      <c r="E568" s="95"/>
      <c r="F568" s="95"/>
      <c r="G568" s="95"/>
      <c r="H568" s="93"/>
      <c r="I568" s="93"/>
      <c r="J568" s="93"/>
    </row>
    <row r="569" spans="1:10" s="65" customFormat="1" ht="14" x14ac:dyDescent="0.35">
      <c r="A569" s="145"/>
      <c r="B569" s="152"/>
      <c r="C569" s="93"/>
      <c r="D569" s="93"/>
      <c r="E569" s="95"/>
      <c r="F569" s="95"/>
      <c r="G569" s="95"/>
      <c r="H569" s="93"/>
      <c r="I569" s="93"/>
      <c r="J569" s="93"/>
    </row>
    <row r="570" spans="1:10" s="65" customFormat="1" ht="14" x14ac:dyDescent="0.35">
      <c r="A570" s="145"/>
      <c r="B570" s="152"/>
      <c r="C570" s="93"/>
      <c r="D570" s="93"/>
      <c r="E570" s="95"/>
      <c r="F570" s="95"/>
      <c r="G570" s="95"/>
      <c r="H570" s="93"/>
      <c r="I570" s="93"/>
      <c r="J570" s="93"/>
    </row>
    <row r="571" spans="1:10" s="65" customFormat="1" ht="14" x14ac:dyDescent="0.35">
      <c r="A571" s="145"/>
      <c r="B571" s="152"/>
      <c r="C571" s="93"/>
      <c r="D571" s="93"/>
      <c r="E571" s="95"/>
      <c r="F571" s="95"/>
      <c r="G571" s="95"/>
      <c r="H571" s="93"/>
      <c r="I571" s="93"/>
      <c r="J571" s="93"/>
    </row>
    <row r="572" spans="1:10" s="65" customFormat="1" ht="14" x14ac:dyDescent="0.35">
      <c r="A572" s="145"/>
      <c r="B572" s="152"/>
      <c r="C572" s="93"/>
      <c r="D572" s="93"/>
      <c r="E572" s="95"/>
      <c r="F572" s="95"/>
      <c r="G572" s="95"/>
      <c r="H572" s="93"/>
      <c r="I572" s="93"/>
      <c r="J572" s="93"/>
    </row>
    <row r="573" spans="1:10" s="65" customFormat="1" ht="14" x14ac:dyDescent="0.35">
      <c r="A573" s="145"/>
      <c r="B573" s="152"/>
      <c r="C573" s="93"/>
      <c r="D573" s="93"/>
      <c r="E573" s="95"/>
      <c r="F573" s="95"/>
      <c r="G573" s="95"/>
      <c r="H573" s="93"/>
      <c r="I573" s="93"/>
      <c r="J573" s="93"/>
    </row>
    <row r="574" spans="1:10" s="65" customFormat="1" ht="14" x14ac:dyDescent="0.35">
      <c r="A574" s="145"/>
      <c r="B574" s="152"/>
      <c r="C574" s="93"/>
      <c r="D574" s="93"/>
      <c r="E574" s="95"/>
      <c r="F574" s="95"/>
      <c r="G574" s="95"/>
      <c r="H574" s="93"/>
      <c r="I574" s="93"/>
      <c r="J574" s="93"/>
    </row>
    <row r="575" spans="1:10" s="65" customFormat="1" ht="14" x14ac:dyDescent="0.35">
      <c r="A575" s="145"/>
      <c r="B575" s="152"/>
      <c r="C575" s="93"/>
      <c r="D575" s="93"/>
      <c r="E575" s="95"/>
      <c r="F575" s="95"/>
      <c r="G575" s="95"/>
      <c r="H575" s="93"/>
      <c r="I575" s="93"/>
      <c r="J575" s="93"/>
    </row>
    <row r="576" spans="1:10" s="65" customFormat="1" ht="14" x14ac:dyDescent="0.35">
      <c r="A576" s="145"/>
      <c r="B576" s="152"/>
      <c r="C576" s="93"/>
      <c r="D576" s="93"/>
      <c r="E576" s="95"/>
      <c r="F576" s="95"/>
      <c r="G576" s="95"/>
      <c r="H576" s="93"/>
      <c r="I576" s="93"/>
      <c r="J576" s="93"/>
    </row>
    <row r="577" spans="1:10" s="65" customFormat="1" ht="14" x14ac:dyDescent="0.35">
      <c r="A577" s="145"/>
      <c r="B577" s="152"/>
      <c r="C577" s="93"/>
      <c r="D577" s="93"/>
      <c r="E577" s="95"/>
      <c r="F577" s="95"/>
      <c r="G577" s="95"/>
      <c r="H577" s="93"/>
      <c r="I577" s="93"/>
      <c r="J577" s="93"/>
    </row>
    <row r="578" spans="1:10" s="65" customFormat="1" ht="14" x14ac:dyDescent="0.35">
      <c r="A578" s="145"/>
      <c r="B578" s="152"/>
      <c r="C578" s="93"/>
      <c r="D578" s="93"/>
      <c r="E578" s="95"/>
      <c r="F578" s="95"/>
      <c r="G578" s="95"/>
      <c r="H578" s="93"/>
      <c r="I578" s="93"/>
      <c r="J578" s="93"/>
    </row>
    <row r="579" spans="1:10" s="65" customFormat="1" ht="14" x14ac:dyDescent="0.35">
      <c r="A579" s="145"/>
      <c r="B579" s="152"/>
      <c r="C579" s="93"/>
      <c r="D579" s="93"/>
      <c r="E579" s="95"/>
      <c r="F579" s="95"/>
      <c r="G579" s="95"/>
      <c r="H579" s="93"/>
      <c r="I579" s="93"/>
      <c r="J579" s="93"/>
    </row>
    <row r="580" spans="1:10" s="65" customFormat="1" ht="14" x14ac:dyDescent="0.35">
      <c r="A580" s="145"/>
      <c r="B580" s="152"/>
      <c r="C580" s="93"/>
      <c r="D580" s="93"/>
      <c r="E580" s="95"/>
      <c r="F580" s="95"/>
      <c r="G580" s="95"/>
      <c r="H580" s="93"/>
      <c r="I580" s="93"/>
      <c r="J580" s="93"/>
    </row>
    <row r="581" spans="1:10" s="65" customFormat="1" ht="14" x14ac:dyDescent="0.35">
      <c r="A581" s="145"/>
      <c r="B581" s="152"/>
      <c r="C581" s="93"/>
      <c r="D581" s="93"/>
      <c r="E581" s="95"/>
      <c r="F581" s="95"/>
      <c r="G581" s="95"/>
      <c r="H581" s="93"/>
      <c r="I581" s="93"/>
      <c r="J581" s="93"/>
    </row>
    <row r="582" spans="1:10" s="65" customFormat="1" ht="14" x14ac:dyDescent="0.35">
      <c r="A582" s="145"/>
      <c r="B582" s="152"/>
      <c r="C582" s="93"/>
      <c r="D582" s="93"/>
      <c r="E582" s="95"/>
      <c r="F582" s="95"/>
      <c r="G582" s="95"/>
      <c r="H582" s="93"/>
      <c r="I582" s="93"/>
      <c r="J582" s="93"/>
    </row>
    <row r="583" spans="1:10" s="65" customFormat="1" ht="14" x14ac:dyDescent="0.35">
      <c r="A583" s="145"/>
      <c r="B583" s="152"/>
      <c r="C583" s="93"/>
      <c r="D583" s="93"/>
      <c r="E583" s="95"/>
      <c r="F583" s="95"/>
      <c r="G583" s="95"/>
      <c r="H583" s="93"/>
      <c r="I583" s="93"/>
      <c r="J583" s="93"/>
    </row>
    <row r="584" spans="1:10" s="65" customFormat="1" ht="14" x14ac:dyDescent="0.35">
      <c r="A584" s="145"/>
      <c r="B584" s="152"/>
      <c r="C584" s="93"/>
      <c r="D584" s="93"/>
      <c r="E584" s="95"/>
      <c r="F584" s="95"/>
      <c r="G584" s="95"/>
      <c r="H584" s="93"/>
      <c r="I584" s="93"/>
      <c r="J584" s="93"/>
    </row>
    <row r="585" spans="1:10" s="65" customFormat="1" ht="14" x14ac:dyDescent="0.35">
      <c r="A585" s="145"/>
      <c r="B585" s="152"/>
      <c r="C585" s="93"/>
      <c r="D585" s="93"/>
      <c r="E585" s="95"/>
      <c r="F585" s="95"/>
      <c r="G585" s="95"/>
      <c r="H585" s="93"/>
      <c r="I585" s="93"/>
      <c r="J585" s="93"/>
    </row>
    <row r="586" spans="1:10" s="65" customFormat="1" ht="14" x14ac:dyDescent="0.35">
      <c r="A586" s="145"/>
      <c r="B586" s="152"/>
      <c r="C586" s="93"/>
      <c r="D586" s="93"/>
      <c r="E586" s="95"/>
      <c r="F586" s="95"/>
      <c r="G586" s="95"/>
      <c r="H586" s="93"/>
      <c r="I586" s="93"/>
      <c r="J586" s="93"/>
    </row>
    <row r="587" spans="1:10" s="65" customFormat="1" ht="14" x14ac:dyDescent="0.35">
      <c r="A587" s="145"/>
      <c r="B587" s="152"/>
      <c r="C587" s="93"/>
      <c r="D587" s="93"/>
      <c r="E587" s="95"/>
      <c r="F587" s="95"/>
      <c r="G587" s="95"/>
      <c r="H587" s="93"/>
      <c r="I587" s="93"/>
      <c r="J587" s="93"/>
    </row>
    <row r="588" spans="1:10" s="65" customFormat="1" ht="14" x14ac:dyDescent="0.35">
      <c r="A588" s="145"/>
      <c r="B588" s="152"/>
      <c r="C588" s="93"/>
      <c r="D588" s="93"/>
      <c r="E588" s="95"/>
      <c r="F588" s="95"/>
      <c r="G588" s="95"/>
      <c r="H588" s="93"/>
      <c r="I588" s="93"/>
      <c r="J588" s="93"/>
    </row>
    <row r="589" spans="1:10" s="65" customFormat="1" ht="14" x14ac:dyDescent="0.35">
      <c r="A589" s="145"/>
      <c r="B589" s="152"/>
      <c r="C589" s="93"/>
      <c r="D589" s="93"/>
      <c r="E589" s="95"/>
      <c r="F589" s="95"/>
      <c r="G589" s="95"/>
      <c r="H589" s="93"/>
      <c r="I589" s="93"/>
      <c r="J589" s="93"/>
    </row>
    <row r="590" spans="1:10" s="65" customFormat="1" ht="14" x14ac:dyDescent="0.35">
      <c r="A590" s="145"/>
      <c r="B590" s="152"/>
      <c r="C590" s="93"/>
      <c r="D590" s="93"/>
      <c r="E590" s="95"/>
      <c r="F590" s="95"/>
      <c r="G590" s="95"/>
      <c r="H590" s="93"/>
      <c r="I590" s="93"/>
      <c r="J590" s="93"/>
    </row>
    <row r="591" spans="1:10" s="65" customFormat="1" ht="14" x14ac:dyDescent="0.35">
      <c r="A591" s="145"/>
      <c r="B591" s="152"/>
      <c r="C591" s="93"/>
      <c r="D591" s="93"/>
      <c r="E591" s="95"/>
      <c r="F591" s="95"/>
      <c r="G591" s="95"/>
      <c r="H591" s="93"/>
      <c r="I591" s="93"/>
      <c r="J591" s="93"/>
    </row>
    <row r="592" spans="1:10" s="65" customFormat="1" ht="14" x14ac:dyDescent="0.35">
      <c r="A592" s="145"/>
      <c r="B592" s="152"/>
      <c r="C592" s="93"/>
      <c r="D592" s="93"/>
      <c r="E592" s="95"/>
      <c r="F592" s="95"/>
      <c r="G592" s="95"/>
      <c r="H592" s="93"/>
      <c r="I592" s="93"/>
      <c r="J592" s="93"/>
    </row>
    <row r="593" spans="1:10" s="65" customFormat="1" ht="14" x14ac:dyDescent="0.35">
      <c r="A593" s="145"/>
      <c r="B593" s="152"/>
      <c r="C593" s="93"/>
      <c r="D593" s="93"/>
      <c r="E593" s="95"/>
      <c r="F593" s="95"/>
      <c r="G593" s="95"/>
      <c r="H593" s="93"/>
      <c r="I593" s="93"/>
      <c r="J593" s="93"/>
    </row>
    <row r="594" spans="1:10" s="65" customFormat="1" ht="14" x14ac:dyDescent="0.35">
      <c r="A594" s="145"/>
      <c r="B594" s="152"/>
      <c r="C594" s="93"/>
      <c r="D594" s="93"/>
      <c r="E594" s="95"/>
      <c r="F594" s="95"/>
      <c r="G594" s="95"/>
      <c r="H594" s="93"/>
      <c r="I594" s="93"/>
      <c r="J594" s="93"/>
    </row>
    <row r="595" spans="1:10" s="65" customFormat="1" ht="14" x14ac:dyDescent="0.35">
      <c r="A595" s="145"/>
      <c r="B595" s="152"/>
      <c r="C595" s="93"/>
      <c r="D595" s="93"/>
      <c r="E595" s="95"/>
      <c r="F595" s="95"/>
      <c r="G595" s="95"/>
      <c r="H595" s="93"/>
      <c r="I595" s="93"/>
      <c r="J595" s="93"/>
    </row>
    <row r="596" spans="1:10" s="65" customFormat="1" ht="14" x14ac:dyDescent="0.35">
      <c r="A596" s="145"/>
      <c r="B596" s="152"/>
      <c r="C596" s="93"/>
      <c r="D596" s="93"/>
      <c r="E596" s="95"/>
      <c r="F596" s="95"/>
      <c r="G596" s="95"/>
      <c r="H596" s="93"/>
      <c r="I596" s="93"/>
      <c r="J596" s="93"/>
    </row>
    <row r="597" spans="1:10" s="65" customFormat="1" ht="14" x14ac:dyDescent="0.35">
      <c r="A597" s="145"/>
      <c r="B597" s="152"/>
      <c r="C597" s="93"/>
      <c r="D597" s="93"/>
      <c r="E597" s="95"/>
      <c r="F597" s="95"/>
      <c r="G597" s="95"/>
      <c r="H597" s="93"/>
      <c r="I597" s="93"/>
      <c r="J597" s="93"/>
    </row>
    <row r="598" spans="1:10" s="65" customFormat="1" ht="14" x14ac:dyDescent="0.35">
      <c r="A598" s="145"/>
      <c r="B598" s="152"/>
      <c r="C598" s="93"/>
      <c r="D598" s="93"/>
      <c r="E598" s="95"/>
      <c r="F598" s="95"/>
      <c r="G598" s="95"/>
      <c r="H598" s="93"/>
      <c r="I598" s="93"/>
      <c r="J598" s="93"/>
    </row>
    <row r="599" spans="1:10" s="65" customFormat="1" ht="14" x14ac:dyDescent="0.35">
      <c r="A599" s="145"/>
      <c r="B599" s="152"/>
      <c r="C599" s="93"/>
      <c r="D599" s="93"/>
      <c r="E599" s="95"/>
      <c r="F599" s="95"/>
      <c r="G599" s="95"/>
      <c r="H599" s="93"/>
      <c r="I599" s="93"/>
      <c r="J599" s="93"/>
    </row>
    <row r="600" spans="1:10" s="65" customFormat="1" ht="14" x14ac:dyDescent="0.35">
      <c r="A600" s="145"/>
      <c r="B600" s="152"/>
      <c r="C600" s="93"/>
      <c r="D600" s="93"/>
      <c r="E600" s="95"/>
      <c r="F600" s="95"/>
      <c r="G600" s="95"/>
      <c r="H600" s="93"/>
      <c r="I600" s="93"/>
      <c r="J600" s="93"/>
    </row>
    <row r="601" spans="1:10" s="65" customFormat="1" ht="14" x14ac:dyDescent="0.35">
      <c r="A601" s="145"/>
      <c r="B601" s="152"/>
      <c r="C601" s="93"/>
      <c r="D601" s="93"/>
      <c r="E601" s="95"/>
      <c r="F601" s="95"/>
      <c r="G601" s="95"/>
      <c r="H601" s="93"/>
      <c r="I601" s="93"/>
      <c r="J601" s="93"/>
    </row>
    <row r="602" spans="1:10" s="65" customFormat="1" ht="14" x14ac:dyDescent="0.35">
      <c r="A602" s="145"/>
      <c r="B602" s="152"/>
      <c r="C602" s="93"/>
      <c r="D602" s="93"/>
      <c r="E602" s="95"/>
      <c r="F602" s="95"/>
      <c r="G602" s="95"/>
      <c r="H602" s="93"/>
      <c r="I602" s="93"/>
      <c r="J602" s="93"/>
    </row>
    <row r="603" spans="1:10" s="65" customFormat="1" ht="14" x14ac:dyDescent="0.35">
      <c r="A603" s="145"/>
      <c r="B603" s="152"/>
      <c r="C603" s="93"/>
      <c r="D603" s="93"/>
      <c r="E603" s="95"/>
      <c r="F603" s="95"/>
      <c r="G603" s="95"/>
      <c r="H603" s="93"/>
      <c r="I603" s="93"/>
      <c r="J603" s="93"/>
    </row>
    <row r="604" spans="1:10" s="65" customFormat="1" ht="14" x14ac:dyDescent="0.35">
      <c r="A604" s="145"/>
      <c r="B604" s="152"/>
      <c r="C604" s="93"/>
      <c r="D604" s="93"/>
      <c r="E604" s="95"/>
      <c r="F604" s="95"/>
      <c r="G604" s="95"/>
      <c r="H604" s="93"/>
      <c r="I604" s="93"/>
      <c r="J604" s="93"/>
    </row>
    <row r="605" spans="1:10" s="65" customFormat="1" ht="14" x14ac:dyDescent="0.35">
      <c r="A605" s="145"/>
      <c r="B605" s="152"/>
      <c r="C605" s="93"/>
      <c r="D605" s="93"/>
      <c r="E605" s="95"/>
      <c r="F605" s="95"/>
      <c r="G605" s="95"/>
      <c r="H605" s="93"/>
      <c r="I605" s="93"/>
      <c r="J605" s="93"/>
    </row>
    <row r="606" spans="1:10" s="65" customFormat="1" ht="14" x14ac:dyDescent="0.35">
      <c r="A606" s="145"/>
      <c r="B606" s="152"/>
      <c r="C606" s="93"/>
      <c r="D606" s="93"/>
      <c r="E606" s="95"/>
      <c r="F606" s="95"/>
      <c r="G606" s="95"/>
      <c r="H606" s="93"/>
      <c r="I606" s="93"/>
      <c r="J606" s="93"/>
    </row>
    <row r="607" spans="1:10" s="65" customFormat="1" ht="14" x14ac:dyDescent="0.35">
      <c r="A607" s="145"/>
      <c r="B607" s="152"/>
      <c r="C607" s="93"/>
      <c r="D607" s="93"/>
      <c r="E607" s="95"/>
      <c r="F607" s="95"/>
      <c r="G607" s="95"/>
      <c r="H607" s="93"/>
      <c r="I607" s="93"/>
      <c r="J607" s="93"/>
    </row>
    <row r="608" spans="1:10" s="65" customFormat="1" ht="14" x14ac:dyDescent="0.35">
      <c r="A608" s="145"/>
      <c r="B608" s="152"/>
      <c r="C608" s="93"/>
      <c r="D608" s="93"/>
      <c r="E608" s="95"/>
      <c r="F608" s="95"/>
      <c r="G608" s="95"/>
      <c r="H608" s="93"/>
      <c r="I608" s="93"/>
      <c r="J608" s="93"/>
    </row>
    <row r="609" spans="1:10" s="65" customFormat="1" ht="14" x14ac:dyDescent="0.35">
      <c r="A609" s="145"/>
      <c r="B609" s="152"/>
      <c r="C609" s="93"/>
      <c r="D609" s="93"/>
      <c r="E609" s="95"/>
      <c r="F609" s="95"/>
      <c r="G609" s="95"/>
      <c r="H609" s="93"/>
      <c r="I609" s="93"/>
      <c r="J609" s="93"/>
    </row>
    <row r="610" spans="1:10" s="65" customFormat="1" ht="14" x14ac:dyDescent="0.35">
      <c r="A610" s="145"/>
      <c r="B610" s="152"/>
      <c r="C610" s="93"/>
      <c r="D610" s="93"/>
      <c r="E610" s="95"/>
      <c r="F610" s="95"/>
      <c r="G610" s="95"/>
      <c r="H610" s="93"/>
      <c r="I610" s="93"/>
      <c r="J610" s="93"/>
    </row>
    <row r="611" spans="1:10" s="65" customFormat="1" ht="14" x14ac:dyDescent="0.35">
      <c r="A611" s="145"/>
      <c r="B611" s="152"/>
      <c r="C611" s="93"/>
      <c r="D611" s="93"/>
      <c r="E611" s="95"/>
      <c r="F611" s="95"/>
      <c r="G611" s="95"/>
      <c r="H611" s="93"/>
      <c r="I611" s="93"/>
      <c r="J611" s="93"/>
    </row>
    <row r="612" spans="1:10" s="65" customFormat="1" ht="14" x14ac:dyDescent="0.35">
      <c r="A612" s="145"/>
      <c r="B612" s="152"/>
      <c r="C612" s="93"/>
      <c r="D612" s="93"/>
      <c r="E612" s="95"/>
      <c r="F612" s="95"/>
      <c r="G612" s="95"/>
      <c r="H612" s="93"/>
      <c r="I612" s="93"/>
      <c r="J612" s="93"/>
    </row>
    <row r="613" spans="1:10" s="65" customFormat="1" ht="14" x14ac:dyDescent="0.35">
      <c r="A613" s="145"/>
      <c r="B613" s="152"/>
      <c r="C613" s="93"/>
      <c r="D613" s="93"/>
      <c r="E613" s="95"/>
      <c r="F613" s="95"/>
      <c r="G613" s="95"/>
      <c r="H613" s="93"/>
      <c r="I613" s="93"/>
      <c r="J613" s="93"/>
    </row>
    <row r="614" spans="1:10" s="65" customFormat="1" ht="14" x14ac:dyDescent="0.35">
      <c r="A614" s="145"/>
      <c r="B614" s="152"/>
      <c r="C614" s="93"/>
      <c r="D614" s="93"/>
      <c r="E614" s="95"/>
      <c r="F614" s="95"/>
      <c r="G614" s="95"/>
      <c r="H614" s="93"/>
      <c r="I614" s="93"/>
      <c r="J614" s="93"/>
    </row>
    <row r="615" spans="1:10" s="65" customFormat="1" ht="14" x14ac:dyDescent="0.35">
      <c r="A615" s="145"/>
      <c r="B615" s="152"/>
      <c r="C615" s="93"/>
      <c r="D615" s="93"/>
      <c r="E615" s="95"/>
      <c r="F615" s="95"/>
      <c r="G615" s="95"/>
      <c r="H615" s="93"/>
      <c r="I615" s="93"/>
      <c r="J615" s="93"/>
    </row>
    <row r="616" spans="1:10" s="65" customFormat="1" ht="14" x14ac:dyDescent="0.35">
      <c r="A616" s="145"/>
      <c r="B616" s="152"/>
      <c r="C616" s="93"/>
      <c r="D616" s="93"/>
      <c r="E616" s="95"/>
      <c r="F616" s="95"/>
      <c r="G616" s="95"/>
      <c r="H616" s="93"/>
      <c r="I616" s="93"/>
      <c r="J616" s="93"/>
    </row>
    <row r="617" spans="1:10" s="65" customFormat="1" ht="14" x14ac:dyDescent="0.35">
      <c r="A617" s="145"/>
      <c r="B617" s="152"/>
      <c r="C617" s="93"/>
      <c r="D617" s="93"/>
      <c r="E617" s="95"/>
      <c r="F617" s="95"/>
      <c r="G617" s="95"/>
      <c r="H617" s="93"/>
      <c r="I617" s="93"/>
      <c r="J617" s="93"/>
    </row>
    <row r="618" spans="1:10" s="65" customFormat="1" ht="14" x14ac:dyDescent="0.35">
      <c r="A618" s="145"/>
      <c r="B618" s="152"/>
      <c r="C618" s="93"/>
      <c r="D618" s="93"/>
      <c r="E618" s="95"/>
      <c r="F618" s="95"/>
      <c r="G618" s="95"/>
      <c r="H618" s="93"/>
      <c r="I618" s="93"/>
      <c r="J618" s="93"/>
    </row>
    <row r="619" spans="1:10" s="65" customFormat="1" ht="14" x14ac:dyDescent="0.35">
      <c r="A619" s="145"/>
      <c r="B619" s="152"/>
      <c r="C619" s="93"/>
      <c r="D619" s="93"/>
      <c r="E619" s="95"/>
      <c r="F619" s="95"/>
      <c r="G619" s="95"/>
      <c r="H619" s="93"/>
      <c r="I619" s="93"/>
      <c r="J619" s="93"/>
    </row>
    <row r="620" spans="1:10" s="65" customFormat="1" ht="14" x14ac:dyDescent="0.35">
      <c r="A620" s="145"/>
      <c r="B620" s="152"/>
      <c r="C620" s="93"/>
      <c r="D620" s="93"/>
      <c r="E620" s="95"/>
      <c r="F620" s="95"/>
      <c r="G620" s="95"/>
      <c r="H620" s="93"/>
      <c r="I620" s="93"/>
      <c r="J620" s="93"/>
    </row>
    <row r="621" spans="1:10" s="65" customFormat="1" ht="14" x14ac:dyDescent="0.35">
      <c r="A621" s="145"/>
      <c r="B621" s="152"/>
      <c r="C621" s="93"/>
      <c r="D621" s="93"/>
      <c r="E621" s="95"/>
      <c r="F621" s="95"/>
      <c r="G621" s="95"/>
      <c r="H621" s="93"/>
      <c r="I621" s="93"/>
      <c r="J621" s="93"/>
    </row>
    <row r="622" spans="1:10" s="65" customFormat="1" ht="14" x14ac:dyDescent="0.35">
      <c r="A622" s="145"/>
      <c r="B622" s="152"/>
      <c r="C622" s="93"/>
      <c r="D622" s="93"/>
      <c r="E622" s="95"/>
      <c r="F622" s="95"/>
      <c r="G622" s="95"/>
      <c r="H622" s="93"/>
      <c r="I622" s="93"/>
      <c r="J622" s="93"/>
    </row>
    <row r="623" spans="1:10" s="65" customFormat="1" ht="14" x14ac:dyDescent="0.35">
      <c r="A623" s="145"/>
      <c r="B623" s="152"/>
      <c r="C623" s="93"/>
      <c r="D623" s="93"/>
      <c r="E623" s="95"/>
      <c r="F623" s="95"/>
      <c r="G623" s="95"/>
      <c r="H623" s="93"/>
      <c r="I623" s="93"/>
      <c r="J623" s="93"/>
    </row>
    <row r="624" spans="1:10" s="65" customFormat="1" ht="14" x14ac:dyDescent="0.35">
      <c r="A624" s="145"/>
      <c r="B624" s="152"/>
      <c r="C624" s="93"/>
      <c r="D624" s="93"/>
      <c r="E624" s="95"/>
      <c r="F624" s="95"/>
      <c r="G624" s="95"/>
      <c r="H624" s="93"/>
      <c r="I624" s="93"/>
      <c r="J624" s="93"/>
    </row>
    <row r="625" spans="1:10" s="65" customFormat="1" ht="14" x14ac:dyDescent="0.35">
      <c r="A625" s="145"/>
      <c r="B625" s="152"/>
      <c r="C625" s="93"/>
      <c r="D625" s="93"/>
      <c r="E625" s="95"/>
      <c r="F625" s="95"/>
      <c r="G625" s="95"/>
      <c r="H625" s="93"/>
      <c r="I625" s="93"/>
      <c r="J625" s="93"/>
    </row>
    <row r="626" spans="1:10" s="65" customFormat="1" ht="14" x14ac:dyDescent="0.35">
      <c r="A626" s="145"/>
      <c r="B626" s="152"/>
      <c r="C626" s="93"/>
      <c r="D626" s="93"/>
      <c r="E626" s="95"/>
      <c r="F626" s="95"/>
      <c r="G626" s="95"/>
      <c r="H626" s="93"/>
      <c r="I626" s="93"/>
      <c r="J626" s="93"/>
    </row>
    <row r="627" spans="1:10" s="65" customFormat="1" ht="14" x14ac:dyDescent="0.35">
      <c r="A627" s="145"/>
      <c r="B627" s="152"/>
      <c r="C627" s="93"/>
      <c r="D627" s="93"/>
      <c r="E627" s="95"/>
      <c r="F627" s="95"/>
      <c r="G627" s="95"/>
      <c r="H627" s="93"/>
      <c r="I627" s="93"/>
      <c r="J627" s="93"/>
    </row>
    <row r="628" spans="1:10" s="65" customFormat="1" ht="14" x14ac:dyDescent="0.35">
      <c r="A628" s="145"/>
      <c r="B628" s="152"/>
      <c r="C628" s="93"/>
      <c r="D628" s="93"/>
      <c r="E628" s="95"/>
      <c r="F628" s="95"/>
      <c r="G628" s="95"/>
      <c r="H628" s="93"/>
      <c r="I628" s="93"/>
      <c r="J628" s="93"/>
    </row>
    <row r="629" spans="1:10" s="65" customFormat="1" ht="14" x14ac:dyDescent="0.35">
      <c r="A629" s="145"/>
      <c r="B629" s="152"/>
      <c r="C629" s="93"/>
      <c r="D629" s="93"/>
      <c r="E629" s="95"/>
      <c r="F629" s="95"/>
      <c r="G629" s="95"/>
      <c r="H629" s="93"/>
      <c r="I629" s="93"/>
      <c r="J629" s="93"/>
    </row>
    <row r="630" spans="1:10" s="65" customFormat="1" ht="14" x14ac:dyDescent="0.35">
      <c r="A630" s="145"/>
      <c r="B630" s="152"/>
      <c r="C630" s="93"/>
      <c r="D630" s="93"/>
      <c r="E630" s="95"/>
      <c r="F630" s="95"/>
      <c r="G630" s="95"/>
      <c r="H630" s="93"/>
      <c r="I630" s="93"/>
      <c r="J630" s="93"/>
    </row>
    <row r="631" spans="1:10" s="65" customFormat="1" ht="14" x14ac:dyDescent="0.35">
      <c r="A631" s="145"/>
      <c r="B631" s="152"/>
      <c r="C631" s="93"/>
      <c r="D631" s="93"/>
      <c r="E631" s="95"/>
      <c r="F631" s="95"/>
      <c r="G631" s="95"/>
      <c r="H631" s="93"/>
      <c r="I631" s="93"/>
      <c r="J631" s="93"/>
    </row>
    <row r="632" spans="1:10" s="65" customFormat="1" ht="14" x14ac:dyDescent="0.35">
      <c r="A632" s="145"/>
      <c r="B632" s="152"/>
      <c r="C632" s="93"/>
      <c r="D632" s="93"/>
      <c r="E632" s="95"/>
      <c r="F632" s="95"/>
      <c r="G632" s="95"/>
      <c r="H632" s="93"/>
      <c r="I632" s="93"/>
      <c r="J632" s="93"/>
    </row>
    <row r="633" spans="1:10" s="65" customFormat="1" ht="14" x14ac:dyDescent="0.35">
      <c r="A633" s="145"/>
      <c r="B633" s="152"/>
      <c r="C633" s="93"/>
      <c r="D633" s="93"/>
      <c r="E633" s="95"/>
      <c r="F633" s="95"/>
      <c r="G633" s="95"/>
      <c r="H633" s="93"/>
      <c r="I633" s="93"/>
      <c r="J633" s="93"/>
    </row>
    <row r="634" spans="1:10" s="65" customFormat="1" ht="14" x14ac:dyDescent="0.35">
      <c r="A634" s="145"/>
      <c r="B634" s="152"/>
      <c r="C634" s="93"/>
      <c r="D634" s="93"/>
      <c r="E634" s="95"/>
      <c r="F634" s="95"/>
      <c r="G634" s="95"/>
      <c r="H634" s="93"/>
      <c r="I634" s="93"/>
      <c r="J634" s="93"/>
    </row>
    <row r="635" spans="1:10" s="65" customFormat="1" ht="14" x14ac:dyDescent="0.35">
      <c r="A635" s="145"/>
      <c r="B635" s="152"/>
      <c r="C635" s="93"/>
      <c r="D635" s="93"/>
      <c r="E635" s="95"/>
      <c r="F635" s="95"/>
      <c r="G635" s="95"/>
      <c r="H635" s="93"/>
      <c r="I635" s="93"/>
      <c r="J635" s="93"/>
    </row>
    <row r="636" spans="1:10" s="65" customFormat="1" ht="14" x14ac:dyDescent="0.35">
      <c r="A636" s="145"/>
      <c r="B636" s="152"/>
      <c r="C636" s="93"/>
      <c r="D636" s="93"/>
      <c r="E636" s="95"/>
      <c r="F636" s="95"/>
      <c r="G636" s="95"/>
      <c r="H636" s="93"/>
      <c r="I636" s="93"/>
      <c r="J636" s="93"/>
    </row>
    <row r="637" spans="1:10" s="65" customFormat="1" ht="14" x14ac:dyDescent="0.35">
      <c r="A637" s="145"/>
      <c r="B637" s="152"/>
      <c r="C637" s="93"/>
      <c r="D637" s="93"/>
      <c r="E637" s="95"/>
      <c r="F637" s="95"/>
      <c r="G637" s="95"/>
      <c r="H637" s="93"/>
      <c r="I637" s="93"/>
      <c r="J637" s="93"/>
    </row>
    <row r="638" spans="1:10" s="65" customFormat="1" ht="14" x14ac:dyDescent="0.35">
      <c r="A638" s="145"/>
      <c r="B638" s="152"/>
      <c r="C638" s="93"/>
      <c r="D638" s="93"/>
      <c r="E638" s="95"/>
      <c r="F638" s="95"/>
      <c r="G638" s="95"/>
      <c r="H638" s="93"/>
      <c r="I638" s="93"/>
      <c r="J638" s="93"/>
    </row>
    <row r="639" spans="1:10" s="65" customFormat="1" ht="14" x14ac:dyDescent="0.35">
      <c r="A639" s="145"/>
      <c r="B639" s="152"/>
      <c r="C639" s="93"/>
      <c r="D639" s="93"/>
      <c r="E639" s="95"/>
      <c r="F639" s="95"/>
      <c r="G639" s="95"/>
      <c r="H639" s="93"/>
      <c r="I639" s="93"/>
      <c r="J639" s="93"/>
    </row>
    <row r="640" spans="1:10" s="65" customFormat="1" ht="14" x14ac:dyDescent="0.35">
      <c r="A640" s="145"/>
      <c r="B640" s="152"/>
      <c r="C640" s="93"/>
      <c r="D640" s="93"/>
      <c r="E640" s="95"/>
      <c r="F640" s="95"/>
      <c r="G640" s="95"/>
      <c r="H640" s="93"/>
      <c r="I640" s="93"/>
      <c r="J640" s="93"/>
    </row>
    <row r="641" spans="1:10" s="65" customFormat="1" ht="14" x14ac:dyDescent="0.35">
      <c r="A641" s="145"/>
      <c r="B641" s="152"/>
      <c r="C641" s="93"/>
      <c r="D641" s="93"/>
      <c r="E641" s="95"/>
      <c r="F641" s="95"/>
      <c r="G641" s="95"/>
      <c r="H641" s="93"/>
      <c r="I641" s="93"/>
      <c r="J641" s="93"/>
    </row>
    <row r="642" spans="1:10" s="65" customFormat="1" ht="14" x14ac:dyDescent="0.35">
      <c r="A642" s="145"/>
      <c r="B642" s="152"/>
      <c r="C642" s="93"/>
      <c r="D642" s="93"/>
      <c r="E642" s="95"/>
      <c r="F642" s="95"/>
      <c r="G642" s="95"/>
      <c r="H642" s="93"/>
      <c r="I642" s="93"/>
      <c r="J642" s="93"/>
    </row>
    <row r="643" spans="1:10" s="65" customFormat="1" ht="14" x14ac:dyDescent="0.35">
      <c r="A643" s="145"/>
      <c r="B643" s="152"/>
      <c r="C643" s="93"/>
      <c r="D643" s="93"/>
      <c r="E643" s="95"/>
      <c r="F643" s="95"/>
      <c r="G643" s="95"/>
      <c r="H643" s="93"/>
      <c r="I643" s="93"/>
      <c r="J643" s="93"/>
    </row>
    <row r="644" spans="1:10" s="65" customFormat="1" ht="14" x14ac:dyDescent="0.35">
      <c r="A644" s="145"/>
      <c r="B644" s="152"/>
      <c r="C644" s="93"/>
      <c r="D644" s="93"/>
      <c r="E644" s="95"/>
      <c r="F644" s="95"/>
      <c r="G644" s="95"/>
      <c r="H644" s="93"/>
      <c r="I644" s="93"/>
      <c r="J644" s="93"/>
    </row>
    <row r="645" spans="1:10" s="65" customFormat="1" ht="14" x14ac:dyDescent="0.35">
      <c r="A645" s="145"/>
      <c r="B645" s="152"/>
      <c r="C645" s="93"/>
      <c r="D645" s="93"/>
      <c r="E645" s="95"/>
      <c r="F645" s="95"/>
      <c r="G645" s="95"/>
      <c r="H645" s="93"/>
      <c r="I645" s="93"/>
      <c r="J645" s="93"/>
    </row>
    <row r="646" spans="1:10" s="65" customFormat="1" ht="14" x14ac:dyDescent="0.35">
      <c r="A646" s="145"/>
      <c r="B646" s="152"/>
      <c r="C646" s="93"/>
      <c r="D646" s="93"/>
      <c r="E646" s="95"/>
      <c r="F646" s="95"/>
      <c r="G646" s="95"/>
      <c r="H646" s="93"/>
      <c r="I646" s="93"/>
      <c r="J646" s="93"/>
    </row>
    <row r="647" spans="1:10" s="65" customFormat="1" ht="14" x14ac:dyDescent="0.35">
      <c r="A647" s="145"/>
      <c r="B647" s="152"/>
      <c r="C647" s="93"/>
      <c r="D647" s="93"/>
      <c r="E647" s="95"/>
      <c r="F647" s="95"/>
      <c r="G647" s="95"/>
      <c r="H647" s="93"/>
      <c r="I647" s="93"/>
      <c r="J647" s="93"/>
    </row>
    <row r="648" spans="1:10" s="65" customFormat="1" ht="14" x14ac:dyDescent="0.35">
      <c r="A648" s="145"/>
      <c r="B648" s="152"/>
      <c r="C648" s="93"/>
      <c r="D648" s="93"/>
      <c r="E648" s="95"/>
      <c r="F648" s="95"/>
      <c r="G648" s="95"/>
      <c r="H648" s="93"/>
      <c r="I648" s="93"/>
      <c r="J648" s="93"/>
    </row>
    <row r="649" spans="1:10" s="65" customFormat="1" ht="14" x14ac:dyDescent="0.35">
      <c r="A649" s="145"/>
      <c r="B649" s="152"/>
      <c r="C649" s="93"/>
      <c r="D649" s="93"/>
      <c r="E649" s="95"/>
      <c r="F649" s="95"/>
      <c r="G649" s="95"/>
      <c r="H649" s="93"/>
      <c r="I649" s="93"/>
      <c r="J649" s="93"/>
    </row>
    <row r="650" spans="1:10" s="65" customFormat="1" ht="14" x14ac:dyDescent="0.35">
      <c r="A650" s="145"/>
      <c r="B650" s="152"/>
      <c r="C650" s="93"/>
      <c r="D650" s="93"/>
      <c r="E650" s="95"/>
      <c r="F650" s="95"/>
      <c r="G650" s="95"/>
      <c r="H650" s="93"/>
      <c r="I650" s="93"/>
      <c r="J650" s="93"/>
    </row>
    <row r="651" spans="1:10" s="65" customFormat="1" ht="14" x14ac:dyDescent="0.35">
      <c r="A651" s="145"/>
      <c r="B651" s="152"/>
      <c r="C651" s="93"/>
      <c r="D651" s="93"/>
      <c r="E651" s="95"/>
      <c r="F651" s="95"/>
      <c r="G651" s="95"/>
      <c r="H651" s="93"/>
      <c r="I651" s="93"/>
      <c r="J651" s="93"/>
    </row>
    <row r="652" spans="1:10" s="65" customFormat="1" ht="14" x14ac:dyDescent="0.35">
      <c r="A652" s="145"/>
      <c r="B652" s="152"/>
      <c r="C652" s="93"/>
      <c r="D652" s="93"/>
      <c r="E652" s="95"/>
      <c r="F652" s="95"/>
      <c r="G652" s="95"/>
      <c r="H652" s="93"/>
      <c r="I652" s="93"/>
      <c r="J652" s="93"/>
    </row>
    <row r="653" spans="1:10" s="65" customFormat="1" ht="14" x14ac:dyDescent="0.35">
      <c r="A653" s="145"/>
      <c r="B653" s="152"/>
      <c r="C653" s="93"/>
      <c r="D653" s="93"/>
      <c r="E653" s="95"/>
      <c r="F653" s="95"/>
      <c r="G653" s="95"/>
      <c r="H653" s="93"/>
      <c r="I653" s="93"/>
      <c r="J653" s="93"/>
    </row>
    <row r="654" spans="1:10" s="65" customFormat="1" ht="14" x14ac:dyDescent="0.35">
      <c r="A654" s="145"/>
      <c r="B654" s="152"/>
      <c r="C654" s="93"/>
      <c r="D654" s="93"/>
      <c r="E654" s="95"/>
      <c r="F654" s="95"/>
      <c r="G654" s="95"/>
      <c r="H654" s="93"/>
      <c r="I654" s="93"/>
      <c r="J654" s="93"/>
    </row>
    <row r="655" spans="1:10" s="65" customFormat="1" ht="14" x14ac:dyDescent="0.35">
      <c r="A655" s="145"/>
      <c r="B655" s="152"/>
      <c r="C655" s="93"/>
      <c r="D655" s="93"/>
      <c r="E655" s="95"/>
      <c r="F655" s="95"/>
      <c r="G655" s="95"/>
      <c r="H655" s="93"/>
      <c r="I655" s="93"/>
      <c r="J655" s="93"/>
    </row>
    <row r="656" spans="1:10" s="65" customFormat="1" ht="14" x14ac:dyDescent="0.35">
      <c r="A656" s="145"/>
      <c r="B656" s="152"/>
      <c r="C656" s="93"/>
      <c r="D656" s="93"/>
      <c r="E656" s="95"/>
      <c r="F656" s="95"/>
      <c r="G656" s="95"/>
      <c r="H656" s="93"/>
      <c r="I656" s="93"/>
      <c r="J656" s="93"/>
    </row>
    <row r="657" spans="1:10" s="65" customFormat="1" ht="14" x14ac:dyDescent="0.35">
      <c r="A657" s="145"/>
      <c r="B657" s="152"/>
      <c r="C657" s="93"/>
      <c r="D657" s="93"/>
      <c r="E657" s="95"/>
      <c r="F657" s="95"/>
      <c r="G657" s="95"/>
      <c r="H657" s="93"/>
      <c r="I657" s="93"/>
      <c r="J657" s="93"/>
    </row>
    <row r="658" spans="1:10" s="65" customFormat="1" ht="14" x14ac:dyDescent="0.35">
      <c r="A658" s="145"/>
      <c r="B658" s="152"/>
      <c r="C658" s="93"/>
      <c r="D658" s="93"/>
      <c r="E658" s="95"/>
      <c r="F658" s="95"/>
      <c r="G658" s="95"/>
      <c r="H658" s="93"/>
      <c r="I658" s="93"/>
      <c r="J658" s="93"/>
    </row>
    <row r="659" spans="1:10" s="65" customFormat="1" ht="14" x14ac:dyDescent="0.35">
      <c r="A659" s="145"/>
      <c r="B659" s="152"/>
      <c r="C659" s="93"/>
      <c r="D659" s="93"/>
      <c r="E659" s="95"/>
      <c r="F659" s="95"/>
      <c r="G659" s="95"/>
      <c r="H659" s="93"/>
      <c r="I659" s="93"/>
      <c r="J659" s="93"/>
    </row>
    <row r="660" spans="1:10" s="65" customFormat="1" ht="14" x14ac:dyDescent="0.35">
      <c r="A660" s="145"/>
      <c r="B660" s="152"/>
      <c r="C660" s="93"/>
      <c r="D660" s="93"/>
      <c r="E660" s="95"/>
      <c r="F660" s="95"/>
      <c r="G660" s="95"/>
      <c r="H660" s="93"/>
      <c r="I660" s="93"/>
      <c r="J660" s="93"/>
    </row>
    <row r="661" spans="1:10" s="65" customFormat="1" ht="14" x14ac:dyDescent="0.35">
      <c r="A661" s="145"/>
      <c r="B661" s="152"/>
      <c r="C661" s="93"/>
      <c r="D661" s="93"/>
      <c r="E661" s="95"/>
      <c r="F661" s="95"/>
      <c r="G661" s="95"/>
      <c r="H661" s="93"/>
      <c r="I661" s="93"/>
      <c r="J661" s="93"/>
    </row>
    <row r="662" spans="1:10" s="65" customFormat="1" ht="14" x14ac:dyDescent="0.35">
      <c r="A662" s="145"/>
      <c r="B662" s="152"/>
      <c r="C662" s="93"/>
      <c r="D662" s="93"/>
      <c r="E662" s="95"/>
      <c r="F662" s="95"/>
      <c r="G662" s="95"/>
      <c r="H662" s="93"/>
      <c r="I662" s="93"/>
      <c r="J662" s="93"/>
    </row>
    <row r="663" spans="1:10" s="65" customFormat="1" ht="14" x14ac:dyDescent="0.35">
      <c r="A663" s="145"/>
      <c r="B663" s="152"/>
      <c r="C663" s="93"/>
      <c r="D663" s="93"/>
      <c r="E663" s="95"/>
      <c r="F663" s="95"/>
      <c r="G663" s="95"/>
      <c r="H663" s="93"/>
      <c r="I663" s="93"/>
      <c r="J663" s="93"/>
    </row>
    <row r="664" spans="1:10" s="65" customFormat="1" ht="14" x14ac:dyDescent="0.35">
      <c r="A664" s="145"/>
      <c r="B664" s="152"/>
      <c r="C664" s="93"/>
      <c r="D664" s="93"/>
      <c r="E664" s="95"/>
      <c r="F664" s="95"/>
      <c r="G664" s="95"/>
      <c r="H664" s="93"/>
      <c r="I664" s="93"/>
      <c r="J664" s="93"/>
    </row>
    <row r="665" spans="1:10" s="65" customFormat="1" ht="14" x14ac:dyDescent="0.35">
      <c r="A665" s="145"/>
      <c r="B665" s="152"/>
      <c r="C665" s="93"/>
      <c r="D665" s="93"/>
      <c r="E665" s="95"/>
      <c r="F665" s="95"/>
      <c r="G665" s="95"/>
      <c r="H665" s="93"/>
      <c r="I665" s="93"/>
      <c r="J665" s="93"/>
    </row>
    <row r="666" spans="1:10" s="65" customFormat="1" ht="14" x14ac:dyDescent="0.35">
      <c r="A666" s="145"/>
      <c r="B666" s="152"/>
      <c r="C666" s="93"/>
      <c r="D666" s="93"/>
      <c r="E666" s="95"/>
      <c r="F666" s="95"/>
      <c r="G666" s="95"/>
      <c r="H666" s="93"/>
      <c r="I666" s="93"/>
      <c r="J666" s="93"/>
    </row>
    <row r="667" spans="1:10" s="65" customFormat="1" ht="14" x14ac:dyDescent="0.35">
      <c r="A667" s="145"/>
      <c r="B667" s="152"/>
      <c r="C667" s="93"/>
      <c r="D667" s="93"/>
      <c r="E667" s="95"/>
      <c r="F667" s="95"/>
      <c r="G667" s="95"/>
      <c r="H667" s="93"/>
      <c r="I667" s="93"/>
      <c r="J667" s="93"/>
    </row>
    <row r="668" spans="1:10" s="65" customFormat="1" ht="14" x14ac:dyDescent="0.35">
      <c r="A668" s="145"/>
      <c r="B668" s="152"/>
      <c r="C668" s="93"/>
      <c r="D668" s="93"/>
      <c r="E668" s="95"/>
      <c r="F668" s="95"/>
      <c r="G668" s="95"/>
      <c r="H668" s="93"/>
      <c r="I668" s="93"/>
      <c r="J668" s="93"/>
    </row>
    <row r="669" spans="1:10" s="65" customFormat="1" ht="14" x14ac:dyDescent="0.35">
      <c r="A669" s="145"/>
      <c r="B669" s="152"/>
      <c r="C669" s="93"/>
      <c r="D669" s="93"/>
      <c r="E669" s="95"/>
      <c r="F669" s="95"/>
      <c r="G669" s="95"/>
      <c r="H669" s="93"/>
      <c r="I669" s="93"/>
      <c r="J669" s="93"/>
    </row>
    <row r="670" spans="1:10" s="65" customFormat="1" ht="14" x14ac:dyDescent="0.35">
      <c r="A670" s="145"/>
      <c r="B670" s="152"/>
      <c r="C670" s="93"/>
      <c r="D670" s="93"/>
      <c r="E670" s="95"/>
      <c r="F670" s="95"/>
      <c r="G670" s="95"/>
      <c r="H670" s="93"/>
      <c r="I670" s="93"/>
      <c r="J670" s="93"/>
    </row>
    <row r="671" spans="1:10" s="65" customFormat="1" ht="14" x14ac:dyDescent="0.35">
      <c r="A671" s="145"/>
      <c r="B671" s="152"/>
      <c r="C671" s="93"/>
      <c r="D671" s="93"/>
      <c r="E671" s="95"/>
      <c r="F671" s="95"/>
      <c r="G671" s="95"/>
      <c r="H671" s="93"/>
      <c r="I671" s="93"/>
      <c r="J671" s="93"/>
    </row>
    <row r="672" spans="1:10" s="65" customFormat="1" ht="14" x14ac:dyDescent="0.35">
      <c r="A672" s="145"/>
      <c r="B672" s="152"/>
      <c r="C672" s="93"/>
      <c r="D672" s="93"/>
      <c r="E672" s="95"/>
      <c r="F672" s="95"/>
      <c r="G672" s="95"/>
      <c r="H672" s="93"/>
      <c r="I672" s="93"/>
      <c r="J672" s="93"/>
    </row>
    <row r="673" spans="1:10" s="65" customFormat="1" ht="14" x14ac:dyDescent="0.35">
      <c r="A673" s="145"/>
      <c r="B673" s="152"/>
      <c r="C673" s="93"/>
      <c r="D673" s="93"/>
      <c r="E673" s="95"/>
      <c r="F673" s="95"/>
      <c r="G673" s="95"/>
      <c r="H673" s="93"/>
      <c r="I673" s="93"/>
      <c r="J673" s="93"/>
    </row>
    <row r="674" spans="1:10" s="65" customFormat="1" ht="14" x14ac:dyDescent="0.35">
      <c r="A674" s="145"/>
      <c r="B674" s="152"/>
      <c r="C674" s="93"/>
      <c r="D674" s="93"/>
      <c r="E674" s="95"/>
      <c r="F674" s="95"/>
      <c r="G674" s="95"/>
      <c r="H674" s="93"/>
      <c r="I674" s="93"/>
      <c r="J674" s="93"/>
    </row>
    <row r="675" spans="1:10" s="65" customFormat="1" ht="14" x14ac:dyDescent="0.35">
      <c r="A675" s="145"/>
      <c r="B675" s="152"/>
      <c r="C675" s="93"/>
      <c r="D675" s="93"/>
      <c r="E675" s="95"/>
      <c r="F675" s="95"/>
      <c r="G675" s="95"/>
      <c r="H675" s="93"/>
      <c r="I675" s="93"/>
      <c r="J675" s="93"/>
    </row>
    <row r="676" spans="1:10" s="65" customFormat="1" ht="14" x14ac:dyDescent="0.35">
      <c r="A676" s="145"/>
      <c r="B676" s="152"/>
      <c r="C676" s="93"/>
      <c r="D676" s="93"/>
      <c r="E676" s="95"/>
      <c r="F676" s="95"/>
      <c r="G676" s="95"/>
      <c r="H676" s="93"/>
      <c r="I676" s="93"/>
      <c r="J676" s="93"/>
    </row>
    <row r="677" spans="1:10" s="65" customFormat="1" ht="14" x14ac:dyDescent="0.35">
      <c r="A677" s="145"/>
      <c r="B677" s="152"/>
      <c r="C677" s="93"/>
      <c r="D677" s="93"/>
      <c r="E677" s="95"/>
      <c r="F677" s="95"/>
      <c r="G677" s="95"/>
      <c r="H677" s="93"/>
      <c r="I677" s="93"/>
      <c r="J677" s="93"/>
    </row>
    <row r="678" spans="1:10" s="65" customFormat="1" ht="14" x14ac:dyDescent="0.35">
      <c r="A678" s="145"/>
      <c r="B678" s="152"/>
      <c r="C678" s="93"/>
      <c r="D678" s="93"/>
      <c r="E678" s="95"/>
      <c r="F678" s="95"/>
      <c r="G678" s="95"/>
      <c r="H678" s="93"/>
      <c r="I678" s="93"/>
      <c r="J678" s="93"/>
    </row>
    <row r="679" spans="1:10" s="65" customFormat="1" ht="14" x14ac:dyDescent="0.35">
      <c r="A679" s="145"/>
      <c r="B679" s="152"/>
      <c r="C679" s="93"/>
      <c r="D679" s="93"/>
      <c r="E679" s="95"/>
      <c r="F679" s="95"/>
      <c r="G679" s="95"/>
      <c r="H679" s="93"/>
      <c r="I679" s="93"/>
      <c r="J679" s="93"/>
    </row>
    <row r="680" spans="1:10" s="65" customFormat="1" ht="14" x14ac:dyDescent="0.35">
      <c r="A680" s="145"/>
      <c r="B680" s="152"/>
      <c r="C680" s="93"/>
      <c r="D680" s="93"/>
      <c r="E680" s="95"/>
      <c r="F680" s="95"/>
      <c r="G680" s="95"/>
      <c r="H680" s="93"/>
      <c r="I680" s="93"/>
      <c r="J680" s="93"/>
    </row>
    <row r="681" spans="1:10" s="65" customFormat="1" ht="14" x14ac:dyDescent="0.35">
      <c r="A681" s="145"/>
      <c r="B681" s="152"/>
      <c r="C681" s="93"/>
      <c r="D681" s="93"/>
      <c r="E681" s="95"/>
      <c r="F681" s="95"/>
      <c r="G681" s="95"/>
      <c r="H681" s="93"/>
      <c r="I681" s="93"/>
      <c r="J681" s="93"/>
    </row>
    <row r="682" spans="1:10" s="65" customFormat="1" ht="14" x14ac:dyDescent="0.35">
      <c r="A682" s="145"/>
      <c r="B682" s="152"/>
      <c r="C682" s="93"/>
      <c r="D682" s="93"/>
      <c r="E682" s="95"/>
      <c r="F682" s="95"/>
      <c r="G682" s="95"/>
      <c r="H682" s="93"/>
      <c r="I682" s="93"/>
      <c r="J682" s="93"/>
    </row>
    <row r="683" spans="1:10" s="65" customFormat="1" ht="14" x14ac:dyDescent="0.35">
      <c r="A683" s="145"/>
      <c r="B683" s="152"/>
      <c r="C683" s="93"/>
      <c r="D683" s="93"/>
      <c r="E683" s="95"/>
      <c r="F683" s="95"/>
      <c r="G683" s="95"/>
      <c r="H683" s="93"/>
      <c r="I683" s="93"/>
      <c r="J683" s="93"/>
    </row>
    <row r="684" spans="1:10" s="65" customFormat="1" ht="14" x14ac:dyDescent="0.35">
      <c r="A684" s="145"/>
      <c r="B684" s="152"/>
      <c r="C684" s="93"/>
      <c r="D684" s="93"/>
      <c r="E684" s="95"/>
      <c r="F684" s="95"/>
      <c r="G684" s="95"/>
      <c r="H684" s="93"/>
      <c r="I684" s="93"/>
      <c r="J684" s="93"/>
    </row>
    <row r="685" spans="1:10" s="65" customFormat="1" ht="14" x14ac:dyDescent="0.35">
      <c r="A685" s="145"/>
      <c r="B685" s="152"/>
      <c r="C685" s="93"/>
      <c r="D685" s="93"/>
      <c r="E685" s="95"/>
      <c r="F685" s="95"/>
      <c r="G685" s="95"/>
      <c r="H685" s="93"/>
      <c r="I685" s="93"/>
      <c r="J685" s="93"/>
    </row>
    <row r="686" spans="1:10" s="65" customFormat="1" ht="14" x14ac:dyDescent="0.35">
      <c r="A686" s="145"/>
      <c r="B686" s="152"/>
      <c r="C686" s="93"/>
      <c r="D686" s="93"/>
      <c r="E686" s="95"/>
      <c r="F686" s="95"/>
      <c r="G686" s="95"/>
      <c r="H686" s="93"/>
      <c r="I686" s="93"/>
      <c r="J686" s="93"/>
    </row>
    <row r="687" spans="1:10" s="65" customFormat="1" ht="14" x14ac:dyDescent="0.35">
      <c r="A687" s="145"/>
      <c r="B687" s="152"/>
      <c r="C687" s="93"/>
      <c r="D687" s="93"/>
      <c r="E687" s="95"/>
      <c r="F687" s="95"/>
      <c r="G687" s="95"/>
      <c r="H687" s="93"/>
      <c r="I687" s="93"/>
      <c r="J687" s="93"/>
    </row>
    <row r="688" spans="1:10" s="65" customFormat="1" ht="14" x14ac:dyDescent="0.35">
      <c r="A688" s="145"/>
      <c r="B688" s="152"/>
      <c r="C688" s="93"/>
      <c r="D688" s="93"/>
      <c r="E688" s="95"/>
      <c r="F688" s="95"/>
      <c r="G688" s="95"/>
      <c r="H688" s="93"/>
      <c r="I688" s="93"/>
      <c r="J688" s="93"/>
    </row>
    <row r="689" spans="1:10" s="65" customFormat="1" ht="14" x14ac:dyDescent="0.35">
      <c r="A689" s="145"/>
      <c r="B689" s="152"/>
      <c r="C689" s="93"/>
      <c r="D689" s="93"/>
      <c r="E689" s="95"/>
      <c r="F689" s="95"/>
      <c r="G689" s="95"/>
      <c r="H689" s="93"/>
      <c r="I689" s="93"/>
      <c r="J689" s="93"/>
    </row>
    <row r="690" spans="1:10" s="65" customFormat="1" ht="14" x14ac:dyDescent="0.35">
      <c r="A690" s="145"/>
      <c r="B690" s="152"/>
      <c r="C690" s="93"/>
      <c r="D690" s="93"/>
      <c r="E690" s="95"/>
      <c r="F690" s="95"/>
      <c r="G690" s="95"/>
      <c r="H690" s="93"/>
      <c r="I690" s="93"/>
      <c r="J690" s="93"/>
    </row>
    <row r="691" spans="1:10" s="65" customFormat="1" ht="14" x14ac:dyDescent="0.35">
      <c r="A691" s="145"/>
      <c r="B691" s="152"/>
      <c r="C691" s="93"/>
      <c r="D691" s="93"/>
      <c r="E691" s="95"/>
      <c r="F691" s="95"/>
      <c r="G691" s="95"/>
      <c r="H691" s="93"/>
      <c r="I691" s="93"/>
      <c r="J691" s="93"/>
    </row>
    <row r="692" spans="1:10" s="65" customFormat="1" ht="14" x14ac:dyDescent="0.35">
      <c r="A692" s="145"/>
      <c r="B692" s="152"/>
      <c r="C692" s="93"/>
      <c r="D692" s="93"/>
      <c r="E692" s="95"/>
      <c r="F692" s="95"/>
      <c r="G692" s="95"/>
      <c r="H692" s="93"/>
      <c r="I692" s="93"/>
      <c r="J692" s="93"/>
    </row>
    <row r="693" spans="1:10" s="65" customFormat="1" ht="14" x14ac:dyDescent="0.35">
      <c r="A693" s="145"/>
      <c r="B693" s="152"/>
      <c r="C693" s="93"/>
      <c r="D693" s="93"/>
      <c r="E693" s="95"/>
      <c r="F693" s="95"/>
      <c r="G693" s="95"/>
      <c r="H693" s="93"/>
      <c r="I693" s="93"/>
      <c r="J693" s="93"/>
    </row>
    <row r="694" spans="1:10" s="65" customFormat="1" ht="14" x14ac:dyDescent="0.35">
      <c r="A694" s="145"/>
      <c r="B694" s="152"/>
      <c r="C694" s="93"/>
      <c r="D694" s="93"/>
      <c r="E694" s="95"/>
      <c r="F694" s="95"/>
      <c r="G694" s="95"/>
      <c r="H694" s="93"/>
      <c r="I694" s="93"/>
      <c r="J694" s="93"/>
    </row>
    <row r="695" spans="1:10" s="65" customFormat="1" ht="14" x14ac:dyDescent="0.35">
      <c r="A695" s="145"/>
      <c r="B695" s="152"/>
      <c r="C695" s="93"/>
      <c r="D695" s="93"/>
      <c r="E695" s="95"/>
      <c r="F695" s="95"/>
      <c r="G695" s="95"/>
      <c r="H695" s="93"/>
      <c r="I695" s="93"/>
      <c r="J695" s="93"/>
    </row>
    <row r="696" spans="1:10" s="65" customFormat="1" ht="14" x14ac:dyDescent="0.35">
      <c r="A696" s="145"/>
      <c r="B696" s="152"/>
      <c r="C696" s="93"/>
      <c r="D696" s="93"/>
      <c r="E696" s="95"/>
      <c r="F696" s="95"/>
      <c r="G696" s="95"/>
      <c r="H696" s="93"/>
      <c r="I696" s="93"/>
      <c r="J696" s="93"/>
    </row>
    <row r="697" spans="1:10" s="65" customFormat="1" ht="14" x14ac:dyDescent="0.35">
      <c r="A697" s="145"/>
      <c r="B697" s="152"/>
      <c r="C697" s="93"/>
      <c r="D697" s="93"/>
      <c r="E697" s="95"/>
      <c r="F697" s="95"/>
      <c r="G697" s="95"/>
      <c r="H697" s="93"/>
      <c r="I697" s="93"/>
      <c r="J697" s="93"/>
    </row>
    <row r="698" spans="1:10" s="65" customFormat="1" ht="14" x14ac:dyDescent="0.35">
      <c r="A698" s="145"/>
      <c r="B698" s="152"/>
      <c r="C698" s="93"/>
      <c r="D698" s="93"/>
      <c r="E698" s="95"/>
      <c r="F698" s="95"/>
      <c r="G698" s="95"/>
      <c r="H698" s="93"/>
      <c r="I698" s="93"/>
      <c r="J698" s="93"/>
    </row>
    <row r="699" spans="1:10" s="65" customFormat="1" ht="14" x14ac:dyDescent="0.35">
      <c r="A699" s="145"/>
      <c r="B699" s="152"/>
      <c r="C699" s="93"/>
      <c r="D699" s="93"/>
      <c r="E699" s="95"/>
      <c r="F699" s="95"/>
      <c r="G699" s="95"/>
      <c r="H699" s="93"/>
      <c r="I699" s="93"/>
      <c r="J699" s="93"/>
    </row>
    <row r="700" spans="1:10" s="65" customFormat="1" ht="14" x14ac:dyDescent="0.35">
      <c r="A700" s="145"/>
      <c r="B700" s="152"/>
      <c r="C700" s="93"/>
      <c r="D700" s="93"/>
      <c r="E700" s="95"/>
      <c r="F700" s="95"/>
      <c r="G700" s="95"/>
      <c r="H700" s="93"/>
      <c r="I700" s="93"/>
      <c r="J700" s="93"/>
    </row>
    <row r="701" spans="1:10" s="65" customFormat="1" ht="14" x14ac:dyDescent="0.35">
      <c r="A701" s="145"/>
      <c r="B701" s="152"/>
      <c r="C701" s="93"/>
      <c r="D701" s="93"/>
      <c r="E701" s="95"/>
      <c r="F701" s="95"/>
      <c r="G701" s="95"/>
      <c r="H701" s="93"/>
      <c r="I701" s="93"/>
      <c r="J701" s="93"/>
    </row>
    <row r="702" spans="1:10" s="65" customFormat="1" ht="14" x14ac:dyDescent="0.35">
      <c r="A702" s="145"/>
      <c r="B702" s="152"/>
      <c r="C702" s="93"/>
      <c r="D702" s="93"/>
      <c r="E702" s="95"/>
      <c r="F702" s="95"/>
      <c r="G702" s="95"/>
      <c r="H702" s="93"/>
      <c r="I702" s="93"/>
      <c r="J702" s="93"/>
    </row>
    <row r="703" spans="1:10" s="65" customFormat="1" ht="14" x14ac:dyDescent="0.35">
      <c r="A703" s="145"/>
      <c r="B703" s="152"/>
      <c r="C703" s="93"/>
      <c r="D703" s="93"/>
      <c r="E703" s="95"/>
      <c r="F703" s="95"/>
      <c r="G703" s="95"/>
      <c r="H703" s="93"/>
      <c r="I703" s="93"/>
      <c r="J703" s="93"/>
    </row>
    <row r="704" spans="1:10" s="65" customFormat="1" ht="14" x14ac:dyDescent="0.35">
      <c r="A704" s="145"/>
      <c r="B704" s="152"/>
      <c r="C704" s="93"/>
      <c r="D704" s="93"/>
      <c r="E704" s="95"/>
      <c r="F704" s="95"/>
      <c r="G704" s="95"/>
      <c r="H704" s="93"/>
      <c r="I704" s="93"/>
      <c r="J704" s="93"/>
    </row>
    <row r="705" spans="1:10" s="65" customFormat="1" ht="14" x14ac:dyDescent="0.35">
      <c r="A705" s="145"/>
      <c r="B705" s="152"/>
      <c r="C705" s="93"/>
      <c r="D705" s="93"/>
      <c r="E705" s="95"/>
      <c r="F705" s="95"/>
      <c r="G705" s="95"/>
      <c r="H705" s="93"/>
      <c r="I705" s="93"/>
      <c r="J705" s="93"/>
    </row>
    <row r="706" spans="1:10" s="65" customFormat="1" ht="14" x14ac:dyDescent="0.35">
      <c r="A706" s="145"/>
      <c r="B706" s="152"/>
      <c r="C706" s="93"/>
      <c r="D706" s="93"/>
      <c r="E706" s="95"/>
      <c r="F706" s="95"/>
      <c r="G706" s="95"/>
      <c r="H706" s="93"/>
      <c r="I706" s="93"/>
      <c r="J706" s="93"/>
    </row>
    <row r="707" spans="1:10" s="65" customFormat="1" ht="14" x14ac:dyDescent="0.35">
      <c r="A707" s="145"/>
      <c r="B707" s="152"/>
      <c r="C707" s="93"/>
      <c r="D707" s="93"/>
      <c r="E707" s="95"/>
      <c r="F707" s="95"/>
      <c r="G707" s="95"/>
      <c r="H707" s="93"/>
      <c r="I707" s="93"/>
      <c r="J707" s="93"/>
    </row>
    <row r="708" spans="1:10" s="65" customFormat="1" ht="14" x14ac:dyDescent="0.35">
      <c r="A708" s="145"/>
      <c r="B708" s="152"/>
      <c r="C708" s="93"/>
      <c r="D708" s="93"/>
      <c r="E708" s="95"/>
      <c r="F708" s="95"/>
      <c r="G708" s="95"/>
      <c r="H708" s="93"/>
      <c r="I708" s="93"/>
      <c r="J708" s="93"/>
    </row>
    <row r="709" spans="1:10" s="65" customFormat="1" ht="14" x14ac:dyDescent="0.35">
      <c r="A709" s="145"/>
      <c r="B709" s="152"/>
      <c r="C709" s="93"/>
      <c r="D709" s="93"/>
      <c r="E709" s="95"/>
      <c r="F709" s="95"/>
      <c r="G709" s="95"/>
      <c r="H709" s="93"/>
      <c r="I709" s="93"/>
      <c r="J709" s="93"/>
    </row>
    <row r="710" spans="1:10" s="65" customFormat="1" ht="14" x14ac:dyDescent="0.35">
      <c r="A710" s="145"/>
      <c r="B710" s="152"/>
      <c r="C710" s="93"/>
      <c r="D710" s="93"/>
      <c r="E710" s="95"/>
      <c r="F710" s="95"/>
      <c r="G710" s="95"/>
      <c r="H710" s="93"/>
      <c r="I710" s="93"/>
      <c r="J710" s="93"/>
    </row>
    <row r="711" spans="1:10" s="65" customFormat="1" ht="14" x14ac:dyDescent="0.35">
      <c r="A711" s="145"/>
      <c r="B711" s="152"/>
      <c r="C711" s="93"/>
      <c r="D711" s="93"/>
      <c r="E711" s="95"/>
      <c r="F711" s="95"/>
      <c r="G711" s="95"/>
      <c r="H711" s="93"/>
      <c r="I711" s="93"/>
      <c r="J711" s="93"/>
    </row>
    <row r="712" spans="1:10" s="65" customFormat="1" ht="14" x14ac:dyDescent="0.35">
      <c r="A712" s="145"/>
      <c r="B712" s="152"/>
      <c r="C712" s="93"/>
      <c r="D712" s="93"/>
      <c r="E712" s="95"/>
      <c r="F712" s="95"/>
      <c r="G712" s="95"/>
      <c r="H712" s="93"/>
      <c r="I712" s="93"/>
      <c r="J712" s="93"/>
    </row>
    <row r="713" spans="1:10" s="65" customFormat="1" ht="14" x14ac:dyDescent="0.35">
      <c r="A713" s="145"/>
      <c r="B713" s="152"/>
      <c r="C713" s="93"/>
      <c r="D713" s="93"/>
      <c r="E713" s="95"/>
      <c r="F713" s="95"/>
      <c r="G713" s="95"/>
      <c r="H713" s="93"/>
      <c r="I713" s="93"/>
      <c r="J713" s="93"/>
    </row>
    <row r="714" spans="1:10" s="65" customFormat="1" ht="14" x14ac:dyDescent="0.35">
      <c r="A714" s="145"/>
      <c r="B714" s="152"/>
      <c r="C714" s="93"/>
      <c r="D714" s="93"/>
      <c r="E714" s="95"/>
      <c r="F714" s="95"/>
      <c r="G714" s="95"/>
      <c r="H714" s="93"/>
      <c r="I714" s="93"/>
      <c r="J714" s="93"/>
    </row>
    <row r="715" spans="1:10" s="65" customFormat="1" ht="14" x14ac:dyDescent="0.35">
      <c r="A715" s="145"/>
      <c r="B715" s="152"/>
      <c r="C715" s="93"/>
      <c r="D715" s="93"/>
      <c r="E715" s="95"/>
      <c r="F715" s="95"/>
      <c r="G715" s="95"/>
      <c r="H715" s="93"/>
      <c r="I715" s="93"/>
      <c r="J715" s="93"/>
    </row>
    <row r="716" spans="1:10" s="65" customFormat="1" ht="14" x14ac:dyDescent="0.35">
      <c r="A716" s="145"/>
      <c r="B716" s="152"/>
      <c r="C716" s="93"/>
      <c r="D716" s="93"/>
      <c r="E716" s="95"/>
      <c r="F716" s="95"/>
      <c r="G716" s="95"/>
      <c r="H716" s="93"/>
      <c r="I716" s="93"/>
      <c r="J716" s="93"/>
    </row>
    <row r="717" spans="1:10" s="65" customFormat="1" ht="14" x14ac:dyDescent="0.35">
      <c r="A717" s="145"/>
      <c r="B717" s="152"/>
      <c r="C717" s="93"/>
      <c r="D717" s="93"/>
      <c r="E717" s="95"/>
      <c r="F717" s="95"/>
      <c r="G717" s="95"/>
      <c r="H717" s="93"/>
      <c r="I717" s="93"/>
      <c r="J717" s="93"/>
    </row>
    <row r="718" spans="1:10" s="65" customFormat="1" ht="14" x14ac:dyDescent="0.35">
      <c r="A718" s="145"/>
      <c r="B718" s="152"/>
      <c r="C718" s="93"/>
      <c r="D718" s="93"/>
      <c r="E718" s="95"/>
      <c r="F718" s="95"/>
      <c r="G718" s="95"/>
      <c r="H718" s="93"/>
      <c r="I718" s="93"/>
      <c r="J718" s="93"/>
    </row>
    <row r="719" spans="1:10" s="65" customFormat="1" ht="14" x14ac:dyDescent="0.35">
      <c r="A719" s="145"/>
      <c r="B719" s="152"/>
      <c r="C719" s="93"/>
      <c r="D719" s="93"/>
      <c r="E719" s="95"/>
      <c r="F719" s="95"/>
      <c r="G719" s="95"/>
      <c r="H719" s="93"/>
      <c r="I719" s="93"/>
      <c r="J719" s="93"/>
    </row>
    <row r="720" spans="1:10" s="65" customFormat="1" ht="14" x14ac:dyDescent="0.35">
      <c r="A720" s="145"/>
      <c r="B720" s="152"/>
      <c r="C720" s="93"/>
      <c r="D720" s="93"/>
      <c r="E720" s="95"/>
      <c r="F720" s="95"/>
      <c r="G720" s="95"/>
      <c r="H720" s="93"/>
      <c r="I720" s="93"/>
      <c r="J720" s="93"/>
    </row>
    <row r="721" spans="1:10" s="65" customFormat="1" ht="14" x14ac:dyDescent="0.35">
      <c r="A721" s="145"/>
      <c r="B721" s="152"/>
      <c r="C721" s="93"/>
      <c r="D721" s="93"/>
      <c r="E721" s="95"/>
      <c r="F721" s="95"/>
      <c r="G721" s="95"/>
      <c r="H721" s="93"/>
      <c r="I721" s="93"/>
      <c r="J721" s="93"/>
    </row>
    <row r="722" spans="1:10" s="65" customFormat="1" ht="14" x14ac:dyDescent="0.35">
      <c r="A722" s="145"/>
      <c r="B722" s="152"/>
      <c r="C722" s="93"/>
      <c r="D722" s="93"/>
      <c r="E722" s="95"/>
      <c r="F722" s="95"/>
      <c r="G722" s="95"/>
      <c r="H722" s="93"/>
      <c r="I722" s="93"/>
      <c r="J722" s="93"/>
    </row>
    <row r="723" spans="1:10" s="65" customFormat="1" ht="14" x14ac:dyDescent="0.35">
      <c r="A723" s="145"/>
      <c r="B723" s="152"/>
      <c r="C723" s="93"/>
      <c r="D723" s="93"/>
      <c r="E723" s="95"/>
      <c r="F723" s="95"/>
      <c r="G723" s="95"/>
      <c r="H723" s="93"/>
      <c r="I723" s="93"/>
      <c r="J723" s="93"/>
    </row>
    <row r="724" spans="1:10" s="65" customFormat="1" ht="14" x14ac:dyDescent="0.35">
      <c r="A724" s="145"/>
      <c r="B724" s="152"/>
      <c r="C724" s="93"/>
      <c r="D724" s="93"/>
      <c r="E724" s="95"/>
      <c r="F724" s="95"/>
      <c r="G724" s="95"/>
      <c r="H724" s="93"/>
      <c r="I724" s="93"/>
      <c r="J724" s="93"/>
    </row>
    <row r="725" spans="1:10" s="65" customFormat="1" ht="14" x14ac:dyDescent="0.35">
      <c r="A725" s="145"/>
      <c r="B725" s="152"/>
      <c r="C725" s="93"/>
      <c r="D725" s="93"/>
      <c r="E725" s="95"/>
      <c r="F725" s="95"/>
      <c r="G725" s="95"/>
      <c r="H725" s="93"/>
      <c r="I725" s="93"/>
      <c r="J725" s="93"/>
    </row>
    <row r="726" spans="1:10" s="65" customFormat="1" ht="14" x14ac:dyDescent="0.35">
      <c r="A726" s="145"/>
      <c r="B726" s="152"/>
      <c r="C726" s="93"/>
      <c r="D726" s="93"/>
      <c r="E726" s="95"/>
      <c r="F726" s="95"/>
      <c r="G726" s="95"/>
      <c r="H726" s="93"/>
      <c r="I726" s="93"/>
      <c r="J726" s="93"/>
    </row>
    <row r="727" spans="1:10" s="65" customFormat="1" ht="14" x14ac:dyDescent="0.35">
      <c r="A727" s="145"/>
      <c r="B727" s="152"/>
      <c r="C727" s="93"/>
      <c r="D727" s="93"/>
      <c r="E727" s="95"/>
      <c r="F727" s="95"/>
      <c r="G727" s="95"/>
      <c r="H727" s="93"/>
      <c r="I727" s="93"/>
      <c r="J727" s="93"/>
    </row>
    <row r="728" spans="1:10" s="65" customFormat="1" ht="14" x14ac:dyDescent="0.35">
      <c r="A728" s="145"/>
      <c r="B728" s="152"/>
      <c r="C728" s="93"/>
      <c r="D728" s="93"/>
      <c r="E728" s="95"/>
      <c r="F728" s="95"/>
      <c r="G728" s="95"/>
      <c r="H728" s="93"/>
      <c r="I728" s="93"/>
      <c r="J728" s="93"/>
    </row>
    <row r="729" spans="1:10" s="65" customFormat="1" ht="14" x14ac:dyDescent="0.35">
      <c r="A729" s="145"/>
      <c r="B729" s="152"/>
      <c r="C729" s="93"/>
      <c r="D729" s="93"/>
      <c r="E729" s="95"/>
      <c r="F729" s="95"/>
      <c r="G729" s="95"/>
      <c r="H729" s="93"/>
      <c r="I729" s="93"/>
      <c r="J729" s="93"/>
    </row>
    <row r="730" spans="1:10" s="65" customFormat="1" ht="14" x14ac:dyDescent="0.35">
      <c r="A730" s="145"/>
      <c r="B730" s="152"/>
      <c r="C730" s="93"/>
      <c r="D730" s="93"/>
      <c r="E730" s="95"/>
      <c r="F730" s="95"/>
      <c r="G730" s="95"/>
      <c r="H730" s="93"/>
      <c r="I730" s="93"/>
      <c r="J730" s="93"/>
    </row>
    <row r="731" spans="1:10" s="65" customFormat="1" ht="14" x14ac:dyDescent="0.35">
      <c r="A731" s="145"/>
      <c r="B731" s="152"/>
      <c r="C731" s="93"/>
      <c r="D731" s="93"/>
      <c r="E731" s="95"/>
      <c r="F731" s="95"/>
      <c r="G731" s="95"/>
      <c r="H731" s="93"/>
      <c r="I731" s="93"/>
      <c r="J731" s="93"/>
    </row>
    <row r="732" spans="1:10" s="65" customFormat="1" ht="14" x14ac:dyDescent="0.35">
      <c r="A732" s="145"/>
      <c r="B732" s="152"/>
      <c r="C732" s="93"/>
      <c r="D732" s="93"/>
      <c r="E732" s="95"/>
      <c r="F732" s="95"/>
      <c r="G732" s="95"/>
      <c r="H732" s="93"/>
      <c r="I732" s="93"/>
      <c r="J732" s="93"/>
    </row>
    <row r="733" spans="1:10" s="65" customFormat="1" ht="14" x14ac:dyDescent="0.35">
      <c r="A733" s="145"/>
      <c r="B733" s="152"/>
      <c r="C733" s="93"/>
      <c r="D733" s="93"/>
      <c r="E733" s="95"/>
      <c r="F733" s="95"/>
      <c r="G733" s="95"/>
      <c r="H733" s="93"/>
      <c r="I733" s="93"/>
      <c r="J733" s="93"/>
    </row>
    <row r="734" spans="1:10" s="65" customFormat="1" ht="14" x14ac:dyDescent="0.35">
      <c r="A734" s="145"/>
      <c r="B734" s="152"/>
      <c r="C734" s="93"/>
      <c r="D734" s="93"/>
      <c r="E734" s="95"/>
      <c r="F734" s="95"/>
      <c r="G734" s="95"/>
      <c r="H734" s="93"/>
      <c r="I734" s="93"/>
      <c r="J734" s="93"/>
    </row>
    <row r="735" spans="1:10" s="65" customFormat="1" ht="14" x14ac:dyDescent="0.35">
      <c r="A735" s="145"/>
      <c r="B735" s="152"/>
      <c r="C735" s="93"/>
      <c r="D735" s="93"/>
      <c r="E735" s="95"/>
      <c r="F735" s="95"/>
      <c r="G735" s="95"/>
      <c r="H735" s="93"/>
      <c r="I735" s="93"/>
      <c r="J735" s="93"/>
    </row>
    <row r="736" spans="1:10" s="65" customFormat="1" ht="14" x14ac:dyDescent="0.35">
      <c r="A736" s="145"/>
      <c r="B736" s="152"/>
      <c r="C736" s="93"/>
      <c r="D736" s="93"/>
      <c r="E736" s="95"/>
      <c r="F736" s="95"/>
      <c r="G736" s="95"/>
      <c r="H736" s="93"/>
      <c r="I736" s="93"/>
      <c r="J736" s="93"/>
    </row>
    <row r="737" spans="1:10" s="65" customFormat="1" ht="14" x14ac:dyDescent="0.35">
      <c r="A737" s="145"/>
      <c r="B737" s="152"/>
      <c r="C737" s="93"/>
      <c r="D737" s="93"/>
      <c r="E737" s="95"/>
      <c r="F737" s="95"/>
      <c r="G737" s="95"/>
      <c r="H737" s="93"/>
      <c r="I737" s="93"/>
      <c r="J737" s="93"/>
    </row>
    <row r="738" spans="1:10" s="65" customFormat="1" ht="14" x14ac:dyDescent="0.35">
      <c r="A738" s="145"/>
      <c r="B738" s="152"/>
      <c r="C738" s="93"/>
      <c r="D738" s="93"/>
      <c r="E738" s="95"/>
      <c r="F738" s="95"/>
      <c r="G738" s="95"/>
      <c r="H738" s="93"/>
      <c r="I738" s="93"/>
      <c r="J738" s="93"/>
    </row>
    <row r="739" spans="1:10" s="65" customFormat="1" ht="14" x14ac:dyDescent="0.35">
      <c r="A739" s="145"/>
      <c r="B739" s="152"/>
      <c r="C739" s="93"/>
      <c r="D739" s="93"/>
      <c r="E739" s="95"/>
      <c r="F739" s="95"/>
      <c r="G739" s="95"/>
      <c r="H739" s="93"/>
      <c r="I739" s="93"/>
      <c r="J739" s="93"/>
    </row>
    <row r="740" spans="1:10" s="65" customFormat="1" ht="14" x14ac:dyDescent="0.35">
      <c r="A740" s="145"/>
      <c r="B740" s="152"/>
      <c r="C740" s="93"/>
      <c r="D740" s="93"/>
      <c r="E740" s="95"/>
      <c r="F740" s="95"/>
      <c r="G740" s="95"/>
      <c r="H740" s="93"/>
      <c r="I740" s="93"/>
      <c r="J740" s="93"/>
    </row>
    <row r="741" spans="1:10" s="65" customFormat="1" ht="14" x14ac:dyDescent="0.35">
      <c r="A741" s="145"/>
      <c r="B741" s="152"/>
      <c r="C741" s="93"/>
      <c r="D741" s="93"/>
      <c r="E741" s="95"/>
      <c r="F741" s="95"/>
      <c r="G741" s="95"/>
      <c r="H741" s="93"/>
      <c r="I741" s="93"/>
      <c r="J741" s="93"/>
    </row>
    <row r="742" spans="1:10" s="65" customFormat="1" ht="14" x14ac:dyDescent="0.35">
      <c r="A742" s="145"/>
      <c r="B742" s="152"/>
      <c r="C742" s="93"/>
      <c r="D742" s="93"/>
      <c r="E742" s="95"/>
      <c r="F742" s="95"/>
      <c r="G742" s="95"/>
      <c r="H742" s="93"/>
      <c r="I742" s="93"/>
      <c r="J742" s="93"/>
    </row>
    <row r="743" spans="1:10" s="65" customFormat="1" ht="14" x14ac:dyDescent="0.35">
      <c r="A743" s="145"/>
      <c r="B743" s="152"/>
      <c r="C743" s="93"/>
      <c r="D743" s="93"/>
      <c r="E743" s="95"/>
      <c r="F743" s="95"/>
      <c r="G743" s="95"/>
      <c r="H743" s="93"/>
      <c r="I743" s="93"/>
      <c r="J743" s="93"/>
    </row>
    <row r="744" spans="1:10" s="65" customFormat="1" ht="14" x14ac:dyDescent="0.35">
      <c r="A744" s="145"/>
      <c r="B744" s="152"/>
      <c r="C744" s="93"/>
      <c r="D744" s="93"/>
      <c r="E744" s="95"/>
      <c r="F744" s="95"/>
      <c r="G744" s="95"/>
      <c r="H744" s="93"/>
      <c r="I744" s="93"/>
      <c r="J744" s="93"/>
    </row>
    <row r="745" spans="1:10" s="65" customFormat="1" ht="14" x14ac:dyDescent="0.35">
      <c r="A745" s="145"/>
      <c r="B745" s="152"/>
      <c r="C745" s="93"/>
      <c r="D745" s="93"/>
      <c r="E745" s="95"/>
      <c r="F745" s="95"/>
      <c r="G745" s="95"/>
      <c r="H745" s="93"/>
      <c r="I745" s="93"/>
      <c r="J745" s="93"/>
    </row>
    <row r="746" spans="1:10" s="65" customFormat="1" ht="14" x14ac:dyDescent="0.35">
      <c r="A746" s="145"/>
      <c r="B746" s="152"/>
      <c r="C746" s="93"/>
      <c r="D746" s="93"/>
      <c r="E746" s="95"/>
      <c r="F746" s="95"/>
      <c r="G746" s="95"/>
      <c r="H746" s="93"/>
      <c r="I746" s="93"/>
      <c r="J746" s="93"/>
    </row>
    <row r="747" spans="1:10" s="65" customFormat="1" ht="14" x14ac:dyDescent="0.35">
      <c r="A747" s="145"/>
      <c r="B747" s="152"/>
      <c r="C747" s="93"/>
      <c r="D747" s="93"/>
      <c r="E747" s="95"/>
      <c r="F747" s="95"/>
      <c r="G747" s="95"/>
      <c r="H747" s="93"/>
      <c r="I747" s="93"/>
      <c r="J747" s="93"/>
    </row>
    <row r="748" spans="1:10" s="65" customFormat="1" ht="14" x14ac:dyDescent="0.35">
      <c r="A748" s="145"/>
      <c r="B748" s="152"/>
      <c r="C748" s="93"/>
      <c r="D748" s="93"/>
      <c r="E748" s="95"/>
      <c r="F748" s="95"/>
      <c r="G748" s="95"/>
      <c r="H748" s="93"/>
      <c r="I748" s="93"/>
      <c r="J748" s="93"/>
    </row>
    <row r="749" spans="1:10" s="65" customFormat="1" ht="14" x14ac:dyDescent="0.35">
      <c r="A749" s="145"/>
      <c r="B749" s="152"/>
      <c r="C749" s="93"/>
      <c r="D749" s="93"/>
      <c r="E749" s="95"/>
      <c r="F749" s="95"/>
      <c r="G749" s="95"/>
      <c r="H749" s="93"/>
      <c r="I749" s="93"/>
      <c r="J749" s="93"/>
    </row>
    <row r="750" spans="1:10" s="65" customFormat="1" ht="14" x14ac:dyDescent="0.35">
      <c r="A750" s="145"/>
      <c r="B750" s="152"/>
      <c r="C750" s="93"/>
      <c r="D750" s="93"/>
      <c r="E750" s="95"/>
      <c r="F750" s="95"/>
      <c r="G750" s="95"/>
      <c r="H750" s="93"/>
      <c r="I750" s="93"/>
      <c r="J750" s="93"/>
    </row>
    <row r="751" spans="1:10" s="65" customFormat="1" ht="14" x14ac:dyDescent="0.35">
      <c r="A751" s="145"/>
      <c r="B751" s="152"/>
      <c r="C751" s="93"/>
      <c r="D751" s="93"/>
      <c r="E751" s="95"/>
      <c r="F751" s="95"/>
      <c r="G751" s="95"/>
      <c r="H751" s="93"/>
      <c r="I751" s="93"/>
      <c r="J751" s="93"/>
    </row>
    <row r="752" spans="1:10" s="65" customFormat="1" ht="14" x14ac:dyDescent="0.35">
      <c r="A752" s="145"/>
      <c r="B752" s="152"/>
      <c r="C752" s="93"/>
      <c r="D752" s="93"/>
      <c r="E752" s="95"/>
      <c r="F752" s="95"/>
      <c r="G752" s="95"/>
      <c r="H752" s="93"/>
      <c r="I752" s="93"/>
      <c r="J752" s="93"/>
    </row>
    <row r="753" spans="1:10" s="65" customFormat="1" ht="14" x14ac:dyDescent="0.35">
      <c r="A753" s="145"/>
      <c r="B753" s="152"/>
      <c r="C753" s="93"/>
      <c r="D753" s="93"/>
      <c r="E753" s="95"/>
      <c r="F753" s="95"/>
      <c r="G753" s="95"/>
      <c r="H753" s="93"/>
      <c r="I753" s="93"/>
      <c r="J753" s="93"/>
    </row>
    <row r="754" spans="1:10" s="65" customFormat="1" ht="14" x14ac:dyDescent="0.35">
      <c r="A754" s="145"/>
      <c r="B754" s="152"/>
      <c r="C754" s="93"/>
      <c r="D754" s="93"/>
      <c r="E754" s="95"/>
      <c r="F754" s="95"/>
      <c r="G754" s="95"/>
      <c r="H754" s="93"/>
      <c r="I754" s="93"/>
      <c r="J754" s="93"/>
    </row>
    <row r="755" spans="1:10" s="65" customFormat="1" ht="14" x14ac:dyDescent="0.35">
      <c r="A755" s="145"/>
      <c r="B755" s="152"/>
      <c r="C755" s="93"/>
      <c r="D755" s="93"/>
      <c r="E755" s="95"/>
      <c r="F755" s="95"/>
      <c r="G755" s="95"/>
      <c r="H755" s="93"/>
      <c r="I755" s="93"/>
      <c r="J755" s="93"/>
    </row>
    <row r="756" spans="1:10" s="65" customFormat="1" ht="14" x14ac:dyDescent="0.35">
      <c r="A756" s="145"/>
      <c r="B756" s="152"/>
      <c r="C756" s="93"/>
      <c r="D756" s="93"/>
      <c r="E756" s="95"/>
      <c r="F756" s="95"/>
      <c r="G756" s="95"/>
      <c r="H756" s="93"/>
      <c r="I756" s="93"/>
      <c r="J756" s="93"/>
    </row>
    <row r="757" spans="1:10" s="65" customFormat="1" ht="14" x14ac:dyDescent="0.35">
      <c r="A757" s="145"/>
      <c r="B757" s="152"/>
      <c r="C757" s="93"/>
      <c r="D757" s="93"/>
      <c r="E757" s="95"/>
      <c r="F757" s="95"/>
      <c r="G757" s="95"/>
      <c r="H757" s="93"/>
      <c r="I757" s="93"/>
      <c r="J757" s="93"/>
    </row>
    <row r="758" spans="1:10" s="65" customFormat="1" ht="14" x14ac:dyDescent="0.35">
      <c r="A758" s="145"/>
      <c r="B758" s="152"/>
      <c r="C758" s="93"/>
      <c r="D758" s="93"/>
      <c r="E758" s="95"/>
      <c r="F758" s="95"/>
      <c r="G758" s="95"/>
      <c r="H758" s="93"/>
      <c r="I758" s="93"/>
      <c r="J758" s="93"/>
    </row>
    <row r="759" spans="1:10" s="65" customFormat="1" ht="14" x14ac:dyDescent="0.35">
      <c r="A759" s="145"/>
      <c r="B759" s="152"/>
      <c r="C759" s="93"/>
      <c r="D759" s="93"/>
      <c r="E759" s="95"/>
      <c r="F759" s="95"/>
      <c r="G759" s="95"/>
      <c r="H759" s="93"/>
      <c r="I759" s="93"/>
      <c r="J759" s="93"/>
    </row>
    <row r="760" spans="1:10" s="65" customFormat="1" ht="14" x14ac:dyDescent="0.35">
      <c r="A760" s="145"/>
      <c r="B760" s="152"/>
      <c r="C760" s="93"/>
      <c r="D760" s="93"/>
      <c r="E760" s="95"/>
      <c r="F760" s="95"/>
      <c r="G760" s="95"/>
      <c r="H760" s="93"/>
      <c r="I760" s="93"/>
      <c r="J760" s="93"/>
    </row>
    <row r="761" spans="1:10" s="65" customFormat="1" ht="14" x14ac:dyDescent="0.35">
      <c r="A761" s="145"/>
      <c r="B761" s="152"/>
      <c r="C761" s="93"/>
      <c r="D761" s="93"/>
      <c r="E761" s="95"/>
      <c r="F761" s="95"/>
      <c r="G761" s="95"/>
      <c r="H761" s="93"/>
      <c r="I761" s="93"/>
      <c r="J761" s="93"/>
    </row>
    <row r="762" spans="1:10" s="65" customFormat="1" ht="14" x14ac:dyDescent="0.35">
      <c r="A762" s="145"/>
      <c r="B762" s="152"/>
      <c r="C762" s="93"/>
      <c r="D762" s="93"/>
      <c r="E762" s="95"/>
      <c r="F762" s="95"/>
      <c r="G762" s="95"/>
      <c r="H762" s="93"/>
      <c r="I762" s="93"/>
      <c r="J762" s="93"/>
    </row>
    <row r="763" spans="1:10" s="65" customFormat="1" ht="14" x14ac:dyDescent="0.35">
      <c r="A763" s="145"/>
      <c r="B763" s="152"/>
      <c r="C763" s="93"/>
      <c r="D763" s="93"/>
      <c r="E763" s="95"/>
      <c r="F763" s="95"/>
      <c r="G763" s="95"/>
      <c r="H763" s="93"/>
      <c r="I763" s="93"/>
      <c r="J763" s="93"/>
    </row>
    <row r="764" spans="1:10" s="65" customFormat="1" ht="14" x14ac:dyDescent="0.35">
      <c r="A764" s="145"/>
      <c r="B764" s="152"/>
      <c r="C764" s="93"/>
      <c r="D764" s="93"/>
      <c r="E764" s="95"/>
      <c r="F764" s="95"/>
      <c r="G764" s="95"/>
      <c r="H764" s="93"/>
      <c r="I764" s="93"/>
      <c r="J764" s="93"/>
    </row>
    <row r="765" spans="1:10" s="65" customFormat="1" ht="14" x14ac:dyDescent="0.35">
      <c r="A765" s="145"/>
      <c r="B765" s="152"/>
      <c r="C765" s="93"/>
      <c r="D765" s="93"/>
      <c r="E765" s="95"/>
      <c r="F765" s="95"/>
      <c r="G765" s="95"/>
      <c r="H765" s="93"/>
      <c r="I765" s="93"/>
      <c r="J765" s="93"/>
    </row>
    <row r="766" spans="1:10" s="65" customFormat="1" ht="14" x14ac:dyDescent="0.35">
      <c r="A766" s="145"/>
      <c r="B766" s="152"/>
      <c r="C766" s="93"/>
      <c r="D766" s="93"/>
      <c r="E766" s="95"/>
      <c r="F766" s="95"/>
      <c r="G766" s="95"/>
      <c r="H766" s="93"/>
      <c r="I766" s="93"/>
      <c r="J766" s="93"/>
    </row>
    <row r="767" spans="1:10" s="65" customFormat="1" ht="14" x14ac:dyDescent="0.35">
      <c r="A767" s="145"/>
      <c r="B767" s="152"/>
      <c r="C767" s="93"/>
      <c r="D767" s="93"/>
      <c r="E767" s="95"/>
      <c r="F767" s="95"/>
      <c r="G767" s="95"/>
      <c r="H767" s="93"/>
      <c r="I767" s="93"/>
      <c r="J767" s="93"/>
    </row>
    <row r="768" spans="1:10" s="65" customFormat="1" ht="14" x14ac:dyDescent="0.35">
      <c r="A768" s="145"/>
      <c r="B768" s="152"/>
      <c r="C768" s="93"/>
      <c r="D768" s="93"/>
      <c r="E768" s="95"/>
      <c r="F768" s="95"/>
      <c r="G768" s="95"/>
      <c r="H768" s="93"/>
      <c r="I768" s="93"/>
      <c r="J768" s="93"/>
    </row>
    <row r="769" spans="1:10" s="65" customFormat="1" ht="14" x14ac:dyDescent="0.35">
      <c r="A769" s="145"/>
      <c r="B769" s="152"/>
      <c r="C769" s="93"/>
      <c r="D769" s="93"/>
      <c r="E769" s="95"/>
      <c r="F769" s="95"/>
      <c r="G769" s="95"/>
      <c r="H769" s="93"/>
      <c r="I769" s="93"/>
      <c r="J769" s="93"/>
    </row>
    <row r="770" spans="1:10" s="65" customFormat="1" ht="14" x14ac:dyDescent="0.35">
      <c r="A770" s="145"/>
      <c r="B770" s="152"/>
      <c r="C770" s="93"/>
      <c r="D770" s="93"/>
      <c r="E770" s="95"/>
      <c r="F770" s="95"/>
      <c r="G770" s="95"/>
      <c r="H770" s="93"/>
      <c r="I770" s="93"/>
      <c r="J770" s="93"/>
    </row>
    <row r="771" spans="1:10" s="65" customFormat="1" ht="14" x14ac:dyDescent="0.35">
      <c r="A771" s="145"/>
      <c r="B771" s="152"/>
      <c r="C771" s="93"/>
      <c r="D771" s="93"/>
      <c r="E771" s="95"/>
      <c r="F771" s="95"/>
      <c r="G771" s="95"/>
      <c r="H771" s="93"/>
      <c r="I771" s="93"/>
      <c r="J771" s="93"/>
    </row>
    <row r="772" spans="1:10" s="65" customFormat="1" ht="14" x14ac:dyDescent="0.35">
      <c r="A772" s="145"/>
      <c r="B772" s="152"/>
      <c r="C772" s="93"/>
      <c r="D772" s="93"/>
      <c r="E772" s="95"/>
      <c r="F772" s="95"/>
      <c r="G772" s="95"/>
      <c r="H772" s="93"/>
      <c r="I772" s="93"/>
      <c r="J772" s="93"/>
    </row>
    <row r="773" spans="1:10" s="65" customFormat="1" ht="14" x14ac:dyDescent="0.35">
      <c r="A773" s="145"/>
      <c r="B773" s="152"/>
      <c r="C773" s="93"/>
      <c r="D773" s="93"/>
      <c r="E773" s="95"/>
      <c r="F773" s="95"/>
      <c r="G773" s="95"/>
      <c r="H773" s="93"/>
      <c r="I773" s="93"/>
      <c r="J773" s="93"/>
    </row>
    <row r="774" spans="1:10" s="65" customFormat="1" ht="14" x14ac:dyDescent="0.35">
      <c r="A774" s="145"/>
      <c r="B774" s="152"/>
      <c r="C774" s="93"/>
      <c r="D774" s="93"/>
      <c r="E774" s="95"/>
      <c r="F774" s="95"/>
      <c r="G774" s="95"/>
      <c r="H774" s="93"/>
      <c r="I774" s="93"/>
      <c r="J774" s="93"/>
    </row>
    <row r="775" spans="1:10" s="65" customFormat="1" ht="14" x14ac:dyDescent="0.35">
      <c r="A775" s="145"/>
      <c r="B775" s="152"/>
      <c r="C775" s="93"/>
      <c r="D775" s="93"/>
      <c r="E775" s="95"/>
      <c r="F775" s="95"/>
      <c r="G775" s="95"/>
      <c r="H775" s="93"/>
      <c r="I775" s="93"/>
      <c r="J775" s="93"/>
    </row>
    <row r="776" spans="1:10" s="65" customFormat="1" ht="14" x14ac:dyDescent="0.35">
      <c r="A776" s="145"/>
      <c r="B776" s="152"/>
      <c r="C776" s="93"/>
      <c r="D776" s="93"/>
      <c r="E776" s="95"/>
      <c r="F776" s="95"/>
      <c r="G776" s="95"/>
      <c r="H776" s="93"/>
      <c r="I776" s="93"/>
      <c r="J776" s="93"/>
    </row>
    <row r="777" spans="1:10" s="65" customFormat="1" ht="14" x14ac:dyDescent="0.35">
      <c r="A777" s="145"/>
      <c r="B777" s="152"/>
      <c r="C777" s="93"/>
      <c r="D777" s="93"/>
      <c r="E777" s="95"/>
      <c r="F777" s="95"/>
      <c r="G777" s="95"/>
      <c r="H777" s="93"/>
      <c r="I777" s="93"/>
      <c r="J777" s="93"/>
    </row>
    <row r="778" spans="1:10" s="65" customFormat="1" ht="14" x14ac:dyDescent="0.35">
      <c r="A778" s="145"/>
      <c r="B778" s="152"/>
      <c r="C778" s="93"/>
      <c r="D778" s="93"/>
      <c r="E778" s="95"/>
      <c r="F778" s="95"/>
      <c r="G778" s="95"/>
      <c r="H778" s="93"/>
      <c r="I778" s="93"/>
      <c r="J778" s="93"/>
    </row>
    <row r="779" spans="1:10" s="65" customFormat="1" ht="14" x14ac:dyDescent="0.35">
      <c r="A779" s="145"/>
      <c r="B779" s="152"/>
      <c r="C779" s="93"/>
      <c r="D779" s="93"/>
      <c r="E779" s="95"/>
      <c r="F779" s="95"/>
      <c r="G779" s="95"/>
      <c r="H779" s="93"/>
      <c r="I779" s="93"/>
      <c r="J779" s="93"/>
    </row>
    <row r="780" spans="1:10" s="65" customFormat="1" ht="14" x14ac:dyDescent="0.35">
      <c r="A780" s="145"/>
      <c r="B780" s="152"/>
      <c r="C780" s="93"/>
      <c r="D780" s="93"/>
      <c r="E780" s="95"/>
      <c r="F780" s="95"/>
      <c r="G780" s="95"/>
      <c r="H780" s="93"/>
      <c r="I780" s="93"/>
      <c r="J780" s="93"/>
    </row>
    <row r="781" spans="1:10" s="65" customFormat="1" ht="14" x14ac:dyDescent="0.35">
      <c r="A781" s="145"/>
      <c r="B781" s="152"/>
      <c r="C781" s="93"/>
      <c r="D781" s="93"/>
      <c r="E781" s="95"/>
      <c r="F781" s="95"/>
      <c r="G781" s="95"/>
      <c r="H781" s="93"/>
      <c r="I781" s="93"/>
      <c r="J781" s="93"/>
    </row>
    <row r="782" spans="1:10" s="65" customFormat="1" ht="14" x14ac:dyDescent="0.35">
      <c r="A782" s="145"/>
      <c r="B782" s="152"/>
      <c r="C782" s="93"/>
      <c r="D782" s="93"/>
      <c r="E782" s="95"/>
      <c r="F782" s="95"/>
      <c r="G782" s="95"/>
      <c r="H782" s="93"/>
      <c r="I782" s="93"/>
      <c r="J782" s="93"/>
    </row>
    <row r="783" spans="1:10" s="65" customFormat="1" ht="14" x14ac:dyDescent="0.35">
      <c r="A783" s="145"/>
      <c r="B783" s="152"/>
      <c r="C783" s="93"/>
      <c r="D783" s="93"/>
      <c r="E783" s="95"/>
      <c r="F783" s="95"/>
      <c r="G783" s="95"/>
      <c r="H783" s="93"/>
      <c r="I783" s="93"/>
      <c r="J783" s="93"/>
    </row>
    <row r="784" spans="1:10" s="65" customFormat="1" ht="14" x14ac:dyDescent="0.35">
      <c r="A784" s="145"/>
      <c r="B784" s="152"/>
      <c r="C784" s="93"/>
      <c r="D784" s="93"/>
      <c r="E784" s="95"/>
      <c r="F784" s="95"/>
      <c r="G784" s="95"/>
      <c r="H784" s="93"/>
      <c r="I784" s="93"/>
      <c r="J784" s="93"/>
    </row>
    <row r="785" spans="1:10" s="65" customFormat="1" ht="14" x14ac:dyDescent="0.35">
      <c r="A785" s="145"/>
      <c r="B785" s="152"/>
      <c r="C785" s="93"/>
      <c r="D785" s="93"/>
      <c r="E785" s="95"/>
      <c r="F785" s="95"/>
      <c r="G785" s="95"/>
      <c r="H785" s="93"/>
      <c r="I785" s="93"/>
      <c r="J785" s="93"/>
    </row>
    <row r="786" spans="1:10" s="65" customFormat="1" ht="14" x14ac:dyDescent="0.35">
      <c r="A786" s="145"/>
      <c r="B786" s="152"/>
      <c r="C786" s="93"/>
      <c r="D786" s="93"/>
      <c r="E786" s="95"/>
      <c r="F786" s="95"/>
      <c r="G786" s="95"/>
      <c r="H786" s="93"/>
      <c r="I786" s="93"/>
      <c r="J786" s="93"/>
    </row>
    <row r="787" spans="1:10" s="65" customFormat="1" ht="14" x14ac:dyDescent="0.35">
      <c r="A787" s="145"/>
      <c r="B787" s="152"/>
      <c r="C787" s="93"/>
      <c r="D787" s="93"/>
      <c r="E787" s="95"/>
      <c r="F787" s="95"/>
      <c r="G787" s="95"/>
      <c r="H787" s="93"/>
      <c r="I787" s="93"/>
      <c r="J787" s="93"/>
    </row>
    <row r="788" spans="1:10" s="65" customFormat="1" ht="14" x14ac:dyDescent="0.35">
      <c r="A788" s="145"/>
      <c r="B788" s="152"/>
      <c r="C788" s="93"/>
      <c r="D788" s="93"/>
      <c r="E788" s="95"/>
      <c r="F788" s="95"/>
      <c r="G788" s="95"/>
      <c r="H788" s="93"/>
      <c r="I788" s="93"/>
      <c r="J788" s="93"/>
    </row>
    <row r="789" spans="1:10" s="65" customFormat="1" ht="14" x14ac:dyDescent="0.35">
      <c r="A789" s="145"/>
      <c r="B789" s="152"/>
      <c r="C789" s="93"/>
      <c r="D789" s="93"/>
      <c r="E789" s="95"/>
      <c r="F789" s="95"/>
      <c r="G789" s="95"/>
      <c r="H789" s="93"/>
      <c r="I789" s="93"/>
      <c r="J789" s="93"/>
    </row>
    <row r="790" spans="1:10" s="65" customFormat="1" ht="14" x14ac:dyDescent="0.35">
      <c r="A790" s="145"/>
      <c r="B790" s="152"/>
      <c r="C790" s="93"/>
      <c r="D790" s="93"/>
      <c r="E790" s="95"/>
      <c r="F790" s="95"/>
      <c r="G790" s="95"/>
      <c r="H790" s="93"/>
      <c r="I790" s="93"/>
      <c r="J790" s="93"/>
    </row>
    <row r="791" spans="1:10" s="65" customFormat="1" ht="14" x14ac:dyDescent="0.35">
      <c r="A791" s="145"/>
      <c r="B791" s="152"/>
      <c r="C791" s="93"/>
      <c r="D791" s="93"/>
      <c r="E791" s="95"/>
      <c r="F791" s="95"/>
      <c r="G791" s="95"/>
      <c r="H791" s="93"/>
      <c r="I791" s="93"/>
      <c r="J791" s="93"/>
    </row>
    <row r="792" spans="1:10" s="65" customFormat="1" ht="14" x14ac:dyDescent="0.35">
      <c r="A792" s="145"/>
      <c r="B792" s="152"/>
      <c r="C792" s="93"/>
      <c r="D792" s="93"/>
      <c r="E792" s="95"/>
      <c r="F792" s="95"/>
      <c r="G792" s="95"/>
      <c r="H792" s="93"/>
      <c r="I792" s="93"/>
      <c r="J792" s="93"/>
    </row>
    <row r="793" spans="1:10" s="65" customFormat="1" ht="14" x14ac:dyDescent="0.35">
      <c r="A793" s="145"/>
      <c r="B793" s="152"/>
      <c r="C793" s="93"/>
      <c r="D793" s="93"/>
      <c r="E793" s="95"/>
      <c r="F793" s="95"/>
      <c r="G793" s="95"/>
      <c r="H793" s="93"/>
      <c r="I793" s="93"/>
      <c r="J793" s="93"/>
    </row>
    <row r="794" spans="1:10" s="65" customFormat="1" ht="14" x14ac:dyDescent="0.35">
      <c r="A794" s="145"/>
      <c r="B794" s="152"/>
      <c r="C794" s="93"/>
      <c r="D794" s="93"/>
      <c r="E794" s="95"/>
      <c r="F794" s="95"/>
      <c r="G794" s="95"/>
      <c r="H794" s="93"/>
      <c r="I794" s="93"/>
      <c r="J794" s="93"/>
    </row>
    <row r="795" spans="1:10" s="65" customFormat="1" ht="14" x14ac:dyDescent="0.35">
      <c r="A795" s="145"/>
      <c r="B795" s="152"/>
      <c r="C795" s="93"/>
      <c r="D795" s="93"/>
      <c r="E795" s="95"/>
      <c r="F795" s="95"/>
      <c r="G795" s="95"/>
      <c r="H795" s="93"/>
      <c r="I795" s="93"/>
      <c r="J795" s="93"/>
    </row>
    <row r="796" spans="1:10" s="65" customFormat="1" ht="14" x14ac:dyDescent="0.35">
      <c r="A796" s="145"/>
      <c r="B796" s="152"/>
      <c r="C796" s="93"/>
      <c r="D796" s="93"/>
      <c r="E796" s="95"/>
      <c r="F796" s="95"/>
      <c r="G796" s="95"/>
      <c r="H796" s="93"/>
      <c r="I796" s="93"/>
      <c r="J796" s="93"/>
    </row>
    <row r="797" spans="1:10" s="65" customFormat="1" ht="14" x14ac:dyDescent="0.35">
      <c r="A797" s="145"/>
      <c r="B797" s="152"/>
      <c r="C797" s="93"/>
      <c r="D797" s="93"/>
      <c r="E797" s="95"/>
      <c r="F797" s="95"/>
      <c r="G797" s="95"/>
      <c r="H797" s="93"/>
      <c r="I797" s="93"/>
      <c r="J797" s="93"/>
    </row>
    <row r="798" spans="1:10" s="65" customFormat="1" ht="14" x14ac:dyDescent="0.35">
      <c r="A798" s="145"/>
      <c r="B798" s="152"/>
      <c r="C798" s="93"/>
      <c r="D798" s="93"/>
      <c r="E798" s="95"/>
      <c r="F798" s="95"/>
      <c r="G798" s="95"/>
      <c r="H798" s="93"/>
      <c r="I798" s="93"/>
      <c r="J798" s="93"/>
    </row>
    <row r="799" spans="1:10" s="65" customFormat="1" ht="14" x14ac:dyDescent="0.35">
      <c r="A799" s="145"/>
      <c r="B799" s="152"/>
      <c r="C799" s="93"/>
      <c r="D799" s="93"/>
      <c r="E799" s="95"/>
      <c r="F799" s="95"/>
      <c r="G799" s="95"/>
      <c r="H799" s="93"/>
      <c r="I799" s="93"/>
      <c r="J799" s="93"/>
    </row>
    <row r="800" spans="1:10" s="65" customFormat="1" ht="14" x14ac:dyDescent="0.35">
      <c r="A800" s="145"/>
      <c r="B800" s="152"/>
      <c r="C800" s="93"/>
      <c r="D800" s="93"/>
      <c r="E800" s="95"/>
      <c r="F800" s="95"/>
      <c r="G800" s="95"/>
      <c r="H800" s="93"/>
      <c r="I800" s="93"/>
      <c r="J800" s="93"/>
    </row>
    <row r="801" spans="1:10" s="65" customFormat="1" ht="14" x14ac:dyDescent="0.35">
      <c r="A801" s="145"/>
      <c r="B801" s="152"/>
      <c r="C801" s="93"/>
      <c r="D801" s="93"/>
      <c r="E801" s="95"/>
      <c r="F801" s="95"/>
      <c r="G801" s="95"/>
      <c r="H801" s="93"/>
      <c r="I801" s="93"/>
      <c r="J801" s="93"/>
    </row>
    <row r="802" spans="1:10" s="65" customFormat="1" ht="14" x14ac:dyDescent="0.35">
      <c r="A802" s="145"/>
      <c r="B802" s="152"/>
      <c r="C802" s="93"/>
      <c r="D802" s="93"/>
      <c r="E802" s="95"/>
      <c r="F802" s="95"/>
      <c r="G802" s="95"/>
      <c r="H802" s="93"/>
      <c r="I802" s="93"/>
      <c r="J802" s="93"/>
    </row>
    <row r="803" spans="1:10" s="65" customFormat="1" ht="14" x14ac:dyDescent="0.35">
      <c r="A803" s="145"/>
      <c r="B803" s="152"/>
      <c r="C803" s="93"/>
      <c r="D803" s="93"/>
      <c r="E803" s="95"/>
      <c r="F803" s="95"/>
      <c r="G803" s="95"/>
      <c r="H803" s="93"/>
      <c r="I803" s="93"/>
      <c r="J803" s="93"/>
    </row>
    <row r="804" spans="1:10" s="65" customFormat="1" ht="14" x14ac:dyDescent="0.35">
      <c r="A804" s="145"/>
      <c r="B804" s="152"/>
      <c r="C804" s="93"/>
      <c r="D804" s="93"/>
      <c r="E804" s="95"/>
      <c r="F804" s="95"/>
      <c r="G804" s="95"/>
      <c r="H804" s="93"/>
      <c r="I804" s="93"/>
      <c r="J804" s="93"/>
    </row>
    <row r="805" spans="1:10" s="65" customFormat="1" ht="14" x14ac:dyDescent="0.35">
      <c r="A805" s="145"/>
      <c r="B805" s="152"/>
      <c r="C805" s="93"/>
      <c r="D805" s="93"/>
      <c r="E805" s="95"/>
      <c r="F805" s="95"/>
      <c r="G805" s="95"/>
      <c r="H805" s="93"/>
      <c r="I805" s="93"/>
      <c r="J805" s="93"/>
    </row>
    <row r="806" spans="1:10" s="65" customFormat="1" ht="14" x14ac:dyDescent="0.35">
      <c r="A806" s="145"/>
      <c r="B806" s="152"/>
      <c r="C806" s="93"/>
      <c r="D806" s="93"/>
      <c r="E806" s="95"/>
      <c r="F806" s="95"/>
      <c r="G806" s="95"/>
      <c r="H806" s="93"/>
      <c r="I806" s="93"/>
      <c r="J806" s="93"/>
    </row>
    <row r="807" spans="1:10" s="65" customFormat="1" ht="14" x14ac:dyDescent="0.35">
      <c r="A807" s="145"/>
      <c r="B807" s="152"/>
      <c r="C807" s="93"/>
      <c r="D807" s="93"/>
      <c r="E807" s="95"/>
      <c r="F807" s="95"/>
      <c r="G807" s="95"/>
      <c r="H807" s="93"/>
      <c r="I807" s="93"/>
      <c r="J807" s="93"/>
    </row>
    <row r="808" spans="1:10" s="65" customFormat="1" ht="14" x14ac:dyDescent="0.35">
      <c r="A808" s="145"/>
      <c r="B808" s="152"/>
      <c r="C808" s="93"/>
      <c r="D808" s="93"/>
      <c r="E808" s="95"/>
      <c r="F808" s="95"/>
      <c r="G808" s="95"/>
      <c r="H808" s="93"/>
      <c r="I808" s="93"/>
      <c r="J808" s="93"/>
    </row>
    <row r="809" spans="1:10" s="65" customFormat="1" ht="14" x14ac:dyDescent="0.35">
      <c r="A809" s="145"/>
      <c r="B809" s="152"/>
      <c r="C809" s="93"/>
      <c r="D809" s="93"/>
      <c r="E809" s="95"/>
      <c r="F809" s="95"/>
      <c r="G809" s="95"/>
      <c r="H809" s="93"/>
      <c r="I809" s="93"/>
      <c r="J809" s="93"/>
    </row>
    <row r="810" spans="1:10" s="65" customFormat="1" ht="14" x14ac:dyDescent="0.35">
      <c r="A810" s="145"/>
      <c r="B810" s="152"/>
      <c r="C810" s="93"/>
      <c r="D810" s="93"/>
      <c r="E810" s="95"/>
      <c r="F810" s="95"/>
      <c r="G810" s="95"/>
      <c r="H810" s="93"/>
      <c r="I810" s="93"/>
      <c r="J810" s="93"/>
    </row>
    <row r="811" spans="1:10" s="65" customFormat="1" ht="14" x14ac:dyDescent="0.35">
      <c r="A811" s="145"/>
      <c r="B811" s="152"/>
      <c r="C811" s="93"/>
      <c r="D811" s="93"/>
      <c r="E811" s="95"/>
      <c r="F811" s="95"/>
      <c r="G811" s="95"/>
      <c r="H811" s="93"/>
      <c r="I811" s="93"/>
      <c r="J811" s="93"/>
    </row>
    <row r="812" spans="1:10" s="65" customFormat="1" ht="14" x14ac:dyDescent="0.35">
      <c r="A812" s="145"/>
      <c r="B812" s="152"/>
      <c r="C812" s="93"/>
      <c r="D812" s="93"/>
      <c r="E812" s="95"/>
      <c r="F812" s="95"/>
      <c r="G812" s="95"/>
      <c r="H812" s="93"/>
      <c r="I812" s="93"/>
      <c r="J812" s="93"/>
    </row>
    <row r="813" spans="1:10" s="65" customFormat="1" ht="14" x14ac:dyDescent="0.35">
      <c r="A813" s="145"/>
      <c r="B813" s="152"/>
      <c r="C813" s="93"/>
      <c r="D813" s="93"/>
      <c r="E813" s="95"/>
      <c r="F813" s="95"/>
      <c r="G813" s="95"/>
      <c r="H813" s="93"/>
      <c r="I813" s="93"/>
      <c r="J813" s="93"/>
    </row>
    <row r="814" spans="1:10" s="65" customFormat="1" ht="14" x14ac:dyDescent="0.35">
      <c r="A814" s="145"/>
      <c r="B814" s="152"/>
      <c r="C814" s="93"/>
      <c r="D814" s="93"/>
      <c r="E814" s="95"/>
      <c r="F814" s="95"/>
      <c r="G814" s="95"/>
      <c r="H814" s="93"/>
      <c r="I814" s="93"/>
      <c r="J814" s="93"/>
    </row>
    <row r="815" spans="1:10" s="65" customFormat="1" ht="14" x14ac:dyDescent="0.35">
      <c r="A815" s="145"/>
      <c r="B815" s="152"/>
      <c r="C815" s="93"/>
      <c r="D815" s="93"/>
      <c r="E815" s="95"/>
      <c r="F815" s="95"/>
      <c r="G815" s="95"/>
      <c r="H815" s="93"/>
      <c r="I815" s="93"/>
      <c r="J815" s="93"/>
    </row>
    <row r="816" spans="1:10" s="65" customFormat="1" ht="14" x14ac:dyDescent="0.35">
      <c r="A816" s="145"/>
      <c r="B816" s="152"/>
      <c r="C816" s="93"/>
      <c r="D816" s="93"/>
      <c r="E816" s="95"/>
      <c r="F816" s="95"/>
      <c r="G816" s="95"/>
      <c r="H816" s="93"/>
      <c r="I816" s="93"/>
      <c r="J816" s="93"/>
    </row>
    <row r="817" spans="1:10" s="65" customFormat="1" ht="14" x14ac:dyDescent="0.35">
      <c r="A817" s="145"/>
      <c r="B817" s="152"/>
      <c r="C817" s="93"/>
      <c r="D817" s="93"/>
      <c r="E817" s="95"/>
      <c r="F817" s="95"/>
      <c r="G817" s="95"/>
      <c r="H817" s="93"/>
      <c r="I817" s="93"/>
      <c r="J817" s="93"/>
    </row>
    <row r="818" spans="1:10" s="65" customFormat="1" ht="14" x14ac:dyDescent="0.35">
      <c r="A818" s="145"/>
      <c r="B818" s="152"/>
      <c r="C818" s="93"/>
      <c r="D818" s="93"/>
      <c r="E818" s="95"/>
      <c r="F818" s="95"/>
      <c r="G818" s="95"/>
      <c r="H818" s="93"/>
      <c r="I818" s="93"/>
      <c r="J818" s="93"/>
    </row>
    <row r="819" spans="1:10" s="65" customFormat="1" ht="14" x14ac:dyDescent="0.35">
      <c r="A819" s="145"/>
      <c r="B819" s="152"/>
      <c r="C819" s="93"/>
      <c r="D819" s="93"/>
      <c r="E819" s="95"/>
      <c r="F819" s="95"/>
      <c r="G819" s="95"/>
      <c r="H819" s="93"/>
      <c r="I819" s="93"/>
      <c r="J819" s="93"/>
    </row>
    <row r="820" spans="1:10" s="65" customFormat="1" ht="14" x14ac:dyDescent="0.35">
      <c r="A820" s="145"/>
      <c r="B820" s="152"/>
      <c r="C820" s="93"/>
      <c r="D820" s="93"/>
      <c r="E820" s="95"/>
      <c r="F820" s="95"/>
      <c r="G820" s="95"/>
      <c r="H820" s="93"/>
      <c r="I820" s="93"/>
      <c r="J820" s="93"/>
    </row>
    <row r="821" spans="1:10" s="65" customFormat="1" ht="14" x14ac:dyDescent="0.35">
      <c r="A821" s="145"/>
      <c r="B821" s="152"/>
      <c r="C821" s="93"/>
      <c r="D821" s="93"/>
      <c r="E821" s="95"/>
      <c r="F821" s="95"/>
      <c r="G821" s="95"/>
      <c r="H821" s="93"/>
      <c r="I821" s="93"/>
      <c r="J821" s="93"/>
    </row>
    <row r="822" spans="1:10" s="65" customFormat="1" ht="14" x14ac:dyDescent="0.35">
      <c r="A822" s="145"/>
      <c r="B822" s="152"/>
      <c r="C822" s="93"/>
      <c r="D822" s="93"/>
      <c r="E822" s="95"/>
      <c r="F822" s="95"/>
      <c r="G822" s="95"/>
      <c r="H822" s="93"/>
      <c r="I822" s="93"/>
      <c r="J822" s="93"/>
    </row>
    <row r="823" spans="1:10" s="65" customFormat="1" ht="14" x14ac:dyDescent="0.35">
      <c r="A823" s="145"/>
      <c r="B823" s="152"/>
      <c r="C823" s="93"/>
      <c r="D823" s="93"/>
      <c r="E823" s="95"/>
      <c r="F823" s="95"/>
      <c r="G823" s="95"/>
      <c r="H823" s="93"/>
      <c r="I823" s="93"/>
      <c r="J823" s="93"/>
    </row>
    <row r="824" spans="1:10" s="65" customFormat="1" ht="14" x14ac:dyDescent="0.35">
      <c r="A824" s="145"/>
      <c r="B824" s="152"/>
      <c r="C824" s="93"/>
      <c r="D824" s="93"/>
      <c r="E824" s="95"/>
      <c r="F824" s="95"/>
      <c r="G824" s="95"/>
      <c r="H824" s="93"/>
      <c r="I824" s="93"/>
      <c r="J824" s="93"/>
    </row>
    <row r="825" spans="1:10" s="65" customFormat="1" ht="14" x14ac:dyDescent="0.35">
      <c r="A825" s="145"/>
      <c r="B825" s="152"/>
      <c r="C825" s="93"/>
      <c r="D825" s="93"/>
      <c r="E825" s="95"/>
      <c r="F825" s="95"/>
      <c r="G825" s="95"/>
      <c r="H825" s="93"/>
      <c r="I825" s="93"/>
      <c r="J825" s="93"/>
    </row>
    <row r="826" spans="1:10" s="65" customFormat="1" ht="14" x14ac:dyDescent="0.35">
      <c r="A826" s="145"/>
      <c r="B826" s="152"/>
      <c r="C826" s="93"/>
      <c r="D826" s="93"/>
      <c r="E826" s="95"/>
      <c r="F826" s="95"/>
      <c r="G826" s="95"/>
      <c r="H826" s="93"/>
      <c r="I826" s="93"/>
      <c r="J826" s="93"/>
    </row>
    <row r="827" spans="1:10" s="65" customFormat="1" ht="14" x14ac:dyDescent="0.35">
      <c r="A827" s="145"/>
      <c r="B827" s="152"/>
      <c r="C827" s="93"/>
      <c r="D827" s="93"/>
      <c r="E827" s="95"/>
      <c r="F827" s="95"/>
      <c r="G827" s="95"/>
      <c r="H827" s="93"/>
      <c r="I827" s="93"/>
      <c r="J827" s="93"/>
    </row>
    <row r="828" spans="1:10" s="65" customFormat="1" ht="14" x14ac:dyDescent="0.35">
      <c r="A828" s="145"/>
      <c r="B828" s="152"/>
      <c r="C828" s="93"/>
      <c r="D828" s="93"/>
      <c r="E828" s="95"/>
      <c r="F828" s="95"/>
      <c r="G828" s="95"/>
      <c r="H828" s="93"/>
      <c r="I828" s="93"/>
      <c r="J828" s="93"/>
    </row>
    <row r="829" spans="1:10" s="65" customFormat="1" ht="14" x14ac:dyDescent="0.35">
      <c r="A829" s="145"/>
      <c r="B829" s="152"/>
      <c r="C829" s="93"/>
      <c r="D829" s="93"/>
      <c r="E829" s="95"/>
      <c r="F829" s="95"/>
      <c r="G829" s="95"/>
      <c r="H829" s="93"/>
      <c r="I829" s="93"/>
      <c r="J829" s="93"/>
    </row>
    <row r="830" spans="1:10" s="65" customFormat="1" ht="14" x14ac:dyDescent="0.35">
      <c r="A830" s="145"/>
      <c r="B830" s="152"/>
      <c r="C830" s="93"/>
      <c r="D830" s="93"/>
      <c r="E830" s="95"/>
      <c r="F830" s="95"/>
      <c r="G830" s="95"/>
      <c r="H830" s="93"/>
      <c r="I830" s="93"/>
      <c r="J830" s="93"/>
    </row>
    <row r="831" spans="1:10" s="65" customFormat="1" ht="14" x14ac:dyDescent="0.35">
      <c r="A831" s="145"/>
      <c r="B831" s="152"/>
      <c r="C831" s="93"/>
      <c r="D831" s="93"/>
      <c r="E831" s="95"/>
      <c r="F831" s="95"/>
      <c r="G831" s="95"/>
      <c r="H831" s="93"/>
      <c r="I831" s="93"/>
      <c r="J831" s="93"/>
    </row>
    <row r="832" spans="1:10" s="65" customFormat="1" ht="14" x14ac:dyDescent="0.35">
      <c r="A832" s="145"/>
      <c r="B832" s="152"/>
      <c r="C832" s="93"/>
      <c r="D832" s="93"/>
      <c r="E832" s="95"/>
      <c r="F832" s="95"/>
      <c r="G832" s="95"/>
      <c r="H832" s="93"/>
      <c r="I832" s="93"/>
      <c r="J832" s="93"/>
    </row>
    <row r="833" spans="1:10" s="65" customFormat="1" ht="14" x14ac:dyDescent="0.35">
      <c r="A833" s="145"/>
      <c r="B833" s="152"/>
      <c r="C833" s="93"/>
      <c r="D833" s="93"/>
      <c r="E833" s="95"/>
      <c r="F833" s="95"/>
      <c r="G833" s="95"/>
      <c r="H833" s="93"/>
      <c r="I833" s="93"/>
      <c r="J833" s="93"/>
    </row>
    <row r="834" spans="1:10" s="65" customFormat="1" ht="14" x14ac:dyDescent="0.35">
      <c r="A834" s="145"/>
      <c r="B834" s="152"/>
      <c r="C834" s="93"/>
      <c r="D834" s="93"/>
      <c r="E834" s="95"/>
      <c r="F834" s="95"/>
      <c r="G834" s="95"/>
      <c r="H834" s="93"/>
      <c r="I834" s="93"/>
      <c r="J834" s="93"/>
    </row>
    <row r="835" spans="1:10" s="65" customFormat="1" ht="14" x14ac:dyDescent="0.35">
      <c r="A835" s="145"/>
      <c r="B835" s="152"/>
      <c r="C835" s="93"/>
      <c r="D835" s="93"/>
      <c r="E835" s="95"/>
      <c r="F835" s="95"/>
      <c r="G835" s="95"/>
      <c r="H835" s="93"/>
      <c r="I835" s="93"/>
      <c r="J835" s="93"/>
    </row>
    <row r="836" spans="1:10" s="65" customFormat="1" ht="14" x14ac:dyDescent="0.35">
      <c r="A836" s="145"/>
      <c r="B836" s="152"/>
      <c r="C836" s="93"/>
      <c r="D836" s="93"/>
      <c r="E836" s="95"/>
      <c r="F836" s="95"/>
      <c r="G836" s="95"/>
      <c r="H836" s="93"/>
      <c r="I836" s="93"/>
      <c r="J836" s="93"/>
    </row>
    <row r="837" spans="1:10" s="65" customFormat="1" ht="14" x14ac:dyDescent="0.35">
      <c r="A837" s="145"/>
      <c r="B837" s="152"/>
      <c r="C837" s="93"/>
      <c r="D837" s="93"/>
      <c r="E837" s="95"/>
      <c r="F837" s="95"/>
      <c r="G837" s="95"/>
      <c r="H837" s="93"/>
      <c r="I837" s="93"/>
      <c r="J837" s="93"/>
    </row>
    <row r="838" spans="1:10" s="65" customFormat="1" ht="14" x14ac:dyDescent="0.35">
      <c r="A838" s="145"/>
      <c r="B838" s="152"/>
      <c r="C838" s="93"/>
      <c r="D838" s="93"/>
      <c r="E838" s="95"/>
      <c r="F838" s="95"/>
      <c r="G838" s="95"/>
      <c r="H838" s="93"/>
      <c r="I838" s="93"/>
      <c r="J838" s="93"/>
    </row>
    <row r="839" spans="1:10" s="65" customFormat="1" ht="14" x14ac:dyDescent="0.35">
      <c r="A839" s="145"/>
      <c r="B839" s="152"/>
      <c r="C839" s="93"/>
      <c r="D839" s="93"/>
      <c r="E839" s="95"/>
      <c r="F839" s="95"/>
      <c r="G839" s="95"/>
      <c r="H839" s="93"/>
      <c r="I839" s="93"/>
      <c r="J839" s="93"/>
    </row>
    <row r="840" spans="1:10" s="65" customFormat="1" ht="14" x14ac:dyDescent="0.35">
      <c r="A840" s="145"/>
      <c r="B840" s="152"/>
      <c r="C840" s="93"/>
      <c r="D840" s="93"/>
      <c r="E840" s="95"/>
      <c r="F840" s="95"/>
      <c r="G840" s="95"/>
      <c r="H840" s="93"/>
      <c r="I840" s="93"/>
      <c r="J840" s="93"/>
    </row>
    <row r="841" spans="1:10" s="65" customFormat="1" ht="14" x14ac:dyDescent="0.35">
      <c r="A841" s="145"/>
      <c r="B841" s="152"/>
      <c r="C841" s="93"/>
      <c r="D841" s="93"/>
      <c r="E841" s="95"/>
      <c r="F841" s="95"/>
      <c r="G841" s="95"/>
      <c r="H841" s="93"/>
      <c r="I841" s="93"/>
      <c r="J841" s="93"/>
    </row>
    <row r="842" spans="1:10" s="65" customFormat="1" ht="14" x14ac:dyDescent="0.35">
      <c r="A842" s="145"/>
      <c r="B842" s="152"/>
      <c r="C842" s="93"/>
      <c r="D842" s="93"/>
      <c r="E842" s="95"/>
      <c r="F842" s="95"/>
      <c r="G842" s="95"/>
      <c r="H842" s="93"/>
      <c r="I842" s="93"/>
      <c r="J842" s="93"/>
    </row>
    <row r="843" spans="1:10" s="65" customFormat="1" ht="14" x14ac:dyDescent="0.35">
      <c r="A843" s="145"/>
      <c r="B843" s="152"/>
      <c r="C843" s="93"/>
      <c r="D843" s="93"/>
      <c r="E843" s="95"/>
      <c r="F843" s="95"/>
      <c r="G843" s="95"/>
      <c r="H843" s="93"/>
      <c r="I843" s="93"/>
      <c r="J843" s="93"/>
    </row>
    <row r="844" spans="1:10" s="65" customFormat="1" ht="14" x14ac:dyDescent="0.35">
      <c r="A844" s="145"/>
      <c r="B844" s="152"/>
      <c r="C844" s="93"/>
      <c r="D844" s="93"/>
      <c r="E844" s="95"/>
      <c r="F844" s="95"/>
      <c r="G844" s="95"/>
      <c r="H844" s="93"/>
      <c r="I844" s="93"/>
      <c r="J844" s="93"/>
    </row>
    <row r="845" spans="1:10" s="65" customFormat="1" ht="14" x14ac:dyDescent="0.35">
      <c r="A845" s="145"/>
      <c r="B845" s="152"/>
      <c r="C845" s="93"/>
      <c r="D845" s="93"/>
      <c r="E845" s="95"/>
      <c r="F845" s="95"/>
      <c r="G845" s="95"/>
      <c r="H845" s="93"/>
      <c r="I845" s="93"/>
      <c r="J845" s="93"/>
    </row>
    <row r="846" spans="1:10" s="65" customFormat="1" ht="14" x14ac:dyDescent="0.35">
      <c r="A846" s="145"/>
      <c r="B846" s="152"/>
      <c r="C846" s="93"/>
      <c r="D846" s="93"/>
      <c r="E846" s="95"/>
      <c r="F846" s="95"/>
      <c r="G846" s="95"/>
      <c r="H846" s="93"/>
      <c r="I846" s="93"/>
      <c r="J846" s="93"/>
    </row>
    <row r="847" spans="1:10" s="65" customFormat="1" ht="14" x14ac:dyDescent="0.35">
      <c r="A847" s="145"/>
      <c r="B847" s="152"/>
      <c r="C847" s="93"/>
      <c r="D847" s="93"/>
      <c r="E847" s="95"/>
      <c r="F847" s="95"/>
      <c r="G847" s="95"/>
      <c r="H847" s="93"/>
      <c r="I847" s="93"/>
      <c r="J847" s="93"/>
    </row>
    <row r="848" spans="1:10" s="65" customFormat="1" ht="14" x14ac:dyDescent="0.35">
      <c r="A848" s="145"/>
      <c r="B848" s="152"/>
      <c r="C848" s="93"/>
      <c r="D848" s="93"/>
      <c r="E848" s="95"/>
      <c r="F848" s="95"/>
      <c r="G848" s="95"/>
      <c r="H848" s="93"/>
      <c r="I848" s="93"/>
      <c r="J848" s="93"/>
    </row>
    <row r="849" spans="1:10" s="65" customFormat="1" ht="14" x14ac:dyDescent="0.35">
      <c r="A849" s="145"/>
      <c r="B849" s="152"/>
      <c r="C849" s="93"/>
      <c r="D849" s="93"/>
      <c r="E849" s="95"/>
      <c r="F849" s="95"/>
      <c r="G849" s="95"/>
      <c r="H849" s="93"/>
      <c r="I849" s="93"/>
      <c r="J849" s="93"/>
    </row>
    <row r="850" spans="1:10" s="65" customFormat="1" ht="14" x14ac:dyDescent="0.35">
      <c r="A850" s="145"/>
      <c r="B850" s="152"/>
      <c r="C850" s="93"/>
      <c r="D850" s="93"/>
      <c r="E850" s="95"/>
      <c r="F850" s="95"/>
      <c r="G850" s="95"/>
      <c r="H850" s="93"/>
      <c r="I850" s="93"/>
      <c r="J850" s="93"/>
    </row>
    <row r="851" spans="1:10" s="65" customFormat="1" ht="14" x14ac:dyDescent="0.35">
      <c r="A851" s="145"/>
      <c r="B851" s="152"/>
      <c r="C851" s="93"/>
      <c r="D851" s="93"/>
      <c r="E851" s="95"/>
      <c r="F851" s="95"/>
      <c r="G851" s="95"/>
      <c r="H851" s="93"/>
      <c r="I851" s="93"/>
      <c r="J851" s="93"/>
    </row>
    <row r="852" spans="1:10" s="65" customFormat="1" ht="14" x14ac:dyDescent="0.35">
      <c r="A852" s="145"/>
      <c r="B852" s="152"/>
      <c r="C852" s="93"/>
      <c r="D852" s="93"/>
      <c r="E852" s="95"/>
      <c r="F852" s="95"/>
      <c r="G852" s="95"/>
      <c r="H852" s="93"/>
      <c r="I852" s="93"/>
      <c r="J852" s="93"/>
    </row>
    <row r="853" spans="1:10" s="65" customFormat="1" ht="14" x14ac:dyDescent="0.35">
      <c r="A853" s="145"/>
      <c r="B853" s="152"/>
      <c r="C853" s="93"/>
      <c r="D853" s="93"/>
      <c r="E853" s="95"/>
      <c r="F853" s="95"/>
      <c r="G853" s="95"/>
      <c r="H853" s="93"/>
      <c r="I853" s="93"/>
      <c r="J853" s="93"/>
    </row>
    <row r="854" spans="1:10" s="65" customFormat="1" ht="14" x14ac:dyDescent="0.35">
      <c r="A854" s="145"/>
      <c r="B854" s="152"/>
      <c r="C854" s="93"/>
      <c r="D854" s="93"/>
      <c r="E854" s="95"/>
      <c r="F854" s="95"/>
      <c r="G854" s="95"/>
      <c r="H854" s="93"/>
      <c r="I854" s="93"/>
      <c r="J854" s="93"/>
    </row>
    <row r="855" spans="1:10" s="65" customFormat="1" ht="14" x14ac:dyDescent="0.35">
      <c r="A855" s="145"/>
      <c r="B855" s="152"/>
      <c r="C855" s="93"/>
      <c r="D855" s="93"/>
      <c r="E855" s="95"/>
      <c r="F855" s="95"/>
      <c r="G855" s="95"/>
      <c r="H855" s="93"/>
      <c r="I855" s="93"/>
      <c r="J855" s="93"/>
    </row>
    <row r="856" spans="1:10" s="65" customFormat="1" ht="14" x14ac:dyDescent="0.35">
      <c r="A856" s="145"/>
      <c r="B856" s="152"/>
      <c r="C856" s="93"/>
      <c r="D856" s="93"/>
      <c r="E856" s="95"/>
      <c r="F856" s="95"/>
      <c r="G856" s="95"/>
      <c r="H856" s="93"/>
      <c r="I856" s="93"/>
      <c r="J856" s="93"/>
    </row>
    <row r="857" spans="1:10" s="65" customFormat="1" ht="14" x14ac:dyDescent="0.35">
      <c r="A857" s="145"/>
      <c r="B857" s="152"/>
      <c r="C857" s="93"/>
      <c r="D857" s="93"/>
      <c r="E857" s="95"/>
      <c r="F857" s="95"/>
      <c r="G857" s="95"/>
      <c r="H857" s="93"/>
      <c r="I857" s="93"/>
      <c r="J857" s="93"/>
    </row>
    <row r="858" spans="1:10" s="65" customFormat="1" ht="14" x14ac:dyDescent="0.35">
      <c r="A858" s="145"/>
      <c r="B858" s="152"/>
      <c r="C858" s="93"/>
      <c r="D858" s="93"/>
      <c r="E858" s="95"/>
      <c r="F858" s="95"/>
      <c r="G858" s="95"/>
      <c r="H858" s="93"/>
      <c r="I858" s="93"/>
      <c r="J858" s="93"/>
    </row>
    <row r="859" spans="1:10" s="65" customFormat="1" ht="14" x14ac:dyDescent="0.35">
      <c r="A859" s="145"/>
      <c r="B859" s="152"/>
      <c r="C859" s="93"/>
      <c r="D859" s="93"/>
      <c r="E859" s="95"/>
      <c r="F859" s="95"/>
      <c r="G859" s="95"/>
      <c r="H859" s="93"/>
      <c r="I859" s="93"/>
      <c r="J859" s="93"/>
    </row>
    <row r="860" spans="1:10" s="65" customFormat="1" ht="14" x14ac:dyDescent="0.35">
      <c r="A860" s="145"/>
      <c r="B860" s="152"/>
      <c r="C860" s="93"/>
      <c r="D860" s="93"/>
      <c r="E860" s="95"/>
      <c r="F860" s="95"/>
      <c r="G860" s="95"/>
      <c r="H860" s="93"/>
      <c r="I860" s="93"/>
      <c r="J860" s="93"/>
    </row>
    <row r="861" spans="1:10" s="65" customFormat="1" ht="14" x14ac:dyDescent="0.35">
      <c r="A861" s="145"/>
      <c r="B861" s="152"/>
      <c r="C861" s="93"/>
      <c r="D861" s="93"/>
      <c r="E861" s="95"/>
      <c r="F861" s="95"/>
      <c r="G861" s="95"/>
      <c r="H861" s="93"/>
      <c r="I861" s="93"/>
      <c r="J861" s="93"/>
    </row>
    <row r="862" spans="1:10" s="65" customFormat="1" ht="14" x14ac:dyDescent="0.35">
      <c r="A862" s="145"/>
      <c r="B862" s="152"/>
      <c r="C862" s="93"/>
      <c r="D862" s="93"/>
      <c r="E862" s="95"/>
      <c r="F862" s="95"/>
      <c r="G862" s="95"/>
      <c r="H862" s="93"/>
      <c r="I862" s="93"/>
      <c r="J862" s="93"/>
    </row>
    <row r="863" spans="1:10" s="65" customFormat="1" ht="14" x14ac:dyDescent="0.35">
      <c r="A863" s="145"/>
      <c r="B863" s="152"/>
      <c r="C863" s="93"/>
      <c r="D863" s="93"/>
      <c r="E863" s="95"/>
      <c r="F863" s="95"/>
      <c r="G863" s="95"/>
      <c r="H863" s="93"/>
      <c r="I863" s="93"/>
      <c r="J863" s="93"/>
    </row>
    <row r="864" spans="1:10" s="65" customFormat="1" ht="14" x14ac:dyDescent="0.35">
      <c r="A864" s="145"/>
      <c r="B864" s="152"/>
      <c r="C864" s="93"/>
      <c r="D864" s="93"/>
      <c r="E864" s="95"/>
      <c r="F864" s="95"/>
      <c r="G864" s="95"/>
      <c r="H864" s="93"/>
      <c r="I864" s="93"/>
      <c r="J864" s="93"/>
    </row>
    <row r="865" spans="1:10" s="65" customFormat="1" ht="14" x14ac:dyDescent="0.35">
      <c r="A865" s="145"/>
      <c r="B865" s="152"/>
      <c r="C865" s="93"/>
      <c r="D865" s="93"/>
      <c r="E865" s="95"/>
      <c r="F865" s="95"/>
      <c r="G865" s="95"/>
      <c r="H865" s="93"/>
      <c r="I865" s="93"/>
      <c r="J865" s="93"/>
    </row>
    <row r="866" spans="1:10" s="65" customFormat="1" ht="14" x14ac:dyDescent="0.35">
      <c r="A866" s="145"/>
      <c r="B866" s="152"/>
      <c r="C866" s="93"/>
      <c r="D866" s="93"/>
      <c r="E866" s="95"/>
      <c r="F866" s="95"/>
      <c r="G866" s="95"/>
      <c r="H866" s="93"/>
      <c r="I866" s="93"/>
      <c r="J866" s="93"/>
    </row>
    <row r="867" spans="1:10" s="65" customFormat="1" ht="14" x14ac:dyDescent="0.35">
      <c r="A867" s="145"/>
      <c r="B867" s="152"/>
      <c r="C867" s="93"/>
      <c r="D867" s="93"/>
      <c r="E867" s="95"/>
      <c r="F867" s="95"/>
      <c r="G867" s="95"/>
      <c r="H867" s="93"/>
      <c r="I867" s="93"/>
      <c r="J867" s="93"/>
    </row>
    <row r="868" spans="1:10" s="65" customFormat="1" ht="14" x14ac:dyDescent="0.35">
      <c r="A868" s="145"/>
      <c r="B868" s="152"/>
      <c r="C868" s="93"/>
      <c r="D868" s="93"/>
      <c r="E868" s="95"/>
      <c r="F868" s="95"/>
      <c r="G868" s="95"/>
      <c r="H868" s="93"/>
      <c r="I868" s="93"/>
      <c r="J868" s="93"/>
    </row>
    <row r="869" spans="1:10" s="65" customFormat="1" ht="14" x14ac:dyDescent="0.35">
      <c r="A869" s="145"/>
      <c r="B869" s="152"/>
      <c r="C869" s="93"/>
      <c r="D869" s="93"/>
      <c r="E869" s="95"/>
      <c r="F869" s="95"/>
      <c r="G869" s="95"/>
      <c r="H869" s="93"/>
      <c r="I869" s="93"/>
      <c r="J869" s="93"/>
    </row>
    <row r="870" spans="1:10" s="65" customFormat="1" ht="14" x14ac:dyDescent="0.35">
      <c r="A870" s="145"/>
      <c r="B870" s="152"/>
      <c r="C870" s="93"/>
      <c r="D870" s="93"/>
      <c r="E870" s="95"/>
      <c r="F870" s="95"/>
      <c r="G870" s="95"/>
      <c r="H870" s="93"/>
      <c r="I870" s="93"/>
      <c r="J870" s="93"/>
    </row>
    <row r="871" spans="1:10" s="65" customFormat="1" ht="14" x14ac:dyDescent="0.35">
      <c r="A871" s="145"/>
      <c r="B871" s="152"/>
      <c r="C871" s="93"/>
      <c r="D871" s="93"/>
      <c r="E871" s="95"/>
      <c r="F871" s="95"/>
      <c r="G871" s="95"/>
      <c r="H871" s="93"/>
      <c r="I871" s="93"/>
      <c r="J871" s="93"/>
    </row>
    <row r="872" spans="1:10" s="65" customFormat="1" ht="14" x14ac:dyDescent="0.35">
      <c r="A872" s="145"/>
      <c r="B872" s="152"/>
      <c r="C872" s="93"/>
      <c r="D872" s="93"/>
      <c r="E872" s="95"/>
      <c r="F872" s="95"/>
      <c r="G872" s="95"/>
      <c r="H872" s="93"/>
      <c r="I872" s="93"/>
      <c r="J872" s="93"/>
    </row>
    <row r="873" spans="1:10" s="65" customFormat="1" ht="14" x14ac:dyDescent="0.35">
      <c r="A873" s="145"/>
      <c r="B873" s="152"/>
      <c r="C873" s="93"/>
      <c r="D873" s="93"/>
      <c r="E873" s="95"/>
      <c r="F873" s="95"/>
      <c r="G873" s="95"/>
      <c r="H873" s="93"/>
      <c r="I873" s="93"/>
      <c r="J873" s="93"/>
    </row>
    <row r="874" spans="1:10" s="65" customFormat="1" ht="14" x14ac:dyDescent="0.35">
      <c r="A874" s="145"/>
      <c r="B874" s="152"/>
      <c r="C874" s="93"/>
      <c r="D874" s="93"/>
      <c r="E874" s="95"/>
      <c r="F874" s="95"/>
      <c r="G874" s="95"/>
      <c r="H874" s="93"/>
      <c r="I874" s="93"/>
      <c r="J874" s="93"/>
    </row>
    <row r="875" spans="1:10" s="65" customFormat="1" ht="14" x14ac:dyDescent="0.35">
      <c r="A875" s="145"/>
      <c r="B875" s="152"/>
      <c r="C875" s="93"/>
      <c r="D875" s="93"/>
      <c r="E875" s="95"/>
      <c r="F875" s="95"/>
      <c r="G875" s="95"/>
      <c r="H875" s="93"/>
      <c r="I875" s="93"/>
      <c r="J875" s="93"/>
    </row>
    <row r="876" spans="1:10" s="65" customFormat="1" ht="14" x14ac:dyDescent="0.35">
      <c r="A876" s="145"/>
      <c r="B876" s="152"/>
      <c r="C876" s="93"/>
      <c r="D876" s="93"/>
      <c r="E876" s="95"/>
      <c r="F876" s="95"/>
      <c r="G876" s="95"/>
      <c r="H876" s="93"/>
      <c r="I876" s="93"/>
      <c r="J876" s="93"/>
    </row>
    <row r="877" spans="1:10" s="65" customFormat="1" ht="14" x14ac:dyDescent="0.35">
      <c r="A877" s="145"/>
      <c r="B877" s="152"/>
      <c r="C877" s="93"/>
      <c r="D877" s="93"/>
      <c r="E877" s="95"/>
      <c r="F877" s="95"/>
      <c r="G877" s="95"/>
      <c r="H877" s="93"/>
      <c r="I877" s="93"/>
      <c r="J877" s="93"/>
    </row>
    <row r="878" spans="1:10" s="65" customFormat="1" ht="14" x14ac:dyDescent="0.35">
      <c r="A878" s="145"/>
      <c r="B878" s="152"/>
      <c r="C878" s="93"/>
      <c r="D878" s="93"/>
      <c r="E878" s="95"/>
      <c r="F878" s="95"/>
      <c r="G878" s="95"/>
      <c r="H878" s="93"/>
      <c r="I878" s="93"/>
      <c r="J878" s="93"/>
    </row>
    <row r="879" spans="1:10" s="65" customFormat="1" ht="14" x14ac:dyDescent="0.35">
      <c r="A879" s="145"/>
      <c r="B879" s="152"/>
      <c r="C879" s="93"/>
      <c r="D879" s="93"/>
      <c r="E879" s="95"/>
      <c r="F879" s="95"/>
      <c r="G879" s="95"/>
      <c r="H879" s="93"/>
      <c r="I879" s="93"/>
      <c r="J879" s="93"/>
    </row>
    <row r="880" spans="1:10" s="65" customFormat="1" ht="14" x14ac:dyDescent="0.35">
      <c r="A880" s="145"/>
      <c r="B880" s="152"/>
      <c r="C880" s="93"/>
      <c r="D880" s="93"/>
      <c r="E880" s="95"/>
      <c r="F880" s="95"/>
      <c r="G880" s="95"/>
      <c r="H880" s="93"/>
      <c r="I880" s="93"/>
      <c r="J880" s="93"/>
    </row>
    <row r="881" spans="1:10" s="65" customFormat="1" ht="14" x14ac:dyDescent="0.35">
      <c r="A881" s="145"/>
      <c r="B881" s="152"/>
      <c r="C881" s="93"/>
      <c r="D881" s="93"/>
      <c r="E881" s="95"/>
      <c r="F881" s="95"/>
      <c r="G881" s="95"/>
      <c r="H881" s="93"/>
      <c r="I881" s="93"/>
      <c r="J881" s="93"/>
    </row>
    <row r="882" spans="1:10" s="65" customFormat="1" ht="14" x14ac:dyDescent="0.35">
      <c r="A882" s="145"/>
      <c r="B882" s="152"/>
      <c r="C882" s="93"/>
      <c r="D882" s="93"/>
      <c r="E882" s="95"/>
      <c r="F882" s="95"/>
      <c r="G882" s="95"/>
      <c r="H882" s="93"/>
      <c r="I882" s="93"/>
      <c r="J882" s="93"/>
    </row>
    <row r="883" spans="1:10" s="65" customFormat="1" ht="14" x14ac:dyDescent="0.35">
      <c r="A883" s="145"/>
      <c r="B883" s="152"/>
      <c r="C883" s="93"/>
      <c r="D883" s="93"/>
      <c r="E883" s="95"/>
      <c r="F883" s="95"/>
      <c r="G883" s="95"/>
      <c r="H883" s="93"/>
      <c r="I883" s="93"/>
      <c r="J883" s="93"/>
    </row>
    <row r="884" spans="1:10" s="65" customFormat="1" ht="14" x14ac:dyDescent="0.35">
      <c r="A884" s="145"/>
      <c r="B884" s="152"/>
      <c r="C884" s="93"/>
      <c r="D884" s="93"/>
      <c r="E884" s="95"/>
      <c r="F884" s="95"/>
      <c r="G884" s="95"/>
      <c r="H884" s="93"/>
      <c r="I884" s="93"/>
      <c r="J884" s="93"/>
    </row>
    <row r="885" spans="1:10" s="65" customFormat="1" ht="14" x14ac:dyDescent="0.35">
      <c r="A885" s="145"/>
      <c r="B885" s="152"/>
      <c r="C885" s="93"/>
      <c r="D885" s="93"/>
      <c r="E885" s="95"/>
      <c r="F885" s="95"/>
      <c r="G885" s="95"/>
      <c r="H885" s="93"/>
      <c r="I885" s="93"/>
      <c r="J885" s="93"/>
    </row>
    <row r="886" spans="1:10" s="65" customFormat="1" ht="14" x14ac:dyDescent="0.35">
      <c r="A886" s="145"/>
      <c r="B886" s="152"/>
      <c r="C886" s="93"/>
      <c r="D886" s="93"/>
      <c r="E886" s="95"/>
      <c r="F886" s="95"/>
      <c r="G886" s="95"/>
      <c r="H886" s="93"/>
      <c r="I886" s="93"/>
      <c r="J886" s="93"/>
    </row>
    <row r="887" spans="1:10" s="65" customFormat="1" ht="14" x14ac:dyDescent="0.35">
      <c r="A887" s="145"/>
      <c r="B887" s="152"/>
      <c r="C887" s="93"/>
      <c r="D887" s="93"/>
      <c r="E887" s="95"/>
      <c r="F887" s="95"/>
      <c r="G887" s="95"/>
      <c r="H887" s="93"/>
      <c r="I887" s="93"/>
      <c r="J887" s="93"/>
    </row>
    <row r="888" spans="1:10" s="65" customFormat="1" ht="14" x14ac:dyDescent="0.35">
      <c r="A888" s="145"/>
      <c r="B888" s="152"/>
      <c r="C888" s="93"/>
      <c r="D888" s="93"/>
      <c r="E888" s="95"/>
      <c r="F888" s="95"/>
      <c r="G888" s="95"/>
      <c r="H888" s="93"/>
      <c r="I888" s="93"/>
      <c r="J888" s="93"/>
    </row>
    <row r="889" spans="1:10" s="65" customFormat="1" ht="14" x14ac:dyDescent="0.35">
      <c r="A889" s="145"/>
      <c r="B889" s="152"/>
      <c r="C889" s="93"/>
      <c r="D889" s="93"/>
      <c r="E889" s="95"/>
      <c r="F889" s="95"/>
      <c r="G889" s="95"/>
      <c r="H889" s="93"/>
      <c r="I889" s="93"/>
      <c r="J889" s="93"/>
    </row>
    <row r="890" spans="1:10" s="65" customFormat="1" ht="14" x14ac:dyDescent="0.35">
      <c r="A890" s="145"/>
      <c r="B890" s="152"/>
      <c r="C890" s="93"/>
      <c r="D890" s="93"/>
      <c r="E890" s="95"/>
      <c r="F890" s="95"/>
      <c r="G890" s="95"/>
      <c r="H890" s="93"/>
      <c r="I890" s="93"/>
      <c r="J890" s="93"/>
    </row>
    <row r="891" spans="1:10" s="65" customFormat="1" ht="14" x14ac:dyDescent="0.35">
      <c r="A891" s="145"/>
      <c r="B891" s="152"/>
      <c r="C891" s="93"/>
      <c r="D891" s="93"/>
      <c r="E891" s="95"/>
      <c r="F891" s="95"/>
      <c r="G891" s="95"/>
      <c r="H891" s="93"/>
      <c r="I891" s="93"/>
      <c r="J891" s="93"/>
    </row>
    <row r="892" spans="1:10" s="65" customFormat="1" ht="14" x14ac:dyDescent="0.35">
      <c r="A892" s="145"/>
      <c r="B892" s="152"/>
      <c r="C892" s="93"/>
      <c r="D892" s="93"/>
      <c r="E892" s="95"/>
      <c r="F892" s="95"/>
      <c r="G892" s="95"/>
      <c r="H892" s="93"/>
      <c r="I892" s="93"/>
      <c r="J892" s="93"/>
    </row>
    <row r="893" spans="1:10" s="65" customFormat="1" ht="14" x14ac:dyDescent="0.35">
      <c r="A893" s="145"/>
      <c r="B893" s="152"/>
      <c r="C893" s="93"/>
      <c r="D893" s="93"/>
      <c r="E893" s="95"/>
      <c r="F893" s="95"/>
      <c r="G893" s="95"/>
      <c r="H893" s="93"/>
      <c r="I893" s="93"/>
      <c r="J893" s="93"/>
    </row>
    <row r="894" spans="1:10" s="65" customFormat="1" ht="14" x14ac:dyDescent="0.35">
      <c r="A894" s="145"/>
      <c r="B894" s="152"/>
      <c r="C894" s="93"/>
      <c r="D894" s="93"/>
      <c r="E894" s="95"/>
      <c r="F894" s="95"/>
      <c r="G894" s="95"/>
      <c r="H894" s="93"/>
      <c r="I894" s="93"/>
      <c r="J894" s="93"/>
    </row>
    <row r="895" spans="1:10" s="65" customFormat="1" ht="14" x14ac:dyDescent="0.35">
      <c r="A895" s="145"/>
      <c r="B895" s="152"/>
      <c r="C895" s="93"/>
      <c r="D895" s="93"/>
      <c r="E895" s="95"/>
      <c r="F895" s="95"/>
      <c r="G895" s="95"/>
      <c r="H895" s="93"/>
      <c r="I895" s="93"/>
      <c r="J895" s="93"/>
    </row>
    <row r="896" spans="1:10" s="65" customFormat="1" ht="14" x14ac:dyDescent="0.35">
      <c r="A896" s="145"/>
      <c r="B896" s="152"/>
      <c r="C896" s="93"/>
      <c r="D896" s="93"/>
      <c r="E896" s="95"/>
      <c r="F896" s="95"/>
      <c r="G896" s="95"/>
      <c r="H896" s="93"/>
      <c r="I896" s="93"/>
      <c r="J896" s="93"/>
    </row>
    <row r="897" spans="1:10" s="65" customFormat="1" ht="14" x14ac:dyDescent="0.35">
      <c r="A897" s="145"/>
      <c r="B897" s="152"/>
      <c r="C897" s="93"/>
      <c r="D897" s="93"/>
      <c r="E897" s="95"/>
      <c r="F897" s="95"/>
      <c r="G897" s="95"/>
      <c r="H897" s="93"/>
      <c r="I897" s="93"/>
      <c r="J897" s="93"/>
    </row>
    <row r="898" spans="1:10" s="65" customFormat="1" ht="14" x14ac:dyDescent="0.35">
      <c r="A898" s="145"/>
      <c r="B898" s="152"/>
      <c r="C898" s="93"/>
      <c r="D898" s="93"/>
      <c r="E898" s="95"/>
      <c r="F898" s="95"/>
      <c r="G898" s="95"/>
      <c r="H898" s="93"/>
      <c r="I898" s="93"/>
      <c r="J898" s="93"/>
    </row>
    <row r="899" spans="1:10" s="65" customFormat="1" ht="14" x14ac:dyDescent="0.35">
      <c r="A899" s="145"/>
      <c r="B899" s="152"/>
      <c r="C899" s="93"/>
      <c r="D899" s="93"/>
      <c r="E899" s="95"/>
      <c r="F899" s="95"/>
      <c r="G899" s="95"/>
      <c r="H899" s="93"/>
      <c r="I899" s="93"/>
      <c r="J899" s="93"/>
    </row>
    <row r="900" spans="1:10" s="65" customFormat="1" ht="14" x14ac:dyDescent="0.35">
      <c r="A900" s="145"/>
      <c r="B900" s="152"/>
      <c r="C900" s="93"/>
      <c r="D900" s="93"/>
      <c r="E900" s="95"/>
      <c r="F900" s="95"/>
      <c r="G900" s="95"/>
      <c r="H900" s="93"/>
      <c r="I900" s="93"/>
      <c r="J900" s="93"/>
    </row>
    <row r="901" spans="1:10" s="65" customFormat="1" ht="14" x14ac:dyDescent="0.35">
      <c r="A901" s="145"/>
      <c r="B901" s="152"/>
      <c r="C901" s="93"/>
      <c r="D901" s="93"/>
      <c r="E901" s="95"/>
      <c r="F901" s="95"/>
      <c r="G901" s="95"/>
      <c r="H901" s="93"/>
      <c r="I901" s="93"/>
      <c r="J901" s="93"/>
    </row>
    <row r="902" spans="1:10" s="65" customFormat="1" ht="14" x14ac:dyDescent="0.35">
      <c r="A902" s="145"/>
      <c r="B902" s="152"/>
      <c r="C902" s="93"/>
      <c r="D902" s="93"/>
      <c r="E902" s="95"/>
      <c r="F902" s="95"/>
      <c r="G902" s="95"/>
      <c r="H902" s="93"/>
      <c r="I902" s="93"/>
      <c r="J902" s="93"/>
    </row>
    <row r="903" spans="1:10" s="65" customFormat="1" ht="14" x14ac:dyDescent="0.35">
      <c r="A903" s="145"/>
      <c r="B903" s="152"/>
      <c r="C903" s="93"/>
      <c r="D903" s="93"/>
      <c r="E903" s="95"/>
      <c r="F903" s="95"/>
      <c r="G903" s="95"/>
      <c r="H903" s="93"/>
      <c r="I903" s="93"/>
      <c r="J903" s="93"/>
    </row>
    <row r="904" spans="1:10" s="65" customFormat="1" ht="14" x14ac:dyDescent="0.35">
      <c r="A904" s="145"/>
      <c r="B904" s="152"/>
      <c r="C904" s="93"/>
      <c r="D904" s="93"/>
      <c r="E904" s="95"/>
      <c r="F904" s="95"/>
      <c r="G904" s="95"/>
      <c r="H904" s="93"/>
      <c r="I904" s="93"/>
      <c r="J904" s="93"/>
    </row>
    <row r="905" spans="1:10" s="65" customFormat="1" ht="14" x14ac:dyDescent="0.35">
      <c r="A905" s="145"/>
      <c r="B905" s="152"/>
      <c r="C905" s="93"/>
      <c r="D905" s="93"/>
      <c r="E905" s="95"/>
      <c r="F905" s="95"/>
      <c r="G905" s="95"/>
      <c r="H905" s="93"/>
      <c r="I905" s="93"/>
      <c r="J905" s="93"/>
    </row>
    <row r="906" spans="1:10" s="65" customFormat="1" ht="14" x14ac:dyDescent="0.35">
      <c r="A906" s="145"/>
      <c r="B906" s="152"/>
      <c r="C906" s="93"/>
      <c r="D906" s="93"/>
      <c r="E906" s="95"/>
      <c r="F906" s="95"/>
      <c r="G906" s="95"/>
      <c r="H906" s="93"/>
      <c r="I906" s="93"/>
      <c r="J906" s="93"/>
    </row>
    <row r="907" spans="1:10" s="65" customFormat="1" ht="14" x14ac:dyDescent="0.35">
      <c r="A907" s="145"/>
      <c r="B907" s="152"/>
      <c r="C907" s="93"/>
      <c r="D907" s="93"/>
      <c r="E907" s="95"/>
      <c r="F907" s="95"/>
      <c r="G907" s="95"/>
      <c r="H907" s="93"/>
      <c r="I907" s="93"/>
      <c r="J907" s="93"/>
    </row>
    <row r="908" spans="1:10" s="65" customFormat="1" ht="14" x14ac:dyDescent="0.35">
      <c r="A908" s="145"/>
      <c r="B908" s="152"/>
      <c r="C908" s="93"/>
      <c r="D908" s="93"/>
      <c r="E908" s="95"/>
      <c r="F908" s="95"/>
      <c r="G908" s="95"/>
      <c r="H908" s="93"/>
      <c r="I908" s="93"/>
      <c r="J908" s="93"/>
    </row>
    <row r="909" spans="1:10" s="65" customFormat="1" ht="14" x14ac:dyDescent="0.35">
      <c r="A909" s="145"/>
      <c r="B909" s="152"/>
      <c r="C909" s="93"/>
      <c r="D909" s="93"/>
      <c r="E909" s="95"/>
      <c r="F909" s="95"/>
      <c r="G909" s="95"/>
      <c r="H909" s="93"/>
      <c r="I909" s="93"/>
      <c r="J909" s="93"/>
    </row>
    <row r="910" spans="1:10" s="65" customFormat="1" ht="14" x14ac:dyDescent="0.35">
      <c r="A910" s="145"/>
      <c r="B910" s="152"/>
      <c r="C910" s="93"/>
      <c r="D910" s="93"/>
      <c r="E910" s="95"/>
      <c r="F910" s="95"/>
      <c r="G910" s="95"/>
      <c r="H910" s="93"/>
      <c r="I910" s="93"/>
      <c r="J910" s="93"/>
    </row>
    <row r="911" spans="1:10" s="65" customFormat="1" ht="14" x14ac:dyDescent="0.35">
      <c r="A911" s="145"/>
      <c r="B911" s="152"/>
      <c r="C911" s="93"/>
      <c r="D911" s="93"/>
      <c r="E911" s="95"/>
      <c r="F911" s="95"/>
      <c r="G911" s="95"/>
      <c r="H911" s="93"/>
      <c r="I911" s="93"/>
      <c r="J911" s="93"/>
    </row>
    <row r="912" spans="1:10" s="65" customFormat="1" ht="14" x14ac:dyDescent="0.35">
      <c r="A912" s="145"/>
      <c r="B912" s="152"/>
      <c r="C912" s="93"/>
      <c r="D912" s="93"/>
      <c r="E912" s="95"/>
      <c r="F912" s="95"/>
      <c r="G912" s="95"/>
      <c r="H912" s="93"/>
      <c r="I912" s="93"/>
      <c r="J912" s="93"/>
    </row>
    <row r="913" spans="1:10" s="65" customFormat="1" ht="14" x14ac:dyDescent="0.35">
      <c r="A913" s="145"/>
      <c r="B913" s="152"/>
      <c r="C913" s="93"/>
      <c r="D913" s="93"/>
      <c r="E913" s="95"/>
      <c r="F913" s="95"/>
      <c r="G913" s="95"/>
      <c r="H913" s="93"/>
      <c r="I913" s="93"/>
      <c r="J913" s="93"/>
    </row>
    <row r="914" spans="1:10" s="65" customFormat="1" ht="14" x14ac:dyDescent="0.35">
      <c r="A914" s="145"/>
      <c r="B914" s="152"/>
      <c r="C914" s="93"/>
      <c r="D914" s="93"/>
      <c r="E914" s="95"/>
      <c r="F914" s="95"/>
      <c r="G914" s="95"/>
      <c r="H914" s="93"/>
      <c r="I914" s="93"/>
      <c r="J914" s="93"/>
    </row>
    <row r="915" spans="1:10" s="65" customFormat="1" ht="14" x14ac:dyDescent="0.35">
      <c r="A915" s="145"/>
      <c r="B915" s="152"/>
      <c r="C915" s="93"/>
      <c r="D915" s="93"/>
      <c r="E915" s="95"/>
      <c r="F915" s="95"/>
      <c r="G915" s="95"/>
      <c r="H915" s="93"/>
      <c r="I915" s="93"/>
      <c r="J915" s="93"/>
    </row>
    <row r="916" spans="1:10" s="65" customFormat="1" ht="14" x14ac:dyDescent="0.35">
      <c r="A916" s="145"/>
      <c r="B916" s="152"/>
      <c r="C916" s="93"/>
      <c r="D916" s="93"/>
      <c r="E916" s="95"/>
      <c r="F916" s="95"/>
      <c r="G916" s="95"/>
      <c r="H916" s="93"/>
      <c r="I916" s="93"/>
      <c r="J916" s="93"/>
    </row>
    <row r="917" spans="1:10" s="65" customFormat="1" ht="14" x14ac:dyDescent="0.35">
      <c r="A917" s="145"/>
      <c r="B917" s="152"/>
      <c r="C917" s="93"/>
      <c r="D917" s="93"/>
      <c r="E917" s="95"/>
      <c r="F917" s="95"/>
      <c r="G917" s="95"/>
      <c r="H917" s="93"/>
      <c r="I917" s="93"/>
      <c r="J917" s="93"/>
    </row>
    <row r="918" spans="1:10" s="65" customFormat="1" ht="14" x14ac:dyDescent="0.35">
      <c r="A918" s="145"/>
      <c r="B918" s="152"/>
      <c r="C918" s="93"/>
      <c r="D918" s="93"/>
      <c r="E918" s="95"/>
      <c r="F918" s="95"/>
      <c r="G918" s="95"/>
      <c r="H918" s="93"/>
      <c r="I918" s="93"/>
      <c r="J918" s="93"/>
    </row>
    <row r="919" spans="1:10" s="65" customFormat="1" ht="14" x14ac:dyDescent="0.35">
      <c r="A919" s="145"/>
      <c r="B919" s="152"/>
      <c r="C919" s="93"/>
      <c r="D919" s="93"/>
      <c r="E919" s="95"/>
      <c r="F919" s="95"/>
      <c r="G919" s="95"/>
      <c r="H919" s="93"/>
      <c r="I919" s="93"/>
      <c r="J919" s="93"/>
    </row>
    <row r="920" spans="1:10" s="65" customFormat="1" ht="14" x14ac:dyDescent="0.35">
      <c r="A920" s="145"/>
      <c r="B920" s="152"/>
      <c r="C920" s="93"/>
      <c r="D920" s="93"/>
      <c r="E920" s="95"/>
      <c r="F920" s="95"/>
      <c r="G920" s="95"/>
      <c r="H920" s="93"/>
      <c r="I920" s="93"/>
      <c r="J920" s="93"/>
    </row>
    <row r="921" spans="1:10" s="65" customFormat="1" ht="14" x14ac:dyDescent="0.35">
      <c r="A921" s="145"/>
      <c r="B921" s="152"/>
      <c r="C921" s="93"/>
      <c r="D921" s="93"/>
      <c r="E921" s="95"/>
      <c r="F921" s="95"/>
      <c r="G921" s="95"/>
      <c r="H921" s="93"/>
      <c r="I921" s="93"/>
      <c r="J921" s="93"/>
    </row>
    <row r="922" spans="1:10" s="65" customFormat="1" ht="14" x14ac:dyDescent="0.35">
      <c r="A922" s="145"/>
      <c r="B922" s="152"/>
      <c r="C922" s="93"/>
      <c r="D922" s="93"/>
      <c r="E922" s="95"/>
      <c r="F922" s="95"/>
      <c r="G922" s="95"/>
      <c r="H922" s="93"/>
      <c r="I922" s="93"/>
      <c r="J922" s="93"/>
    </row>
    <row r="923" spans="1:10" s="65" customFormat="1" ht="14" x14ac:dyDescent="0.35">
      <c r="A923" s="145"/>
      <c r="B923" s="152"/>
      <c r="C923" s="93"/>
      <c r="D923" s="93"/>
      <c r="E923" s="95"/>
      <c r="F923" s="95"/>
      <c r="G923" s="95"/>
      <c r="H923" s="93"/>
      <c r="I923" s="93"/>
      <c r="J923" s="93"/>
    </row>
    <row r="924" spans="1:10" s="65" customFormat="1" ht="14" x14ac:dyDescent="0.35">
      <c r="A924" s="145"/>
      <c r="B924" s="152"/>
      <c r="C924" s="93"/>
      <c r="D924" s="93"/>
      <c r="E924" s="95"/>
      <c r="F924" s="95"/>
      <c r="G924" s="95"/>
      <c r="H924" s="93"/>
      <c r="I924" s="93"/>
      <c r="J924" s="93"/>
    </row>
    <row r="925" spans="1:10" s="65" customFormat="1" ht="14" x14ac:dyDescent="0.35">
      <c r="A925" s="145"/>
      <c r="B925" s="152"/>
      <c r="C925" s="93"/>
      <c r="D925" s="93"/>
      <c r="E925" s="95"/>
      <c r="F925" s="95"/>
      <c r="G925" s="95"/>
      <c r="H925" s="93"/>
      <c r="I925" s="93"/>
      <c r="J925" s="93"/>
    </row>
    <row r="926" spans="1:10" s="65" customFormat="1" ht="14" x14ac:dyDescent="0.35">
      <c r="A926" s="145"/>
      <c r="B926" s="152"/>
      <c r="C926" s="93"/>
      <c r="D926" s="93"/>
      <c r="E926" s="95"/>
      <c r="F926" s="95"/>
      <c r="G926" s="95"/>
      <c r="H926" s="93"/>
      <c r="I926" s="93"/>
      <c r="J926" s="93"/>
    </row>
    <row r="927" spans="1:10" s="65" customFormat="1" ht="14" x14ac:dyDescent="0.35">
      <c r="A927" s="145"/>
      <c r="B927" s="152"/>
      <c r="C927" s="93"/>
      <c r="D927" s="93"/>
      <c r="E927" s="95"/>
      <c r="F927" s="95"/>
      <c r="G927" s="95"/>
      <c r="H927" s="93"/>
      <c r="I927" s="93"/>
      <c r="J927" s="93"/>
    </row>
    <row r="928" spans="1:10" s="65" customFormat="1" ht="14" x14ac:dyDescent="0.35">
      <c r="A928" s="145"/>
      <c r="B928" s="152"/>
      <c r="C928" s="93"/>
      <c r="D928" s="93"/>
      <c r="E928" s="95"/>
      <c r="F928" s="95"/>
      <c r="G928" s="95"/>
      <c r="H928" s="93"/>
      <c r="I928" s="93"/>
      <c r="J928" s="93"/>
    </row>
    <row r="929" spans="1:10" s="65" customFormat="1" ht="14" x14ac:dyDescent="0.35">
      <c r="A929" s="145"/>
      <c r="B929" s="152"/>
      <c r="C929" s="93"/>
      <c r="D929" s="93"/>
      <c r="E929" s="95"/>
      <c r="F929" s="95"/>
      <c r="G929" s="95"/>
      <c r="H929" s="93"/>
      <c r="I929" s="93"/>
      <c r="J929" s="93"/>
    </row>
    <row r="930" spans="1:10" s="65" customFormat="1" ht="14" x14ac:dyDescent="0.35">
      <c r="A930" s="145"/>
      <c r="B930" s="152"/>
      <c r="C930" s="93"/>
      <c r="D930" s="93"/>
      <c r="E930" s="95"/>
      <c r="F930" s="95"/>
      <c r="G930" s="95"/>
      <c r="H930" s="93"/>
      <c r="I930" s="93"/>
      <c r="J930" s="93"/>
    </row>
    <row r="931" spans="1:10" s="65" customFormat="1" ht="14" x14ac:dyDescent="0.35">
      <c r="A931" s="145"/>
      <c r="B931" s="152"/>
      <c r="C931" s="93"/>
      <c r="D931" s="93"/>
      <c r="E931" s="95"/>
      <c r="F931" s="95"/>
      <c r="G931" s="95"/>
      <c r="H931" s="93"/>
      <c r="I931" s="93"/>
      <c r="J931" s="93"/>
    </row>
    <row r="932" spans="1:10" s="65" customFormat="1" ht="14" x14ac:dyDescent="0.35">
      <c r="A932" s="145"/>
      <c r="B932" s="152"/>
      <c r="C932" s="93"/>
      <c r="D932" s="93"/>
      <c r="E932" s="95"/>
      <c r="F932" s="95"/>
      <c r="G932" s="95"/>
      <c r="H932" s="93"/>
      <c r="I932" s="93"/>
      <c r="J932" s="93"/>
    </row>
    <row r="933" spans="1:10" s="65" customFormat="1" ht="14" x14ac:dyDescent="0.35">
      <c r="A933" s="145"/>
      <c r="B933" s="152"/>
      <c r="C933" s="93"/>
      <c r="D933" s="93"/>
      <c r="E933" s="95"/>
      <c r="F933" s="95"/>
      <c r="G933" s="95"/>
      <c r="H933" s="93"/>
      <c r="I933" s="93"/>
      <c r="J933" s="93"/>
    </row>
    <row r="934" spans="1:10" s="65" customFormat="1" ht="14" x14ac:dyDescent="0.35">
      <c r="A934" s="145"/>
      <c r="B934" s="152"/>
      <c r="C934" s="93"/>
      <c r="D934" s="93"/>
      <c r="E934" s="95"/>
      <c r="F934" s="95"/>
      <c r="G934" s="95"/>
      <c r="H934" s="93"/>
      <c r="I934" s="93"/>
      <c r="J934" s="93"/>
    </row>
    <row r="935" spans="1:10" s="65" customFormat="1" ht="14" x14ac:dyDescent="0.35">
      <c r="A935" s="145"/>
      <c r="B935" s="152"/>
      <c r="C935" s="93"/>
      <c r="D935" s="93"/>
      <c r="E935" s="95"/>
      <c r="F935" s="95"/>
      <c r="G935" s="95"/>
      <c r="H935" s="93"/>
      <c r="I935" s="93"/>
      <c r="J935" s="93"/>
    </row>
    <row r="936" spans="1:10" s="65" customFormat="1" ht="14" x14ac:dyDescent="0.35">
      <c r="A936" s="145"/>
      <c r="B936" s="152"/>
      <c r="C936" s="93"/>
      <c r="D936" s="93"/>
      <c r="E936" s="95"/>
      <c r="F936" s="95"/>
      <c r="G936" s="95"/>
      <c r="H936" s="93"/>
      <c r="I936" s="93"/>
      <c r="J936" s="93"/>
    </row>
    <row r="937" spans="1:10" s="65" customFormat="1" ht="14" x14ac:dyDescent="0.35">
      <c r="A937" s="145"/>
      <c r="B937" s="152"/>
      <c r="C937" s="93"/>
      <c r="D937" s="93"/>
      <c r="E937" s="95"/>
      <c r="F937" s="95"/>
      <c r="G937" s="95"/>
      <c r="H937" s="93"/>
      <c r="I937" s="93"/>
      <c r="J937" s="93"/>
    </row>
    <row r="938" spans="1:10" s="65" customFormat="1" ht="14" x14ac:dyDescent="0.35">
      <c r="A938" s="145"/>
      <c r="B938" s="152"/>
      <c r="C938" s="93"/>
      <c r="D938" s="93"/>
      <c r="E938" s="95"/>
      <c r="F938" s="95"/>
      <c r="G938" s="95"/>
      <c r="H938" s="93"/>
      <c r="I938" s="93"/>
      <c r="J938" s="93"/>
    </row>
    <row r="939" spans="1:10" s="65" customFormat="1" ht="14" x14ac:dyDescent="0.35">
      <c r="A939" s="145"/>
      <c r="B939" s="152"/>
      <c r="C939" s="93"/>
      <c r="D939" s="93"/>
      <c r="E939" s="95"/>
      <c r="F939" s="95"/>
      <c r="G939" s="95"/>
      <c r="H939" s="93"/>
      <c r="I939" s="93"/>
      <c r="J939" s="93"/>
    </row>
    <row r="940" spans="1:10" s="65" customFormat="1" ht="14" x14ac:dyDescent="0.35">
      <c r="A940" s="145"/>
      <c r="B940" s="152"/>
      <c r="C940" s="93"/>
      <c r="D940" s="93"/>
      <c r="E940" s="95"/>
      <c r="F940" s="95"/>
      <c r="G940" s="95"/>
      <c r="H940" s="93"/>
      <c r="I940" s="93"/>
      <c r="J940" s="93"/>
    </row>
    <row r="941" spans="1:10" s="65" customFormat="1" ht="14" x14ac:dyDescent="0.35">
      <c r="A941" s="145"/>
      <c r="B941" s="152"/>
      <c r="C941" s="93"/>
      <c r="D941" s="93"/>
      <c r="E941" s="95"/>
      <c r="F941" s="95"/>
      <c r="G941" s="95"/>
      <c r="H941" s="93"/>
      <c r="I941" s="93"/>
      <c r="J941" s="93"/>
    </row>
    <row r="942" spans="1:10" s="65" customFormat="1" ht="14" x14ac:dyDescent="0.35">
      <c r="A942" s="145"/>
      <c r="B942" s="152"/>
      <c r="C942" s="93"/>
      <c r="D942" s="93"/>
      <c r="E942" s="95"/>
      <c r="F942" s="95"/>
      <c r="G942" s="95"/>
      <c r="H942" s="93"/>
      <c r="I942" s="93"/>
      <c r="J942" s="93"/>
    </row>
    <row r="943" spans="1:10" s="65" customFormat="1" ht="14" x14ac:dyDescent="0.35">
      <c r="A943" s="145"/>
      <c r="B943" s="152"/>
      <c r="C943" s="93"/>
      <c r="D943" s="93"/>
      <c r="E943" s="95"/>
      <c r="F943" s="95"/>
      <c r="G943" s="95"/>
      <c r="H943" s="93"/>
      <c r="I943" s="93"/>
      <c r="J943" s="93"/>
    </row>
    <row r="944" spans="1:10" s="65" customFormat="1" ht="14" x14ac:dyDescent="0.35">
      <c r="A944" s="145"/>
      <c r="B944" s="152"/>
      <c r="C944" s="93"/>
      <c r="D944" s="93"/>
      <c r="E944" s="95"/>
      <c r="F944" s="95"/>
      <c r="G944" s="95"/>
      <c r="H944" s="93"/>
      <c r="I944" s="93"/>
      <c r="J944" s="93"/>
    </row>
    <row r="945" spans="1:10" s="65" customFormat="1" ht="14" x14ac:dyDescent="0.35">
      <c r="A945" s="145"/>
      <c r="B945" s="152"/>
      <c r="C945" s="93"/>
      <c r="D945" s="93"/>
      <c r="E945" s="95"/>
      <c r="F945" s="95"/>
      <c r="G945" s="95"/>
      <c r="H945" s="93"/>
      <c r="I945" s="93"/>
      <c r="J945" s="93"/>
    </row>
    <row r="946" spans="1:10" s="65" customFormat="1" ht="14" x14ac:dyDescent="0.35">
      <c r="A946" s="145"/>
      <c r="B946" s="152"/>
      <c r="C946" s="93"/>
      <c r="D946" s="93"/>
      <c r="E946" s="95"/>
      <c r="F946" s="95"/>
      <c r="G946" s="95"/>
      <c r="H946" s="93"/>
      <c r="I946" s="93"/>
      <c r="J946" s="93"/>
    </row>
    <row r="947" spans="1:10" s="65" customFormat="1" ht="14" x14ac:dyDescent="0.35">
      <c r="A947" s="145"/>
      <c r="B947" s="152"/>
      <c r="C947" s="93"/>
      <c r="D947" s="93"/>
      <c r="E947" s="95"/>
      <c r="F947" s="95"/>
      <c r="G947" s="95"/>
      <c r="H947" s="93"/>
      <c r="I947" s="93"/>
      <c r="J947" s="93"/>
    </row>
    <row r="948" spans="1:10" s="65" customFormat="1" ht="14" x14ac:dyDescent="0.35">
      <c r="A948" s="145"/>
      <c r="B948" s="152"/>
      <c r="C948" s="93"/>
      <c r="D948" s="93"/>
      <c r="E948" s="95"/>
      <c r="F948" s="95"/>
      <c r="G948" s="95"/>
      <c r="H948" s="93"/>
      <c r="I948" s="93"/>
      <c r="J948" s="93"/>
    </row>
    <row r="949" spans="1:10" s="65" customFormat="1" ht="14" x14ac:dyDescent="0.35">
      <c r="A949" s="145"/>
      <c r="B949" s="152"/>
      <c r="C949" s="93"/>
      <c r="D949" s="93"/>
      <c r="E949" s="95"/>
      <c r="F949" s="95"/>
      <c r="G949" s="95"/>
      <c r="H949" s="93"/>
      <c r="I949" s="93"/>
      <c r="J949" s="93"/>
    </row>
    <row r="950" spans="1:10" s="65" customFormat="1" ht="14" x14ac:dyDescent="0.35">
      <c r="A950" s="145"/>
      <c r="B950" s="152"/>
      <c r="C950" s="93"/>
      <c r="D950" s="93"/>
      <c r="E950" s="95"/>
      <c r="F950" s="95"/>
      <c r="G950" s="95"/>
      <c r="H950" s="93"/>
      <c r="I950" s="93"/>
      <c r="J950" s="93"/>
    </row>
    <row r="951" spans="1:10" s="65" customFormat="1" ht="14" x14ac:dyDescent="0.35">
      <c r="A951" s="145"/>
      <c r="B951" s="152"/>
      <c r="C951" s="93"/>
      <c r="D951" s="93"/>
      <c r="E951" s="95"/>
      <c r="F951" s="95"/>
      <c r="G951" s="95"/>
      <c r="H951" s="93"/>
      <c r="I951" s="93"/>
      <c r="J951" s="93"/>
    </row>
    <row r="952" spans="1:10" s="65" customFormat="1" ht="14" x14ac:dyDescent="0.35">
      <c r="A952" s="145"/>
      <c r="B952" s="152"/>
      <c r="C952" s="93"/>
      <c r="D952" s="93"/>
      <c r="E952" s="95"/>
      <c r="F952" s="95"/>
      <c r="G952" s="95"/>
      <c r="H952" s="93"/>
      <c r="I952" s="93"/>
      <c r="J952" s="93"/>
    </row>
    <row r="953" spans="1:10" s="65" customFormat="1" ht="14" x14ac:dyDescent="0.35">
      <c r="A953" s="145"/>
      <c r="B953" s="152"/>
      <c r="C953" s="93"/>
      <c r="D953" s="93"/>
      <c r="E953" s="95"/>
      <c r="F953" s="95"/>
      <c r="G953" s="95"/>
      <c r="H953" s="93"/>
      <c r="I953" s="93"/>
      <c r="J953" s="93"/>
    </row>
    <row r="954" spans="1:10" s="65" customFormat="1" ht="14" x14ac:dyDescent="0.35">
      <c r="A954" s="145"/>
      <c r="B954" s="152"/>
      <c r="C954" s="93"/>
      <c r="D954" s="93"/>
      <c r="E954" s="95"/>
      <c r="F954" s="95"/>
      <c r="G954" s="95"/>
      <c r="H954" s="93"/>
      <c r="I954" s="93"/>
      <c r="J954" s="93"/>
    </row>
    <row r="955" spans="1:10" s="65" customFormat="1" ht="14" x14ac:dyDescent="0.35">
      <c r="A955" s="145"/>
      <c r="B955" s="152"/>
      <c r="C955" s="93"/>
      <c r="D955" s="93"/>
      <c r="E955" s="95"/>
      <c r="F955" s="95"/>
      <c r="G955" s="95"/>
      <c r="H955" s="93"/>
      <c r="I955" s="93"/>
      <c r="J955" s="93"/>
    </row>
    <row r="956" spans="1:10" s="65" customFormat="1" ht="14" x14ac:dyDescent="0.35">
      <c r="A956" s="145"/>
      <c r="B956" s="152"/>
      <c r="C956" s="93"/>
      <c r="D956" s="93"/>
      <c r="E956" s="95"/>
      <c r="F956" s="95"/>
      <c r="G956" s="95"/>
      <c r="H956" s="93"/>
      <c r="I956" s="93"/>
      <c r="J956" s="93"/>
    </row>
    <row r="957" spans="1:10" s="65" customFormat="1" ht="14" x14ac:dyDescent="0.35">
      <c r="A957" s="145"/>
      <c r="B957" s="152"/>
      <c r="C957" s="93"/>
      <c r="D957" s="93"/>
      <c r="E957" s="95"/>
      <c r="F957" s="95"/>
      <c r="G957" s="95"/>
      <c r="H957" s="93"/>
      <c r="I957" s="93"/>
      <c r="J957" s="93"/>
    </row>
    <row r="958" spans="1:10" s="65" customFormat="1" ht="14" x14ac:dyDescent="0.35">
      <c r="A958" s="145"/>
      <c r="B958" s="152"/>
      <c r="C958" s="93"/>
      <c r="D958" s="93"/>
      <c r="E958" s="95"/>
      <c r="F958" s="95"/>
      <c r="G958" s="95"/>
      <c r="H958" s="93"/>
      <c r="I958" s="93"/>
      <c r="J958" s="93"/>
    </row>
    <row r="959" spans="1:10" s="65" customFormat="1" ht="14" x14ac:dyDescent="0.35">
      <c r="A959" s="145"/>
      <c r="B959" s="152"/>
      <c r="C959" s="93"/>
      <c r="D959" s="93"/>
      <c r="E959" s="95"/>
      <c r="F959" s="95"/>
      <c r="G959" s="95"/>
      <c r="H959" s="93"/>
      <c r="I959" s="93"/>
      <c r="J959" s="93"/>
    </row>
    <row r="960" spans="1:10" s="65" customFormat="1" ht="14" x14ac:dyDescent="0.35">
      <c r="A960" s="145"/>
      <c r="B960" s="152"/>
      <c r="C960" s="93"/>
      <c r="D960" s="93"/>
      <c r="E960" s="95"/>
      <c r="F960" s="95"/>
      <c r="G960" s="95"/>
      <c r="H960" s="93"/>
      <c r="I960" s="93"/>
      <c r="J960" s="93"/>
    </row>
    <row r="961" spans="1:10" s="65" customFormat="1" ht="14" x14ac:dyDescent="0.35">
      <c r="A961" s="145"/>
      <c r="B961" s="152"/>
      <c r="C961" s="93"/>
      <c r="D961" s="93"/>
      <c r="E961" s="95"/>
      <c r="F961" s="95"/>
      <c r="G961" s="95"/>
      <c r="H961" s="93"/>
      <c r="I961" s="93"/>
      <c r="J961" s="93"/>
    </row>
    <row r="962" spans="1:10" s="65" customFormat="1" ht="14" x14ac:dyDescent="0.35">
      <c r="A962" s="145"/>
      <c r="B962" s="152"/>
      <c r="C962" s="93"/>
      <c r="D962" s="93"/>
      <c r="E962" s="95"/>
      <c r="F962" s="95"/>
      <c r="G962" s="95"/>
      <c r="H962" s="93"/>
      <c r="I962" s="93"/>
      <c r="J962" s="93"/>
    </row>
    <row r="963" spans="1:10" s="65" customFormat="1" ht="14" x14ac:dyDescent="0.35">
      <c r="A963" s="145"/>
      <c r="B963" s="152"/>
      <c r="C963" s="93"/>
      <c r="D963" s="93"/>
      <c r="E963" s="95"/>
      <c r="F963" s="95"/>
      <c r="G963" s="95"/>
      <c r="H963" s="93"/>
      <c r="I963" s="93"/>
      <c r="J963" s="93"/>
    </row>
    <row r="964" spans="1:10" s="65" customFormat="1" ht="14" x14ac:dyDescent="0.35">
      <c r="A964" s="145"/>
      <c r="B964" s="152"/>
      <c r="C964" s="93"/>
      <c r="D964" s="93"/>
      <c r="E964" s="95"/>
      <c r="F964" s="95"/>
      <c r="G964" s="95"/>
      <c r="H964" s="93"/>
      <c r="I964" s="93"/>
      <c r="J964" s="93"/>
    </row>
    <row r="965" spans="1:10" s="65" customFormat="1" ht="14" x14ac:dyDescent="0.35">
      <c r="A965" s="145"/>
      <c r="B965" s="152"/>
      <c r="C965" s="93"/>
      <c r="D965" s="93"/>
      <c r="E965" s="95"/>
      <c r="F965" s="95"/>
      <c r="G965" s="95"/>
      <c r="H965" s="93"/>
      <c r="I965" s="93"/>
      <c r="J965" s="93"/>
    </row>
    <row r="966" spans="1:10" s="65" customFormat="1" ht="14" x14ac:dyDescent="0.35">
      <c r="A966" s="145"/>
      <c r="B966" s="152"/>
      <c r="C966" s="93"/>
      <c r="D966" s="93"/>
      <c r="E966" s="95"/>
      <c r="F966" s="95"/>
      <c r="G966" s="95"/>
      <c r="H966" s="93"/>
      <c r="I966" s="93"/>
      <c r="J966" s="93"/>
    </row>
    <row r="967" spans="1:10" s="65" customFormat="1" ht="14" x14ac:dyDescent="0.35">
      <c r="A967" s="145"/>
      <c r="B967" s="152"/>
      <c r="C967" s="93"/>
      <c r="D967" s="93"/>
      <c r="E967" s="95"/>
      <c r="F967" s="95"/>
      <c r="G967" s="95"/>
      <c r="H967" s="93"/>
      <c r="I967" s="93"/>
      <c r="J967" s="93"/>
    </row>
    <row r="968" spans="1:10" s="65" customFormat="1" ht="14" x14ac:dyDescent="0.35">
      <c r="A968" s="145"/>
      <c r="B968" s="152"/>
      <c r="C968" s="93"/>
      <c r="D968" s="93"/>
      <c r="E968" s="95"/>
      <c r="F968" s="95"/>
      <c r="G968" s="95"/>
      <c r="H968" s="93"/>
      <c r="I968" s="93"/>
      <c r="J968" s="93"/>
    </row>
    <row r="969" spans="1:10" s="65" customFormat="1" ht="14" x14ac:dyDescent="0.35">
      <c r="A969" s="145"/>
      <c r="B969" s="152"/>
      <c r="C969" s="93"/>
      <c r="D969" s="93"/>
      <c r="E969" s="95"/>
      <c r="F969" s="95"/>
      <c r="G969" s="95"/>
      <c r="H969" s="93"/>
      <c r="I969" s="93"/>
      <c r="J969" s="93"/>
    </row>
    <row r="970" spans="1:10" s="65" customFormat="1" ht="14" x14ac:dyDescent="0.35">
      <c r="A970" s="145"/>
      <c r="B970" s="152"/>
      <c r="C970" s="93"/>
      <c r="D970" s="93"/>
      <c r="E970" s="95"/>
      <c r="F970" s="95"/>
      <c r="G970" s="95"/>
      <c r="H970" s="93"/>
      <c r="I970" s="93"/>
      <c r="J970" s="93"/>
    </row>
    <row r="971" spans="1:10" s="65" customFormat="1" ht="14" x14ac:dyDescent="0.35">
      <c r="A971" s="145"/>
      <c r="B971" s="152"/>
      <c r="C971" s="93"/>
      <c r="D971" s="93"/>
      <c r="E971" s="95"/>
      <c r="F971" s="95"/>
      <c r="G971" s="95"/>
      <c r="H971" s="93"/>
      <c r="I971" s="93"/>
      <c r="J971" s="93"/>
    </row>
    <row r="972" spans="1:10" s="65" customFormat="1" ht="14" x14ac:dyDescent="0.35">
      <c r="A972" s="145"/>
      <c r="B972" s="152"/>
      <c r="C972" s="93"/>
      <c r="D972" s="93"/>
      <c r="E972" s="95"/>
      <c r="F972" s="95"/>
      <c r="G972" s="95"/>
      <c r="H972" s="93"/>
      <c r="I972" s="93"/>
      <c r="J972" s="93"/>
    </row>
    <row r="973" spans="1:10" s="65" customFormat="1" ht="14" x14ac:dyDescent="0.35">
      <c r="A973" s="145"/>
      <c r="B973" s="152"/>
      <c r="C973" s="93"/>
      <c r="D973" s="93"/>
      <c r="E973" s="95"/>
      <c r="F973" s="95"/>
      <c r="G973" s="95"/>
      <c r="H973" s="93"/>
      <c r="I973" s="93"/>
      <c r="J973" s="93"/>
    </row>
    <row r="974" spans="1:10" s="65" customFormat="1" ht="14" x14ac:dyDescent="0.35">
      <c r="A974" s="145"/>
      <c r="B974" s="152"/>
      <c r="C974" s="93"/>
      <c r="D974" s="93"/>
      <c r="E974" s="95"/>
      <c r="F974" s="95"/>
      <c r="G974" s="95"/>
      <c r="H974" s="93"/>
      <c r="I974" s="93"/>
      <c r="J974" s="93"/>
    </row>
    <row r="975" spans="1:10" s="65" customFormat="1" ht="14" x14ac:dyDescent="0.35">
      <c r="A975" s="145"/>
      <c r="B975" s="152"/>
      <c r="C975" s="93"/>
      <c r="D975" s="93"/>
      <c r="E975" s="95"/>
      <c r="F975" s="95"/>
      <c r="G975" s="95"/>
      <c r="H975" s="93"/>
      <c r="I975" s="93"/>
      <c r="J975" s="93"/>
    </row>
    <row r="976" spans="1:10" s="65" customFormat="1" ht="14" x14ac:dyDescent="0.35">
      <c r="A976" s="145"/>
      <c r="B976" s="152"/>
      <c r="C976" s="93"/>
      <c r="D976" s="93"/>
      <c r="E976" s="95"/>
      <c r="F976" s="95"/>
      <c r="G976" s="95"/>
      <c r="H976" s="93"/>
      <c r="I976" s="93"/>
      <c r="J976" s="93"/>
    </row>
    <row r="977" spans="1:10" s="65" customFormat="1" ht="14" x14ac:dyDescent="0.35">
      <c r="A977" s="145"/>
      <c r="B977" s="152"/>
      <c r="C977" s="93"/>
      <c r="D977" s="93"/>
      <c r="E977" s="95"/>
      <c r="F977" s="95"/>
      <c r="G977" s="95"/>
      <c r="H977" s="93"/>
      <c r="I977" s="93"/>
      <c r="J977" s="93"/>
    </row>
    <row r="978" spans="1:10" s="65" customFormat="1" ht="14" x14ac:dyDescent="0.35">
      <c r="A978" s="145"/>
      <c r="B978" s="152"/>
      <c r="C978" s="93"/>
      <c r="D978" s="93"/>
      <c r="E978" s="95"/>
      <c r="F978" s="95"/>
      <c r="G978" s="95"/>
      <c r="H978" s="93"/>
      <c r="I978" s="93"/>
      <c r="J978" s="93"/>
    </row>
    <row r="979" spans="1:10" s="65" customFormat="1" ht="14" x14ac:dyDescent="0.35">
      <c r="A979" s="145"/>
      <c r="B979" s="152"/>
      <c r="C979" s="93"/>
      <c r="D979" s="93"/>
      <c r="E979" s="95"/>
      <c r="F979" s="95"/>
      <c r="G979" s="95"/>
      <c r="H979" s="93"/>
      <c r="I979" s="93"/>
      <c r="J979" s="93"/>
    </row>
    <row r="980" spans="1:10" s="65" customFormat="1" ht="14" x14ac:dyDescent="0.35">
      <c r="A980" s="145"/>
      <c r="B980" s="152"/>
      <c r="C980" s="93"/>
      <c r="D980" s="93"/>
      <c r="E980" s="95"/>
      <c r="F980" s="95"/>
      <c r="G980" s="95"/>
      <c r="H980" s="93"/>
      <c r="I980" s="93"/>
      <c r="J980" s="93"/>
    </row>
    <row r="981" spans="1:10" s="65" customFormat="1" ht="14" x14ac:dyDescent="0.35">
      <c r="A981" s="145"/>
      <c r="B981" s="152"/>
      <c r="C981" s="93"/>
      <c r="D981" s="93"/>
      <c r="E981" s="95"/>
      <c r="F981" s="95"/>
      <c r="G981" s="95"/>
      <c r="H981" s="93"/>
      <c r="I981" s="93"/>
      <c r="J981" s="93"/>
    </row>
    <row r="982" spans="1:10" s="65" customFormat="1" ht="14" x14ac:dyDescent="0.35">
      <c r="A982" s="145"/>
      <c r="B982" s="152"/>
      <c r="C982" s="93"/>
      <c r="D982" s="93"/>
      <c r="E982" s="95"/>
      <c r="F982" s="95"/>
      <c r="G982" s="95"/>
      <c r="H982" s="93"/>
      <c r="I982" s="93"/>
      <c r="J982" s="93"/>
    </row>
    <row r="983" spans="1:10" s="65" customFormat="1" ht="14" x14ac:dyDescent="0.35">
      <c r="A983" s="145"/>
      <c r="B983" s="152"/>
      <c r="C983" s="93"/>
      <c r="D983" s="93"/>
      <c r="E983" s="95"/>
      <c r="F983" s="95"/>
      <c r="G983" s="95"/>
      <c r="H983" s="93"/>
      <c r="I983" s="93"/>
      <c r="J983" s="93"/>
    </row>
    <row r="984" spans="1:10" s="65" customFormat="1" ht="14" x14ac:dyDescent="0.35">
      <c r="A984" s="145"/>
      <c r="B984" s="152"/>
      <c r="C984" s="93"/>
      <c r="D984" s="93"/>
      <c r="E984" s="95"/>
      <c r="F984" s="95"/>
      <c r="G984" s="95"/>
      <c r="H984" s="93"/>
      <c r="I984" s="93"/>
      <c r="J984" s="93"/>
    </row>
    <row r="985" spans="1:10" s="65" customFormat="1" ht="14" x14ac:dyDescent="0.35">
      <c r="A985" s="145"/>
      <c r="B985" s="152"/>
      <c r="C985" s="93"/>
      <c r="D985" s="93"/>
      <c r="E985" s="95"/>
      <c r="F985" s="95"/>
      <c r="G985" s="95"/>
      <c r="H985" s="93"/>
      <c r="I985" s="93"/>
      <c r="J985" s="93"/>
    </row>
    <row r="986" spans="1:10" s="65" customFormat="1" ht="14" x14ac:dyDescent="0.35">
      <c r="A986" s="145"/>
      <c r="B986" s="152"/>
      <c r="C986" s="93"/>
      <c r="D986" s="93"/>
      <c r="E986" s="95"/>
      <c r="F986" s="95"/>
      <c r="G986" s="95"/>
      <c r="H986" s="93"/>
      <c r="I986" s="93"/>
      <c r="J986" s="93"/>
    </row>
    <row r="987" spans="1:10" s="65" customFormat="1" ht="14" x14ac:dyDescent="0.35">
      <c r="A987" s="145"/>
      <c r="B987" s="152"/>
      <c r="C987" s="93"/>
      <c r="D987" s="93"/>
      <c r="E987" s="95"/>
      <c r="F987" s="95"/>
      <c r="G987" s="95"/>
      <c r="H987" s="93"/>
      <c r="I987" s="93"/>
      <c r="J987" s="93"/>
    </row>
    <row r="988" spans="1:10" s="65" customFormat="1" ht="14" x14ac:dyDescent="0.35">
      <c r="A988" s="145"/>
      <c r="B988" s="152"/>
      <c r="C988" s="93"/>
      <c r="D988" s="93"/>
      <c r="E988" s="95"/>
      <c r="F988" s="95"/>
      <c r="G988" s="95"/>
      <c r="H988" s="93"/>
      <c r="I988" s="93"/>
      <c r="J988" s="93"/>
    </row>
    <row r="989" spans="1:10" s="65" customFormat="1" ht="14" x14ac:dyDescent="0.35">
      <c r="A989" s="145"/>
      <c r="B989" s="152"/>
      <c r="C989" s="93"/>
      <c r="D989" s="93"/>
      <c r="E989" s="95"/>
      <c r="F989" s="95"/>
      <c r="G989" s="95"/>
      <c r="H989" s="93"/>
      <c r="I989" s="93"/>
      <c r="J989" s="93"/>
    </row>
    <row r="990" spans="1:10" s="65" customFormat="1" ht="14" x14ac:dyDescent="0.35">
      <c r="A990" s="145"/>
      <c r="B990" s="152"/>
      <c r="C990" s="93"/>
      <c r="D990" s="93"/>
      <c r="E990" s="95"/>
      <c r="F990" s="95"/>
      <c r="G990" s="95"/>
      <c r="H990" s="93"/>
      <c r="I990" s="93"/>
      <c r="J990" s="93"/>
    </row>
    <row r="991" spans="1:10" s="65" customFormat="1" ht="14" x14ac:dyDescent="0.35">
      <c r="A991" s="145"/>
      <c r="B991" s="152"/>
      <c r="C991" s="93"/>
      <c r="D991" s="93"/>
      <c r="E991" s="95"/>
      <c r="F991" s="95"/>
      <c r="G991" s="95"/>
      <c r="H991" s="93"/>
      <c r="I991" s="93"/>
      <c r="J991" s="93"/>
    </row>
    <row r="992" spans="1:10" s="65" customFormat="1" ht="14" x14ac:dyDescent="0.35">
      <c r="A992" s="145"/>
      <c r="B992" s="152"/>
      <c r="C992" s="93"/>
      <c r="D992" s="93"/>
      <c r="E992" s="95"/>
      <c r="F992" s="95"/>
      <c r="G992" s="95"/>
      <c r="H992" s="93"/>
      <c r="I992" s="93"/>
      <c r="J992" s="93"/>
    </row>
    <row r="993" spans="1:10" s="65" customFormat="1" ht="14" x14ac:dyDescent="0.35">
      <c r="A993" s="145"/>
      <c r="B993" s="152"/>
      <c r="C993" s="93"/>
      <c r="D993" s="93"/>
      <c r="E993" s="95"/>
      <c r="F993" s="95"/>
      <c r="G993" s="95"/>
      <c r="H993" s="93"/>
      <c r="I993" s="93"/>
      <c r="J993" s="93"/>
    </row>
    <row r="994" spans="1:10" s="65" customFormat="1" ht="14" x14ac:dyDescent="0.35">
      <c r="A994" s="145"/>
      <c r="B994" s="152"/>
      <c r="C994" s="93"/>
      <c r="D994" s="93"/>
      <c r="E994" s="95"/>
      <c r="F994" s="95"/>
      <c r="G994" s="95"/>
      <c r="H994" s="93"/>
      <c r="I994" s="93"/>
      <c r="J994" s="93"/>
    </row>
    <row r="995" spans="1:10" s="65" customFormat="1" ht="14" x14ac:dyDescent="0.35">
      <c r="A995" s="145"/>
      <c r="B995" s="152"/>
      <c r="C995" s="93"/>
      <c r="D995" s="93"/>
      <c r="E995" s="95"/>
      <c r="F995" s="95"/>
      <c r="G995" s="95"/>
      <c r="H995" s="93"/>
      <c r="I995" s="93"/>
      <c r="J995" s="93"/>
    </row>
    <row r="996" spans="1:10" s="65" customFormat="1" ht="14" x14ac:dyDescent="0.35">
      <c r="A996" s="145"/>
      <c r="B996" s="152"/>
      <c r="C996" s="93"/>
      <c r="D996" s="93"/>
      <c r="E996" s="95"/>
      <c r="F996" s="95"/>
      <c r="G996" s="95"/>
      <c r="H996" s="93"/>
      <c r="I996" s="93"/>
      <c r="J996" s="93"/>
    </row>
    <row r="997" spans="1:10" s="65" customFormat="1" ht="14" x14ac:dyDescent="0.35">
      <c r="A997" s="145"/>
      <c r="B997" s="152"/>
      <c r="C997" s="93"/>
      <c r="D997" s="93"/>
      <c r="E997" s="95"/>
      <c r="F997" s="95"/>
      <c r="G997" s="95"/>
      <c r="H997" s="93"/>
      <c r="I997" s="93"/>
      <c r="J997" s="93"/>
    </row>
    <row r="998" spans="1:10" s="65" customFormat="1" ht="14" x14ac:dyDescent="0.35">
      <c r="A998" s="145"/>
      <c r="B998" s="152"/>
      <c r="C998" s="93"/>
      <c r="D998" s="93"/>
      <c r="E998" s="95"/>
      <c r="F998" s="95"/>
      <c r="G998" s="95"/>
      <c r="H998" s="93"/>
      <c r="I998" s="93"/>
      <c r="J998" s="93"/>
    </row>
    <row r="999" spans="1:10" s="65" customFormat="1" ht="14" x14ac:dyDescent="0.35">
      <c r="A999" s="145"/>
      <c r="B999" s="152"/>
      <c r="C999" s="93"/>
      <c r="D999" s="93"/>
      <c r="E999" s="95"/>
      <c r="F999" s="95"/>
      <c r="G999" s="95"/>
      <c r="H999" s="93"/>
      <c r="I999" s="93"/>
      <c r="J999" s="93"/>
    </row>
    <row r="1000" spans="1:10" s="65" customFormat="1" ht="14" x14ac:dyDescent="0.35">
      <c r="A1000" s="145"/>
      <c r="B1000" s="152"/>
      <c r="C1000" s="93"/>
      <c r="D1000" s="93"/>
      <c r="E1000" s="95"/>
      <c r="F1000" s="95"/>
      <c r="G1000" s="95"/>
      <c r="H1000" s="93"/>
      <c r="I1000" s="93"/>
      <c r="J1000" s="93"/>
    </row>
    <row r="1001" spans="1:10" s="65" customFormat="1" ht="14" x14ac:dyDescent="0.35">
      <c r="A1001" s="145"/>
      <c r="B1001" s="152"/>
      <c r="C1001" s="93"/>
      <c r="D1001" s="93"/>
      <c r="E1001" s="95"/>
      <c r="F1001" s="95"/>
      <c r="G1001" s="95"/>
      <c r="H1001" s="93"/>
      <c r="I1001" s="93"/>
      <c r="J1001" s="93"/>
    </row>
    <row r="1002" spans="1:10" s="65" customFormat="1" ht="14" x14ac:dyDescent="0.35">
      <c r="A1002" s="145"/>
      <c r="B1002" s="152"/>
      <c r="C1002" s="93"/>
      <c r="D1002" s="93"/>
      <c r="E1002" s="95"/>
      <c r="F1002" s="95"/>
      <c r="G1002" s="95"/>
      <c r="H1002" s="93"/>
      <c r="I1002" s="93"/>
      <c r="J1002" s="93"/>
    </row>
    <row r="1003" spans="1:10" s="65" customFormat="1" ht="14" x14ac:dyDescent="0.35">
      <c r="A1003" s="145"/>
      <c r="B1003" s="152"/>
      <c r="C1003" s="93"/>
      <c r="D1003" s="93"/>
      <c r="E1003" s="95"/>
      <c r="F1003" s="95"/>
      <c r="G1003" s="95"/>
      <c r="H1003" s="93"/>
      <c r="I1003" s="93"/>
      <c r="J1003" s="93"/>
    </row>
    <row r="1004" spans="1:10" s="65" customFormat="1" ht="14" x14ac:dyDescent="0.35">
      <c r="A1004" s="145"/>
      <c r="B1004" s="152"/>
      <c r="C1004" s="93"/>
      <c r="D1004" s="93"/>
      <c r="E1004" s="95"/>
      <c r="F1004" s="95"/>
      <c r="G1004" s="95"/>
      <c r="H1004" s="93"/>
      <c r="I1004" s="93"/>
      <c r="J1004" s="93"/>
    </row>
    <row r="1005" spans="1:10" s="65" customFormat="1" ht="14" x14ac:dyDescent="0.35">
      <c r="A1005" s="145"/>
      <c r="B1005" s="152"/>
      <c r="C1005" s="93"/>
      <c r="D1005" s="93"/>
      <c r="E1005" s="95"/>
      <c r="F1005" s="95"/>
      <c r="G1005" s="95"/>
      <c r="H1005" s="93"/>
      <c r="I1005" s="93"/>
      <c r="J1005" s="93"/>
    </row>
    <row r="1006" spans="1:10" s="65" customFormat="1" ht="14" x14ac:dyDescent="0.35">
      <c r="A1006" s="145"/>
      <c r="B1006" s="152"/>
      <c r="C1006" s="93"/>
      <c r="D1006" s="93"/>
      <c r="E1006" s="95"/>
      <c r="F1006" s="95"/>
      <c r="G1006" s="95"/>
      <c r="H1006" s="93"/>
      <c r="I1006" s="93"/>
      <c r="J1006" s="93"/>
    </row>
    <row r="1007" spans="1:10" s="65" customFormat="1" ht="14" x14ac:dyDescent="0.35">
      <c r="A1007" s="145"/>
      <c r="B1007" s="152"/>
      <c r="C1007" s="93"/>
      <c r="D1007" s="93"/>
      <c r="E1007" s="95"/>
      <c r="F1007" s="95"/>
      <c r="G1007" s="95"/>
      <c r="H1007" s="93"/>
      <c r="I1007" s="93"/>
      <c r="J1007" s="93"/>
    </row>
    <row r="1008" spans="1:10" s="65" customFormat="1" ht="14" x14ac:dyDescent="0.35">
      <c r="A1008" s="145"/>
      <c r="B1008" s="152"/>
      <c r="C1008" s="93"/>
      <c r="D1008" s="93"/>
      <c r="E1008" s="95"/>
      <c r="F1008" s="95"/>
      <c r="G1008" s="95"/>
      <c r="H1008" s="93"/>
      <c r="I1008" s="93"/>
      <c r="J1008" s="93"/>
    </row>
    <row r="1009" spans="1:10" s="65" customFormat="1" ht="14" x14ac:dyDescent="0.35">
      <c r="A1009" s="145"/>
      <c r="B1009" s="152"/>
      <c r="C1009" s="93"/>
      <c r="D1009" s="93"/>
      <c r="E1009" s="95"/>
      <c r="F1009" s="95"/>
      <c r="G1009" s="95"/>
      <c r="H1009" s="93"/>
      <c r="I1009" s="93"/>
      <c r="J1009" s="93"/>
    </row>
    <row r="1010" spans="1:10" s="65" customFormat="1" ht="14" x14ac:dyDescent="0.35">
      <c r="A1010" s="145"/>
      <c r="B1010" s="152"/>
      <c r="C1010" s="93"/>
      <c r="D1010" s="93"/>
      <c r="E1010" s="95"/>
      <c r="F1010" s="95"/>
      <c r="G1010" s="95"/>
      <c r="H1010" s="93"/>
      <c r="I1010" s="93"/>
      <c r="J1010" s="93"/>
    </row>
    <row r="1011" spans="1:10" s="65" customFormat="1" ht="14" x14ac:dyDescent="0.35">
      <c r="A1011" s="145"/>
      <c r="B1011" s="152"/>
      <c r="C1011" s="93"/>
      <c r="D1011" s="93"/>
      <c r="E1011" s="95"/>
      <c r="F1011" s="95"/>
      <c r="G1011" s="95"/>
      <c r="H1011" s="93"/>
      <c r="I1011" s="93"/>
      <c r="J1011" s="93"/>
    </row>
    <row r="1012" spans="1:10" s="65" customFormat="1" ht="14" x14ac:dyDescent="0.35">
      <c r="A1012" s="145"/>
      <c r="B1012" s="152"/>
      <c r="C1012" s="93"/>
      <c r="D1012" s="93"/>
      <c r="E1012" s="95"/>
      <c r="F1012" s="95"/>
      <c r="G1012" s="95"/>
      <c r="H1012" s="93"/>
      <c r="I1012" s="93"/>
      <c r="J1012" s="93"/>
    </row>
    <row r="1013" spans="1:10" s="65" customFormat="1" ht="14" x14ac:dyDescent="0.35">
      <c r="A1013" s="145"/>
      <c r="B1013" s="152"/>
      <c r="C1013" s="93"/>
      <c r="D1013" s="93"/>
      <c r="E1013" s="95"/>
      <c r="F1013" s="95"/>
      <c r="G1013" s="95"/>
      <c r="H1013" s="93"/>
      <c r="I1013" s="93"/>
      <c r="J1013" s="93"/>
    </row>
    <row r="1014" spans="1:10" s="65" customFormat="1" ht="14" x14ac:dyDescent="0.35">
      <c r="A1014" s="145"/>
      <c r="B1014" s="152"/>
      <c r="C1014" s="93"/>
      <c r="D1014" s="93"/>
      <c r="E1014" s="95"/>
      <c r="F1014" s="95"/>
      <c r="G1014" s="95"/>
      <c r="H1014" s="93"/>
      <c r="I1014" s="93"/>
      <c r="J1014" s="93"/>
    </row>
    <row r="1015" spans="1:10" s="65" customFormat="1" ht="14" x14ac:dyDescent="0.35">
      <c r="A1015" s="145"/>
      <c r="B1015" s="152"/>
      <c r="C1015" s="93"/>
      <c r="D1015" s="93"/>
      <c r="E1015" s="95"/>
      <c r="F1015" s="95"/>
      <c r="G1015" s="95"/>
      <c r="H1015" s="93"/>
      <c r="I1015" s="93"/>
      <c r="J1015" s="93"/>
    </row>
    <row r="1016" spans="1:10" s="65" customFormat="1" ht="14" x14ac:dyDescent="0.35">
      <c r="A1016" s="145"/>
      <c r="B1016" s="152"/>
      <c r="C1016" s="93"/>
      <c r="D1016" s="93"/>
      <c r="E1016" s="95"/>
      <c r="F1016" s="95"/>
      <c r="G1016" s="95"/>
      <c r="H1016" s="93"/>
      <c r="I1016" s="93"/>
      <c r="J1016" s="93"/>
    </row>
    <row r="1017" spans="1:10" s="65" customFormat="1" ht="14" x14ac:dyDescent="0.35">
      <c r="A1017" s="145"/>
      <c r="B1017" s="152"/>
      <c r="C1017" s="93"/>
      <c r="D1017" s="93"/>
      <c r="E1017" s="95"/>
      <c r="F1017" s="95"/>
      <c r="G1017" s="95"/>
      <c r="H1017" s="93"/>
      <c r="I1017" s="93"/>
      <c r="J1017" s="93"/>
    </row>
    <row r="1018" spans="1:10" s="65" customFormat="1" ht="14" x14ac:dyDescent="0.35">
      <c r="A1018" s="145"/>
      <c r="B1018" s="152"/>
      <c r="C1018" s="93"/>
      <c r="D1018" s="93"/>
      <c r="E1018" s="95"/>
      <c r="F1018" s="95"/>
      <c r="G1018" s="95"/>
      <c r="H1018" s="93"/>
      <c r="I1018" s="93"/>
      <c r="J1018" s="93"/>
    </row>
    <row r="1019" spans="1:10" s="65" customFormat="1" ht="14" x14ac:dyDescent="0.35">
      <c r="A1019" s="145"/>
      <c r="B1019" s="152"/>
      <c r="C1019" s="93"/>
      <c r="D1019" s="93"/>
      <c r="E1019" s="95"/>
      <c r="F1019" s="95"/>
      <c r="G1019" s="95"/>
      <c r="H1019" s="93"/>
      <c r="I1019" s="93"/>
      <c r="J1019" s="93"/>
    </row>
    <row r="1020" spans="1:10" s="65" customFormat="1" ht="14" x14ac:dyDescent="0.35">
      <c r="A1020" s="145"/>
      <c r="B1020" s="152"/>
      <c r="C1020" s="93"/>
      <c r="D1020" s="93"/>
      <c r="E1020" s="95"/>
      <c r="F1020" s="95"/>
      <c r="G1020" s="95"/>
      <c r="H1020" s="93"/>
      <c r="I1020" s="93"/>
      <c r="J1020" s="93"/>
    </row>
    <row r="1021" spans="1:10" s="65" customFormat="1" ht="14" x14ac:dyDescent="0.35">
      <c r="A1021" s="145"/>
      <c r="B1021" s="152"/>
      <c r="C1021" s="93"/>
      <c r="D1021" s="93"/>
      <c r="E1021" s="95"/>
      <c r="F1021" s="95"/>
      <c r="G1021" s="95"/>
      <c r="H1021" s="93"/>
      <c r="I1021" s="93"/>
      <c r="J1021" s="93"/>
    </row>
    <row r="1022" spans="1:10" s="65" customFormat="1" ht="14" x14ac:dyDescent="0.35">
      <c r="A1022" s="145"/>
      <c r="B1022" s="152"/>
      <c r="C1022" s="93"/>
      <c r="D1022" s="93"/>
      <c r="E1022" s="95"/>
      <c r="F1022" s="95"/>
      <c r="G1022" s="95"/>
      <c r="H1022" s="93"/>
      <c r="I1022" s="93"/>
      <c r="J1022" s="93"/>
    </row>
    <row r="1023" spans="1:10" s="65" customFormat="1" ht="14" x14ac:dyDescent="0.35">
      <c r="A1023" s="145"/>
      <c r="B1023" s="152"/>
      <c r="C1023" s="93"/>
      <c r="D1023" s="93"/>
      <c r="E1023" s="95"/>
      <c r="F1023" s="95"/>
      <c r="G1023" s="95"/>
      <c r="H1023" s="93"/>
      <c r="I1023" s="93"/>
      <c r="J1023" s="93"/>
    </row>
    <row r="1024" spans="1:10" s="65" customFormat="1" ht="14" x14ac:dyDescent="0.35">
      <c r="A1024" s="145"/>
      <c r="B1024" s="152"/>
      <c r="C1024" s="93"/>
      <c r="D1024" s="93"/>
      <c r="E1024" s="95"/>
      <c r="F1024" s="95"/>
      <c r="G1024" s="95"/>
      <c r="H1024" s="93"/>
      <c r="I1024" s="93"/>
      <c r="J1024" s="93"/>
    </row>
    <row r="1025" spans="1:10" s="65" customFormat="1" ht="14" x14ac:dyDescent="0.35">
      <c r="A1025" s="145"/>
      <c r="B1025" s="152"/>
      <c r="C1025" s="93"/>
      <c r="D1025" s="93"/>
      <c r="E1025" s="95"/>
      <c r="F1025" s="95"/>
      <c r="G1025" s="95"/>
      <c r="H1025" s="93"/>
      <c r="I1025" s="93"/>
      <c r="J1025" s="93"/>
    </row>
    <row r="1026" spans="1:10" s="65" customFormat="1" ht="14" x14ac:dyDescent="0.35">
      <c r="A1026" s="145"/>
      <c r="B1026" s="152"/>
      <c r="C1026" s="93"/>
      <c r="D1026" s="93"/>
      <c r="E1026" s="95"/>
      <c r="F1026" s="95"/>
      <c r="G1026" s="95"/>
      <c r="H1026" s="93"/>
      <c r="I1026" s="93"/>
      <c r="J1026" s="93"/>
    </row>
    <row r="1027" spans="1:10" s="65" customFormat="1" ht="14" x14ac:dyDescent="0.35">
      <c r="A1027" s="145"/>
      <c r="B1027" s="152"/>
      <c r="C1027" s="93"/>
      <c r="D1027" s="93"/>
      <c r="E1027" s="95"/>
      <c r="F1027" s="95"/>
      <c r="G1027" s="95"/>
      <c r="H1027" s="93"/>
      <c r="I1027" s="93"/>
      <c r="J1027" s="93"/>
    </row>
    <row r="1028" spans="1:10" s="65" customFormat="1" ht="14" x14ac:dyDescent="0.35">
      <c r="A1028" s="145"/>
      <c r="B1028" s="152"/>
      <c r="C1028" s="93"/>
      <c r="D1028" s="93"/>
      <c r="E1028" s="95"/>
      <c r="F1028" s="95"/>
      <c r="G1028" s="95"/>
      <c r="H1028" s="93"/>
      <c r="I1028" s="93"/>
      <c r="J1028" s="93"/>
    </row>
    <row r="1029" spans="1:10" s="65" customFormat="1" ht="14" x14ac:dyDescent="0.35">
      <c r="A1029" s="145"/>
      <c r="B1029" s="152"/>
      <c r="C1029" s="93"/>
      <c r="D1029" s="93"/>
      <c r="E1029" s="95"/>
      <c r="F1029" s="95"/>
      <c r="G1029" s="95"/>
      <c r="H1029" s="93"/>
      <c r="I1029" s="93"/>
      <c r="J1029" s="93"/>
    </row>
    <row r="1030" spans="1:10" s="65" customFormat="1" ht="14" x14ac:dyDescent="0.35">
      <c r="A1030" s="145"/>
      <c r="B1030" s="152"/>
      <c r="C1030" s="93"/>
      <c r="D1030" s="93"/>
      <c r="E1030" s="95"/>
      <c r="F1030" s="95"/>
      <c r="G1030" s="95"/>
      <c r="H1030" s="93"/>
      <c r="I1030" s="93"/>
      <c r="J1030" s="93"/>
    </row>
    <row r="1031" spans="1:10" s="65" customFormat="1" ht="14" x14ac:dyDescent="0.35">
      <c r="A1031" s="145"/>
      <c r="B1031" s="152"/>
      <c r="C1031" s="93"/>
      <c r="D1031" s="93"/>
      <c r="E1031" s="95"/>
      <c r="F1031" s="95"/>
      <c r="G1031" s="95"/>
      <c r="H1031" s="93"/>
      <c r="I1031" s="93"/>
      <c r="J1031" s="93"/>
    </row>
    <row r="1032" spans="1:10" s="65" customFormat="1" ht="14" x14ac:dyDescent="0.35">
      <c r="A1032" s="145"/>
      <c r="B1032" s="152"/>
      <c r="C1032" s="93"/>
      <c r="D1032" s="93"/>
      <c r="E1032" s="95"/>
      <c r="F1032" s="95"/>
      <c r="G1032" s="95"/>
      <c r="H1032" s="93"/>
      <c r="I1032" s="93"/>
      <c r="J1032" s="93"/>
    </row>
    <row r="1033" spans="1:10" s="65" customFormat="1" ht="14" x14ac:dyDescent="0.35">
      <c r="A1033" s="145"/>
      <c r="B1033" s="152"/>
      <c r="C1033" s="93"/>
      <c r="D1033" s="93"/>
      <c r="E1033" s="95"/>
      <c r="F1033" s="95"/>
      <c r="G1033" s="95"/>
      <c r="H1033" s="93"/>
      <c r="I1033" s="93"/>
      <c r="J1033" s="93"/>
    </row>
    <row r="1034" spans="1:10" s="65" customFormat="1" ht="14" x14ac:dyDescent="0.35">
      <c r="A1034" s="145"/>
      <c r="B1034" s="152"/>
      <c r="C1034" s="93"/>
      <c r="D1034" s="93"/>
      <c r="E1034" s="95"/>
      <c r="F1034" s="95"/>
      <c r="G1034" s="95"/>
      <c r="H1034" s="93"/>
      <c r="I1034" s="93"/>
      <c r="J1034" s="93"/>
    </row>
    <row r="1035" spans="1:10" s="65" customFormat="1" ht="14" x14ac:dyDescent="0.35">
      <c r="A1035" s="145"/>
      <c r="B1035" s="152"/>
      <c r="C1035" s="93"/>
      <c r="D1035" s="93"/>
      <c r="E1035" s="95"/>
      <c r="F1035" s="95"/>
      <c r="G1035" s="95"/>
      <c r="H1035" s="93"/>
      <c r="I1035" s="93"/>
      <c r="J1035" s="93"/>
    </row>
    <row r="1036" spans="1:10" s="65" customFormat="1" ht="14" x14ac:dyDescent="0.35">
      <c r="A1036" s="145"/>
      <c r="B1036" s="152"/>
      <c r="C1036" s="93"/>
      <c r="D1036" s="93"/>
      <c r="E1036" s="95"/>
      <c r="F1036" s="95"/>
      <c r="G1036" s="95"/>
      <c r="H1036" s="93"/>
      <c r="I1036" s="93"/>
      <c r="J1036" s="93"/>
    </row>
    <row r="1037" spans="1:10" s="65" customFormat="1" ht="14" x14ac:dyDescent="0.35">
      <c r="A1037" s="145"/>
      <c r="B1037" s="152"/>
      <c r="C1037" s="93"/>
      <c r="D1037" s="93"/>
      <c r="E1037" s="95"/>
      <c r="F1037" s="95"/>
      <c r="G1037" s="95"/>
      <c r="H1037" s="93"/>
      <c r="I1037" s="93"/>
      <c r="J1037" s="93"/>
    </row>
    <row r="1038" spans="1:10" s="65" customFormat="1" ht="14" x14ac:dyDescent="0.35">
      <c r="A1038" s="145"/>
      <c r="B1038" s="152"/>
      <c r="C1038" s="93"/>
      <c r="D1038" s="93"/>
      <c r="E1038" s="95"/>
      <c r="F1038" s="95"/>
      <c r="G1038" s="95"/>
      <c r="H1038" s="93"/>
      <c r="I1038" s="93"/>
      <c r="J1038" s="93"/>
    </row>
    <row r="1039" spans="1:10" s="65" customFormat="1" ht="14" x14ac:dyDescent="0.35">
      <c r="A1039" s="145"/>
      <c r="B1039" s="152"/>
      <c r="C1039" s="93"/>
      <c r="D1039" s="93"/>
      <c r="E1039" s="95"/>
      <c r="F1039" s="95"/>
      <c r="G1039" s="95"/>
      <c r="H1039" s="93"/>
      <c r="I1039" s="93"/>
      <c r="J1039" s="93"/>
    </row>
    <row r="1040" spans="1:10" s="65" customFormat="1" ht="14" x14ac:dyDescent="0.35">
      <c r="A1040" s="145"/>
      <c r="B1040" s="152"/>
      <c r="C1040" s="93"/>
      <c r="D1040" s="93"/>
      <c r="E1040" s="95"/>
      <c r="F1040" s="95"/>
      <c r="G1040" s="95"/>
      <c r="H1040" s="93"/>
      <c r="I1040" s="93"/>
      <c r="J1040" s="93"/>
    </row>
    <row r="1041" spans="1:10" s="65" customFormat="1" ht="14" x14ac:dyDescent="0.35">
      <c r="A1041" s="145"/>
      <c r="B1041" s="152"/>
      <c r="C1041" s="93"/>
      <c r="D1041" s="93"/>
      <c r="E1041" s="95"/>
      <c r="F1041" s="95"/>
      <c r="G1041" s="95"/>
      <c r="H1041" s="93"/>
      <c r="I1041" s="93"/>
      <c r="J1041" s="93"/>
    </row>
    <row r="1042" spans="1:10" s="65" customFormat="1" ht="14" x14ac:dyDescent="0.35">
      <c r="A1042" s="145"/>
      <c r="B1042" s="152"/>
      <c r="C1042" s="93"/>
      <c r="D1042" s="93"/>
      <c r="E1042" s="95"/>
      <c r="F1042" s="95"/>
      <c r="G1042" s="95"/>
      <c r="H1042" s="93"/>
      <c r="I1042" s="93"/>
      <c r="J1042" s="93"/>
    </row>
    <row r="1043" spans="1:10" s="65" customFormat="1" ht="14" x14ac:dyDescent="0.35">
      <c r="A1043" s="145"/>
      <c r="B1043" s="152"/>
      <c r="C1043" s="93"/>
      <c r="D1043" s="93"/>
      <c r="E1043" s="95"/>
      <c r="F1043" s="95"/>
      <c r="G1043" s="95"/>
      <c r="H1043" s="93"/>
      <c r="I1043" s="93"/>
      <c r="J1043" s="93"/>
    </row>
    <row r="1044" spans="1:10" s="65" customFormat="1" ht="14" x14ac:dyDescent="0.35">
      <c r="A1044" s="145"/>
      <c r="B1044" s="152"/>
      <c r="C1044" s="93"/>
      <c r="D1044" s="93"/>
      <c r="E1044" s="95"/>
      <c r="F1044" s="95"/>
      <c r="G1044" s="95"/>
      <c r="H1044" s="93"/>
      <c r="I1044" s="93"/>
      <c r="J1044" s="93"/>
    </row>
    <row r="1045" spans="1:10" s="65" customFormat="1" ht="14" x14ac:dyDescent="0.35">
      <c r="A1045" s="145"/>
      <c r="B1045" s="152"/>
      <c r="C1045" s="93"/>
      <c r="D1045" s="93"/>
      <c r="E1045" s="95"/>
      <c r="F1045" s="95"/>
      <c r="G1045" s="95"/>
      <c r="H1045" s="93"/>
      <c r="I1045" s="93"/>
      <c r="J1045" s="93"/>
    </row>
    <row r="1046" spans="1:10" s="65" customFormat="1" ht="14" x14ac:dyDescent="0.35">
      <c r="A1046" s="145"/>
      <c r="B1046" s="152"/>
      <c r="C1046" s="93"/>
      <c r="D1046" s="93"/>
      <c r="E1046" s="95"/>
      <c r="F1046" s="95"/>
      <c r="G1046" s="95"/>
      <c r="H1046" s="93"/>
      <c r="I1046" s="93"/>
      <c r="J1046" s="93"/>
    </row>
    <row r="1047" spans="1:10" s="65" customFormat="1" ht="14" x14ac:dyDescent="0.35">
      <c r="A1047" s="145"/>
      <c r="B1047" s="152"/>
      <c r="C1047" s="93"/>
      <c r="D1047" s="93"/>
      <c r="E1047" s="95"/>
      <c r="F1047" s="95"/>
      <c r="G1047" s="95"/>
      <c r="H1047" s="93"/>
      <c r="I1047" s="93"/>
      <c r="J1047" s="93"/>
    </row>
    <row r="1048" spans="1:10" s="65" customFormat="1" ht="14" x14ac:dyDescent="0.35">
      <c r="A1048" s="145"/>
      <c r="B1048" s="152"/>
      <c r="C1048" s="93"/>
      <c r="D1048" s="93"/>
      <c r="E1048" s="95"/>
      <c r="F1048" s="95"/>
      <c r="G1048" s="95"/>
      <c r="H1048" s="93"/>
      <c r="I1048" s="93"/>
      <c r="J1048" s="93"/>
    </row>
    <row r="1049" spans="1:10" s="65" customFormat="1" ht="14" x14ac:dyDescent="0.35">
      <c r="A1049" s="145"/>
      <c r="B1049" s="152"/>
      <c r="C1049" s="93"/>
      <c r="D1049" s="93"/>
      <c r="E1049" s="95"/>
      <c r="F1049" s="95"/>
      <c r="G1049" s="95"/>
      <c r="H1049" s="93"/>
      <c r="I1049" s="93"/>
      <c r="J1049" s="93"/>
    </row>
    <row r="1050" spans="1:10" s="65" customFormat="1" ht="14" x14ac:dyDescent="0.35">
      <c r="A1050" s="145"/>
      <c r="B1050" s="152"/>
      <c r="C1050" s="93"/>
      <c r="D1050" s="93"/>
      <c r="E1050" s="95"/>
      <c r="F1050" s="95"/>
      <c r="G1050" s="95"/>
      <c r="H1050" s="93"/>
      <c r="I1050" s="93"/>
      <c r="J1050" s="93"/>
    </row>
    <row r="1051" spans="1:10" s="65" customFormat="1" ht="14" x14ac:dyDescent="0.35">
      <c r="A1051" s="145"/>
      <c r="B1051" s="152"/>
      <c r="C1051" s="93"/>
      <c r="D1051" s="93"/>
      <c r="E1051" s="95"/>
      <c r="F1051" s="95"/>
      <c r="G1051" s="95"/>
      <c r="H1051" s="93"/>
      <c r="I1051" s="93"/>
      <c r="J1051" s="93"/>
    </row>
    <row r="1052" spans="1:10" s="65" customFormat="1" ht="14" x14ac:dyDescent="0.35">
      <c r="A1052" s="145"/>
      <c r="B1052" s="152"/>
      <c r="C1052" s="93"/>
      <c r="D1052" s="93"/>
      <c r="E1052" s="95"/>
      <c r="F1052" s="95"/>
      <c r="G1052" s="95"/>
      <c r="H1052" s="93"/>
      <c r="I1052" s="93"/>
      <c r="J1052" s="93"/>
    </row>
    <row r="1053" spans="1:10" s="65" customFormat="1" ht="14" x14ac:dyDescent="0.35">
      <c r="A1053" s="145"/>
      <c r="B1053" s="152"/>
      <c r="C1053" s="93"/>
      <c r="D1053" s="93"/>
      <c r="E1053" s="95"/>
      <c r="F1053" s="95"/>
      <c r="G1053" s="95"/>
      <c r="H1053" s="93"/>
      <c r="I1053" s="93"/>
      <c r="J1053" s="93"/>
    </row>
    <row r="1054" spans="1:10" s="65" customFormat="1" ht="14" x14ac:dyDescent="0.35">
      <c r="A1054" s="145"/>
      <c r="B1054" s="152"/>
      <c r="C1054" s="93"/>
      <c r="D1054" s="93"/>
      <c r="E1054" s="95"/>
      <c r="F1054" s="95"/>
      <c r="G1054" s="95"/>
      <c r="H1054" s="93"/>
      <c r="I1054" s="93"/>
      <c r="J1054" s="93"/>
    </row>
    <row r="1055" spans="1:10" s="65" customFormat="1" ht="14" x14ac:dyDescent="0.35">
      <c r="A1055" s="145"/>
      <c r="B1055" s="152"/>
      <c r="C1055" s="93"/>
      <c r="D1055" s="93"/>
      <c r="E1055" s="95"/>
      <c r="F1055" s="95"/>
      <c r="G1055" s="95"/>
      <c r="H1055" s="93"/>
      <c r="I1055" s="93"/>
      <c r="J1055" s="93"/>
    </row>
    <row r="1056" spans="1:10" s="65" customFormat="1" ht="14" x14ac:dyDescent="0.35">
      <c r="A1056" s="145"/>
      <c r="B1056" s="152"/>
      <c r="C1056" s="93"/>
      <c r="D1056" s="93"/>
      <c r="E1056" s="95"/>
      <c r="F1056" s="95"/>
      <c r="G1056" s="95"/>
      <c r="H1056" s="93"/>
      <c r="I1056" s="93"/>
      <c r="J1056" s="93"/>
    </row>
    <row r="1057" spans="1:10" s="65" customFormat="1" ht="14" x14ac:dyDescent="0.35">
      <c r="A1057" s="145"/>
      <c r="B1057" s="152"/>
      <c r="C1057" s="93"/>
      <c r="D1057" s="93"/>
      <c r="E1057" s="95"/>
      <c r="F1057" s="95"/>
      <c r="G1057" s="95"/>
      <c r="H1057" s="93"/>
      <c r="I1057" s="93"/>
      <c r="J1057" s="93"/>
    </row>
    <row r="1058" spans="1:10" s="65" customFormat="1" ht="14" x14ac:dyDescent="0.35">
      <c r="A1058" s="145"/>
      <c r="B1058" s="152"/>
      <c r="C1058" s="93"/>
      <c r="D1058" s="93"/>
      <c r="E1058" s="95"/>
      <c r="F1058" s="95"/>
      <c r="G1058" s="95"/>
      <c r="H1058" s="93"/>
      <c r="I1058" s="93"/>
      <c r="J1058" s="93"/>
    </row>
    <row r="1059" spans="1:10" s="65" customFormat="1" ht="14" x14ac:dyDescent="0.35">
      <c r="A1059" s="145"/>
      <c r="B1059" s="152"/>
      <c r="C1059" s="93"/>
      <c r="D1059" s="93"/>
      <c r="E1059" s="95"/>
      <c r="F1059" s="95"/>
      <c r="G1059" s="95"/>
      <c r="H1059" s="93"/>
      <c r="I1059" s="93"/>
      <c r="J1059" s="93"/>
    </row>
    <row r="1060" spans="1:10" s="65" customFormat="1" ht="14" x14ac:dyDescent="0.35">
      <c r="A1060" s="145"/>
      <c r="B1060" s="152"/>
      <c r="C1060" s="93"/>
      <c r="D1060" s="93"/>
      <c r="E1060" s="95"/>
      <c r="F1060" s="95"/>
      <c r="G1060" s="95"/>
      <c r="H1060" s="93"/>
      <c r="I1060" s="93"/>
      <c r="J1060" s="93"/>
    </row>
    <row r="1061" spans="1:10" s="65" customFormat="1" ht="14" x14ac:dyDescent="0.35">
      <c r="A1061" s="145"/>
      <c r="B1061" s="152"/>
      <c r="C1061" s="93"/>
      <c r="D1061" s="93"/>
      <c r="E1061" s="95"/>
      <c r="F1061" s="95"/>
      <c r="G1061" s="95"/>
      <c r="H1061" s="93"/>
      <c r="I1061" s="93"/>
      <c r="J1061" s="93"/>
    </row>
    <row r="1062" spans="1:10" s="65" customFormat="1" ht="14" x14ac:dyDescent="0.35">
      <c r="A1062" s="145"/>
      <c r="B1062" s="152"/>
      <c r="C1062" s="93"/>
      <c r="D1062" s="93"/>
      <c r="E1062" s="95"/>
      <c r="F1062" s="95"/>
      <c r="G1062" s="95"/>
      <c r="H1062" s="93"/>
      <c r="I1062" s="93"/>
      <c r="J1062" s="93"/>
    </row>
    <row r="1063" spans="1:10" s="65" customFormat="1" ht="14" x14ac:dyDescent="0.35">
      <c r="A1063" s="145"/>
      <c r="B1063" s="152"/>
      <c r="C1063" s="93"/>
      <c r="D1063" s="93"/>
      <c r="E1063" s="95"/>
      <c r="F1063" s="95"/>
      <c r="G1063" s="95"/>
      <c r="H1063" s="93"/>
      <c r="I1063" s="93"/>
      <c r="J1063" s="93"/>
    </row>
    <row r="1064" spans="1:10" s="65" customFormat="1" ht="14" x14ac:dyDescent="0.35">
      <c r="A1064" s="145"/>
      <c r="B1064" s="152"/>
      <c r="C1064" s="93"/>
      <c r="D1064" s="93"/>
      <c r="E1064" s="95"/>
      <c r="F1064" s="95"/>
      <c r="G1064" s="95"/>
      <c r="H1064" s="93"/>
      <c r="I1064" s="93"/>
      <c r="J1064" s="93"/>
    </row>
    <row r="1065" spans="1:10" s="65" customFormat="1" ht="14" x14ac:dyDescent="0.35">
      <c r="A1065" s="145"/>
      <c r="B1065" s="152"/>
      <c r="C1065" s="93"/>
      <c r="D1065" s="93"/>
      <c r="E1065" s="95"/>
      <c r="F1065" s="95"/>
      <c r="G1065" s="95"/>
      <c r="H1065" s="93"/>
      <c r="I1065" s="93"/>
      <c r="J1065" s="93"/>
    </row>
    <row r="1066" spans="1:10" s="65" customFormat="1" ht="14" x14ac:dyDescent="0.35">
      <c r="A1066" s="145"/>
      <c r="B1066" s="152"/>
      <c r="C1066" s="93"/>
      <c r="D1066" s="93"/>
      <c r="E1066" s="95"/>
      <c r="F1066" s="95"/>
      <c r="G1066" s="95"/>
      <c r="H1066" s="93"/>
      <c r="I1066" s="93"/>
      <c r="J1066" s="93"/>
    </row>
    <row r="1067" spans="1:10" s="65" customFormat="1" ht="14" x14ac:dyDescent="0.35">
      <c r="A1067" s="145"/>
      <c r="B1067" s="152"/>
      <c r="C1067" s="93"/>
      <c r="D1067" s="93"/>
      <c r="E1067" s="95"/>
      <c r="F1067" s="95"/>
      <c r="G1067" s="95"/>
      <c r="H1067" s="93"/>
      <c r="I1067" s="93"/>
      <c r="J1067" s="93"/>
    </row>
    <row r="1068" spans="1:10" s="65" customFormat="1" ht="14" x14ac:dyDescent="0.35">
      <c r="A1068" s="145"/>
      <c r="B1068" s="152"/>
      <c r="C1068" s="93"/>
      <c r="D1068" s="93"/>
      <c r="E1068" s="95"/>
      <c r="F1068" s="95"/>
      <c r="G1068" s="95"/>
      <c r="H1068" s="93"/>
      <c r="I1068" s="93"/>
      <c r="J1068" s="93"/>
    </row>
    <row r="1069" spans="1:10" s="65" customFormat="1" ht="14" x14ac:dyDescent="0.35">
      <c r="A1069" s="145"/>
      <c r="B1069" s="152"/>
      <c r="C1069" s="93"/>
      <c r="D1069" s="93"/>
      <c r="E1069" s="95"/>
      <c r="F1069" s="95"/>
      <c r="G1069" s="95"/>
      <c r="H1069" s="93"/>
      <c r="I1069" s="93"/>
      <c r="J1069" s="93"/>
    </row>
    <row r="1070" spans="1:10" s="65" customFormat="1" ht="14" x14ac:dyDescent="0.35">
      <c r="A1070" s="145"/>
      <c r="B1070" s="152"/>
      <c r="C1070" s="93"/>
      <c r="D1070" s="93"/>
      <c r="E1070" s="95"/>
      <c r="F1070" s="95"/>
      <c r="G1070" s="95"/>
      <c r="H1070" s="93"/>
      <c r="I1070" s="93"/>
      <c r="J1070" s="93"/>
    </row>
    <row r="1071" spans="1:10" s="65" customFormat="1" ht="14" x14ac:dyDescent="0.35">
      <c r="A1071" s="145"/>
      <c r="B1071" s="152"/>
      <c r="C1071" s="93"/>
      <c r="D1071" s="93"/>
      <c r="E1071" s="95"/>
      <c r="F1071" s="95"/>
      <c r="G1071" s="95"/>
      <c r="H1071" s="93"/>
      <c r="I1071" s="93"/>
      <c r="J1071" s="93"/>
    </row>
    <row r="1072" spans="1:10" s="65" customFormat="1" ht="14" x14ac:dyDescent="0.35">
      <c r="A1072" s="145"/>
      <c r="B1072" s="152"/>
      <c r="C1072" s="93"/>
      <c r="D1072" s="93"/>
      <c r="E1072" s="95"/>
      <c r="F1072" s="95"/>
      <c r="G1072" s="95"/>
      <c r="H1072" s="93"/>
      <c r="I1072" s="93"/>
      <c r="J1072" s="93"/>
    </row>
    <row r="1073" spans="1:10" s="65" customFormat="1" ht="14" x14ac:dyDescent="0.35">
      <c r="A1073" s="145"/>
      <c r="B1073" s="152"/>
      <c r="C1073" s="93"/>
      <c r="D1073" s="93"/>
      <c r="E1073" s="95"/>
      <c r="F1073" s="95"/>
      <c r="G1073" s="95"/>
      <c r="H1073" s="93"/>
      <c r="I1073" s="93"/>
      <c r="J1073" s="93"/>
    </row>
    <row r="1074" spans="1:10" s="65" customFormat="1" ht="14" x14ac:dyDescent="0.35">
      <c r="A1074" s="145"/>
      <c r="B1074" s="152"/>
      <c r="C1074" s="93"/>
      <c r="D1074" s="93"/>
      <c r="E1074" s="95"/>
      <c r="F1074" s="95"/>
      <c r="G1074" s="95"/>
      <c r="H1074" s="93"/>
      <c r="I1074" s="93"/>
      <c r="J1074" s="93"/>
    </row>
    <row r="1075" spans="1:10" s="65" customFormat="1" ht="14" x14ac:dyDescent="0.35">
      <c r="A1075" s="145"/>
      <c r="B1075" s="152"/>
      <c r="C1075" s="93"/>
      <c r="D1075" s="93"/>
      <c r="E1075" s="95"/>
      <c r="F1075" s="95"/>
      <c r="G1075" s="95"/>
      <c r="H1075" s="93"/>
      <c r="I1075" s="93"/>
      <c r="J1075" s="93"/>
    </row>
    <row r="1076" spans="1:10" s="65" customFormat="1" ht="14" x14ac:dyDescent="0.35">
      <c r="A1076" s="145"/>
      <c r="B1076" s="152"/>
      <c r="C1076" s="93"/>
      <c r="D1076" s="93"/>
      <c r="E1076" s="95"/>
      <c r="F1076" s="95"/>
      <c r="G1076" s="95"/>
      <c r="H1076" s="93"/>
      <c r="I1076" s="93"/>
      <c r="J1076" s="93"/>
    </row>
    <row r="1077" spans="1:10" s="65" customFormat="1" ht="14" x14ac:dyDescent="0.35">
      <c r="A1077" s="145"/>
      <c r="B1077" s="152"/>
      <c r="C1077" s="93"/>
      <c r="D1077" s="93"/>
      <c r="E1077" s="95"/>
      <c r="F1077" s="95"/>
      <c r="G1077" s="95"/>
      <c r="H1077" s="93"/>
      <c r="I1077" s="93"/>
      <c r="J1077" s="93"/>
    </row>
    <row r="1078" spans="1:10" s="65" customFormat="1" ht="14" x14ac:dyDescent="0.35">
      <c r="A1078" s="145"/>
      <c r="B1078" s="152"/>
      <c r="C1078" s="93"/>
      <c r="D1078" s="93"/>
      <c r="E1078" s="95"/>
      <c r="F1078" s="95"/>
      <c r="G1078" s="95"/>
      <c r="H1078" s="93"/>
      <c r="I1078" s="93"/>
      <c r="J1078" s="93"/>
    </row>
    <row r="1079" spans="1:10" s="65" customFormat="1" ht="14" x14ac:dyDescent="0.35">
      <c r="A1079" s="145"/>
      <c r="B1079" s="152"/>
      <c r="C1079" s="93"/>
      <c r="D1079" s="93"/>
      <c r="E1079" s="95"/>
      <c r="F1079" s="95"/>
      <c r="G1079" s="95"/>
      <c r="H1079" s="93"/>
      <c r="I1079" s="93"/>
      <c r="J1079" s="93"/>
    </row>
    <row r="1080" spans="1:10" s="65" customFormat="1" ht="14" x14ac:dyDescent="0.35">
      <c r="A1080" s="145"/>
      <c r="B1080" s="152"/>
      <c r="C1080" s="93"/>
      <c r="D1080" s="93"/>
      <c r="E1080" s="95"/>
      <c r="F1080" s="95"/>
      <c r="G1080" s="95"/>
      <c r="H1080" s="93"/>
      <c r="I1080" s="93"/>
      <c r="J1080" s="93"/>
    </row>
    <row r="1081" spans="1:10" s="65" customFormat="1" ht="14" x14ac:dyDescent="0.35">
      <c r="A1081" s="145"/>
      <c r="B1081" s="152"/>
      <c r="C1081" s="93"/>
      <c r="D1081" s="93"/>
      <c r="E1081" s="95"/>
      <c r="F1081" s="95"/>
      <c r="G1081" s="95"/>
      <c r="H1081" s="93"/>
      <c r="I1081" s="93"/>
      <c r="J1081" s="93"/>
    </row>
    <row r="1082" spans="1:10" s="65" customFormat="1" ht="14" x14ac:dyDescent="0.35">
      <c r="A1082" s="145"/>
      <c r="B1082" s="152"/>
      <c r="C1082" s="93"/>
      <c r="D1082" s="93"/>
      <c r="E1082" s="95"/>
      <c r="F1082" s="95"/>
      <c r="G1082" s="95"/>
      <c r="H1082" s="93"/>
      <c r="I1082" s="93"/>
      <c r="J1082" s="93"/>
    </row>
    <row r="1083" spans="1:10" s="65" customFormat="1" ht="14" x14ac:dyDescent="0.35">
      <c r="A1083" s="145"/>
      <c r="B1083" s="152"/>
      <c r="C1083" s="93"/>
      <c r="D1083" s="93"/>
      <c r="E1083" s="95"/>
      <c r="F1083" s="95"/>
      <c r="G1083" s="95"/>
      <c r="H1083" s="93"/>
      <c r="I1083" s="93"/>
      <c r="J1083" s="93"/>
    </row>
    <row r="1084" spans="1:10" s="65" customFormat="1" ht="14" x14ac:dyDescent="0.35">
      <c r="A1084" s="145"/>
      <c r="B1084" s="152"/>
      <c r="C1084" s="93"/>
      <c r="D1084" s="93"/>
      <c r="E1084" s="95"/>
      <c r="F1084" s="95"/>
      <c r="G1084" s="95"/>
      <c r="H1084" s="93"/>
      <c r="I1084" s="93"/>
      <c r="J1084" s="93"/>
    </row>
    <row r="1085" spans="1:10" s="65" customFormat="1" ht="14" x14ac:dyDescent="0.35">
      <c r="A1085" s="145"/>
      <c r="B1085" s="152"/>
      <c r="C1085" s="93"/>
      <c r="D1085" s="93"/>
      <c r="E1085" s="95"/>
      <c r="F1085" s="95"/>
      <c r="G1085" s="95"/>
      <c r="H1085" s="93"/>
      <c r="I1085" s="93"/>
      <c r="J1085" s="93"/>
    </row>
    <row r="1086" spans="1:10" s="65" customFormat="1" ht="14" x14ac:dyDescent="0.35">
      <c r="A1086" s="145"/>
      <c r="B1086" s="152"/>
      <c r="C1086" s="93"/>
      <c r="D1086" s="93"/>
      <c r="E1086" s="95"/>
      <c r="F1086" s="95"/>
      <c r="G1086" s="95"/>
      <c r="H1086" s="93"/>
      <c r="I1086" s="93"/>
      <c r="J1086" s="93"/>
    </row>
    <row r="1087" spans="1:10" s="65" customFormat="1" ht="14" x14ac:dyDescent="0.35">
      <c r="A1087" s="145"/>
      <c r="B1087" s="152"/>
      <c r="C1087" s="93"/>
      <c r="D1087" s="93"/>
      <c r="E1087" s="95"/>
      <c r="F1087" s="95"/>
      <c r="G1087" s="95"/>
      <c r="H1087" s="93"/>
      <c r="I1087" s="93"/>
      <c r="J1087" s="93"/>
    </row>
    <row r="1088" spans="1:10" s="65" customFormat="1" ht="14" x14ac:dyDescent="0.35">
      <c r="A1088" s="145"/>
      <c r="B1088" s="152"/>
      <c r="C1088" s="93"/>
      <c r="D1088" s="93"/>
      <c r="E1088" s="95"/>
      <c r="F1088" s="95"/>
      <c r="G1088" s="95"/>
      <c r="H1088" s="93"/>
      <c r="I1088" s="93"/>
      <c r="J1088" s="93"/>
    </row>
    <row r="1089" spans="1:10" s="65" customFormat="1" ht="14" x14ac:dyDescent="0.35">
      <c r="A1089" s="145"/>
      <c r="B1089" s="152"/>
      <c r="C1089" s="93"/>
      <c r="D1089" s="93"/>
      <c r="E1089" s="95"/>
      <c r="F1089" s="95"/>
      <c r="G1089" s="95"/>
      <c r="H1089" s="93"/>
      <c r="I1089" s="93"/>
      <c r="J1089" s="93"/>
    </row>
    <row r="1090" spans="1:10" s="65" customFormat="1" ht="14" x14ac:dyDescent="0.35">
      <c r="A1090" s="145"/>
      <c r="B1090" s="152"/>
      <c r="C1090" s="93"/>
      <c r="D1090" s="93"/>
      <c r="E1090" s="95"/>
      <c r="F1090" s="95"/>
      <c r="G1090" s="95"/>
      <c r="H1090" s="93"/>
      <c r="I1090" s="93"/>
      <c r="J1090" s="93"/>
    </row>
    <row r="1091" spans="1:10" s="65" customFormat="1" ht="14" x14ac:dyDescent="0.35">
      <c r="A1091" s="145"/>
      <c r="B1091" s="152"/>
      <c r="C1091" s="93"/>
      <c r="D1091" s="93"/>
      <c r="E1091" s="95"/>
      <c r="F1091" s="95"/>
      <c r="G1091" s="95"/>
      <c r="H1091" s="93"/>
      <c r="I1091" s="93"/>
      <c r="J1091" s="93"/>
    </row>
    <row r="1092" spans="1:10" s="65" customFormat="1" ht="14" x14ac:dyDescent="0.35">
      <c r="A1092" s="145"/>
      <c r="B1092" s="152"/>
      <c r="C1092" s="93"/>
      <c r="D1092" s="93"/>
      <c r="E1092" s="95"/>
      <c r="F1092" s="95"/>
      <c r="G1092" s="95"/>
      <c r="H1092" s="93"/>
      <c r="I1092" s="93"/>
      <c r="J1092" s="93"/>
    </row>
    <row r="1093" spans="1:10" s="65" customFormat="1" ht="14" x14ac:dyDescent="0.35">
      <c r="A1093" s="145"/>
      <c r="B1093" s="152"/>
      <c r="C1093" s="93"/>
      <c r="D1093" s="93"/>
      <c r="E1093" s="95"/>
      <c r="F1093" s="95"/>
      <c r="G1093" s="95"/>
      <c r="H1093" s="93"/>
      <c r="I1093" s="93"/>
      <c r="J1093" s="93"/>
    </row>
    <row r="1094" spans="1:10" s="65" customFormat="1" ht="14" x14ac:dyDescent="0.35">
      <c r="A1094" s="145"/>
      <c r="B1094" s="152"/>
      <c r="C1094" s="93"/>
      <c r="D1094" s="93"/>
      <c r="E1094" s="95"/>
      <c r="F1094" s="95"/>
      <c r="G1094" s="95"/>
      <c r="H1094" s="93"/>
      <c r="I1094" s="93"/>
      <c r="J1094" s="93"/>
    </row>
    <row r="1095" spans="1:10" s="65" customFormat="1" ht="14" x14ac:dyDescent="0.35">
      <c r="A1095" s="145"/>
      <c r="B1095" s="152"/>
      <c r="C1095" s="93"/>
      <c r="D1095" s="93"/>
      <c r="E1095" s="95"/>
      <c r="F1095" s="95"/>
      <c r="G1095" s="95"/>
      <c r="H1095" s="93"/>
      <c r="I1095" s="93"/>
      <c r="J1095" s="93"/>
    </row>
    <row r="1096" spans="1:10" s="65" customFormat="1" ht="14" x14ac:dyDescent="0.35">
      <c r="A1096" s="145"/>
      <c r="B1096" s="152"/>
      <c r="C1096" s="93"/>
      <c r="D1096" s="93"/>
      <c r="E1096" s="95"/>
      <c r="F1096" s="95"/>
      <c r="G1096" s="95"/>
      <c r="H1096" s="93"/>
      <c r="I1096" s="93"/>
      <c r="J1096" s="93"/>
    </row>
    <row r="1097" spans="1:10" s="65" customFormat="1" ht="14" x14ac:dyDescent="0.35">
      <c r="A1097" s="145"/>
      <c r="B1097" s="152"/>
      <c r="C1097" s="93"/>
      <c r="D1097" s="93"/>
      <c r="E1097" s="95"/>
      <c r="F1097" s="95"/>
      <c r="G1097" s="95"/>
      <c r="H1097" s="93"/>
      <c r="I1097" s="93"/>
      <c r="J1097" s="93"/>
    </row>
    <row r="1098" spans="1:10" s="65" customFormat="1" ht="14" x14ac:dyDescent="0.35">
      <c r="A1098" s="145"/>
      <c r="B1098" s="152"/>
      <c r="C1098" s="93"/>
      <c r="D1098" s="93"/>
      <c r="E1098" s="95"/>
      <c r="F1098" s="95"/>
      <c r="G1098" s="95"/>
      <c r="H1098" s="93"/>
      <c r="I1098" s="93"/>
      <c r="J1098" s="93"/>
    </row>
    <row r="1099" spans="1:10" s="65" customFormat="1" ht="14" x14ac:dyDescent="0.35">
      <c r="A1099" s="145"/>
      <c r="B1099" s="152"/>
      <c r="C1099" s="93"/>
      <c r="D1099" s="93"/>
      <c r="E1099" s="95"/>
      <c r="F1099" s="95"/>
      <c r="G1099" s="95"/>
      <c r="H1099" s="93"/>
      <c r="I1099" s="93"/>
      <c r="J1099" s="93"/>
    </row>
    <row r="1100" spans="1:10" s="65" customFormat="1" ht="14" x14ac:dyDescent="0.35">
      <c r="A1100" s="145"/>
      <c r="B1100" s="152"/>
      <c r="C1100" s="93"/>
      <c r="D1100" s="93"/>
      <c r="E1100" s="95"/>
      <c r="F1100" s="95"/>
      <c r="G1100" s="95"/>
      <c r="H1100" s="93"/>
      <c r="I1100" s="93"/>
      <c r="J1100" s="93"/>
    </row>
    <row r="1101" spans="1:10" s="65" customFormat="1" ht="14" x14ac:dyDescent="0.35">
      <c r="A1101" s="145"/>
      <c r="B1101" s="152"/>
      <c r="C1101" s="93"/>
      <c r="D1101" s="93"/>
      <c r="E1101" s="95"/>
      <c r="F1101" s="95"/>
      <c r="G1101" s="95"/>
      <c r="H1101" s="93"/>
      <c r="I1101" s="93"/>
      <c r="J1101" s="93"/>
    </row>
    <row r="1102" spans="1:10" s="65" customFormat="1" ht="14" x14ac:dyDescent="0.35">
      <c r="A1102" s="145"/>
      <c r="B1102" s="152"/>
      <c r="C1102" s="93"/>
      <c r="D1102" s="93"/>
      <c r="E1102" s="95"/>
      <c r="F1102" s="95"/>
      <c r="G1102" s="95"/>
      <c r="H1102" s="93"/>
      <c r="I1102" s="93"/>
      <c r="J1102" s="93"/>
    </row>
    <row r="1103" spans="1:10" s="65" customFormat="1" ht="14" x14ac:dyDescent="0.35">
      <c r="A1103" s="145"/>
      <c r="B1103" s="152"/>
      <c r="C1103" s="93"/>
      <c r="D1103" s="93"/>
      <c r="E1103" s="95"/>
      <c r="F1103" s="95"/>
      <c r="G1103" s="95"/>
      <c r="H1103" s="93"/>
      <c r="I1103" s="93"/>
      <c r="J1103" s="93"/>
    </row>
    <row r="1104" spans="1:10" s="65" customFormat="1" ht="14" x14ac:dyDescent="0.35">
      <c r="A1104" s="145"/>
      <c r="B1104" s="152"/>
      <c r="C1104" s="93"/>
      <c r="D1104" s="93"/>
      <c r="E1104" s="95"/>
      <c r="F1104" s="95"/>
      <c r="G1104" s="95"/>
      <c r="H1104" s="93"/>
      <c r="I1104" s="93"/>
      <c r="J1104" s="93"/>
    </row>
    <row r="1105" spans="1:10" s="65" customFormat="1" ht="14" x14ac:dyDescent="0.35">
      <c r="A1105" s="145"/>
      <c r="B1105" s="152"/>
      <c r="C1105" s="93"/>
      <c r="D1105" s="93"/>
      <c r="E1105" s="95"/>
      <c r="F1105" s="95"/>
      <c r="G1105" s="95"/>
      <c r="H1105" s="93"/>
      <c r="I1105" s="93"/>
      <c r="J1105" s="93"/>
    </row>
    <row r="1106" spans="1:10" s="65" customFormat="1" ht="14" x14ac:dyDescent="0.35">
      <c r="A1106" s="145"/>
      <c r="B1106" s="152"/>
      <c r="C1106" s="93"/>
      <c r="D1106" s="93"/>
      <c r="E1106" s="95"/>
      <c r="F1106" s="95"/>
      <c r="G1106" s="95"/>
      <c r="H1106" s="93"/>
      <c r="I1106" s="93"/>
      <c r="J1106" s="93"/>
    </row>
    <row r="1107" spans="1:10" s="65" customFormat="1" ht="14" x14ac:dyDescent="0.35">
      <c r="A1107" s="145"/>
      <c r="B1107" s="152"/>
      <c r="C1107" s="93"/>
      <c r="D1107" s="93"/>
      <c r="E1107" s="95"/>
      <c r="F1107" s="95"/>
      <c r="G1107" s="95"/>
      <c r="H1107" s="93"/>
      <c r="I1107" s="93"/>
      <c r="J1107" s="93"/>
    </row>
    <row r="1108" spans="1:10" s="65" customFormat="1" ht="14" x14ac:dyDescent="0.35">
      <c r="A1108" s="145"/>
      <c r="B1108" s="152"/>
      <c r="C1108" s="93"/>
      <c r="D1108" s="93"/>
      <c r="E1108" s="95"/>
      <c r="F1108" s="95"/>
      <c r="G1108" s="95"/>
      <c r="H1108" s="93"/>
      <c r="I1108" s="93"/>
      <c r="J1108" s="93"/>
    </row>
    <row r="1109" spans="1:10" s="65" customFormat="1" ht="14" x14ac:dyDescent="0.35">
      <c r="A1109" s="145"/>
      <c r="B1109" s="152"/>
      <c r="C1109" s="93"/>
      <c r="D1109" s="93"/>
      <c r="E1109" s="95"/>
      <c r="F1109" s="95"/>
      <c r="G1109" s="95"/>
      <c r="H1109" s="93"/>
      <c r="I1109" s="93"/>
      <c r="J1109" s="93"/>
    </row>
    <row r="1110" spans="1:10" s="65" customFormat="1" ht="14" x14ac:dyDescent="0.35">
      <c r="A1110" s="145"/>
      <c r="B1110" s="152"/>
      <c r="C1110" s="93"/>
      <c r="D1110" s="93"/>
      <c r="E1110" s="95"/>
      <c r="F1110" s="95"/>
      <c r="G1110" s="95"/>
      <c r="H1110" s="93"/>
      <c r="I1110" s="93"/>
      <c r="J1110" s="93"/>
    </row>
    <row r="1111" spans="1:10" s="65" customFormat="1" ht="14" x14ac:dyDescent="0.35">
      <c r="A1111" s="145"/>
      <c r="B1111" s="152"/>
      <c r="C1111" s="93"/>
      <c r="D1111" s="93"/>
      <c r="E1111" s="95"/>
      <c r="F1111" s="95"/>
      <c r="G1111" s="95"/>
      <c r="H1111" s="93"/>
      <c r="I1111" s="93"/>
      <c r="J1111" s="93"/>
    </row>
    <row r="1112" spans="1:10" s="65" customFormat="1" ht="14" x14ac:dyDescent="0.35">
      <c r="A1112" s="145"/>
      <c r="B1112" s="152"/>
      <c r="C1112" s="93"/>
      <c r="D1112" s="93"/>
      <c r="E1112" s="95"/>
      <c r="F1112" s="95"/>
      <c r="G1112" s="95"/>
      <c r="H1112" s="93"/>
      <c r="I1112" s="93"/>
      <c r="J1112" s="93"/>
    </row>
    <row r="1113" spans="1:10" s="65" customFormat="1" ht="14" x14ac:dyDescent="0.35">
      <c r="A1113" s="145"/>
      <c r="B1113" s="152"/>
      <c r="C1113" s="93"/>
      <c r="D1113" s="93"/>
      <c r="E1113" s="95"/>
      <c r="F1113" s="95"/>
      <c r="G1113" s="95"/>
      <c r="H1113" s="93"/>
      <c r="I1113" s="93"/>
      <c r="J1113" s="93"/>
    </row>
    <row r="1114" spans="1:10" s="65" customFormat="1" ht="14" x14ac:dyDescent="0.35">
      <c r="A1114" s="145"/>
      <c r="B1114" s="152"/>
      <c r="C1114" s="93"/>
      <c r="D1114" s="93"/>
      <c r="E1114" s="95"/>
      <c r="F1114" s="95"/>
      <c r="G1114" s="95"/>
      <c r="H1114" s="93"/>
      <c r="I1114" s="93"/>
      <c r="J1114" s="93"/>
    </row>
    <row r="1115" spans="1:10" s="65" customFormat="1" ht="14" x14ac:dyDescent="0.35">
      <c r="A1115" s="145"/>
      <c r="B1115" s="152"/>
      <c r="C1115" s="93"/>
      <c r="D1115" s="93"/>
      <c r="E1115" s="95"/>
      <c r="F1115" s="95"/>
      <c r="G1115" s="95"/>
      <c r="H1115" s="93"/>
      <c r="I1115" s="93"/>
      <c r="J1115" s="93"/>
    </row>
    <row r="1116" spans="1:10" s="65" customFormat="1" ht="14" x14ac:dyDescent="0.35">
      <c r="A1116" s="145"/>
      <c r="B1116" s="152"/>
      <c r="C1116" s="93"/>
      <c r="D1116" s="93"/>
      <c r="E1116" s="95"/>
      <c r="F1116" s="95"/>
      <c r="G1116" s="95"/>
      <c r="H1116" s="93"/>
      <c r="I1116" s="93"/>
      <c r="J1116" s="93"/>
    </row>
    <row r="1117" spans="1:10" s="65" customFormat="1" ht="14" x14ac:dyDescent="0.35">
      <c r="A1117" s="145"/>
      <c r="B1117" s="152"/>
      <c r="C1117" s="93"/>
      <c r="D1117" s="93"/>
      <c r="E1117" s="95"/>
      <c r="F1117" s="95"/>
      <c r="G1117" s="95"/>
      <c r="H1117" s="93"/>
      <c r="I1117" s="93"/>
      <c r="J1117" s="93"/>
    </row>
    <row r="1118" spans="1:10" s="65" customFormat="1" ht="14" x14ac:dyDescent="0.35">
      <c r="A1118" s="145"/>
      <c r="B1118" s="152"/>
      <c r="C1118" s="93"/>
      <c r="D1118" s="93"/>
      <c r="E1118" s="95"/>
      <c r="F1118" s="95"/>
      <c r="G1118" s="95"/>
      <c r="H1118" s="93"/>
      <c r="I1118" s="93"/>
      <c r="J1118" s="93"/>
    </row>
    <row r="1119" spans="1:10" s="65" customFormat="1" ht="14" x14ac:dyDescent="0.35">
      <c r="A1119" s="145"/>
      <c r="B1119" s="152"/>
      <c r="C1119" s="93"/>
      <c r="D1119" s="93"/>
      <c r="E1119" s="95"/>
      <c r="F1119" s="95"/>
      <c r="G1119" s="95"/>
      <c r="H1119" s="93"/>
      <c r="I1119" s="93"/>
      <c r="J1119" s="93"/>
    </row>
    <row r="1120" spans="1:10" s="65" customFormat="1" ht="14" x14ac:dyDescent="0.35">
      <c r="A1120" s="145"/>
      <c r="B1120" s="152"/>
      <c r="C1120" s="93"/>
      <c r="D1120" s="93"/>
      <c r="E1120" s="95"/>
      <c r="F1120" s="95"/>
      <c r="G1120" s="95"/>
      <c r="H1120" s="93"/>
      <c r="I1120" s="93"/>
      <c r="J1120" s="93"/>
    </row>
    <row r="1121" spans="1:10" s="65" customFormat="1" ht="14" x14ac:dyDescent="0.35">
      <c r="A1121" s="145"/>
      <c r="B1121" s="152"/>
      <c r="C1121" s="93"/>
      <c r="D1121" s="93"/>
      <c r="E1121" s="95"/>
      <c r="F1121" s="95"/>
      <c r="G1121" s="95"/>
      <c r="H1121" s="93"/>
      <c r="I1121" s="93"/>
      <c r="J1121" s="93"/>
    </row>
    <row r="1122" spans="1:10" s="65" customFormat="1" ht="14" x14ac:dyDescent="0.35">
      <c r="A1122" s="145"/>
      <c r="B1122" s="152"/>
      <c r="C1122" s="93"/>
      <c r="D1122" s="93"/>
      <c r="E1122" s="95"/>
      <c r="F1122" s="95"/>
      <c r="G1122" s="95"/>
      <c r="H1122" s="93"/>
      <c r="I1122" s="93"/>
      <c r="J1122" s="93"/>
    </row>
    <row r="1123" spans="1:10" s="65" customFormat="1" ht="14" x14ac:dyDescent="0.35">
      <c r="A1123" s="145"/>
      <c r="B1123" s="152"/>
      <c r="C1123" s="93"/>
      <c r="D1123" s="93"/>
      <c r="E1123" s="95"/>
      <c r="F1123" s="95"/>
      <c r="G1123" s="95"/>
      <c r="H1123" s="93"/>
      <c r="I1123" s="93"/>
      <c r="J1123" s="93"/>
    </row>
    <row r="1124" spans="1:10" s="65" customFormat="1" ht="14" x14ac:dyDescent="0.35">
      <c r="A1124" s="145"/>
      <c r="B1124" s="152"/>
      <c r="C1124" s="93"/>
      <c r="D1124" s="93"/>
      <c r="E1124" s="95"/>
      <c r="F1124" s="95"/>
      <c r="G1124" s="95"/>
      <c r="H1124" s="93"/>
      <c r="I1124" s="93"/>
      <c r="J1124" s="93"/>
    </row>
    <row r="1125" spans="1:10" s="65" customFormat="1" ht="14" x14ac:dyDescent="0.35">
      <c r="A1125" s="145"/>
      <c r="B1125" s="152"/>
      <c r="C1125" s="93"/>
      <c r="D1125" s="93"/>
      <c r="E1125" s="95"/>
      <c r="F1125" s="95"/>
      <c r="G1125" s="95"/>
      <c r="H1125" s="93"/>
      <c r="I1125" s="93"/>
      <c r="J1125" s="93"/>
    </row>
    <row r="1126" spans="1:10" s="65" customFormat="1" ht="14" x14ac:dyDescent="0.35">
      <c r="A1126" s="145"/>
      <c r="B1126" s="152"/>
      <c r="C1126" s="93"/>
      <c r="D1126" s="93"/>
      <c r="E1126" s="95"/>
      <c r="F1126" s="95"/>
      <c r="G1126" s="95"/>
      <c r="H1126" s="93"/>
      <c r="I1126" s="93"/>
      <c r="J1126" s="93"/>
    </row>
    <row r="1127" spans="1:10" s="65" customFormat="1" ht="14" x14ac:dyDescent="0.35">
      <c r="A1127" s="145"/>
      <c r="B1127" s="152"/>
      <c r="C1127" s="93"/>
      <c r="D1127" s="93"/>
      <c r="E1127" s="95"/>
      <c r="F1127" s="95"/>
      <c r="G1127" s="95"/>
      <c r="H1127" s="93"/>
      <c r="I1127" s="93"/>
      <c r="J1127" s="93"/>
    </row>
    <row r="1128" spans="1:10" s="65" customFormat="1" ht="14" x14ac:dyDescent="0.35">
      <c r="A1128" s="145"/>
      <c r="B1128" s="152"/>
      <c r="C1128" s="93"/>
      <c r="D1128" s="93"/>
      <c r="E1128" s="95"/>
      <c r="F1128" s="95"/>
      <c r="G1128" s="95"/>
      <c r="H1128" s="93"/>
      <c r="I1128" s="93"/>
      <c r="J1128" s="93"/>
    </row>
    <row r="1129" spans="1:10" s="65" customFormat="1" ht="14" x14ac:dyDescent="0.35">
      <c r="A1129" s="145"/>
      <c r="B1129" s="152"/>
      <c r="C1129" s="93"/>
      <c r="D1129" s="93"/>
      <c r="E1129" s="95"/>
      <c r="F1129" s="95"/>
      <c r="G1129" s="95"/>
      <c r="H1129" s="93"/>
      <c r="I1129" s="93"/>
      <c r="J1129" s="93"/>
    </row>
    <row r="1130" spans="1:10" s="65" customFormat="1" ht="14" x14ac:dyDescent="0.35">
      <c r="A1130" s="145"/>
      <c r="B1130" s="152"/>
      <c r="C1130" s="93"/>
      <c r="D1130" s="93"/>
      <c r="E1130" s="95"/>
      <c r="F1130" s="95"/>
      <c r="G1130" s="95"/>
      <c r="H1130" s="93"/>
      <c r="I1130" s="93"/>
      <c r="J1130" s="93"/>
    </row>
    <row r="1131" spans="1:10" s="65" customFormat="1" ht="14" x14ac:dyDescent="0.35">
      <c r="A1131" s="145"/>
      <c r="B1131" s="152"/>
      <c r="C1131" s="93"/>
      <c r="D1131" s="93"/>
      <c r="E1131" s="95"/>
      <c r="F1131" s="95"/>
      <c r="G1131" s="95"/>
      <c r="H1131" s="93"/>
      <c r="I1131" s="93"/>
      <c r="J1131" s="93"/>
    </row>
    <row r="1132" spans="1:10" s="65" customFormat="1" ht="14" x14ac:dyDescent="0.35">
      <c r="A1132" s="145"/>
      <c r="B1132" s="152"/>
      <c r="C1132" s="93"/>
      <c r="D1132" s="93"/>
      <c r="E1132" s="95"/>
      <c r="F1132" s="95"/>
      <c r="G1132" s="95"/>
      <c r="H1132" s="93"/>
      <c r="I1132" s="93"/>
      <c r="J1132" s="93"/>
    </row>
    <row r="1133" spans="1:10" s="65" customFormat="1" ht="14" x14ac:dyDescent="0.35">
      <c r="A1133" s="145"/>
      <c r="B1133" s="152"/>
      <c r="C1133" s="93"/>
      <c r="D1133" s="93"/>
      <c r="E1133" s="95"/>
      <c r="F1133" s="95"/>
      <c r="G1133" s="95"/>
      <c r="H1133" s="93"/>
      <c r="I1133" s="93"/>
      <c r="J1133" s="93"/>
    </row>
    <row r="1134" spans="1:10" s="65" customFormat="1" ht="14" x14ac:dyDescent="0.35">
      <c r="A1134" s="145"/>
      <c r="B1134" s="152"/>
      <c r="C1134" s="93"/>
      <c r="D1134" s="93"/>
      <c r="E1134" s="95"/>
      <c r="F1134" s="95"/>
      <c r="G1134" s="95"/>
      <c r="H1134" s="93"/>
      <c r="I1134" s="93"/>
      <c r="J1134" s="93"/>
    </row>
    <row r="1135" spans="1:10" s="65" customFormat="1" ht="14" x14ac:dyDescent="0.35">
      <c r="A1135" s="145"/>
      <c r="B1135" s="152"/>
      <c r="C1135" s="93"/>
      <c r="D1135" s="93"/>
      <c r="E1135" s="95"/>
      <c r="F1135" s="95"/>
      <c r="G1135" s="95"/>
      <c r="H1135" s="93"/>
      <c r="I1135" s="93"/>
      <c r="J1135" s="93"/>
    </row>
    <row r="1136" spans="1:10" s="65" customFormat="1" ht="14" x14ac:dyDescent="0.35">
      <c r="A1136" s="145"/>
      <c r="B1136" s="152"/>
      <c r="C1136" s="93"/>
      <c r="D1136" s="93"/>
      <c r="E1136" s="95"/>
      <c r="F1136" s="95"/>
      <c r="G1136" s="95"/>
      <c r="H1136" s="93"/>
      <c r="I1136" s="93"/>
      <c r="J1136" s="93"/>
    </row>
    <row r="1137" spans="1:10" s="65" customFormat="1" ht="14" x14ac:dyDescent="0.35">
      <c r="A1137" s="145"/>
      <c r="B1137" s="152"/>
      <c r="C1137" s="93"/>
      <c r="D1137" s="93"/>
      <c r="E1137" s="95"/>
      <c r="F1137" s="95"/>
      <c r="G1137" s="95"/>
      <c r="H1137" s="93"/>
      <c r="I1137" s="93"/>
      <c r="J1137" s="93"/>
    </row>
    <row r="1138" spans="1:10" s="65" customFormat="1" ht="14" x14ac:dyDescent="0.35">
      <c r="A1138" s="145"/>
      <c r="B1138" s="152"/>
      <c r="C1138" s="93"/>
      <c r="D1138" s="93"/>
      <c r="E1138" s="95"/>
      <c r="F1138" s="95"/>
      <c r="G1138" s="95"/>
      <c r="H1138" s="93"/>
      <c r="I1138" s="93"/>
      <c r="J1138" s="93"/>
    </row>
    <row r="1139" spans="1:10" s="65" customFormat="1" ht="14" x14ac:dyDescent="0.35">
      <c r="A1139" s="145"/>
      <c r="B1139" s="152"/>
      <c r="C1139" s="93"/>
      <c r="D1139" s="93"/>
      <c r="E1139" s="95"/>
      <c r="F1139" s="95"/>
      <c r="G1139" s="95"/>
      <c r="H1139" s="93"/>
      <c r="I1139" s="93"/>
      <c r="J1139" s="93"/>
    </row>
    <row r="1140" spans="1:10" s="65" customFormat="1" ht="14" x14ac:dyDescent="0.35">
      <c r="A1140" s="145"/>
      <c r="B1140" s="152"/>
      <c r="C1140" s="93"/>
      <c r="D1140" s="93"/>
      <c r="E1140" s="95"/>
      <c r="F1140" s="95"/>
      <c r="G1140" s="95"/>
      <c r="H1140" s="93"/>
      <c r="I1140" s="93"/>
      <c r="J1140" s="93"/>
    </row>
    <row r="1141" spans="1:10" s="65" customFormat="1" ht="14" x14ac:dyDescent="0.35">
      <c r="A1141" s="145"/>
      <c r="B1141" s="152"/>
      <c r="C1141" s="93"/>
      <c r="D1141" s="93"/>
      <c r="E1141" s="95"/>
      <c r="F1141" s="95"/>
      <c r="G1141" s="95"/>
      <c r="H1141" s="93"/>
      <c r="I1141" s="93"/>
      <c r="J1141" s="93"/>
    </row>
    <row r="1142" spans="1:10" s="65" customFormat="1" ht="14" x14ac:dyDescent="0.35">
      <c r="A1142" s="145"/>
      <c r="B1142" s="152"/>
      <c r="C1142" s="93"/>
      <c r="D1142" s="93"/>
      <c r="E1142" s="95"/>
      <c r="F1142" s="95"/>
      <c r="G1142" s="95"/>
      <c r="H1142" s="93"/>
      <c r="I1142" s="93"/>
      <c r="J1142" s="93"/>
    </row>
    <row r="1143" spans="1:10" s="65" customFormat="1" ht="14" x14ac:dyDescent="0.35">
      <c r="A1143" s="145"/>
      <c r="B1143" s="152"/>
      <c r="C1143" s="93"/>
      <c r="D1143" s="93"/>
      <c r="E1143" s="95"/>
      <c r="F1143" s="95"/>
      <c r="G1143" s="95"/>
      <c r="H1143" s="93"/>
      <c r="I1143" s="93"/>
      <c r="J1143" s="93"/>
    </row>
    <row r="1144" spans="1:10" s="65" customFormat="1" ht="14" x14ac:dyDescent="0.35">
      <c r="A1144" s="145"/>
      <c r="B1144" s="152"/>
      <c r="C1144" s="93"/>
      <c r="D1144" s="93"/>
      <c r="E1144" s="95"/>
      <c r="F1144" s="95"/>
      <c r="G1144" s="95"/>
      <c r="H1144" s="93"/>
      <c r="I1144" s="93"/>
      <c r="J1144" s="93"/>
    </row>
    <row r="1145" spans="1:10" s="65" customFormat="1" ht="14" x14ac:dyDescent="0.35">
      <c r="A1145" s="145"/>
      <c r="B1145" s="152"/>
      <c r="C1145" s="93"/>
      <c r="D1145" s="93"/>
      <c r="E1145" s="95"/>
      <c r="F1145" s="95"/>
      <c r="G1145" s="95"/>
      <c r="H1145" s="93"/>
      <c r="I1145" s="93"/>
      <c r="J1145" s="93"/>
    </row>
    <row r="1146" spans="1:10" s="65" customFormat="1" ht="14" x14ac:dyDescent="0.35">
      <c r="A1146" s="145"/>
      <c r="B1146" s="152"/>
      <c r="C1146" s="93"/>
      <c r="D1146" s="93"/>
      <c r="E1146" s="95"/>
      <c r="F1146" s="95"/>
      <c r="G1146" s="95"/>
      <c r="H1146" s="93"/>
      <c r="I1146" s="93"/>
      <c r="J1146" s="93"/>
    </row>
    <row r="1147" spans="1:10" s="65" customFormat="1" ht="14" x14ac:dyDescent="0.35">
      <c r="A1147" s="145"/>
      <c r="B1147" s="152"/>
      <c r="C1147" s="93"/>
      <c r="D1147" s="93"/>
      <c r="E1147" s="95"/>
      <c r="F1147" s="95"/>
      <c r="G1147" s="95"/>
      <c r="H1147" s="93"/>
      <c r="I1147" s="93"/>
      <c r="J1147" s="93"/>
    </row>
    <row r="1148" spans="1:10" s="65" customFormat="1" ht="14" x14ac:dyDescent="0.35">
      <c r="A1148" s="145"/>
      <c r="B1148" s="152"/>
      <c r="C1148" s="93"/>
      <c r="D1148" s="93"/>
      <c r="E1148" s="95"/>
      <c r="F1148" s="95"/>
      <c r="G1148" s="95"/>
      <c r="H1148" s="93"/>
      <c r="I1148" s="93"/>
      <c r="J1148" s="93"/>
    </row>
    <row r="1149" spans="1:10" s="65" customFormat="1" ht="14" x14ac:dyDescent="0.35">
      <c r="A1149" s="145"/>
      <c r="B1149" s="152"/>
      <c r="C1149" s="93"/>
      <c r="D1149" s="93"/>
      <c r="E1149" s="95"/>
      <c r="F1149" s="95"/>
      <c r="G1149" s="95"/>
      <c r="H1149" s="93"/>
      <c r="I1149" s="93"/>
      <c r="J1149" s="93"/>
    </row>
    <row r="1150" spans="1:10" s="65" customFormat="1" ht="14" x14ac:dyDescent="0.35">
      <c r="A1150" s="145"/>
      <c r="B1150" s="152"/>
      <c r="C1150" s="93"/>
      <c r="D1150" s="93"/>
      <c r="E1150" s="95"/>
      <c r="F1150" s="95"/>
      <c r="G1150" s="95"/>
      <c r="H1150" s="93"/>
      <c r="I1150" s="93"/>
      <c r="J1150" s="93"/>
    </row>
    <row r="1151" spans="1:10" s="65" customFormat="1" ht="14" x14ac:dyDescent="0.35">
      <c r="A1151" s="145"/>
      <c r="B1151" s="152"/>
      <c r="C1151" s="93"/>
      <c r="D1151" s="93"/>
      <c r="E1151" s="95"/>
      <c r="F1151" s="95"/>
      <c r="G1151" s="95"/>
      <c r="H1151" s="93"/>
      <c r="I1151" s="93"/>
      <c r="J1151" s="93"/>
    </row>
    <row r="1152" spans="1:10" s="65" customFormat="1" ht="14" x14ac:dyDescent="0.35">
      <c r="A1152" s="145"/>
      <c r="B1152" s="152"/>
      <c r="C1152" s="93"/>
      <c r="D1152" s="93"/>
      <c r="E1152" s="95"/>
      <c r="F1152" s="95"/>
      <c r="G1152" s="95"/>
      <c r="H1152" s="93"/>
      <c r="I1152" s="93"/>
      <c r="J1152" s="93"/>
    </row>
    <row r="1153" spans="1:10" s="65" customFormat="1" ht="14" x14ac:dyDescent="0.35">
      <c r="A1153" s="145"/>
      <c r="B1153" s="152"/>
      <c r="C1153" s="93"/>
      <c r="D1153" s="93"/>
      <c r="E1153" s="95"/>
      <c r="F1153" s="95"/>
      <c r="G1153" s="95"/>
      <c r="H1153" s="93"/>
      <c r="I1153" s="93"/>
      <c r="J1153" s="93"/>
    </row>
    <row r="1154" spans="1:10" s="65" customFormat="1" ht="14" x14ac:dyDescent="0.35">
      <c r="A1154" s="145"/>
      <c r="B1154" s="152"/>
      <c r="C1154" s="93"/>
      <c r="D1154" s="93"/>
      <c r="E1154" s="95"/>
      <c r="F1154" s="95"/>
      <c r="G1154" s="95"/>
      <c r="H1154" s="93"/>
      <c r="I1154" s="93"/>
      <c r="J1154" s="93"/>
    </row>
    <row r="1155" spans="1:10" s="65" customFormat="1" ht="14" x14ac:dyDescent="0.35">
      <c r="A1155" s="145"/>
      <c r="B1155" s="152"/>
      <c r="C1155" s="93"/>
      <c r="D1155" s="93"/>
      <c r="E1155" s="95"/>
      <c r="F1155" s="95"/>
      <c r="G1155" s="95"/>
      <c r="H1155" s="93"/>
      <c r="I1155" s="93"/>
      <c r="J1155" s="93"/>
    </row>
    <row r="1156" spans="1:10" s="65" customFormat="1" ht="14" x14ac:dyDescent="0.35">
      <c r="A1156" s="145"/>
      <c r="B1156" s="152"/>
      <c r="C1156" s="93"/>
      <c r="D1156" s="93"/>
      <c r="E1156" s="95"/>
      <c r="F1156" s="95"/>
      <c r="G1156" s="95"/>
      <c r="H1156" s="93"/>
      <c r="I1156" s="93"/>
      <c r="J1156" s="93"/>
    </row>
    <row r="1157" spans="1:10" s="65" customFormat="1" ht="14" x14ac:dyDescent="0.35">
      <c r="A1157" s="145"/>
      <c r="B1157" s="152"/>
      <c r="C1157" s="93"/>
      <c r="D1157" s="93"/>
      <c r="E1157" s="95"/>
      <c r="F1157" s="95"/>
      <c r="G1157" s="95"/>
      <c r="H1157" s="93"/>
      <c r="I1157" s="93"/>
      <c r="J1157" s="93"/>
    </row>
    <row r="1158" spans="1:10" s="65" customFormat="1" ht="14" x14ac:dyDescent="0.35">
      <c r="A1158" s="145"/>
      <c r="B1158" s="152"/>
      <c r="C1158" s="93"/>
      <c r="D1158" s="93"/>
      <c r="E1158" s="95"/>
      <c r="F1158" s="95"/>
      <c r="G1158" s="95"/>
      <c r="H1158" s="93"/>
      <c r="I1158" s="93"/>
      <c r="J1158" s="93"/>
    </row>
    <row r="1159" spans="1:10" s="65" customFormat="1" ht="14" x14ac:dyDescent="0.35">
      <c r="A1159" s="145"/>
      <c r="B1159" s="152"/>
      <c r="C1159" s="93"/>
      <c r="D1159" s="93"/>
      <c r="E1159" s="95"/>
      <c r="F1159" s="95"/>
      <c r="G1159" s="95"/>
      <c r="H1159" s="93"/>
      <c r="I1159" s="93"/>
      <c r="J1159" s="93"/>
    </row>
    <row r="1160" spans="1:10" s="65" customFormat="1" ht="14" x14ac:dyDescent="0.35">
      <c r="A1160" s="145"/>
      <c r="B1160" s="152"/>
      <c r="C1160" s="93"/>
      <c r="D1160" s="93"/>
      <c r="E1160" s="95"/>
      <c r="F1160" s="95"/>
      <c r="G1160" s="95"/>
      <c r="H1160" s="93"/>
      <c r="I1160" s="93"/>
      <c r="J1160" s="93"/>
    </row>
    <row r="1161" spans="1:10" s="65" customFormat="1" ht="14" x14ac:dyDescent="0.35">
      <c r="A1161" s="145"/>
      <c r="B1161" s="152"/>
      <c r="C1161" s="93"/>
      <c r="D1161" s="93"/>
      <c r="E1161" s="95"/>
      <c r="F1161" s="95"/>
      <c r="G1161" s="95"/>
      <c r="H1161" s="93"/>
      <c r="I1161" s="93"/>
      <c r="J1161" s="93"/>
    </row>
    <row r="1162" spans="1:10" s="65" customFormat="1" ht="14" x14ac:dyDescent="0.35">
      <c r="A1162" s="145"/>
      <c r="B1162" s="152"/>
      <c r="C1162" s="93"/>
      <c r="D1162" s="93"/>
      <c r="E1162" s="95"/>
      <c r="F1162" s="95"/>
      <c r="G1162" s="95"/>
      <c r="H1162" s="93"/>
      <c r="I1162" s="93"/>
      <c r="J1162" s="93"/>
    </row>
    <row r="1163" spans="1:10" s="65" customFormat="1" ht="14" x14ac:dyDescent="0.35">
      <c r="A1163" s="145"/>
      <c r="B1163" s="152"/>
      <c r="C1163" s="93"/>
      <c r="D1163" s="93"/>
      <c r="E1163" s="95"/>
      <c r="F1163" s="95"/>
      <c r="G1163" s="95"/>
      <c r="H1163" s="93"/>
      <c r="I1163" s="93"/>
      <c r="J1163" s="93"/>
    </row>
    <row r="1164" spans="1:10" s="65" customFormat="1" ht="14" x14ac:dyDescent="0.35">
      <c r="A1164" s="145"/>
      <c r="B1164" s="152"/>
      <c r="C1164" s="93"/>
      <c r="D1164" s="93"/>
      <c r="E1164" s="95"/>
      <c r="F1164" s="95"/>
      <c r="G1164" s="95"/>
      <c r="H1164" s="93"/>
      <c r="I1164" s="93"/>
      <c r="J1164" s="93"/>
    </row>
    <row r="1165" spans="1:10" s="65" customFormat="1" ht="14" x14ac:dyDescent="0.35">
      <c r="A1165" s="145"/>
      <c r="B1165" s="152"/>
      <c r="C1165" s="93"/>
      <c r="D1165" s="93"/>
      <c r="E1165" s="95"/>
      <c r="F1165" s="95"/>
      <c r="G1165" s="95"/>
      <c r="H1165" s="93"/>
      <c r="I1165" s="93"/>
      <c r="J1165" s="93"/>
    </row>
    <row r="1166" spans="1:10" s="65" customFormat="1" ht="14" x14ac:dyDescent="0.35">
      <c r="A1166" s="145"/>
      <c r="B1166" s="152"/>
      <c r="C1166" s="93"/>
      <c r="D1166" s="93"/>
      <c r="E1166" s="95"/>
      <c r="F1166" s="95"/>
      <c r="G1166" s="95"/>
      <c r="H1166" s="93"/>
      <c r="I1166" s="93"/>
      <c r="J1166" s="93"/>
    </row>
    <row r="1167" spans="1:10" s="65" customFormat="1" ht="14" x14ac:dyDescent="0.35">
      <c r="A1167" s="145"/>
      <c r="B1167" s="152"/>
      <c r="C1167" s="93"/>
      <c r="D1167" s="93"/>
      <c r="E1167" s="95"/>
      <c r="F1167" s="95"/>
      <c r="G1167" s="95"/>
      <c r="H1167" s="93"/>
      <c r="I1167" s="93"/>
      <c r="J1167" s="93"/>
    </row>
    <row r="1168" spans="1:10" s="65" customFormat="1" ht="14" x14ac:dyDescent="0.35">
      <c r="A1168" s="145"/>
      <c r="B1168" s="152"/>
      <c r="C1168" s="93"/>
      <c r="D1168" s="93"/>
      <c r="E1168" s="95"/>
      <c r="F1168" s="95"/>
      <c r="G1168" s="95"/>
      <c r="H1168" s="93"/>
      <c r="I1168" s="93"/>
      <c r="J1168" s="93"/>
    </row>
    <row r="1169" spans="1:10" s="65" customFormat="1" ht="14" x14ac:dyDescent="0.35">
      <c r="A1169" s="145"/>
      <c r="B1169" s="152"/>
      <c r="C1169" s="93"/>
      <c r="D1169" s="93"/>
      <c r="E1169" s="95"/>
      <c r="F1169" s="95"/>
      <c r="G1169" s="95"/>
      <c r="H1169" s="93"/>
      <c r="I1169" s="93"/>
      <c r="J1169" s="93"/>
    </row>
    <row r="1170" spans="1:10" s="65" customFormat="1" ht="14" x14ac:dyDescent="0.35">
      <c r="A1170" s="145"/>
      <c r="B1170" s="152"/>
      <c r="C1170" s="93"/>
      <c r="D1170" s="93"/>
      <c r="E1170" s="95"/>
      <c r="F1170" s="95"/>
      <c r="G1170" s="95"/>
      <c r="H1170" s="93"/>
      <c r="I1170" s="93"/>
      <c r="J1170" s="93"/>
    </row>
    <row r="1171" spans="1:10" s="65" customFormat="1" ht="14" x14ac:dyDescent="0.35">
      <c r="A1171" s="145"/>
      <c r="B1171" s="152"/>
      <c r="C1171" s="93"/>
      <c r="D1171" s="93"/>
      <c r="E1171" s="95"/>
      <c r="F1171" s="95"/>
      <c r="G1171" s="95"/>
      <c r="H1171" s="93"/>
      <c r="I1171" s="93"/>
      <c r="J1171" s="93"/>
    </row>
    <row r="1172" spans="1:10" s="65" customFormat="1" ht="14" x14ac:dyDescent="0.35">
      <c r="A1172" s="145"/>
      <c r="B1172" s="152"/>
      <c r="C1172" s="93"/>
      <c r="D1172" s="93"/>
      <c r="E1172" s="95"/>
      <c r="F1172" s="95"/>
      <c r="G1172" s="95"/>
      <c r="H1172" s="93"/>
      <c r="I1172" s="93"/>
      <c r="J1172" s="93"/>
    </row>
    <row r="1173" spans="1:10" s="65" customFormat="1" ht="14" x14ac:dyDescent="0.35">
      <c r="A1173" s="145"/>
      <c r="B1173" s="152"/>
      <c r="C1173" s="93"/>
      <c r="D1173" s="93"/>
      <c r="E1173" s="95"/>
      <c r="F1173" s="95"/>
      <c r="G1173" s="95"/>
      <c r="H1173" s="93"/>
      <c r="I1173" s="93"/>
      <c r="J1173" s="93"/>
    </row>
    <row r="1174" spans="1:10" s="65" customFormat="1" ht="14" x14ac:dyDescent="0.35">
      <c r="A1174" s="145"/>
      <c r="B1174" s="152"/>
      <c r="C1174" s="93"/>
      <c r="D1174" s="93"/>
      <c r="E1174" s="95"/>
      <c r="F1174" s="95"/>
      <c r="G1174" s="95"/>
      <c r="H1174" s="93"/>
      <c r="I1174" s="93"/>
      <c r="J1174" s="93"/>
    </row>
    <row r="1175" spans="1:10" s="65" customFormat="1" ht="14" x14ac:dyDescent="0.35">
      <c r="A1175" s="145"/>
      <c r="B1175" s="152"/>
      <c r="C1175" s="93"/>
      <c r="D1175" s="93"/>
      <c r="E1175" s="95"/>
      <c r="F1175" s="95"/>
      <c r="G1175" s="95"/>
      <c r="H1175" s="93"/>
      <c r="I1175" s="93"/>
      <c r="J1175" s="93"/>
    </row>
    <row r="1176" spans="1:10" s="65" customFormat="1" ht="14" x14ac:dyDescent="0.35">
      <c r="A1176" s="145"/>
      <c r="B1176" s="152"/>
      <c r="C1176" s="93"/>
      <c r="D1176" s="93"/>
      <c r="E1176" s="95"/>
      <c r="F1176" s="95"/>
      <c r="G1176" s="95"/>
      <c r="H1176" s="93"/>
      <c r="I1176" s="93"/>
      <c r="J1176" s="93"/>
    </row>
    <row r="1177" spans="1:10" s="65" customFormat="1" ht="14" x14ac:dyDescent="0.35">
      <c r="A1177" s="145"/>
      <c r="B1177" s="152"/>
      <c r="C1177" s="93"/>
      <c r="D1177" s="93"/>
      <c r="E1177" s="95"/>
      <c r="F1177" s="95"/>
      <c r="G1177" s="95"/>
      <c r="H1177" s="93"/>
      <c r="I1177" s="93"/>
      <c r="J1177" s="93"/>
    </row>
    <row r="1178" spans="1:10" s="65" customFormat="1" ht="14" x14ac:dyDescent="0.35">
      <c r="A1178" s="145"/>
      <c r="B1178" s="152"/>
      <c r="C1178" s="93"/>
      <c r="D1178" s="93"/>
      <c r="E1178" s="95"/>
      <c r="F1178" s="95"/>
      <c r="G1178" s="95"/>
      <c r="H1178" s="93"/>
      <c r="I1178" s="93"/>
      <c r="J1178" s="93"/>
    </row>
    <row r="1179" spans="1:10" s="65" customFormat="1" ht="14" x14ac:dyDescent="0.35">
      <c r="A1179" s="145"/>
      <c r="B1179" s="152"/>
      <c r="C1179" s="93"/>
      <c r="D1179" s="93"/>
      <c r="E1179" s="95"/>
      <c r="F1179" s="95"/>
      <c r="G1179" s="95"/>
      <c r="H1179" s="93"/>
      <c r="I1179" s="93"/>
      <c r="J1179" s="93"/>
    </row>
    <row r="1180" spans="1:10" s="65" customFormat="1" ht="14" x14ac:dyDescent="0.35">
      <c r="A1180" s="145"/>
      <c r="B1180" s="152"/>
      <c r="C1180" s="93"/>
      <c r="D1180" s="93"/>
      <c r="E1180" s="95"/>
      <c r="F1180" s="95"/>
      <c r="G1180" s="95"/>
      <c r="H1180" s="93"/>
      <c r="I1180" s="93"/>
      <c r="J1180" s="93"/>
    </row>
    <row r="1181" spans="1:10" s="65" customFormat="1" ht="14" x14ac:dyDescent="0.35">
      <c r="A1181" s="145"/>
      <c r="B1181" s="152"/>
      <c r="C1181" s="93"/>
      <c r="D1181" s="93"/>
      <c r="E1181" s="95"/>
      <c r="F1181" s="95"/>
      <c r="G1181" s="95"/>
      <c r="H1181" s="93"/>
      <c r="I1181" s="93"/>
      <c r="J1181" s="93"/>
    </row>
    <row r="1182" spans="1:10" s="65" customFormat="1" ht="14" x14ac:dyDescent="0.35">
      <c r="A1182" s="145"/>
      <c r="B1182" s="152"/>
      <c r="C1182" s="93"/>
      <c r="D1182" s="93"/>
      <c r="E1182" s="95"/>
      <c r="F1182" s="95"/>
      <c r="G1182" s="95"/>
      <c r="H1182" s="93"/>
      <c r="I1182" s="93"/>
      <c r="J1182" s="93"/>
    </row>
    <row r="1183" spans="1:10" s="65" customFormat="1" ht="14" x14ac:dyDescent="0.35">
      <c r="A1183" s="145"/>
      <c r="B1183" s="152"/>
      <c r="C1183" s="93"/>
      <c r="D1183" s="93"/>
      <c r="E1183" s="95"/>
      <c r="F1183" s="95"/>
      <c r="G1183" s="95"/>
      <c r="H1183" s="93"/>
      <c r="I1183" s="93"/>
      <c r="J1183" s="93"/>
    </row>
    <row r="1184" spans="1:10" s="65" customFormat="1" ht="14" x14ac:dyDescent="0.35">
      <c r="A1184" s="145"/>
      <c r="B1184" s="152"/>
      <c r="C1184" s="93"/>
      <c r="D1184" s="93"/>
      <c r="E1184" s="95"/>
      <c r="F1184" s="95"/>
      <c r="G1184" s="95"/>
      <c r="H1184" s="93"/>
      <c r="I1184" s="93"/>
      <c r="J1184" s="93"/>
    </row>
    <row r="1185" spans="1:10" s="65" customFormat="1" ht="14" x14ac:dyDescent="0.35">
      <c r="A1185" s="145"/>
      <c r="B1185" s="152"/>
      <c r="C1185" s="93"/>
      <c r="D1185" s="93"/>
      <c r="E1185" s="95"/>
      <c r="F1185" s="95"/>
      <c r="G1185" s="95"/>
      <c r="H1185" s="93"/>
      <c r="I1185" s="93"/>
      <c r="J1185" s="93"/>
    </row>
    <row r="1186" spans="1:10" s="65" customFormat="1" ht="14" x14ac:dyDescent="0.35">
      <c r="A1186" s="145"/>
      <c r="B1186" s="152"/>
      <c r="C1186" s="93"/>
      <c r="D1186" s="93"/>
      <c r="E1186" s="95"/>
      <c r="F1186" s="95"/>
      <c r="G1186" s="95"/>
      <c r="H1186" s="93"/>
      <c r="I1186" s="93"/>
      <c r="J1186" s="93"/>
    </row>
    <row r="1187" spans="1:10" s="65" customFormat="1" ht="14" x14ac:dyDescent="0.35">
      <c r="A1187" s="145"/>
      <c r="B1187" s="152"/>
      <c r="C1187" s="93"/>
      <c r="D1187" s="93"/>
      <c r="E1187" s="95"/>
      <c r="F1187" s="95"/>
      <c r="G1187" s="95"/>
      <c r="H1187" s="93"/>
      <c r="I1187" s="93"/>
      <c r="J1187" s="93"/>
    </row>
    <row r="1188" spans="1:10" s="65" customFormat="1" ht="14" x14ac:dyDescent="0.35">
      <c r="A1188" s="145"/>
      <c r="B1188" s="152"/>
      <c r="C1188" s="93"/>
      <c r="D1188" s="93"/>
      <c r="E1188" s="95"/>
      <c r="F1188" s="95"/>
      <c r="G1188" s="95"/>
      <c r="H1188" s="93"/>
      <c r="I1188" s="93"/>
      <c r="J1188" s="93"/>
    </row>
    <row r="1189" spans="1:10" s="65" customFormat="1" ht="14" x14ac:dyDescent="0.35">
      <c r="A1189" s="145"/>
      <c r="B1189" s="152"/>
      <c r="C1189" s="93"/>
      <c r="D1189" s="93"/>
      <c r="E1189" s="95"/>
      <c r="F1189" s="95"/>
      <c r="G1189" s="95"/>
      <c r="H1189" s="93"/>
      <c r="I1189" s="93"/>
      <c r="J1189" s="93"/>
    </row>
    <row r="1190" spans="1:10" s="65" customFormat="1" ht="14" x14ac:dyDescent="0.35">
      <c r="A1190" s="145"/>
      <c r="B1190" s="152"/>
      <c r="C1190" s="93"/>
      <c r="D1190" s="93"/>
      <c r="E1190" s="95"/>
      <c r="F1190" s="95"/>
      <c r="G1190" s="95"/>
      <c r="H1190" s="93"/>
      <c r="I1190" s="93"/>
      <c r="J1190" s="93"/>
    </row>
    <row r="1191" spans="1:10" s="65" customFormat="1" ht="14" x14ac:dyDescent="0.35">
      <c r="A1191" s="145"/>
      <c r="B1191" s="152"/>
      <c r="C1191" s="93"/>
      <c r="D1191" s="93"/>
      <c r="E1191" s="95"/>
      <c r="F1191" s="95"/>
      <c r="G1191" s="95"/>
      <c r="H1191" s="93"/>
      <c r="I1191" s="93"/>
      <c r="J1191" s="93"/>
    </row>
    <row r="1192" spans="1:10" s="65" customFormat="1" ht="14" x14ac:dyDescent="0.35">
      <c r="A1192" s="145"/>
      <c r="B1192" s="152"/>
      <c r="C1192" s="93"/>
      <c r="D1192" s="93"/>
      <c r="E1192" s="95"/>
      <c r="F1192" s="95"/>
      <c r="G1192" s="95"/>
      <c r="H1192" s="93"/>
      <c r="I1192" s="93"/>
      <c r="J1192" s="93"/>
    </row>
    <row r="1193" spans="1:10" s="65" customFormat="1" ht="14" x14ac:dyDescent="0.35">
      <c r="A1193" s="145"/>
      <c r="B1193" s="152"/>
      <c r="C1193" s="93"/>
      <c r="D1193" s="93"/>
      <c r="E1193" s="95"/>
      <c r="F1193" s="95"/>
      <c r="G1193" s="95"/>
      <c r="H1193" s="93"/>
      <c r="I1193" s="93"/>
      <c r="J1193" s="93"/>
    </row>
    <row r="1194" spans="1:10" s="65" customFormat="1" ht="14" x14ac:dyDescent="0.35">
      <c r="A1194" s="145"/>
      <c r="B1194" s="152"/>
      <c r="C1194" s="93"/>
      <c r="D1194" s="93"/>
      <c r="E1194" s="95"/>
      <c r="F1194" s="95"/>
      <c r="G1194" s="95"/>
      <c r="H1194" s="93"/>
      <c r="I1194" s="93"/>
      <c r="J1194" s="93"/>
    </row>
    <row r="1195" spans="1:10" s="65" customFormat="1" ht="14" x14ac:dyDescent="0.35">
      <c r="A1195" s="145"/>
      <c r="B1195" s="152"/>
      <c r="C1195" s="93"/>
      <c r="D1195" s="93"/>
      <c r="E1195" s="95"/>
      <c r="F1195" s="95"/>
      <c r="G1195" s="95"/>
      <c r="H1195" s="93"/>
      <c r="I1195" s="93"/>
      <c r="J1195" s="93"/>
    </row>
    <row r="1196" spans="1:10" s="65" customFormat="1" ht="14" x14ac:dyDescent="0.35">
      <c r="A1196" s="145"/>
      <c r="B1196" s="152"/>
      <c r="C1196" s="93"/>
      <c r="D1196" s="93"/>
      <c r="E1196" s="95"/>
      <c r="F1196" s="95"/>
      <c r="G1196" s="95"/>
      <c r="H1196" s="93"/>
      <c r="I1196" s="93"/>
      <c r="J1196" s="93"/>
    </row>
    <row r="1197" spans="1:10" s="65" customFormat="1" ht="14" x14ac:dyDescent="0.35">
      <c r="A1197" s="145"/>
      <c r="B1197" s="152"/>
      <c r="C1197" s="93"/>
      <c r="D1197" s="93"/>
      <c r="E1197" s="95"/>
      <c r="F1197" s="95"/>
      <c r="G1197" s="95"/>
      <c r="H1197" s="93"/>
      <c r="I1197" s="93"/>
      <c r="J1197" s="93"/>
    </row>
    <row r="1198" spans="1:10" s="65" customFormat="1" ht="14" x14ac:dyDescent="0.35">
      <c r="A1198" s="145"/>
      <c r="B1198" s="152"/>
      <c r="C1198" s="93"/>
      <c r="D1198" s="93"/>
      <c r="E1198" s="95"/>
      <c r="F1198" s="95"/>
      <c r="G1198" s="95"/>
      <c r="H1198" s="93"/>
      <c r="I1198" s="93"/>
      <c r="J1198" s="93"/>
    </row>
    <row r="1199" spans="1:10" s="65" customFormat="1" ht="14" x14ac:dyDescent="0.35">
      <c r="A1199" s="145"/>
      <c r="B1199" s="152"/>
      <c r="C1199" s="93"/>
      <c r="D1199" s="93"/>
      <c r="E1199" s="95"/>
      <c r="F1199" s="95"/>
      <c r="G1199" s="95"/>
      <c r="H1199" s="93"/>
      <c r="I1199" s="93"/>
      <c r="J1199" s="93"/>
    </row>
    <row r="1200" spans="1:10" s="65" customFormat="1" ht="14" x14ac:dyDescent="0.35">
      <c r="A1200" s="145"/>
      <c r="B1200" s="152"/>
      <c r="C1200" s="93"/>
      <c r="D1200" s="93"/>
      <c r="E1200" s="95"/>
      <c r="F1200" s="95"/>
      <c r="G1200" s="95"/>
      <c r="H1200" s="93"/>
      <c r="I1200" s="93"/>
      <c r="J1200" s="93"/>
    </row>
    <row r="1201" spans="1:10" s="65" customFormat="1" ht="14" x14ac:dyDescent="0.35">
      <c r="A1201" s="145"/>
      <c r="B1201" s="152"/>
      <c r="C1201" s="93"/>
      <c r="D1201" s="93"/>
      <c r="E1201" s="95"/>
      <c r="F1201" s="95"/>
      <c r="G1201" s="95"/>
      <c r="H1201" s="93"/>
      <c r="I1201" s="93"/>
      <c r="J1201" s="93"/>
    </row>
    <row r="1202" spans="1:10" s="65" customFormat="1" ht="14" x14ac:dyDescent="0.35">
      <c r="A1202" s="145"/>
      <c r="B1202" s="152"/>
      <c r="C1202" s="93"/>
      <c r="D1202" s="93"/>
      <c r="E1202" s="95"/>
      <c r="F1202" s="95"/>
      <c r="G1202" s="95"/>
      <c r="H1202" s="93"/>
      <c r="I1202" s="93"/>
      <c r="J1202" s="93"/>
    </row>
    <row r="1203" spans="1:10" s="65" customFormat="1" ht="14" x14ac:dyDescent="0.35">
      <c r="A1203" s="145"/>
      <c r="B1203" s="152"/>
      <c r="C1203" s="93"/>
      <c r="D1203" s="93"/>
      <c r="E1203" s="95"/>
      <c r="F1203" s="95"/>
      <c r="G1203" s="95"/>
      <c r="H1203" s="93"/>
      <c r="I1203" s="93"/>
      <c r="J1203" s="93"/>
    </row>
    <row r="1204" spans="1:10" s="65" customFormat="1" ht="14" x14ac:dyDescent="0.35">
      <c r="A1204" s="145"/>
      <c r="B1204" s="152"/>
      <c r="C1204" s="93"/>
      <c r="D1204" s="93"/>
      <c r="E1204" s="95"/>
      <c r="F1204" s="95"/>
      <c r="G1204" s="95"/>
      <c r="H1204" s="93"/>
      <c r="I1204" s="93"/>
      <c r="J1204" s="93"/>
    </row>
    <row r="1205" spans="1:10" s="65" customFormat="1" ht="14" x14ac:dyDescent="0.35">
      <c r="A1205" s="145"/>
      <c r="B1205" s="152"/>
      <c r="C1205" s="93"/>
      <c r="D1205" s="93"/>
      <c r="E1205" s="95"/>
      <c r="F1205" s="95"/>
      <c r="G1205" s="95"/>
      <c r="H1205" s="93"/>
      <c r="I1205" s="93"/>
      <c r="J1205" s="93"/>
    </row>
    <row r="1206" spans="1:10" s="65" customFormat="1" ht="14" x14ac:dyDescent="0.35">
      <c r="A1206" s="145"/>
      <c r="B1206" s="152"/>
      <c r="C1206" s="93"/>
      <c r="D1206" s="93"/>
      <c r="E1206" s="95"/>
      <c r="F1206" s="95"/>
      <c r="G1206" s="95"/>
      <c r="H1206" s="93"/>
      <c r="I1206" s="93"/>
      <c r="J1206" s="93"/>
    </row>
    <row r="1207" spans="1:10" s="65" customFormat="1" ht="14" x14ac:dyDescent="0.35">
      <c r="A1207" s="145"/>
      <c r="B1207" s="152"/>
      <c r="C1207" s="93"/>
      <c r="D1207" s="93"/>
      <c r="E1207" s="95"/>
      <c r="F1207" s="95"/>
      <c r="G1207" s="95"/>
      <c r="H1207" s="93"/>
      <c r="I1207" s="93"/>
      <c r="J1207" s="93"/>
    </row>
    <row r="1208" spans="1:10" s="65" customFormat="1" ht="14" x14ac:dyDescent="0.35">
      <c r="A1208" s="145"/>
      <c r="B1208" s="152"/>
      <c r="C1208" s="93"/>
      <c r="D1208" s="93"/>
      <c r="E1208" s="95"/>
      <c r="F1208" s="95"/>
      <c r="G1208" s="95"/>
      <c r="H1208" s="93"/>
      <c r="I1208" s="93"/>
      <c r="J1208" s="93"/>
    </row>
    <row r="1209" spans="1:10" s="65" customFormat="1" ht="14" x14ac:dyDescent="0.35">
      <c r="A1209" s="145"/>
      <c r="B1209" s="152"/>
      <c r="C1209" s="93"/>
      <c r="D1209" s="93"/>
      <c r="E1209" s="95"/>
      <c r="F1209" s="95"/>
      <c r="G1209" s="95"/>
      <c r="H1209" s="93"/>
      <c r="I1209" s="93"/>
      <c r="J1209" s="93"/>
    </row>
    <row r="1210" spans="1:10" s="65" customFormat="1" ht="14" x14ac:dyDescent="0.35">
      <c r="A1210" s="145"/>
      <c r="B1210" s="152"/>
      <c r="C1210" s="93"/>
      <c r="D1210" s="93"/>
      <c r="E1210" s="95"/>
      <c r="F1210" s="95"/>
      <c r="G1210" s="95"/>
      <c r="H1210" s="93"/>
      <c r="I1210" s="93"/>
      <c r="J1210" s="93"/>
    </row>
    <row r="1211" spans="1:10" s="65" customFormat="1" ht="14" x14ac:dyDescent="0.35">
      <c r="A1211" s="145"/>
      <c r="B1211" s="152"/>
      <c r="C1211" s="93"/>
      <c r="D1211" s="93"/>
      <c r="E1211" s="95"/>
      <c r="F1211" s="95"/>
      <c r="G1211" s="95"/>
      <c r="H1211" s="93"/>
      <c r="I1211" s="93"/>
      <c r="J1211" s="93"/>
    </row>
    <row r="1212" spans="1:10" s="65" customFormat="1" ht="14" x14ac:dyDescent="0.35">
      <c r="A1212" s="145"/>
      <c r="B1212" s="152"/>
      <c r="C1212" s="93"/>
      <c r="D1212" s="93"/>
      <c r="E1212" s="95"/>
      <c r="F1212" s="95"/>
      <c r="G1212" s="95"/>
      <c r="H1212" s="93"/>
      <c r="I1212" s="93"/>
      <c r="J1212" s="93"/>
    </row>
    <row r="1213" spans="1:10" s="65" customFormat="1" ht="14" x14ac:dyDescent="0.35">
      <c r="A1213" s="145"/>
      <c r="B1213" s="152"/>
      <c r="C1213" s="93"/>
      <c r="D1213" s="93"/>
      <c r="E1213" s="95"/>
      <c r="F1213" s="95"/>
      <c r="G1213" s="95"/>
      <c r="H1213" s="93"/>
      <c r="I1213" s="93"/>
      <c r="J1213" s="93"/>
    </row>
    <row r="1214" spans="1:10" s="65" customFormat="1" ht="14" x14ac:dyDescent="0.35">
      <c r="A1214" s="145"/>
      <c r="B1214" s="152"/>
      <c r="C1214" s="93"/>
      <c r="D1214" s="93"/>
      <c r="E1214" s="95"/>
      <c r="F1214" s="95"/>
      <c r="G1214" s="95"/>
      <c r="H1214" s="93"/>
      <c r="I1214" s="93"/>
      <c r="J1214" s="93"/>
    </row>
    <row r="1215" spans="1:10" s="65" customFormat="1" ht="14" x14ac:dyDescent="0.35">
      <c r="A1215" s="145"/>
      <c r="B1215" s="152"/>
      <c r="C1215" s="93"/>
      <c r="D1215" s="93"/>
      <c r="E1215" s="95"/>
      <c r="F1215" s="95"/>
      <c r="G1215" s="95"/>
      <c r="H1215" s="93"/>
      <c r="I1215" s="93"/>
      <c r="J1215" s="93"/>
    </row>
    <row r="1216" spans="1:10" s="65" customFormat="1" ht="14" x14ac:dyDescent="0.35">
      <c r="A1216" s="145"/>
      <c r="B1216" s="152"/>
      <c r="C1216" s="93"/>
      <c r="D1216" s="93"/>
      <c r="E1216" s="95"/>
      <c r="F1216" s="95"/>
      <c r="G1216" s="95"/>
      <c r="H1216" s="93"/>
      <c r="I1216" s="93"/>
      <c r="J1216" s="93"/>
    </row>
    <row r="1217" spans="1:10" s="65" customFormat="1" ht="14" x14ac:dyDescent="0.35">
      <c r="A1217" s="145"/>
      <c r="B1217" s="152"/>
      <c r="C1217" s="93"/>
      <c r="D1217" s="93"/>
      <c r="E1217" s="95"/>
      <c r="F1217" s="95"/>
      <c r="G1217" s="95"/>
      <c r="H1217" s="93"/>
      <c r="I1217" s="93"/>
      <c r="J1217" s="93"/>
    </row>
    <row r="1218" spans="1:10" s="65" customFormat="1" ht="14" x14ac:dyDescent="0.35">
      <c r="A1218" s="145"/>
      <c r="B1218" s="152"/>
      <c r="C1218" s="93"/>
      <c r="D1218" s="93"/>
      <c r="E1218" s="95"/>
      <c r="F1218" s="95"/>
      <c r="G1218" s="95"/>
      <c r="H1218" s="93"/>
      <c r="I1218" s="93"/>
      <c r="J1218" s="93"/>
    </row>
    <row r="1219" spans="1:10" s="65" customFormat="1" ht="14" x14ac:dyDescent="0.35">
      <c r="A1219" s="145"/>
      <c r="B1219" s="152"/>
      <c r="C1219" s="93"/>
      <c r="D1219" s="93"/>
      <c r="E1219" s="95"/>
      <c r="F1219" s="95"/>
      <c r="G1219" s="95"/>
      <c r="H1219" s="93"/>
      <c r="I1219" s="93"/>
      <c r="J1219" s="93"/>
    </row>
    <row r="1220" spans="1:10" s="65" customFormat="1" ht="14" x14ac:dyDescent="0.35">
      <c r="A1220" s="145"/>
      <c r="B1220" s="152"/>
      <c r="C1220" s="93"/>
      <c r="D1220" s="93"/>
      <c r="E1220" s="95"/>
      <c r="F1220" s="95"/>
      <c r="G1220" s="95"/>
      <c r="H1220" s="93"/>
      <c r="I1220" s="93"/>
      <c r="J1220" s="93"/>
    </row>
    <row r="1221" spans="1:10" s="65" customFormat="1" ht="14" x14ac:dyDescent="0.35">
      <c r="A1221" s="145"/>
      <c r="B1221" s="152"/>
      <c r="C1221" s="93"/>
      <c r="D1221" s="93"/>
      <c r="E1221" s="95"/>
      <c r="F1221" s="95"/>
      <c r="G1221" s="95"/>
      <c r="H1221" s="93"/>
      <c r="I1221" s="93"/>
      <c r="J1221" s="93"/>
    </row>
    <row r="1222" spans="1:10" s="65" customFormat="1" ht="14" x14ac:dyDescent="0.35">
      <c r="A1222" s="145"/>
      <c r="B1222" s="152"/>
      <c r="C1222" s="93"/>
      <c r="D1222" s="93"/>
      <c r="E1222" s="95"/>
      <c r="F1222" s="95"/>
      <c r="G1222" s="95"/>
      <c r="H1222" s="93"/>
      <c r="I1222" s="93"/>
      <c r="J1222" s="93"/>
    </row>
    <row r="1223" spans="1:10" s="65" customFormat="1" ht="14" x14ac:dyDescent="0.35">
      <c r="A1223" s="145"/>
      <c r="B1223" s="152"/>
      <c r="C1223" s="93"/>
      <c r="D1223" s="93"/>
      <c r="E1223" s="95"/>
      <c r="F1223" s="95"/>
      <c r="G1223" s="95"/>
      <c r="H1223" s="93"/>
      <c r="I1223" s="93"/>
      <c r="J1223" s="93"/>
    </row>
    <row r="1224" spans="1:10" s="65" customFormat="1" ht="14" x14ac:dyDescent="0.35">
      <c r="A1224" s="145"/>
      <c r="B1224" s="152"/>
      <c r="C1224" s="93"/>
      <c r="D1224" s="93"/>
      <c r="E1224" s="95"/>
      <c r="F1224" s="95"/>
      <c r="G1224" s="95"/>
      <c r="H1224" s="93"/>
      <c r="I1224" s="93"/>
      <c r="J1224" s="93"/>
    </row>
    <row r="1225" spans="1:10" s="65" customFormat="1" ht="14" x14ac:dyDescent="0.35">
      <c r="A1225" s="145"/>
      <c r="B1225" s="152"/>
      <c r="C1225" s="93"/>
      <c r="D1225" s="93"/>
      <c r="E1225" s="95"/>
      <c r="F1225" s="95"/>
      <c r="G1225" s="95"/>
      <c r="H1225" s="93"/>
      <c r="I1225" s="93"/>
      <c r="J1225" s="93"/>
    </row>
    <row r="1226" spans="1:10" s="65" customFormat="1" ht="14" x14ac:dyDescent="0.35">
      <c r="A1226" s="145"/>
      <c r="B1226" s="152"/>
      <c r="C1226" s="93"/>
      <c r="D1226" s="93"/>
      <c r="E1226" s="95"/>
      <c r="F1226" s="95"/>
      <c r="G1226" s="95"/>
      <c r="H1226" s="93"/>
      <c r="I1226" s="93"/>
      <c r="J1226" s="93"/>
    </row>
    <row r="1227" spans="1:10" s="65" customFormat="1" ht="14" x14ac:dyDescent="0.35">
      <c r="A1227" s="145"/>
      <c r="B1227" s="152"/>
      <c r="C1227" s="93"/>
      <c r="D1227" s="93"/>
      <c r="E1227" s="95"/>
      <c r="F1227" s="95"/>
      <c r="G1227" s="95"/>
      <c r="H1227" s="93"/>
      <c r="I1227" s="93"/>
      <c r="J1227" s="93"/>
    </row>
    <row r="1228" spans="1:10" s="65" customFormat="1" ht="14" x14ac:dyDescent="0.35">
      <c r="A1228" s="145"/>
      <c r="B1228" s="152"/>
      <c r="C1228" s="93"/>
      <c r="D1228" s="93"/>
      <c r="E1228" s="95"/>
      <c r="F1228" s="95"/>
      <c r="G1228" s="95"/>
      <c r="H1228" s="93"/>
      <c r="I1228" s="93"/>
      <c r="J1228" s="93"/>
    </row>
    <row r="1229" spans="1:10" s="65" customFormat="1" ht="14" x14ac:dyDescent="0.35">
      <c r="A1229" s="145"/>
      <c r="B1229" s="152"/>
      <c r="C1229" s="93"/>
      <c r="D1229" s="93"/>
      <c r="E1229" s="95"/>
      <c r="F1229" s="95"/>
      <c r="G1229" s="95"/>
      <c r="H1229" s="93"/>
      <c r="I1229" s="93"/>
      <c r="J1229" s="93"/>
    </row>
    <row r="1230" spans="1:10" s="65" customFormat="1" ht="14" x14ac:dyDescent="0.35">
      <c r="A1230" s="145"/>
      <c r="B1230" s="152"/>
      <c r="C1230" s="93"/>
      <c r="D1230" s="93"/>
      <c r="E1230" s="95"/>
      <c r="F1230" s="95"/>
      <c r="G1230" s="95"/>
      <c r="H1230" s="93"/>
      <c r="I1230" s="93"/>
      <c r="J1230" s="93"/>
    </row>
    <row r="1231" spans="1:10" s="65" customFormat="1" ht="14" x14ac:dyDescent="0.35">
      <c r="A1231" s="145"/>
      <c r="B1231" s="152"/>
      <c r="C1231" s="93"/>
      <c r="D1231" s="93"/>
      <c r="E1231" s="95"/>
      <c r="F1231" s="95"/>
      <c r="G1231" s="95"/>
      <c r="H1231" s="93"/>
      <c r="I1231" s="93"/>
      <c r="J1231" s="93"/>
    </row>
    <row r="1232" spans="1:10" s="65" customFormat="1" ht="14" x14ac:dyDescent="0.35">
      <c r="A1232" s="145"/>
      <c r="B1232" s="152"/>
      <c r="C1232" s="93"/>
      <c r="D1232" s="93"/>
      <c r="E1232" s="95"/>
      <c r="F1232" s="95"/>
      <c r="G1232" s="95"/>
      <c r="H1232" s="93"/>
      <c r="I1232" s="93"/>
      <c r="J1232" s="93"/>
    </row>
    <row r="1233" spans="1:10" s="65" customFormat="1" ht="14" x14ac:dyDescent="0.35">
      <c r="A1233" s="145"/>
      <c r="B1233" s="152"/>
      <c r="C1233" s="93"/>
      <c r="D1233" s="93"/>
      <c r="E1233" s="95"/>
      <c r="F1233" s="95"/>
      <c r="G1233" s="95"/>
      <c r="H1233" s="93"/>
      <c r="I1233" s="93"/>
      <c r="J1233" s="93"/>
    </row>
    <row r="1234" spans="1:10" s="65" customFormat="1" ht="14" x14ac:dyDescent="0.35">
      <c r="A1234" s="145"/>
      <c r="B1234" s="152"/>
      <c r="C1234" s="93"/>
      <c r="D1234" s="93"/>
      <c r="E1234" s="95"/>
      <c r="F1234" s="95"/>
      <c r="G1234" s="95"/>
      <c r="H1234" s="93"/>
      <c r="I1234" s="93"/>
      <c r="J1234" s="93"/>
    </row>
    <row r="1235" spans="1:10" s="65" customFormat="1" ht="14" x14ac:dyDescent="0.35">
      <c r="A1235" s="145"/>
      <c r="B1235" s="152"/>
      <c r="C1235" s="93"/>
      <c r="D1235" s="93"/>
      <c r="E1235" s="95"/>
      <c r="F1235" s="95"/>
      <c r="G1235" s="95"/>
      <c r="H1235" s="93"/>
      <c r="I1235" s="93"/>
      <c r="J1235" s="93"/>
    </row>
    <row r="1236" spans="1:10" s="65" customFormat="1" ht="14" x14ac:dyDescent="0.35">
      <c r="A1236" s="145"/>
      <c r="B1236" s="152"/>
      <c r="C1236" s="93"/>
      <c r="D1236" s="93"/>
      <c r="E1236" s="95"/>
      <c r="F1236" s="95"/>
      <c r="G1236" s="95"/>
      <c r="H1236" s="93"/>
      <c r="I1236" s="93"/>
      <c r="J1236" s="93"/>
    </row>
    <row r="1237" spans="1:10" s="65" customFormat="1" ht="14" x14ac:dyDescent="0.35">
      <c r="A1237" s="145"/>
      <c r="B1237" s="152"/>
      <c r="C1237" s="93"/>
      <c r="D1237" s="93"/>
      <c r="E1237" s="95"/>
      <c r="F1237" s="95"/>
      <c r="G1237" s="95"/>
      <c r="H1237" s="93"/>
      <c r="I1237" s="93"/>
      <c r="J1237" s="93"/>
    </row>
    <row r="1238" spans="1:10" s="65" customFormat="1" ht="14" x14ac:dyDescent="0.35">
      <c r="A1238" s="145"/>
      <c r="B1238" s="152"/>
      <c r="C1238" s="93"/>
      <c r="D1238" s="93"/>
      <c r="E1238" s="95"/>
      <c r="F1238" s="95"/>
      <c r="G1238" s="95"/>
      <c r="H1238" s="93"/>
      <c r="I1238" s="93"/>
      <c r="J1238" s="93"/>
    </row>
    <row r="1239" spans="1:10" s="65" customFormat="1" ht="14" x14ac:dyDescent="0.35">
      <c r="A1239" s="145"/>
      <c r="B1239" s="152"/>
      <c r="C1239" s="93"/>
      <c r="D1239" s="93"/>
      <c r="E1239" s="95"/>
      <c r="F1239" s="95"/>
      <c r="G1239" s="95"/>
      <c r="H1239" s="93"/>
      <c r="I1239" s="93"/>
      <c r="J1239" s="93"/>
    </row>
    <row r="1240" spans="1:10" s="65" customFormat="1" ht="14" x14ac:dyDescent="0.35">
      <c r="A1240" s="145"/>
      <c r="B1240" s="152"/>
      <c r="C1240" s="93"/>
      <c r="D1240" s="93"/>
      <c r="E1240" s="95"/>
      <c r="F1240" s="95"/>
      <c r="G1240" s="95"/>
      <c r="H1240" s="93"/>
      <c r="I1240" s="93"/>
      <c r="J1240" s="93"/>
    </row>
    <row r="1241" spans="1:10" s="65" customFormat="1" ht="14" x14ac:dyDescent="0.35">
      <c r="A1241" s="145"/>
      <c r="B1241" s="152"/>
      <c r="C1241" s="93"/>
      <c r="D1241" s="93"/>
      <c r="E1241" s="95"/>
      <c r="F1241" s="95"/>
      <c r="G1241" s="95"/>
      <c r="H1241" s="93"/>
      <c r="I1241" s="93"/>
      <c r="J1241" s="93"/>
    </row>
    <row r="1242" spans="1:10" s="65" customFormat="1" ht="14" x14ac:dyDescent="0.35">
      <c r="A1242" s="145"/>
      <c r="B1242" s="152"/>
      <c r="C1242" s="93"/>
      <c r="D1242" s="93"/>
      <c r="E1242" s="95"/>
      <c r="F1242" s="95"/>
      <c r="G1242" s="95"/>
      <c r="H1242" s="93"/>
      <c r="I1242" s="93"/>
      <c r="J1242" s="93"/>
    </row>
    <row r="1243" spans="1:10" s="65" customFormat="1" ht="14" x14ac:dyDescent="0.35">
      <c r="A1243" s="145"/>
      <c r="B1243" s="152"/>
      <c r="C1243" s="93"/>
      <c r="D1243" s="93"/>
      <c r="E1243" s="95"/>
      <c r="F1243" s="95"/>
      <c r="G1243" s="95"/>
      <c r="H1243" s="93"/>
      <c r="I1243" s="93"/>
      <c r="J1243" s="93"/>
    </row>
    <row r="1244" spans="1:10" s="65" customFormat="1" ht="14" x14ac:dyDescent="0.35">
      <c r="A1244" s="145"/>
      <c r="B1244" s="152"/>
      <c r="C1244" s="93"/>
      <c r="D1244" s="93"/>
      <c r="E1244" s="95"/>
      <c r="F1244" s="95"/>
      <c r="G1244" s="95"/>
      <c r="H1244" s="93"/>
      <c r="I1244" s="93"/>
      <c r="J1244" s="93"/>
    </row>
    <row r="1245" spans="1:10" s="65" customFormat="1" ht="14" x14ac:dyDescent="0.35">
      <c r="A1245" s="145"/>
      <c r="B1245" s="152"/>
      <c r="C1245" s="93"/>
      <c r="D1245" s="93"/>
      <c r="E1245" s="95"/>
      <c r="F1245" s="95"/>
      <c r="G1245" s="95"/>
      <c r="H1245" s="93"/>
      <c r="I1245" s="93"/>
      <c r="J1245" s="93"/>
    </row>
    <row r="1246" spans="1:10" s="65" customFormat="1" ht="14" x14ac:dyDescent="0.35">
      <c r="A1246" s="145"/>
      <c r="B1246" s="152"/>
      <c r="C1246" s="93"/>
      <c r="D1246" s="93"/>
      <c r="E1246" s="95"/>
      <c r="F1246" s="95"/>
      <c r="G1246" s="95"/>
      <c r="H1246" s="93"/>
      <c r="I1246" s="93"/>
      <c r="J1246" s="93"/>
    </row>
    <row r="1247" spans="1:10" s="65" customFormat="1" ht="14" x14ac:dyDescent="0.35">
      <c r="A1247" s="145"/>
      <c r="B1247" s="152"/>
      <c r="C1247" s="93"/>
      <c r="D1247" s="93"/>
      <c r="E1247" s="95"/>
      <c r="F1247" s="95"/>
      <c r="G1247" s="95"/>
      <c r="H1247" s="93"/>
      <c r="I1247" s="93"/>
      <c r="J1247" s="93"/>
    </row>
    <row r="1248" spans="1:10" s="65" customFormat="1" ht="14" x14ac:dyDescent="0.35">
      <c r="A1248" s="145"/>
      <c r="B1248" s="152"/>
      <c r="C1248" s="93"/>
      <c r="D1248" s="93"/>
      <c r="E1248" s="95"/>
      <c r="F1248" s="95"/>
      <c r="G1248" s="95"/>
      <c r="H1248" s="93"/>
      <c r="I1248" s="93"/>
      <c r="J1248" s="93"/>
    </row>
    <row r="1249" spans="1:10" s="65" customFormat="1" ht="14" x14ac:dyDescent="0.35">
      <c r="A1249" s="145"/>
      <c r="B1249" s="152"/>
      <c r="C1249" s="93"/>
      <c r="D1249" s="93"/>
      <c r="E1249" s="95"/>
      <c r="F1249" s="95"/>
      <c r="G1249" s="95"/>
      <c r="H1249" s="93"/>
      <c r="I1249" s="93"/>
      <c r="J1249" s="93"/>
    </row>
    <row r="1250" spans="1:10" s="65" customFormat="1" ht="14" x14ac:dyDescent="0.35">
      <c r="A1250" s="145"/>
      <c r="B1250" s="152"/>
      <c r="C1250" s="93"/>
      <c r="D1250" s="93"/>
      <c r="E1250" s="95"/>
      <c r="F1250" s="95"/>
      <c r="G1250" s="95"/>
      <c r="H1250" s="93"/>
      <c r="I1250" s="93"/>
      <c r="J1250" s="93"/>
    </row>
    <row r="1251" spans="1:10" s="65" customFormat="1" ht="14" x14ac:dyDescent="0.35">
      <c r="A1251" s="145"/>
      <c r="B1251" s="152"/>
      <c r="C1251" s="93"/>
      <c r="D1251" s="93"/>
      <c r="E1251" s="95"/>
      <c r="F1251" s="95"/>
      <c r="G1251" s="95"/>
      <c r="H1251" s="93"/>
      <c r="I1251" s="93"/>
      <c r="J1251" s="93"/>
    </row>
    <row r="1252" spans="1:10" s="65" customFormat="1" ht="14" x14ac:dyDescent="0.35">
      <c r="A1252" s="145"/>
      <c r="B1252" s="152"/>
      <c r="C1252" s="93"/>
      <c r="D1252" s="93"/>
      <c r="E1252" s="95"/>
      <c r="F1252" s="95"/>
      <c r="G1252" s="95"/>
      <c r="H1252" s="93"/>
      <c r="I1252" s="93"/>
      <c r="J1252" s="93"/>
    </row>
    <row r="1253" spans="1:10" s="65" customFormat="1" ht="14" x14ac:dyDescent="0.35">
      <c r="A1253" s="145"/>
      <c r="B1253" s="152"/>
      <c r="C1253" s="93"/>
      <c r="D1253" s="93"/>
      <c r="E1253" s="95"/>
      <c r="F1253" s="95"/>
      <c r="G1253" s="95"/>
      <c r="H1253" s="93"/>
      <c r="I1253" s="93"/>
      <c r="J1253" s="93"/>
    </row>
    <row r="1254" spans="1:10" s="65" customFormat="1" ht="14" x14ac:dyDescent="0.35">
      <c r="A1254" s="145"/>
      <c r="B1254" s="152"/>
      <c r="C1254" s="93"/>
      <c r="D1254" s="93"/>
      <c r="E1254" s="95"/>
      <c r="F1254" s="95"/>
      <c r="G1254" s="95"/>
      <c r="H1254" s="93"/>
      <c r="I1254" s="93"/>
      <c r="J1254" s="93"/>
    </row>
    <row r="1255" spans="1:10" s="65" customFormat="1" ht="14" x14ac:dyDescent="0.35">
      <c r="A1255" s="145"/>
      <c r="B1255" s="152"/>
      <c r="C1255" s="93"/>
      <c r="D1255" s="93"/>
      <c r="E1255" s="95"/>
      <c r="F1255" s="95"/>
      <c r="G1255" s="95"/>
      <c r="H1255" s="93"/>
      <c r="I1255" s="93"/>
      <c r="J1255" s="93"/>
    </row>
    <row r="1256" spans="1:10" s="65" customFormat="1" ht="14" x14ac:dyDescent="0.35">
      <c r="A1256" s="145"/>
      <c r="B1256" s="152"/>
      <c r="C1256" s="93"/>
      <c r="D1256" s="93"/>
      <c r="E1256" s="95"/>
      <c r="F1256" s="95"/>
      <c r="G1256" s="95"/>
      <c r="H1256" s="93"/>
      <c r="I1256" s="93"/>
      <c r="J1256" s="93"/>
    </row>
    <row r="1257" spans="1:10" s="65" customFormat="1" ht="14" x14ac:dyDescent="0.35">
      <c r="A1257" s="145"/>
      <c r="B1257" s="152"/>
      <c r="C1257" s="93"/>
      <c r="D1257" s="93"/>
      <c r="E1257" s="95"/>
      <c r="F1257" s="95"/>
      <c r="G1257" s="95"/>
      <c r="H1257" s="93"/>
      <c r="I1257" s="93"/>
      <c r="J1257" s="93"/>
    </row>
    <row r="1258" spans="1:10" s="65" customFormat="1" ht="14" x14ac:dyDescent="0.35">
      <c r="A1258" s="145"/>
      <c r="B1258" s="152"/>
      <c r="C1258" s="93"/>
      <c r="D1258" s="93"/>
      <c r="E1258" s="95"/>
      <c r="F1258" s="95"/>
      <c r="G1258" s="95"/>
      <c r="H1258" s="93"/>
      <c r="I1258" s="93"/>
      <c r="J1258" s="93"/>
    </row>
    <row r="1259" spans="1:10" s="65" customFormat="1" ht="14" x14ac:dyDescent="0.35">
      <c r="A1259" s="145"/>
      <c r="B1259" s="152"/>
      <c r="C1259" s="93"/>
      <c r="D1259" s="93"/>
      <c r="E1259" s="95"/>
      <c r="F1259" s="95"/>
      <c r="G1259" s="95"/>
      <c r="H1259" s="93"/>
      <c r="I1259" s="93"/>
      <c r="J1259" s="93"/>
    </row>
    <row r="1260" spans="1:10" s="65" customFormat="1" ht="14" x14ac:dyDescent="0.35">
      <c r="A1260" s="145"/>
      <c r="B1260" s="152"/>
      <c r="C1260" s="93"/>
      <c r="D1260" s="93"/>
      <c r="E1260" s="95"/>
      <c r="F1260" s="95"/>
      <c r="G1260" s="95"/>
      <c r="H1260" s="93"/>
      <c r="I1260" s="93"/>
      <c r="J1260" s="93"/>
    </row>
    <row r="1261" spans="1:10" s="65" customFormat="1" ht="14" x14ac:dyDescent="0.35">
      <c r="A1261" s="145"/>
      <c r="B1261" s="152"/>
      <c r="C1261" s="93"/>
      <c r="D1261" s="93"/>
      <c r="E1261" s="95"/>
      <c r="F1261" s="95"/>
      <c r="G1261" s="95"/>
      <c r="H1261" s="93"/>
      <c r="I1261" s="93"/>
      <c r="J1261" s="93"/>
    </row>
    <row r="1262" spans="1:10" s="65" customFormat="1" ht="14" x14ac:dyDescent="0.35">
      <c r="A1262" s="145"/>
      <c r="B1262" s="152"/>
      <c r="C1262" s="93"/>
      <c r="D1262" s="93"/>
      <c r="E1262" s="95"/>
      <c r="F1262" s="95"/>
      <c r="G1262" s="95"/>
      <c r="H1262" s="93"/>
      <c r="I1262" s="93"/>
      <c r="J1262" s="93"/>
    </row>
    <row r="1263" spans="1:10" s="65" customFormat="1" ht="14" x14ac:dyDescent="0.35">
      <c r="A1263" s="145"/>
      <c r="B1263" s="152"/>
      <c r="C1263" s="93"/>
      <c r="D1263" s="93"/>
      <c r="E1263" s="95"/>
      <c r="F1263" s="95"/>
      <c r="G1263" s="95"/>
      <c r="H1263" s="93"/>
      <c r="I1263" s="93"/>
      <c r="J1263" s="93"/>
    </row>
    <row r="1264" spans="1:10" s="65" customFormat="1" ht="14" x14ac:dyDescent="0.35">
      <c r="A1264" s="145"/>
      <c r="B1264" s="152"/>
      <c r="C1264" s="93"/>
      <c r="D1264" s="93"/>
      <c r="E1264" s="95"/>
      <c r="F1264" s="95"/>
      <c r="G1264" s="95"/>
      <c r="H1264" s="93"/>
      <c r="I1264" s="93"/>
      <c r="J1264" s="93"/>
    </row>
    <row r="1265" spans="1:10" s="65" customFormat="1" ht="14" x14ac:dyDescent="0.35">
      <c r="A1265" s="145"/>
      <c r="B1265" s="152"/>
      <c r="C1265" s="93"/>
      <c r="D1265" s="93"/>
      <c r="E1265" s="95"/>
      <c r="F1265" s="95"/>
      <c r="G1265" s="95"/>
      <c r="H1265" s="93"/>
      <c r="I1265" s="93"/>
      <c r="J1265" s="93"/>
    </row>
    <row r="1266" spans="1:10" s="65" customFormat="1" ht="14" x14ac:dyDescent="0.35">
      <c r="A1266" s="145"/>
      <c r="B1266" s="152"/>
      <c r="C1266" s="93"/>
      <c r="D1266" s="93"/>
      <c r="E1266" s="95"/>
      <c r="F1266" s="95"/>
      <c r="G1266" s="95"/>
      <c r="H1266" s="93"/>
      <c r="I1266" s="93"/>
      <c r="J1266" s="93"/>
    </row>
    <row r="1267" spans="1:10" s="65" customFormat="1" ht="14" x14ac:dyDescent="0.35">
      <c r="A1267" s="145"/>
      <c r="B1267" s="152"/>
      <c r="C1267" s="93"/>
      <c r="D1267" s="93"/>
      <c r="E1267" s="95"/>
      <c r="F1267" s="95"/>
      <c r="G1267" s="95"/>
      <c r="H1267" s="93"/>
      <c r="I1267" s="93"/>
      <c r="J1267" s="93"/>
    </row>
    <row r="1268" spans="1:10" s="65" customFormat="1" ht="14" x14ac:dyDescent="0.35">
      <c r="A1268" s="145"/>
      <c r="B1268" s="152"/>
      <c r="E1268" s="102"/>
      <c r="F1268" s="102"/>
      <c r="G1268" s="102"/>
      <c r="I1268" s="93"/>
      <c r="J1268" s="93"/>
    </row>
    <row r="1269" spans="1:10" s="65" customFormat="1" ht="14" x14ac:dyDescent="0.35">
      <c r="A1269" s="145"/>
      <c r="B1269" s="152"/>
      <c r="E1269" s="102"/>
      <c r="F1269" s="102"/>
      <c r="G1269" s="102"/>
      <c r="I1269" s="93"/>
      <c r="J1269" s="93"/>
    </row>
    <row r="1270" spans="1:10" s="65" customFormat="1" ht="14" x14ac:dyDescent="0.35">
      <c r="A1270" s="145"/>
      <c r="B1270" s="152"/>
      <c r="E1270" s="102"/>
      <c r="F1270" s="102"/>
      <c r="G1270" s="102"/>
      <c r="I1270" s="93"/>
      <c r="J1270" s="93"/>
    </row>
    <row r="1271" spans="1:10" s="65" customFormat="1" ht="14" x14ac:dyDescent="0.35">
      <c r="A1271" s="145"/>
      <c r="B1271" s="152"/>
      <c r="E1271" s="102"/>
      <c r="F1271" s="102"/>
      <c r="G1271" s="102"/>
      <c r="I1271" s="93"/>
      <c r="J1271" s="93"/>
    </row>
    <row r="1272" spans="1:10" s="65" customFormat="1" ht="14" x14ac:dyDescent="0.35">
      <c r="A1272" s="145"/>
      <c r="B1272" s="152"/>
      <c r="E1272" s="102"/>
      <c r="F1272" s="102"/>
      <c r="G1272" s="102"/>
      <c r="I1272" s="93"/>
      <c r="J1272" s="93"/>
    </row>
    <row r="1273" spans="1:10" s="65" customFormat="1" ht="14" x14ac:dyDescent="0.35">
      <c r="A1273" s="145"/>
      <c r="B1273" s="152"/>
      <c r="E1273" s="102"/>
      <c r="F1273" s="102"/>
      <c r="G1273" s="102"/>
      <c r="I1273" s="93"/>
      <c r="J1273" s="93"/>
    </row>
    <row r="1274" spans="1:10" s="65" customFormat="1" ht="14" x14ac:dyDescent="0.35">
      <c r="A1274" s="145"/>
      <c r="B1274" s="152"/>
      <c r="E1274" s="102"/>
      <c r="F1274" s="102"/>
      <c r="G1274" s="102"/>
      <c r="I1274" s="93"/>
      <c r="J1274" s="93"/>
    </row>
    <row r="1275" spans="1:10" s="65" customFormat="1" ht="14" x14ac:dyDescent="0.35">
      <c r="A1275" s="145"/>
      <c r="B1275" s="152"/>
      <c r="E1275" s="102"/>
      <c r="F1275" s="102"/>
      <c r="G1275" s="102"/>
      <c r="I1275" s="93"/>
      <c r="J1275" s="93"/>
    </row>
    <row r="1276" spans="1:10" s="65" customFormat="1" ht="14" x14ac:dyDescent="0.35">
      <c r="A1276" s="145"/>
      <c r="B1276" s="152"/>
      <c r="E1276" s="102"/>
      <c r="F1276" s="102"/>
      <c r="G1276" s="102"/>
      <c r="I1276" s="93"/>
      <c r="J1276" s="93"/>
    </row>
    <row r="1277" spans="1:10" s="65" customFormat="1" ht="14" x14ac:dyDescent="0.35">
      <c r="A1277" s="145"/>
      <c r="B1277" s="152"/>
      <c r="E1277" s="102"/>
      <c r="F1277" s="102"/>
      <c r="G1277" s="102"/>
      <c r="I1277" s="93"/>
      <c r="J1277" s="93"/>
    </row>
    <row r="1278" spans="1:10" s="65" customFormat="1" ht="14" x14ac:dyDescent="0.35">
      <c r="A1278" s="145"/>
      <c r="B1278" s="152"/>
      <c r="E1278" s="102"/>
      <c r="F1278" s="102"/>
      <c r="G1278" s="102"/>
      <c r="I1278" s="93"/>
      <c r="J1278" s="93"/>
    </row>
    <row r="1279" spans="1:10" s="65" customFormat="1" ht="14" x14ac:dyDescent="0.35">
      <c r="A1279" s="145"/>
      <c r="B1279" s="152"/>
      <c r="E1279" s="102"/>
      <c r="F1279" s="102"/>
      <c r="G1279" s="102"/>
      <c r="I1279" s="93"/>
      <c r="J1279" s="93"/>
    </row>
    <row r="1280" spans="1:10" s="65" customFormat="1" ht="14" x14ac:dyDescent="0.35">
      <c r="A1280" s="145"/>
      <c r="B1280" s="152"/>
      <c r="E1280" s="102"/>
      <c r="F1280" s="102"/>
      <c r="G1280" s="102"/>
      <c r="I1280" s="93"/>
      <c r="J1280" s="93"/>
    </row>
    <row r="1281" spans="1:10" s="65" customFormat="1" ht="14" x14ac:dyDescent="0.35">
      <c r="A1281" s="145"/>
      <c r="B1281" s="152"/>
      <c r="E1281" s="102"/>
      <c r="F1281" s="102"/>
      <c r="G1281" s="102"/>
      <c r="I1281" s="93"/>
      <c r="J1281" s="93"/>
    </row>
    <row r="1282" spans="1:10" s="65" customFormat="1" ht="14" x14ac:dyDescent="0.35">
      <c r="A1282" s="145"/>
      <c r="B1282" s="152"/>
      <c r="E1282" s="102"/>
      <c r="F1282" s="102"/>
      <c r="G1282" s="102"/>
      <c r="I1282" s="93"/>
      <c r="J1282" s="93"/>
    </row>
    <row r="1283" spans="1:10" s="65" customFormat="1" ht="14" x14ac:dyDescent="0.35">
      <c r="A1283" s="145"/>
      <c r="B1283" s="152"/>
      <c r="E1283" s="102"/>
      <c r="F1283" s="102"/>
      <c r="G1283" s="102"/>
      <c r="I1283" s="93"/>
      <c r="J1283" s="93"/>
    </row>
    <row r="1284" spans="1:10" s="65" customFormat="1" ht="14" x14ac:dyDescent="0.35">
      <c r="A1284" s="145"/>
      <c r="B1284" s="152"/>
      <c r="E1284" s="102"/>
      <c r="F1284" s="102"/>
      <c r="G1284" s="102"/>
      <c r="I1284" s="93"/>
      <c r="J1284" s="93"/>
    </row>
    <row r="1285" spans="1:10" s="65" customFormat="1" ht="14" x14ac:dyDescent="0.35">
      <c r="A1285" s="145"/>
      <c r="B1285" s="152"/>
      <c r="E1285" s="102"/>
      <c r="F1285" s="102"/>
      <c r="G1285" s="102"/>
      <c r="I1285" s="93"/>
      <c r="J1285" s="93"/>
    </row>
    <row r="1286" spans="1:10" s="65" customFormat="1" ht="14" x14ac:dyDescent="0.35">
      <c r="A1286" s="145"/>
      <c r="B1286" s="152"/>
      <c r="E1286" s="102"/>
      <c r="F1286" s="102"/>
      <c r="G1286" s="102"/>
      <c r="I1286" s="93"/>
      <c r="J1286" s="93"/>
    </row>
    <row r="1287" spans="1:10" s="65" customFormat="1" ht="14" x14ac:dyDescent="0.35">
      <c r="A1287" s="145"/>
      <c r="B1287" s="152"/>
      <c r="E1287" s="102"/>
      <c r="F1287" s="102"/>
      <c r="G1287" s="102"/>
      <c r="I1287" s="93"/>
      <c r="J1287" s="93"/>
    </row>
    <row r="1288" spans="1:10" s="65" customFormat="1" ht="14" x14ac:dyDescent="0.35">
      <c r="A1288" s="145"/>
      <c r="B1288" s="152"/>
      <c r="E1288" s="102"/>
      <c r="F1288" s="102"/>
      <c r="G1288" s="102"/>
      <c r="I1288" s="93"/>
      <c r="J1288" s="93"/>
    </row>
    <row r="1289" spans="1:10" s="65" customFormat="1" ht="14" x14ac:dyDescent="0.35">
      <c r="A1289" s="145"/>
      <c r="B1289" s="152"/>
      <c r="E1289" s="102"/>
      <c r="F1289" s="102"/>
      <c r="G1289" s="102"/>
      <c r="I1289" s="93"/>
      <c r="J1289" s="93"/>
    </row>
    <row r="1290" spans="1:10" s="65" customFormat="1" ht="14" x14ac:dyDescent="0.35">
      <c r="A1290" s="145"/>
      <c r="B1290" s="152"/>
      <c r="E1290" s="102"/>
      <c r="F1290" s="102"/>
      <c r="G1290" s="102"/>
      <c r="I1290" s="93"/>
      <c r="J1290" s="93"/>
    </row>
    <row r="1291" spans="1:10" s="65" customFormat="1" ht="14" x14ac:dyDescent="0.35">
      <c r="A1291" s="145"/>
      <c r="B1291" s="152"/>
      <c r="E1291" s="102"/>
      <c r="F1291" s="102"/>
      <c r="G1291" s="102"/>
      <c r="I1291" s="93"/>
      <c r="J1291" s="93"/>
    </row>
    <row r="1292" spans="1:10" s="65" customFormat="1" ht="14" x14ac:dyDescent="0.35">
      <c r="A1292" s="145"/>
      <c r="B1292" s="152"/>
      <c r="E1292" s="102"/>
      <c r="F1292" s="102"/>
      <c r="G1292" s="102"/>
      <c r="I1292" s="93"/>
      <c r="J1292" s="93"/>
    </row>
    <row r="1293" spans="1:10" s="65" customFormat="1" ht="14" x14ac:dyDescent="0.35">
      <c r="A1293" s="145"/>
      <c r="B1293" s="152"/>
      <c r="E1293" s="102"/>
      <c r="F1293" s="102"/>
      <c r="G1293" s="102"/>
      <c r="I1293" s="93"/>
      <c r="J1293" s="93"/>
    </row>
    <row r="1294" spans="1:10" s="65" customFormat="1" ht="14" x14ac:dyDescent="0.35">
      <c r="A1294" s="145"/>
      <c r="B1294" s="152"/>
      <c r="E1294" s="102"/>
      <c r="F1294" s="102"/>
      <c r="G1294" s="102"/>
      <c r="I1294" s="93"/>
      <c r="J1294" s="93"/>
    </row>
    <row r="1295" spans="1:10" s="65" customFormat="1" ht="14" x14ac:dyDescent="0.35">
      <c r="A1295" s="145"/>
      <c r="B1295" s="152"/>
      <c r="E1295" s="102"/>
      <c r="F1295" s="102"/>
      <c r="G1295" s="102"/>
      <c r="I1295" s="93"/>
      <c r="J1295" s="93"/>
    </row>
    <row r="1296" spans="1:10" s="65" customFormat="1" ht="14" x14ac:dyDescent="0.35">
      <c r="A1296" s="145"/>
      <c r="B1296" s="152"/>
      <c r="E1296" s="102"/>
      <c r="F1296" s="102"/>
      <c r="G1296" s="102"/>
      <c r="I1296" s="93"/>
      <c r="J1296" s="93"/>
    </row>
    <row r="1297" spans="1:10" s="65" customFormat="1" ht="14" x14ac:dyDescent="0.35">
      <c r="A1297" s="145"/>
      <c r="B1297" s="152"/>
      <c r="E1297" s="102"/>
      <c r="F1297" s="102"/>
      <c r="G1297" s="102"/>
      <c r="I1297" s="93"/>
      <c r="J1297" s="93"/>
    </row>
    <row r="1298" spans="1:10" s="65" customFormat="1" ht="14" x14ac:dyDescent="0.35">
      <c r="A1298" s="145"/>
      <c r="B1298" s="152"/>
      <c r="E1298" s="102"/>
      <c r="F1298" s="102"/>
      <c r="G1298" s="102"/>
      <c r="I1298" s="93"/>
      <c r="J1298" s="93"/>
    </row>
    <row r="1299" spans="1:10" s="65" customFormat="1" ht="14" x14ac:dyDescent="0.35">
      <c r="A1299" s="145"/>
      <c r="B1299" s="152"/>
      <c r="E1299" s="102"/>
      <c r="F1299" s="102"/>
      <c r="G1299" s="102"/>
      <c r="I1299" s="93"/>
      <c r="J1299" s="93"/>
    </row>
    <row r="1300" spans="1:10" s="65" customFormat="1" ht="14" x14ac:dyDescent="0.35">
      <c r="A1300" s="145"/>
      <c r="B1300" s="152"/>
      <c r="E1300" s="102"/>
      <c r="F1300" s="102"/>
      <c r="G1300" s="102"/>
      <c r="I1300" s="93"/>
      <c r="J1300" s="93"/>
    </row>
    <row r="1301" spans="1:10" s="65" customFormat="1" ht="14" x14ac:dyDescent="0.35">
      <c r="A1301" s="145"/>
      <c r="B1301" s="152"/>
      <c r="E1301" s="102"/>
      <c r="F1301" s="102"/>
      <c r="G1301" s="102"/>
      <c r="I1301" s="93"/>
      <c r="J1301" s="93"/>
    </row>
    <row r="1302" spans="1:10" s="65" customFormat="1" ht="14" x14ac:dyDescent="0.35">
      <c r="A1302" s="145"/>
      <c r="B1302" s="152"/>
      <c r="E1302" s="102"/>
      <c r="F1302" s="102"/>
      <c r="G1302" s="102"/>
      <c r="I1302" s="93"/>
      <c r="J1302" s="93"/>
    </row>
    <row r="1303" spans="1:10" s="65" customFormat="1" ht="14" x14ac:dyDescent="0.35">
      <c r="A1303" s="145"/>
      <c r="B1303" s="152"/>
      <c r="E1303" s="102"/>
      <c r="F1303" s="102"/>
      <c r="G1303" s="102"/>
      <c r="I1303" s="93"/>
      <c r="J1303" s="93"/>
    </row>
    <row r="1304" spans="1:10" s="65" customFormat="1" ht="14" x14ac:dyDescent="0.35">
      <c r="A1304" s="145"/>
      <c r="B1304" s="152"/>
      <c r="E1304" s="102"/>
      <c r="F1304" s="102"/>
      <c r="G1304" s="102"/>
      <c r="I1304" s="93"/>
      <c r="J1304" s="93"/>
    </row>
    <row r="1305" spans="1:10" s="65" customFormat="1" ht="14" x14ac:dyDescent="0.35">
      <c r="A1305" s="145"/>
      <c r="B1305" s="152"/>
      <c r="E1305" s="102"/>
      <c r="F1305" s="102"/>
      <c r="G1305" s="102"/>
      <c r="I1305" s="93"/>
      <c r="J1305" s="93"/>
    </row>
    <row r="1306" spans="1:10" s="65" customFormat="1" ht="14" x14ac:dyDescent="0.35">
      <c r="A1306" s="145"/>
      <c r="B1306" s="152"/>
      <c r="E1306" s="102"/>
      <c r="F1306" s="102"/>
      <c r="G1306" s="102"/>
      <c r="I1306" s="93"/>
      <c r="J1306" s="93"/>
    </row>
    <row r="1307" spans="1:10" s="65" customFormat="1" ht="14" x14ac:dyDescent="0.35">
      <c r="A1307" s="145"/>
      <c r="B1307" s="152"/>
      <c r="E1307" s="102"/>
      <c r="F1307" s="102"/>
      <c r="G1307" s="102"/>
      <c r="I1307" s="93"/>
      <c r="J1307" s="93"/>
    </row>
    <row r="1308" spans="1:10" s="65" customFormat="1" ht="14" x14ac:dyDescent="0.35">
      <c r="A1308" s="145"/>
      <c r="B1308" s="152"/>
      <c r="E1308" s="102"/>
      <c r="F1308" s="102"/>
      <c r="G1308" s="102"/>
      <c r="I1308" s="93"/>
      <c r="J1308" s="93"/>
    </row>
    <row r="1309" spans="1:10" s="65" customFormat="1" ht="14" x14ac:dyDescent="0.35">
      <c r="A1309" s="145"/>
      <c r="B1309" s="152"/>
      <c r="E1309" s="102"/>
      <c r="F1309" s="102"/>
      <c r="G1309" s="102"/>
      <c r="I1309" s="93"/>
      <c r="J1309" s="93"/>
    </row>
    <row r="1310" spans="1:10" s="65" customFormat="1" ht="14" x14ac:dyDescent="0.35">
      <c r="A1310" s="145"/>
      <c r="B1310" s="152"/>
      <c r="E1310" s="102"/>
      <c r="F1310" s="102"/>
      <c r="G1310" s="102"/>
      <c r="I1310" s="93"/>
      <c r="J1310" s="93"/>
    </row>
    <row r="1311" spans="1:10" s="65" customFormat="1" ht="14" x14ac:dyDescent="0.35">
      <c r="A1311" s="145"/>
      <c r="B1311" s="152"/>
      <c r="E1311" s="102"/>
      <c r="F1311" s="102"/>
      <c r="G1311" s="102"/>
      <c r="I1311" s="93"/>
      <c r="J1311" s="93"/>
    </row>
    <row r="1312" spans="1:10" s="65" customFormat="1" ht="14" x14ac:dyDescent="0.35">
      <c r="A1312" s="145"/>
      <c r="B1312" s="152"/>
      <c r="E1312" s="102"/>
      <c r="F1312" s="102"/>
      <c r="G1312" s="102"/>
      <c r="I1312" s="93"/>
      <c r="J1312" s="93"/>
    </row>
    <row r="1313" spans="1:10" s="65" customFormat="1" ht="14" x14ac:dyDescent="0.35">
      <c r="A1313" s="145"/>
      <c r="B1313" s="152"/>
      <c r="E1313" s="102"/>
      <c r="F1313" s="102"/>
      <c r="G1313" s="102"/>
      <c r="I1313" s="93"/>
      <c r="J1313" s="93"/>
    </row>
    <row r="1314" spans="1:10" s="65" customFormat="1" ht="14" x14ac:dyDescent="0.35">
      <c r="A1314" s="145"/>
      <c r="B1314" s="152"/>
      <c r="E1314" s="102"/>
      <c r="F1314" s="102"/>
      <c r="G1314" s="102"/>
      <c r="I1314" s="93"/>
      <c r="J1314" s="93"/>
    </row>
    <row r="1315" spans="1:10" s="65" customFormat="1" ht="14" x14ac:dyDescent="0.35">
      <c r="A1315" s="145"/>
      <c r="B1315" s="152"/>
      <c r="E1315" s="102"/>
      <c r="F1315" s="102"/>
      <c r="G1315" s="102"/>
      <c r="I1315" s="93"/>
      <c r="J1315" s="93"/>
    </row>
    <row r="1316" spans="1:10" s="65" customFormat="1" ht="14" x14ac:dyDescent="0.35">
      <c r="A1316" s="145"/>
      <c r="B1316" s="152"/>
      <c r="E1316" s="102"/>
      <c r="F1316" s="102"/>
      <c r="G1316" s="102"/>
      <c r="I1316" s="93"/>
      <c r="J1316" s="93"/>
    </row>
    <row r="1317" spans="1:10" s="65" customFormat="1" ht="14" x14ac:dyDescent="0.35">
      <c r="A1317" s="145"/>
      <c r="B1317" s="152"/>
      <c r="E1317" s="102"/>
      <c r="F1317" s="102"/>
      <c r="G1317" s="102"/>
      <c r="I1317" s="93"/>
      <c r="J1317" s="93"/>
    </row>
    <row r="1318" spans="1:10" s="65" customFormat="1" ht="14" x14ac:dyDescent="0.35">
      <c r="A1318" s="145"/>
      <c r="B1318" s="152"/>
      <c r="E1318" s="102"/>
      <c r="F1318" s="102"/>
      <c r="G1318" s="102"/>
      <c r="I1318" s="93"/>
      <c r="J1318" s="93"/>
    </row>
    <row r="1319" spans="1:10" s="65" customFormat="1" ht="14" x14ac:dyDescent="0.35">
      <c r="A1319" s="145"/>
      <c r="B1319" s="152"/>
      <c r="E1319" s="102"/>
      <c r="F1319" s="102"/>
      <c r="G1319" s="102"/>
      <c r="I1319" s="93"/>
      <c r="J1319" s="93"/>
    </row>
    <row r="1320" spans="1:10" s="65" customFormat="1" ht="14" x14ac:dyDescent="0.35">
      <c r="A1320" s="145"/>
      <c r="B1320" s="152"/>
      <c r="E1320" s="102"/>
      <c r="F1320" s="102"/>
      <c r="G1320" s="102"/>
      <c r="I1320" s="93"/>
      <c r="J1320" s="93"/>
    </row>
    <row r="1321" spans="1:10" s="65" customFormat="1" ht="14" x14ac:dyDescent="0.35">
      <c r="A1321" s="145"/>
      <c r="B1321" s="152"/>
      <c r="E1321" s="102"/>
      <c r="F1321" s="102"/>
      <c r="G1321" s="102"/>
      <c r="I1321" s="93"/>
      <c r="J1321" s="93"/>
    </row>
    <row r="1322" spans="1:10" s="65" customFormat="1" ht="14" x14ac:dyDescent="0.35">
      <c r="A1322" s="145"/>
      <c r="B1322" s="152"/>
      <c r="E1322" s="102"/>
      <c r="F1322" s="102"/>
      <c r="G1322" s="102"/>
      <c r="I1322" s="93"/>
      <c r="J1322" s="93"/>
    </row>
    <row r="1323" spans="1:10" s="65" customFormat="1" ht="14" x14ac:dyDescent="0.35">
      <c r="A1323" s="145"/>
      <c r="B1323" s="152"/>
      <c r="E1323" s="102"/>
      <c r="F1323" s="102"/>
      <c r="G1323" s="102"/>
      <c r="I1323" s="93"/>
      <c r="J1323" s="93"/>
    </row>
    <row r="1324" spans="1:10" s="65" customFormat="1" ht="14" x14ac:dyDescent="0.35">
      <c r="A1324" s="145"/>
      <c r="B1324" s="152"/>
      <c r="E1324" s="102"/>
      <c r="F1324" s="102"/>
      <c r="G1324" s="102"/>
      <c r="I1324" s="93"/>
      <c r="J1324" s="93"/>
    </row>
    <row r="1325" spans="1:10" s="65" customFormat="1" ht="14" x14ac:dyDescent="0.35">
      <c r="A1325" s="145"/>
      <c r="B1325" s="152"/>
      <c r="E1325" s="102"/>
      <c r="F1325" s="102"/>
      <c r="G1325" s="102"/>
      <c r="I1325" s="93"/>
      <c r="J1325" s="93"/>
    </row>
    <row r="1326" spans="1:10" s="65" customFormat="1" ht="14" x14ac:dyDescent="0.35">
      <c r="A1326" s="145"/>
      <c r="B1326" s="152"/>
      <c r="E1326" s="102"/>
      <c r="F1326" s="102"/>
      <c r="G1326" s="102"/>
      <c r="I1326" s="93"/>
      <c r="J1326" s="93"/>
    </row>
    <row r="1327" spans="1:10" s="65" customFormat="1" ht="14" x14ac:dyDescent="0.35">
      <c r="A1327" s="145"/>
      <c r="B1327" s="152"/>
      <c r="E1327" s="102"/>
      <c r="F1327" s="102"/>
      <c r="G1327" s="102"/>
      <c r="I1327" s="93"/>
      <c r="J1327" s="93"/>
    </row>
    <row r="1328" spans="1:10" s="65" customFormat="1" ht="14" x14ac:dyDescent="0.35">
      <c r="A1328" s="145"/>
      <c r="B1328" s="152"/>
      <c r="E1328" s="102"/>
      <c r="F1328" s="102"/>
      <c r="G1328" s="102"/>
      <c r="I1328" s="93"/>
      <c r="J1328" s="93"/>
    </row>
    <row r="1329" spans="1:10" s="65" customFormat="1" ht="14" x14ac:dyDescent="0.35">
      <c r="A1329" s="145"/>
      <c r="B1329" s="152"/>
      <c r="E1329" s="102"/>
      <c r="F1329" s="102"/>
      <c r="G1329" s="102"/>
      <c r="I1329" s="93"/>
      <c r="J1329" s="93"/>
    </row>
    <row r="1330" spans="1:10" s="65" customFormat="1" ht="14" x14ac:dyDescent="0.35">
      <c r="A1330" s="145"/>
      <c r="B1330" s="152"/>
      <c r="E1330" s="102"/>
      <c r="F1330" s="102"/>
      <c r="G1330" s="102"/>
      <c r="I1330" s="93"/>
      <c r="J1330" s="93"/>
    </row>
    <row r="1331" spans="1:10" s="65" customFormat="1" ht="14" x14ac:dyDescent="0.35">
      <c r="A1331" s="145"/>
      <c r="B1331" s="152"/>
      <c r="E1331" s="102"/>
      <c r="F1331" s="102"/>
      <c r="G1331" s="102"/>
      <c r="I1331" s="93"/>
      <c r="J1331" s="93"/>
    </row>
    <row r="1332" spans="1:10" s="65" customFormat="1" ht="14" x14ac:dyDescent="0.35">
      <c r="A1332" s="145"/>
      <c r="B1332" s="152"/>
      <c r="E1332" s="102"/>
      <c r="F1332" s="102"/>
      <c r="G1332" s="102"/>
      <c r="I1332" s="93"/>
      <c r="J1332" s="93"/>
    </row>
    <row r="1333" spans="1:10" s="65" customFormat="1" ht="14" x14ac:dyDescent="0.35">
      <c r="A1333" s="145"/>
      <c r="B1333" s="152"/>
      <c r="E1333" s="102"/>
      <c r="F1333" s="102"/>
      <c r="G1333" s="102"/>
      <c r="I1333" s="93"/>
      <c r="J1333" s="93"/>
    </row>
    <row r="1334" spans="1:10" s="65" customFormat="1" ht="14" x14ac:dyDescent="0.35">
      <c r="A1334" s="145"/>
      <c r="B1334" s="152"/>
      <c r="E1334" s="102"/>
      <c r="F1334" s="102"/>
      <c r="G1334" s="102"/>
      <c r="I1334" s="93"/>
      <c r="J1334" s="93"/>
    </row>
    <row r="1335" spans="1:10" s="65" customFormat="1" ht="14" x14ac:dyDescent="0.35">
      <c r="A1335" s="145"/>
      <c r="B1335" s="152"/>
      <c r="E1335" s="102"/>
      <c r="F1335" s="102"/>
      <c r="G1335" s="102"/>
      <c r="I1335" s="93"/>
      <c r="J1335" s="93"/>
    </row>
    <row r="1336" spans="1:10" s="65" customFormat="1" ht="14" x14ac:dyDescent="0.35">
      <c r="A1336" s="145"/>
      <c r="B1336" s="152"/>
      <c r="E1336" s="102"/>
      <c r="F1336" s="102"/>
      <c r="G1336" s="102"/>
      <c r="I1336" s="93"/>
      <c r="J1336" s="93"/>
    </row>
    <row r="1337" spans="1:10" s="65" customFormat="1" ht="14" x14ac:dyDescent="0.35">
      <c r="A1337" s="145"/>
      <c r="B1337" s="152"/>
      <c r="E1337" s="102"/>
      <c r="F1337" s="102"/>
      <c r="G1337" s="102"/>
      <c r="I1337" s="93"/>
      <c r="J1337" s="93"/>
    </row>
    <row r="1338" spans="1:10" s="65" customFormat="1" ht="14" x14ac:dyDescent="0.35">
      <c r="A1338" s="145"/>
      <c r="B1338" s="152"/>
      <c r="E1338" s="102"/>
      <c r="F1338" s="102"/>
      <c r="G1338" s="102"/>
      <c r="I1338" s="93"/>
      <c r="J1338" s="93"/>
    </row>
    <row r="1339" spans="1:10" s="65" customFormat="1" ht="14" x14ac:dyDescent="0.35">
      <c r="A1339" s="145"/>
      <c r="B1339" s="152"/>
      <c r="E1339" s="102"/>
      <c r="F1339" s="102"/>
      <c r="G1339" s="102"/>
      <c r="I1339" s="93"/>
      <c r="J1339" s="93"/>
    </row>
    <row r="1340" spans="1:10" s="65" customFormat="1" ht="14" x14ac:dyDescent="0.35">
      <c r="A1340" s="145"/>
      <c r="B1340" s="152"/>
      <c r="E1340" s="102"/>
      <c r="F1340" s="102"/>
      <c r="G1340" s="102"/>
      <c r="I1340" s="93"/>
      <c r="J1340" s="93"/>
    </row>
    <row r="1341" spans="1:10" s="65" customFormat="1" ht="14" x14ac:dyDescent="0.35">
      <c r="A1341" s="145"/>
      <c r="B1341" s="152"/>
      <c r="E1341" s="102"/>
      <c r="F1341" s="102"/>
      <c r="G1341" s="102"/>
      <c r="I1341" s="93"/>
      <c r="J1341" s="93"/>
    </row>
    <row r="1342" spans="1:10" s="65" customFormat="1" ht="14" x14ac:dyDescent="0.35">
      <c r="A1342" s="145"/>
      <c r="B1342" s="152"/>
      <c r="E1342" s="102"/>
      <c r="F1342" s="102"/>
      <c r="G1342" s="102"/>
      <c r="I1342" s="93"/>
      <c r="J1342" s="93"/>
    </row>
    <row r="1343" spans="1:10" s="65" customFormat="1" ht="14" x14ac:dyDescent="0.35">
      <c r="A1343" s="145"/>
      <c r="B1343" s="152"/>
      <c r="E1343" s="102"/>
      <c r="F1343" s="102"/>
      <c r="G1343" s="102"/>
      <c r="I1343" s="93"/>
      <c r="J1343" s="93"/>
    </row>
    <row r="1344" spans="1:10" s="65" customFormat="1" ht="14" x14ac:dyDescent="0.35">
      <c r="A1344" s="145"/>
      <c r="B1344" s="152"/>
      <c r="E1344" s="102"/>
      <c r="F1344" s="102"/>
      <c r="G1344" s="102"/>
      <c r="I1344" s="93"/>
      <c r="J1344" s="93"/>
    </row>
    <row r="1345" spans="1:10" s="65" customFormat="1" ht="14" x14ac:dyDescent="0.35">
      <c r="A1345" s="145"/>
      <c r="B1345" s="152"/>
      <c r="E1345" s="102"/>
      <c r="F1345" s="102"/>
      <c r="G1345" s="102"/>
      <c r="I1345" s="93"/>
      <c r="J1345" s="93"/>
    </row>
    <row r="1346" spans="1:10" s="65" customFormat="1" ht="14" x14ac:dyDescent="0.35">
      <c r="A1346" s="145"/>
      <c r="B1346" s="152"/>
      <c r="E1346" s="102"/>
      <c r="F1346" s="102"/>
      <c r="G1346" s="102"/>
      <c r="I1346" s="93"/>
      <c r="J1346" s="93"/>
    </row>
    <row r="1347" spans="1:10" s="65" customFormat="1" ht="14" x14ac:dyDescent="0.35">
      <c r="A1347" s="145"/>
      <c r="B1347" s="152"/>
      <c r="E1347" s="102"/>
      <c r="F1347" s="102"/>
      <c r="G1347" s="102"/>
      <c r="I1347" s="93"/>
      <c r="J1347" s="93"/>
    </row>
    <row r="1348" spans="1:10" s="65" customFormat="1" ht="14" x14ac:dyDescent="0.35">
      <c r="A1348" s="145"/>
      <c r="B1348" s="152"/>
      <c r="E1348" s="102"/>
      <c r="F1348" s="102"/>
      <c r="G1348" s="102"/>
      <c r="I1348" s="93"/>
      <c r="J1348" s="93"/>
    </row>
    <row r="1349" spans="1:10" s="65" customFormat="1" ht="14" x14ac:dyDescent="0.35">
      <c r="A1349" s="145"/>
      <c r="B1349" s="152"/>
      <c r="E1349" s="102"/>
      <c r="F1349" s="102"/>
      <c r="G1349" s="102"/>
      <c r="I1349" s="93"/>
      <c r="J1349" s="93"/>
    </row>
    <row r="1350" spans="1:10" s="65" customFormat="1" ht="14" x14ac:dyDescent="0.35">
      <c r="A1350" s="145"/>
      <c r="B1350" s="152"/>
      <c r="E1350" s="102"/>
      <c r="F1350" s="102"/>
      <c r="G1350" s="102"/>
      <c r="I1350" s="93"/>
      <c r="J1350" s="93"/>
    </row>
    <row r="1351" spans="1:10" s="65" customFormat="1" ht="14" x14ac:dyDescent="0.35">
      <c r="A1351" s="145"/>
      <c r="B1351" s="152"/>
      <c r="E1351" s="102"/>
      <c r="F1351" s="102"/>
      <c r="G1351" s="102"/>
      <c r="I1351" s="93"/>
      <c r="J1351" s="93"/>
    </row>
    <row r="1352" spans="1:10" s="65" customFormat="1" ht="14" x14ac:dyDescent="0.35">
      <c r="A1352" s="145"/>
      <c r="B1352" s="152"/>
      <c r="E1352" s="102"/>
      <c r="F1352" s="102"/>
      <c r="G1352" s="102"/>
      <c r="I1352" s="93"/>
      <c r="J1352" s="93"/>
    </row>
    <row r="1353" spans="1:10" s="65" customFormat="1" ht="14" x14ac:dyDescent="0.35">
      <c r="A1353" s="145"/>
      <c r="B1353" s="152"/>
      <c r="E1353" s="102"/>
      <c r="F1353" s="102"/>
      <c r="G1353" s="102"/>
      <c r="I1353" s="93"/>
      <c r="J1353" s="93"/>
    </row>
    <row r="1354" spans="1:10" s="65" customFormat="1" ht="14" x14ac:dyDescent="0.35">
      <c r="A1354" s="145"/>
      <c r="B1354" s="152"/>
      <c r="E1354" s="102"/>
      <c r="F1354" s="102"/>
      <c r="G1354" s="102"/>
      <c r="I1354" s="93"/>
      <c r="J1354" s="93"/>
    </row>
    <row r="1355" spans="1:10" s="65" customFormat="1" ht="14" x14ac:dyDescent="0.35">
      <c r="A1355" s="145"/>
      <c r="B1355" s="152"/>
      <c r="E1355" s="102"/>
      <c r="F1355" s="102"/>
      <c r="G1355" s="102"/>
      <c r="I1355" s="93"/>
      <c r="J1355" s="93"/>
    </row>
    <row r="1356" spans="1:10" s="65" customFormat="1" ht="14" x14ac:dyDescent="0.35">
      <c r="A1356" s="145"/>
      <c r="B1356" s="152"/>
      <c r="E1356" s="102"/>
      <c r="F1356" s="102"/>
      <c r="G1356" s="102"/>
      <c r="I1356" s="93"/>
      <c r="J1356" s="93"/>
    </row>
    <row r="1357" spans="1:10" s="65" customFormat="1" ht="14" x14ac:dyDescent="0.35">
      <c r="A1357" s="145"/>
      <c r="B1357" s="152"/>
      <c r="E1357" s="102"/>
      <c r="F1357" s="102"/>
      <c r="G1357" s="102"/>
      <c r="I1357" s="93"/>
      <c r="J1357" s="93"/>
    </row>
    <row r="1358" spans="1:10" s="65" customFormat="1" ht="14" x14ac:dyDescent="0.35">
      <c r="A1358" s="145"/>
      <c r="B1358" s="152"/>
      <c r="E1358" s="102"/>
      <c r="F1358" s="102"/>
      <c r="G1358" s="102"/>
      <c r="I1358" s="93"/>
      <c r="J1358" s="93"/>
    </row>
    <row r="1359" spans="1:10" s="65" customFormat="1" ht="14" x14ac:dyDescent="0.35">
      <c r="A1359" s="145"/>
      <c r="B1359" s="152"/>
      <c r="E1359" s="102"/>
      <c r="F1359" s="102"/>
      <c r="G1359" s="102"/>
      <c r="I1359" s="93"/>
      <c r="J1359" s="93"/>
    </row>
    <row r="1360" spans="1:10" s="65" customFormat="1" ht="14" x14ac:dyDescent="0.35">
      <c r="A1360" s="145"/>
      <c r="B1360" s="152"/>
      <c r="E1360" s="102"/>
      <c r="F1360" s="102"/>
      <c r="G1360" s="102"/>
      <c r="I1360" s="93"/>
      <c r="J1360" s="93"/>
    </row>
    <row r="1361" spans="1:10" s="65" customFormat="1" ht="14" x14ac:dyDescent="0.35">
      <c r="A1361" s="145"/>
      <c r="B1361" s="152"/>
      <c r="E1361" s="102"/>
      <c r="F1361" s="102"/>
      <c r="G1361" s="102"/>
      <c r="I1361" s="93"/>
      <c r="J1361" s="93"/>
    </row>
    <row r="1362" spans="1:10" s="65" customFormat="1" ht="14" x14ac:dyDescent="0.35">
      <c r="A1362" s="145"/>
      <c r="B1362" s="152"/>
      <c r="E1362" s="102"/>
      <c r="F1362" s="102"/>
      <c r="G1362" s="102"/>
      <c r="I1362" s="93"/>
      <c r="J1362" s="93"/>
    </row>
    <row r="1363" spans="1:10" s="65" customFormat="1" ht="14" x14ac:dyDescent="0.35">
      <c r="A1363" s="145"/>
      <c r="B1363" s="152"/>
      <c r="E1363" s="102"/>
      <c r="F1363" s="102"/>
      <c r="G1363" s="102"/>
      <c r="I1363" s="93"/>
      <c r="J1363" s="93"/>
    </row>
    <row r="1364" spans="1:10" s="65" customFormat="1" ht="14" x14ac:dyDescent="0.35">
      <c r="A1364" s="145"/>
      <c r="B1364" s="152"/>
      <c r="E1364" s="102"/>
      <c r="F1364" s="102"/>
      <c r="G1364" s="102"/>
      <c r="I1364" s="93"/>
      <c r="J1364" s="93"/>
    </row>
    <row r="1365" spans="1:10" s="65" customFormat="1" ht="14" x14ac:dyDescent="0.35">
      <c r="A1365" s="145"/>
      <c r="B1365" s="152"/>
      <c r="E1365" s="102"/>
      <c r="F1365" s="102"/>
      <c r="G1365" s="102"/>
      <c r="I1365" s="93"/>
      <c r="J1365" s="93"/>
    </row>
    <row r="1366" spans="1:10" s="65" customFormat="1" ht="14" x14ac:dyDescent="0.35">
      <c r="A1366" s="145"/>
      <c r="B1366" s="152"/>
      <c r="E1366" s="102"/>
      <c r="F1366" s="102"/>
      <c r="G1366" s="102"/>
      <c r="I1366" s="93"/>
      <c r="J1366" s="93"/>
    </row>
    <row r="1367" spans="1:10" s="65" customFormat="1" ht="14" x14ac:dyDescent="0.35">
      <c r="A1367" s="145"/>
      <c r="B1367" s="152"/>
      <c r="E1367" s="102"/>
      <c r="F1367" s="102"/>
      <c r="G1367" s="102"/>
      <c r="I1367" s="93"/>
      <c r="J1367" s="93"/>
    </row>
    <row r="1368" spans="1:10" s="65" customFormat="1" ht="14" x14ac:dyDescent="0.35">
      <c r="A1368" s="145"/>
      <c r="B1368" s="152"/>
      <c r="E1368" s="102"/>
      <c r="F1368" s="102"/>
      <c r="G1368" s="102"/>
      <c r="I1368" s="93"/>
      <c r="J1368" s="93"/>
    </row>
    <row r="1369" spans="1:10" s="65" customFormat="1" ht="14" x14ac:dyDescent="0.35">
      <c r="A1369" s="145"/>
      <c r="B1369" s="152"/>
      <c r="E1369" s="102"/>
      <c r="F1369" s="102"/>
      <c r="G1369" s="102"/>
      <c r="I1369" s="93"/>
      <c r="J1369" s="93"/>
    </row>
    <row r="1370" spans="1:10" s="65" customFormat="1" ht="14" x14ac:dyDescent="0.35">
      <c r="A1370" s="145"/>
      <c r="B1370" s="152"/>
      <c r="E1370" s="102"/>
      <c r="F1370" s="102"/>
      <c r="G1370" s="102"/>
      <c r="I1370" s="93"/>
      <c r="J1370" s="93"/>
    </row>
    <row r="1371" spans="1:10" s="65" customFormat="1" ht="14" x14ac:dyDescent="0.35">
      <c r="A1371" s="145"/>
      <c r="B1371" s="152"/>
      <c r="E1371" s="102"/>
      <c r="F1371" s="102"/>
      <c r="G1371" s="102"/>
      <c r="I1371" s="93"/>
      <c r="J1371" s="93"/>
    </row>
    <row r="1372" spans="1:10" s="65" customFormat="1" ht="14" x14ac:dyDescent="0.35">
      <c r="A1372" s="145"/>
      <c r="B1372" s="152"/>
      <c r="E1372" s="102"/>
      <c r="F1372" s="102"/>
      <c r="G1372" s="102"/>
      <c r="I1372" s="93"/>
      <c r="J1372" s="93"/>
    </row>
    <row r="1373" spans="1:10" s="65" customFormat="1" ht="14" x14ac:dyDescent="0.35">
      <c r="A1373" s="145"/>
      <c r="B1373" s="152"/>
      <c r="E1373" s="102"/>
      <c r="F1373" s="102"/>
      <c r="G1373" s="102"/>
      <c r="I1373" s="93"/>
      <c r="J1373" s="93"/>
    </row>
    <row r="1374" spans="1:10" s="65" customFormat="1" ht="14" x14ac:dyDescent="0.35">
      <c r="A1374" s="145"/>
      <c r="B1374" s="152"/>
      <c r="E1374" s="102"/>
      <c r="F1374" s="102"/>
      <c r="G1374" s="102"/>
      <c r="I1374" s="93"/>
      <c r="J1374" s="93"/>
    </row>
    <row r="1375" spans="1:10" s="65" customFormat="1" ht="14" x14ac:dyDescent="0.35">
      <c r="A1375" s="145"/>
      <c r="B1375" s="152"/>
      <c r="E1375" s="102"/>
      <c r="F1375" s="102"/>
      <c r="G1375" s="102"/>
      <c r="I1375" s="93"/>
      <c r="J1375" s="93"/>
    </row>
    <row r="1376" spans="1:10" s="65" customFormat="1" ht="14" x14ac:dyDescent="0.35">
      <c r="A1376" s="145"/>
      <c r="B1376" s="152"/>
      <c r="E1376" s="102"/>
      <c r="F1376" s="102"/>
      <c r="G1376" s="102"/>
      <c r="I1376" s="93"/>
      <c r="J1376" s="93"/>
    </row>
    <row r="1377" spans="1:10" s="65" customFormat="1" ht="14" x14ac:dyDescent="0.35">
      <c r="A1377" s="145"/>
      <c r="B1377" s="152"/>
      <c r="E1377" s="102"/>
      <c r="F1377" s="102"/>
      <c r="G1377" s="102"/>
      <c r="I1377" s="93"/>
      <c r="J1377" s="93"/>
    </row>
    <row r="1378" spans="1:10" s="65" customFormat="1" ht="14" x14ac:dyDescent="0.35">
      <c r="A1378" s="145"/>
      <c r="B1378" s="152"/>
      <c r="E1378" s="102"/>
      <c r="F1378" s="102"/>
      <c r="G1378" s="102"/>
      <c r="I1378" s="93"/>
      <c r="J1378" s="93"/>
    </row>
    <row r="1379" spans="1:10" s="65" customFormat="1" ht="14" x14ac:dyDescent="0.35">
      <c r="A1379" s="145"/>
      <c r="B1379" s="152"/>
      <c r="E1379" s="102"/>
      <c r="F1379" s="102"/>
      <c r="G1379" s="102"/>
      <c r="I1379" s="93"/>
      <c r="J1379" s="93"/>
    </row>
    <row r="1380" spans="1:10" s="65" customFormat="1" ht="14" x14ac:dyDescent="0.35">
      <c r="A1380" s="145"/>
      <c r="B1380" s="152"/>
      <c r="E1380" s="102"/>
      <c r="F1380" s="102"/>
      <c r="G1380" s="102"/>
      <c r="I1380" s="93"/>
      <c r="J1380" s="93"/>
    </row>
    <row r="1381" spans="1:10" s="65" customFormat="1" ht="14" x14ac:dyDescent="0.35">
      <c r="A1381" s="145"/>
      <c r="B1381" s="152"/>
      <c r="E1381" s="102"/>
      <c r="F1381" s="102"/>
      <c r="G1381" s="102"/>
      <c r="I1381" s="93"/>
      <c r="J1381" s="93"/>
    </row>
    <row r="1382" spans="1:10" s="65" customFormat="1" ht="14" x14ac:dyDescent="0.35">
      <c r="A1382" s="145"/>
      <c r="B1382" s="152"/>
      <c r="E1382" s="102"/>
      <c r="F1382" s="102"/>
      <c r="G1382" s="102"/>
      <c r="I1382" s="93"/>
      <c r="J1382" s="93"/>
    </row>
    <row r="1383" spans="1:10" s="65" customFormat="1" ht="14" x14ac:dyDescent="0.35">
      <c r="A1383" s="145"/>
      <c r="B1383" s="152"/>
      <c r="E1383" s="102"/>
      <c r="F1383" s="102"/>
      <c r="G1383" s="102"/>
      <c r="I1383" s="93"/>
      <c r="J1383" s="93"/>
    </row>
    <row r="1384" spans="1:10" s="65" customFormat="1" ht="14" x14ac:dyDescent="0.35">
      <c r="A1384" s="145"/>
      <c r="B1384" s="152"/>
      <c r="E1384" s="102"/>
      <c r="F1384" s="102"/>
      <c r="G1384" s="102"/>
      <c r="I1384" s="93"/>
      <c r="J1384" s="93"/>
    </row>
    <row r="1385" spans="1:10" s="65" customFormat="1" ht="14" x14ac:dyDescent="0.35">
      <c r="A1385" s="145"/>
      <c r="B1385" s="152"/>
      <c r="E1385" s="102"/>
      <c r="F1385" s="102"/>
      <c r="G1385" s="102"/>
      <c r="I1385" s="93"/>
      <c r="J1385" s="93"/>
    </row>
    <row r="1386" spans="1:10" s="65" customFormat="1" ht="14" x14ac:dyDescent="0.35">
      <c r="A1386" s="145"/>
      <c r="B1386" s="152"/>
      <c r="E1386" s="102"/>
      <c r="F1386" s="102"/>
      <c r="G1386" s="102"/>
      <c r="I1386" s="93"/>
      <c r="J1386" s="93"/>
    </row>
    <row r="1387" spans="1:10" s="65" customFormat="1" ht="14" x14ac:dyDescent="0.35">
      <c r="A1387" s="145"/>
      <c r="B1387" s="152"/>
      <c r="E1387" s="102"/>
      <c r="F1387" s="102"/>
      <c r="G1387" s="102"/>
      <c r="I1387" s="93"/>
      <c r="J1387" s="93"/>
    </row>
    <row r="1388" spans="1:10" s="65" customFormat="1" ht="14" x14ac:dyDescent="0.35">
      <c r="A1388" s="145"/>
      <c r="B1388" s="152"/>
      <c r="E1388" s="102"/>
      <c r="F1388" s="102"/>
      <c r="G1388" s="102"/>
      <c r="I1388" s="93"/>
      <c r="J1388" s="93"/>
    </row>
    <row r="1389" spans="1:10" s="65" customFormat="1" ht="14" x14ac:dyDescent="0.35">
      <c r="A1389" s="145"/>
      <c r="B1389" s="152"/>
      <c r="E1389" s="102"/>
      <c r="F1389" s="102"/>
      <c r="G1389" s="102"/>
      <c r="I1389" s="93"/>
      <c r="J1389" s="93"/>
    </row>
    <row r="1390" spans="1:10" s="65" customFormat="1" ht="14" x14ac:dyDescent="0.35">
      <c r="A1390" s="145"/>
      <c r="B1390" s="152"/>
      <c r="E1390" s="102"/>
      <c r="F1390" s="102"/>
      <c r="G1390" s="102"/>
      <c r="I1390" s="93"/>
      <c r="J1390" s="93"/>
    </row>
    <row r="1391" spans="1:10" s="65" customFormat="1" ht="14" x14ac:dyDescent="0.35">
      <c r="A1391" s="145"/>
      <c r="B1391" s="152"/>
      <c r="E1391" s="102"/>
      <c r="F1391" s="102"/>
      <c r="G1391" s="102"/>
      <c r="I1391" s="93"/>
      <c r="J1391" s="93"/>
    </row>
    <row r="1392" spans="1:10" s="65" customFormat="1" ht="14" x14ac:dyDescent="0.35">
      <c r="A1392" s="145"/>
      <c r="B1392" s="152"/>
      <c r="E1392" s="102"/>
      <c r="F1392" s="102"/>
      <c r="G1392" s="102"/>
      <c r="I1392" s="93"/>
      <c r="J1392" s="93"/>
    </row>
    <row r="1393" spans="1:10" s="65" customFormat="1" ht="14" x14ac:dyDescent="0.35">
      <c r="A1393" s="145"/>
      <c r="B1393" s="152"/>
      <c r="E1393" s="102"/>
      <c r="F1393" s="102"/>
      <c r="G1393" s="102"/>
      <c r="I1393" s="93"/>
      <c r="J1393" s="93"/>
    </row>
    <row r="1394" spans="1:10" s="65" customFormat="1" ht="14" x14ac:dyDescent="0.35">
      <c r="A1394" s="145"/>
      <c r="B1394" s="152"/>
      <c r="E1394" s="102"/>
      <c r="F1394" s="102"/>
      <c r="G1394" s="102"/>
      <c r="I1394" s="93"/>
      <c r="J1394" s="93"/>
    </row>
    <row r="1395" spans="1:10" s="65" customFormat="1" ht="14" x14ac:dyDescent="0.35">
      <c r="A1395" s="145"/>
      <c r="B1395" s="152"/>
      <c r="E1395" s="102"/>
      <c r="F1395" s="102"/>
      <c r="G1395" s="102"/>
      <c r="I1395" s="93"/>
      <c r="J1395" s="93"/>
    </row>
    <row r="1396" spans="1:10" s="65" customFormat="1" ht="14" x14ac:dyDescent="0.35">
      <c r="A1396" s="145"/>
      <c r="B1396" s="152"/>
      <c r="E1396" s="102"/>
      <c r="F1396" s="102"/>
      <c r="G1396" s="102"/>
      <c r="I1396" s="93"/>
      <c r="J1396" s="93"/>
    </row>
    <row r="1397" spans="1:10" s="65" customFormat="1" ht="14" x14ac:dyDescent="0.35">
      <c r="A1397" s="145"/>
      <c r="B1397" s="152"/>
      <c r="E1397" s="102"/>
      <c r="F1397" s="102"/>
      <c r="G1397" s="102"/>
      <c r="I1397" s="93"/>
      <c r="J1397" s="93"/>
    </row>
    <row r="1398" spans="1:10" s="65" customFormat="1" ht="14" x14ac:dyDescent="0.35">
      <c r="A1398" s="145"/>
      <c r="B1398" s="152"/>
      <c r="E1398" s="102"/>
      <c r="F1398" s="102"/>
      <c r="G1398" s="102"/>
      <c r="I1398" s="93"/>
      <c r="J1398" s="93"/>
    </row>
    <row r="1399" spans="1:10" s="65" customFormat="1" ht="14" x14ac:dyDescent="0.35">
      <c r="A1399" s="145"/>
      <c r="B1399" s="152"/>
      <c r="E1399" s="102"/>
      <c r="F1399" s="102"/>
      <c r="G1399" s="102"/>
      <c r="I1399" s="93"/>
      <c r="J1399" s="93"/>
    </row>
    <row r="1400" spans="1:10" s="65" customFormat="1" ht="14" x14ac:dyDescent="0.35">
      <c r="A1400" s="145"/>
      <c r="B1400" s="152"/>
      <c r="E1400" s="102"/>
      <c r="F1400" s="102"/>
      <c r="G1400" s="102"/>
      <c r="I1400" s="93"/>
      <c r="J1400" s="93"/>
    </row>
    <row r="1401" spans="1:10" s="65" customFormat="1" ht="14" x14ac:dyDescent="0.35">
      <c r="A1401" s="145"/>
      <c r="B1401" s="152"/>
      <c r="E1401" s="102"/>
      <c r="F1401" s="102"/>
      <c r="G1401" s="102"/>
      <c r="I1401" s="93"/>
      <c r="J1401" s="93"/>
    </row>
    <row r="1402" spans="1:10" s="65" customFormat="1" ht="14" x14ac:dyDescent="0.35">
      <c r="A1402" s="145"/>
      <c r="B1402" s="152"/>
      <c r="E1402" s="102"/>
      <c r="F1402" s="102"/>
      <c r="G1402" s="102"/>
      <c r="I1402" s="93"/>
      <c r="J1402" s="93"/>
    </row>
    <row r="1403" spans="1:10" s="65" customFormat="1" ht="14" x14ac:dyDescent="0.35">
      <c r="A1403" s="145"/>
      <c r="B1403" s="152"/>
      <c r="E1403" s="102"/>
      <c r="F1403" s="102"/>
      <c r="G1403" s="102"/>
      <c r="I1403" s="93"/>
      <c r="J1403" s="93"/>
    </row>
    <row r="1404" spans="1:10" s="65" customFormat="1" ht="14" x14ac:dyDescent="0.35">
      <c r="A1404" s="145"/>
      <c r="B1404" s="152"/>
      <c r="E1404" s="102"/>
      <c r="F1404" s="102"/>
      <c r="G1404" s="102"/>
      <c r="I1404" s="93"/>
      <c r="J1404" s="93"/>
    </row>
    <row r="1405" spans="1:10" s="65" customFormat="1" ht="14" x14ac:dyDescent="0.35">
      <c r="A1405" s="145"/>
      <c r="B1405" s="152"/>
      <c r="E1405" s="102"/>
      <c r="F1405" s="102"/>
      <c r="G1405" s="102"/>
      <c r="I1405" s="93"/>
      <c r="J1405" s="93"/>
    </row>
    <row r="1406" spans="1:10" s="65" customFormat="1" ht="14" x14ac:dyDescent="0.35">
      <c r="A1406" s="145"/>
      <c r="B1406" s="152"/>
      <c r="E1406" s="102"/>
      <c r="F1406" s="102"/>
      <c r="G1406" s="102"/>
      <c r="I1406" s="93"/>
      <c r="J1406" s="93"/>
    </row>
    <row r="1407" spans="1:10" s="65" customFormat="1" ht="14" x14ac:dyDescent="0.35">
      <c r="A1407" s="145"/>
      <c r="B1407" s="152"/>
      <c r="E1407" s="102"/>
      <c r="F1407" s="102"/>
      <c r="G1407" s="102"/>
      <c r="I1407" s="93"/>
      <c r="J1407" s="93"/>
    </row>
    <row r="1408" spans="1:10" s="65" customFormat="1" ht="14" x14ac:dyDescent="0.35">
      <c r="A1408" s="145"/>
      <c r="B1408" s="152"/>
      <c r="E1408" s="102"/>
      <c r="F1408" s="102"/>
      <c r="G1408" s="102"/>
      <c r="I1408" s="93"/>
      <c r="J1408" s="93"/>
    </row>
    <row r="1409" spans="1:10" s="65" customFormat="1" ht="14" x14ac:dyDescent="0.35">
      <c r="A1409" s="145"/>
      <c r="B1409" s="152"/>
      <c r="E1409" s="102"/>
      <c r="F1409" s="102"/>
      <c r="G1409" s="102"/>
      <c r="I1409" s="93"/>
      <c r="J1409" s="93"/>
    </row>
    <row r="1410" spans="1:10" s="65" customFormat="1" ht="14" x14ac:dyDescent="0.35">
      <c r="A1410" s="145"/>
      <c r="B1410" s="152"/>
      <c r="E1410" s="102"/>
      <c r="F1410" s="102"/>
      <c r="G1410" s="102"/>
      <c r="I1410" s="93"/>
      <c r="J1410" s="93"/>
    </row>
    <row r="1411" spans="1:10" s="65" customFormat="1" ht="14" x14ac:dyDescent="0.35">
      <c r="A1411" s="145"/>
      <c r="B1411" s="152"/>
      <c r="E1411" s="102"/>
      <c r="F1411" s="102"/>
      <c r="G1411" s="102"/>
      <c r="I1411" s="93"/>
      <c r="J1411" s="93"/>
    </row>
    <row r="1412" spans="1:10" s="65" customFormat="1" ht="14" x14ac:dyDescent="0.35">
      <c r="A1412" s="145"/>
      <c r="B1412" s="152"/>
      <c r="E1412" s="102"/>
      <c r="F1412" s="102"/>
      <c r="G1412" s="102"/>
      <c r="I1412" s="93"/>
      <c r="J1412" s="93"/>
    </row>
    <row r="1413" spans="1:10" s="65" customFormat="1" ht="14" x14ac:dyDescent="0.35">
      <c r="A1413" s="145"/>
      <c r="B1413" s="152"/>
      <c r="E1413" s="102"/>
      <c r="F1413" s="102"/>
      <c r="G1413" s="102"/>
      <c r="I1413" s="93"/>
      <c r="J1413" s="93"/>
    </row>
    <row r="1414" spans="1:10" s="65" customFormat="1" ht="14" x14ac:dyDescent="0.35">
      <c r="A1414" s="145"/>
      <c r="B1414" s="152"/>
      <c r="E1414" s="102"/>
      <c r="F1414" s="102"/>
      <c r="G1414" s="102"/>
      <c r="I1414" s="93"/>
      <c r="J1414" s="93"/>
    </row>
    <row r="1415" spans="1:10" s="65" customFormat="1" ht="14" x14ac:dyDescent="0.35">
      <c r="A1415" s="145"/>
      <c r="B1415" s="152"/>
      <c r="E1415" s="102"/>
      <c r="F1415" s="102"/>
      <c r="G1415" s="102"/>
      <c r="I1415" s="93"/>
      <c r="J1415" s="93"/>
    </row>
    <row r="1416" spans="1:10" s="65" customFormat="1" ht="14" x14ac:dyDescent="0.35">
      <c r="A1416" s="145"/>
      <c r="B1416" s="152"/>
      <c r="E1416" s="102"/>
      <c r="F1416" s="102"/>
      <c r="G1416" s="102"/>
      <c r="I1416" s="93"/>
      <c r="J1416" s="93"/>
    </row>
    <row r="1417" spans="1:10" s="65" customFormat="1" ht="14" x14ac:dyDescent="0.35">
      <c r="A1417" s="145"/>
      <c r="B1417" s="152"/>
      <c r="E1417" s="102"/>
      <c r="F1417" s="102"/>
      <c r="G1417" s="102"/>
      <c r="I1417" s="93"/>
      <c r="J1417" s="93"/>
    </row>
    <row r="1418" spans="1:10" s="65" customFormat="1" ht="14" x14ac:dyDescent="0.35">
      <c r="A1418" s="145"/>
      <c r="B1418" s="152"/>
      <c r="E1418" s="102"/>
      <c r="F1418" s="102"/>
      <c r="G1418" s="102"/>
      <c r="I1418" s="93"/>
      <c r="J1418" s="93"/>
    </row>
    <row r="1419" spans="1:10" s="65" customFormat="1" ht="14" x14ac:dyDescent="0.35">
      <c r="A1419" s="145"/>
      <c r="B1419" s="152"/>
      <c r="E1419" s="102"/>
      <c r="F1419" s="102"/>
      <c r="G1419" s="102"/>
      <c r="I1419" s="93"/>
      <c r="J1419" s="93"/>
    </row>
    <row r="1420" spans="1:10" s="65" customFormat="1" ht="14" x14ac:dyDescent="0.35">
      <c r="A1420" s="145"/>
      <c r="B1420" s="152"/>
      <c r="E1420" s="102"/>
      <c r="F1420" s="102"/>
      <c r="G1420" s="102"/>
      <c r="I1420" s="93"/>
      <c r="J1420" s="93"/>
    </row>
    <row r="1421" spans="1:10" s="65" customFormat="1" ht="14" x14ac:dyDescent="0.35">
      <c r="A1421" s="145"/>
      <c r="B1421" s="152"/>
      <c r="E1421" s="102"/>
      <c r="F1421" s="102"/>
      <c r="G1421" s="102"/>
      <c r="I1421" s="93"/>
      <c r="J1421" s="93"/>
    </row>
    <row r="1422" spans="1:10" s="65" customFormat="1" ht="14" x14ac:dyDescent="0.35">
      <c r="A1422" s="145"/>
      <c r="B1422" s="152"/>
      <c r="E1422" s="102"/>
      <c r="F1422" s="102"/>
      <c r="G1422" s="102"/>
      <c r="I1422" s="93"/>
      <c r="J1422" s="93"/>
    </row>
    <row r="1423" spans="1:10" s="65" customFormat="1" ht="14" x14ac:dyDescent="0.35">
      <c r="A1423" s="145"/>
      <c r="B1423" s="152"/>
      <c r="E1423" s="102"/>
      <c r="F1423" s="102"/>
      <c r="G1423" s="102"/>
      <c r="I1423" s="93"/>
      <c r="J1423" s="93"/>
    </row>
    <row r="1424" spans="1:10" s="65" customFormat="1" ht="14" x14ac:dyDescent="0.35">
      <c r="A1424" s="145"/>
      <c r="B1424" s="152"/>
      <c r="E1424" s="102"/>
      <c r="F1424" s="102"/>
      <c r="G1424" s="102"/>
      <c r="I1424" s="93"/>
      <c r="J1424" s="93"/>
    </row>
    <row r="1425" spans="1:10" s="65" customFormat="1" ht="14" x14ac:dyDescent="0.35">
      <c r="A1425" s="145"/>
      <c r="B1425" s="152"/>
      <c r="E1425" s="102"/>
      <c r="F1425" s="102"/>
      <c r="G1425" s="102"/>
      <c r="I1425" s="93"/>
      <c r="J1425" s="93"/>
    </row>
    <row r="1426" spans="1:10" s="65" customFormat="1" ht="14" x14ac:dyDescent="0.35">
      <c r="A1426" s="145"/>
      <c r="B1426" s="152"/>
      <c r="E1426" s="102"/>
      <c r="F1426" s="102"/>
      <c r="G1426" s="102"/>
      <c r="I1426" s="93"/>
      <c r="J1426" s="93"/>
    </row>
    <row r="1427" spans="1:10" s="65" customFormat="1" ht="14" x14ac:dyDescent="0.35">
      <c r="A1427" s="145"/>
      <c r="B1427" s="152"/>
      <c r="E1427" s="102"/>
      <c r="F1427" s="102"/>
      <c r="G1427" s="102"/>
      <c r="I1427" s="93"/>
      <c r="J1427" s="93"/>
    </row>
    <row r="1428" spans="1:10" s="65" customFormat="1" ht="14" x14ac:dyDescent="0.35">
      <c r="A1428" s="145"/>
      <c r="B1428" s="152"/>
      <c r="E1428" s="102"/>
      <c r="F1428" s="102"/>
      <c r="G1428" s="102"/>
      <c r="I1428" s="93"/>
      <c r="J1428" s="93"/>
    </row>
    <row r="1429" spans="1:10" s="65" customFormat="1" ht="14" x14ac:dyDescent="0.35">
      <c r="A1429" s="145"/>
      <c r="B1429" s="152"/>
      <c r="E1429" s="102"/>
      <c r="F1429" s="102"/>
      <c r="G1429" s="102"/>
      <c r="I1429" s="93"/>
      <c r="J1429" s="93"/>
    </row>
    <row r="1430" spans="1:10" s="65" customFormat="1" ht="14" x14ac:dyDescent="0.35">
      <c r="A1430" s="145"/>
      <c r="B1430" s="152"/>
      <c r="E1430" s="102"/>
      <c r="F1430" s="102"/>
      <c r="G1430" s="102"/>
      <c r="I1430" s="93"/>
      <c r="J1430" s="93"/>
    </row>
    <row r="1431" spans="1:10" s="65" customFormat="1" ht="14" x14ac:dyDescent="0.35">
      <c r="A1431" s="145"/>
      <c r="B1431" s="152"/>
      <c r="E1431" s="102"/>
      <c r="F1431" s="102"/>
      <c r="G1431" s="102"/>
      <c r="I1431" s="93"/>
      <c r="J1431" s="93"/>
    </row>
    <row r="1432" spans="1:10" s="65" customFormat="1" ht="14" x14ac:dyDescent="0.35">
      <c r="A1432" s="145"/>
      <c r="B1432" s="152"/>
      <c r="E1432" s="102"/>
      <c r="F1432" s="102"/>
      <c r="G1432" s="102"/>
      <c r="I1432" s="93"/>
      <c r="J1432" s="93"/>
    </row>
    <row r="1433" spans="1:10" s="65" customFormat="1" ht="14" x14ac:dyDescent="0.35">
      <c r="A1433" s="145"/>
      <c r="B1433" s="152"/>
      <c r="E1433" s="102"/>
      <c r="F1433" s="102"/>
      <c r="G1433" s="102"/>
      <c r="I1433" s="93"/>
      <c r="J1433" s="93"/>
    </row>
    <row r="1434" spans="1:10" s="65" customFormat="1" ht="14" x14ac:dyDescent="0.35">
      <c r="A1434" s="145"/>
      <c r="B1434" s="152"/>
      <c r="E1434" s="102"/>
      <c r="F1434" s="102"/>
      <c r="G1434" s="102"/>
      <c r="I1434" s="93"/>
      <c r="J1434" s="93"/>
    </row>
    <row r="1435" spans="1:10" s="65" customFormat="1" ht="14" x14ac:dyDescent="0.35">
      <c r="A1435" s="145"/>
      <c r="B1435" s="152"/>
      <c r="E1435" s="102"/>
      <c r="F1435" s="102"/>
      <c r="G1435" s="102"/>
      <c r="I1435" s="93"/>
      <c r="J1435" s="93"/>
    </row>
    <row r="1436" spans="1:10" s="65" customFormat="1" ht="14" x14ac:dyDescent="0.35">
      <c r="A1436" s="145"/>
      <c r="B1436" s="152"/>
      <c r="E1436" s="102"/>
      <c r="F1436" s="102"/>
      <c r="G1436" s="102"/>
      <c r="I1436" s="93"/>
      <c r="J1436" s="93"/>
    </row>
    <row r="1437" spans="1:10" s="65" customFormat="1" ht="14" x14ac:dyDescent="0.35">
      <c r="A1437" s="145"/>
      <c r="B1437" s="152"/>
      <c r="E1437" s="102"/>
      <c r="F1437" s="102"/>
      <c r="G1437" s="102"/>
      <c r="I1437" s="93"/>
      <c r="J1437" s="93"/>
    </row>
    <row r="1438" spans="1:10" s="65" customFormat="1" ht="14" x14ac:dyDescent="0.35">
      <c r="A1438" s="145"/>
      <c r="B1438" s="152"/>
      <c r="E1438" s="102"/>
      <c r="F1438" s="102"/>
      <c r="G1438" s="102"/>
      <c r="I1438" s="93"/>
      <c r="J1438" s="93"/>
    </row>
    <row r="1439" spans="1:10" s="65" customFormat="1" ht="14" x14ac:dyDescent="0.35">
      <c r="A1439" s="145"/>
      <c r="B1439" s="152"/>
      <c r="E1439" s="102"/>
      <c r="F1439" s="102"/>
      <c r="G1439" s="102"/>
      <c r="I1439" s="93"/>
      <c r="J1439" s="93"/>
    </row>
    <row r="1440" spans="1:10" s="65" customFormat="1" ht="14" x14ac:dyDescent="0.35">
      <c r="A1440" s="145"/>
      <c r="B1440" s="152"/>
      <c r="E1440" s="102"/>
      <c r="F1440" s="102"/>
      <c r="G1440" s="102"/>
      <c r="I1440" s="93"/>
      <c r="J1440" s="93"/>
    </row>
    <row r="1441" spans="1:10" s="65" customFormat="1" ht="14" x14ac:dyDescent="0.35">
      <c r="A1441" s="145"/>
      <c r="B1441" s="152"/>
      <c r="E1441" s="102"/>
      <c r="F1441" s="102"/>
      <c r="G1441" s="102"/>
      <c r="I1441" s="93"/>
      <c r="J1441" s="93"/>
    </row>
    <row r="1442" spans="1:10" s="65" customFormat="1" ht="14" x14ac:dyDescent="0.35">
      <c r="A1442" s="145"/>
      <c r="B1442" s="152"/>
      <c r="E1442" s="102"/>
      <c r="F1442" s="102"/>
      <c r="G1442" s="102"/>
      <c r="I1442" s="93"/>
      <c r="J1442" s="93"/>
    </row>
    <row r="1443" spans="1:10" s="65" customFormat="1" ht="14" x14ac:dyDescent="0.35">
      <c r="A1443" s="145"/>
      <c r="B1443" s="152"/>
      <c r="E1443" s="102"/>
      <c r="F1443" s="102"/>
      <c r="G1443" s="102"/>
      <c r="I1443" s="93"/>
      <c r="J1443" s="93"/>
    </row>
    <row r="1444" spans="1:10" s="65" customFormat="1" ht="14" x14ac:dyDescent="0.35">
      <c r="A1444" s="145"/>
      <c r="B1444" s="152"/>
      <c r="E1444" s="102"/>
      <c r="F1444" s="102"/>
      <c r="G1444" s="102"/>
      <c r="I1444" s="93"/>
      <c r="J1444" s="93"/>
    </row>
    <row r="1445" spans="1:10" s="65" customFormat="1" ht="14" x14ac:dyDescent="0.35">
      <c r="A1445" s="145"/>
      <c r="B1445" s="152"/>
      <c r="E1445" s="102"/>
      <c r="F1445" s="102"/>
      <c r="G1445" s="102"/>
      <c r="I1445" s="93"/>
      <c r="J1445" s="93"/>
    </row>
    <row r="1446" spans="1:10" s="65" customFormat="1" ht="14" x14ac:dyDescent="0.35">
      <c r="A1446" s="145"/>
      <c r="B1446" s="152"/>
      <c r="E1446" s="102"/>
      <c r="F1446" s="102"/>
      <c r="G1446" s="102"/>
      <c r="I1446" s="93"/>
      <c r="J1446" s="93"/>
    </row>
    <row r="1447" spans="1:10" s="65" customFormat="1" ht="14" x14ac:dyDescent="0.35">
      <c r="A1447" s="145"/>
      <c r="B1447" s="152"/>
      <c r="E1447" s="102"/>
      <c r="F1447" s="102"/>
      <c r="G1447" s="102"/>
      <c r="I1447" s="93"/>
      <c r="J1447" s="93"/>
    </row>
    <row r="1448" spans="1:10" s="65" customFormat="1" ht="14" x14ac:dyDescent="0.35">
      <c r="A1448" s="145"/>
      <c r="B1448" s="152"/>
      <c r="E1448" s="102"/>
      <c r="F1448" s="102"/>
      <c r="G1448" s="102"/>
      <c r="I1448" s="93"/>
      <c r="J1448" s="93"/>
    </row>
    <row r="1449" spans="1:10" s="65" customFormat="1" ht="14" x14ac:dyDescent="0.35">
      <c r="A1449" s="145"/>
      <c r="B1449" s="152"/>
      <c r="E1449" s="102"/>
      <c r="F1449" s="102"/>
      <c r="G1449" s="102"/>
      <c r="I1449" s="93"/>
      <c r="J1449" s="93"/>
    </row>
    <row r="1450" spans="1:10" s="65" customFormat="1" ht="14" x14ac:dyDescent="0.35">
      <c r="A1450" s="145"/>
      <c r="B1450" s="152"/>
      <c r="E1450" s="102"/>
      <c r="F1450" s="102"/>
      <c r="G1450" s="102"/>
      <c r="I1450" s="93"/>
      <c r="J1450" s="93"/>
    </row>
    <row r="1451" spans="1:10" s="65" customFormat="1" ht="14" x14ac:dyDescent="0.35">
      <c r="A1451" s="145"/>
      <c r="B1451" s="152"/>
      <c r="E1451" s="102"/>
      <c r="F1451" s="102"/>
      <c r="G1451" s="102"/>
      <c r="I1451" s="93"/>
      <c r="J1451" s="93"/>
    </row>
    <row r="1452" spans="1:10" s="65" customFormat="1" ht="14" x14ac:dyDescent="0.35">
      <c r="A1452" s="145"/>
      <c r="B1452" s="152"/>
      <c r="E1452" s="102"/>
      <c r="F1452" s="102"/>
      <c r="G1452" s="102"/>
      <c r="I1452" s="93"/>
      <c r="J1452" s="93"/>
    </row>
    <row r="1453" spans="1:10" s="65" customFormat="1" ht="14" x14ac:dyDescent="0.35">
      <c r="A1453" s="145"/>
      <c r="B1453" s="152"/>
      <c r="E1453" s="102"/>
      <c r="F1453" s="102"/>
      <c r="G1453" s="102"/>
      <c r="I1453" s="93"/>
      <c r="J1453" s="93"/>
    </row>
    <row r="1454" spans="1:10" s="65" customFormat="1" ht="14" x14ac:dyDescent="0.35">
      <c r="A1454" s="145"/>
      <c r="B1454" s="152"/>
      <c r="E1454" s="102"/>
      <c r="F1454" s="102"/>
      <c r="G1454" s="102"/>
      <c r="I1454" s="93"/>
      <c r="J1454" s="93"/>
    </row>
    <row r="1455" spans="1:10" s="65" customFormat="1" ht="14" x14ac:dyDescent="0.35">
      <c r="A1455" s="145"/>
      <c r="B1455" s="152"/>
      <c r="E1455" s="102"/>
      <c r="F1455" s="102"/>
      <c r="G1455" s="102"/>
      <c r="I1455" s="93"/>
      <c r="J1455" s="93"/>
    </row>
    <row r="1456" spans="1:10" s="65" customFormat="1" ht="14" x14ac:dyDescent="0.35">
      <c r="A1456" s="145"/>
      <c r="B1456" s="152"/>
      <c r="E1456" s="102"/>
      <c r="F1456" s="102"/>
      <c r="G1456" s="102"/>
      <c r="I1456" s="93"/>
      <c r="J1456" s="93"/>
    </row>
    <row r="1457" spans="1:10" s="65" customFormat="1" ht="14" x14ac:dyDescent="0.35">
      <c r="A1457" s="145"/>
      <c r="B1457" s="152"/>
      <c r="E1457" s="102"/>
      <c r="F1457" s="102"/>
      <c r="G1457" s="102"/>
      <c r="I1457" s="93"/>
      <c r="J1457" s="93"/>
    </row>
    <row r="1458" spans="1:10" s="65" customFormat="1" ht="14" x14ac:dyDescent="0.35">
      <c r="A1458" s="145"/>
      <c r="B1458" s="152"/>
      <c r="E1458" s="102"/>
      <c r="F1458" s="102"/>
      <c r="G1458" s="102"/>
      <c r="I1458" s="93"/>
      <c r="J1458" s="93"/>
    </row>
    <row r="1459" spans="1:10" s="65" customFormat="1" ht="14" x14ac:dyDescent="0.35">
      <c r="A1459" s="145"/>
      <c r="B1459" s="152"/>
      <c r="E1459" s="102"/>
      <c r="F1459" s="102"/>
      <c r="G1459" s="102"/>
      <c r="I1459" s="93"/>
      <c r="J1459" s="93"/>
    </row>
    <row r="1460" spans="1:10" s="65" customFormat="1" ht="14" x14ac:dyDescent="0.35">
      <c r="A1460" s="145"/>
      <c r="B1460" s="152"/>
      <c r="E1460" s="102"/>
      <c r="F1460" s="102"/>
      <c r="G1460" s="102"/>
      <c r="I1460" s="93"/>
      <c r="J1460" s="93"/>
    </row>
    <row r="1461" spans="1:10" s="65" customFormat="1" ht="14" x14ac:dyDescent="0.35">
      <c r="A1461" s="145"/>
      <c r="B1461" s="152"/>
      <c r="E1461" s="102"/>
      <c r="F1461" s="102"/>
      <c r="G1461" s="102"/>
      <c r="I1461" s="93"/>
      <c r="J1461" s="93"/>
    </row>
    <row r="1462" spans="1:10" s="65" customFormat="1" ht="14" x14ac:dyDescent="0.35">
      <c r="A1462" s="145"/>
      <c r="B1462" s="152"/>
      <c r="E1462" s="102"/>
      <c r="F1462" s="102"/>
      <c r="G1462" s="102"/>
      <c r="I1462" s="93"/>
      <c r="J1462" s="93"/>
    </row>
    <row r="1463" spans="1:10" s="65" customFormat="1" ht="14" x14ac:dyDescent="0.35">
      <c r="A1463" s="145"/>
      <c r="B1463" s="152"/>
      <c r="E1463" s="102"/>
      <c r="F1463" s="102"/>
      <c r="G1463" s="102"/>
      <c r="I1463" s="93"/>
      <c r="J1463" s="93"/>
    </row>
    <row r="1464" spans="1:10" s="65" customFormat="1" ht="14" x14ac:dyDescent="0.35">
      <c r="A1464" s="145"/>
      <c r="B1464" s="152"/>
      <c r="E1464" s="102"/>
      <c r="F1464" s="102"/>
      <c r="G1464" s="102"/>
      <c r="I1464" s="93"/>
      <c r="J1464" s="93"/>
    </row>
    <row r="1465" spans="1:10" s="65" customFormat="1" ht="14" x14ac:dyDescent="0.35">
      <c r="A1465" s="145"/>
      <c r="B1465" s="152"/>
      <c r="E1465" s="102"/>
      <c r="F1465" s="102"/>
      <c r="G1465" s="102"/>
      <c r="I1465" s="93"/>
      <c r="J1465" s="93"/>
    </row>
    <row r="1466" spans="1:10" s="65" customFormat="1" ht="14" x14ac:dyDescent="0.35">
      <c r="A1466" s="145"/>
      <c r="B1466" s="152"/>
      <c r="E1466" s="102"/>
      <c r="F1466" s="102"/>
      <c r="G1466" s="102"/>
      <c r="I1466" s="93"/>
      <c r="J1466" s="93"/>
    </row>
    <row r="1467" spans="1:10" s="65" customFormat="1" ht="14" x14ac:dyDescent="0.35">
      <c r="A1467" s="145"/>
      <c r="B1467" s="152"/>
      <c r="E1467" s="102"/>
      <c r="F1467" s="102"/>
      <c r="G1467" s="102"/>
      <c r="I1467" s="93"/>
      <c r="J1467" s="93"/>
    </row>
    <row r="1468" spans="1:10" s="65" customFormat="1" ht="14" x14ac:dyDescent="0.35">
      <c r="A1468" s="145"/>
      <c r="B1468" s="152"/>
      <c r="E1468" s="102"/>
      <c r="F1468" s="102"/>
      <c r="G1468" s="102"/>
      <c r="I1468" s="93"/>
      <c r="J1468" s="93"/>
    </row>
    <row r="1469" spans="1:10" s="65" customFormat="1" ht="14" x14ac:dyDescent="0.35">
      <c r="A1469" s="145"/>
      <c r="B1469" s="152"/>
      <c r="E1469" s="102"/>
      <c r="F1469" s="102"/>
      <c r="G1469" s="102"/>
      <c r="I1469" s="93"/>
      <c r="J1469" s="93"/>
    </row>
    <row r="1470" spans="1:10" s="65" customFormat="1" ht="14" x14ac:dyDescent="0.35">
      <c r="A1470" s="145"/>
      <c r="B1470" s="152"/>
      <c r="E1470" s="102"/>
      <c r="F1470" s="102"/>
      <c r="G1470" s="102"/>
      <c r="I1470" s="93"/>
      <c r="J1470" s="93"/>
    </row>
    <row r="1471" spans="1:10" s="65" customFormat="1" ht="14" x14ac:dyDescent="0.35">
      <c r="A1471" s="145"/>
      <c r="B1471" s="152"/>
      <c r="E1471" s="102"/>
      <c r="F1471" s="102"/>
      <c r="G1471" s="102"/>
      <c r="I1471" s="93"/>
      <c r="J1471" s="93"/>
    </row>
    <row r="1472" spans="1:10" s="65" customFormat="1" ht="14" x14ac:dyDescent="0.35">
      <c r="A1472" s="145"/>
      <c r="B1472" s="152"/>
      <c r="E1472" s="102"/>
      <c r="F1472" s="102"/>
      <c r="G1472" s="102"/>
      <c r="I1472" s="93"/>
      <c r="J1472" s="93"/>
    </row>
    <row r="1473" spans="1:10" s="65" customFormat="1" ht="14" x14ac:dyDescent="0.35">
      <c r="A1473" s="145"/>
      <c r="B1473" s="152"/>
      <c r="E1473" s="102"/>
      <c r="F1473" s="102"/>
      <c r="G1473" s="102"/>
      <c r="I1473" s="93"/>
      <c r="J1473" s="93"/>
    </row>
    <row r="1474" spans="1:10" s="65" customFormat="1" ht="14" x14ac:dyDescent="0.35">
      <c r="A1474" s="145"/>
      <c r="B1474" s="152"/>
      <c r="E1474" s="102"/>
      <c r="F1474" s="102"/>
      <c r="G1474" s="102"/>
      <c r="I1474" s="93"/>
      <c r="J1474" s="93"/>
    </row>
    <row r="1475" spans="1:10" s="65" customFormat="1" ht="14" x14ac:dyDescent="0.35">
      <c r="A1475" s="145"/>
      <c r="B1475" s="152"/>
      <c r="E1475" s="102"/>
      <c r="F1475" s="102"/>
      <c r="G1475" s="102"/>
      <c r="I1475" s="93"/>
      <c r="J1475" s="93"/>
    </row>
    <row r="1476" spans="1:10" s="65" customFormat="1" ht="14" x14ac:dyDescent="0.35">
      <c r="A1476" s="145"/>
      <c r="B1476" s="152"/>
      <c r="E1476" s="102"/>
      <c r="F1476" s="102"/>
      <c r="G1476" s="102"/>
      <c r="I1476" s="93"/>
      <c r="J1476" s="93"/>
    </row>
    <row r="1477" spans="1:10" s="65" customFormat="1" ht="14" x14ac:dyDescent="0.35">
      <c r="A1477" s="145"/>
      <c r="B1477" s="152"/>
      <c r="E1477" s="102"/>
      <c r="F1477" s="102"/>
      <c r="G1477" s="102"/>
      <c r="I1477" s="93"/>
      <c r="J1477" s="93"/>
    </row>
    <row r="1478" spans="1:10" s="65" customFormat="1" ht="14" x14ac:dyDescent="0.35">
      <c r="A1478" s="145"/>
      <c r="B1478" s="152"/>
      <c r="E1478" s="102"/>
      <c r="F1478" s="102"/>
      <c r="G1478" s="102"/>
      <c r="I1478" s="93"/>
      <c r="J1478" s="93"/>
    </row>
    <row r="1479" spans="1:10" s="65" customFormat="1" ht="14" x14ac:dyDescent="0.35">
      <c r="A1479" s="145"/>
      <c r="B1479" s="152"/>
      <c r="E1479" s="102"/>
      <c r="F1479" s="102"/>
      <c r="G1479" s="102"/>
      <c r="I1479" s="93"/>
      <c r="J1479" s="93"/>
    </row>
    <row r="1480" spans="1:10" s="65" customFormat="1" ht="14" x14ac:dyDescent="0.35">
      <c r="A1480" s="145"/>
      <c r="B1480" s="152"/>
      <c r="E1480" s="102"/>
      <c r="F1480" s="102"/>
      <c r="G1480" s="102"/>
      <c r="I1480" s="93"/>
      <c r="J1480" s="93"/>
    </row>
    <row r="1481" spans="1:10" s="65" customFormat="1" ht="14" x14ac:dyDescent="0.35">
      <c r="A1481" s="145"/>
      <c r="B1481" s="152"/>
      <c r="E1481" s="102"/>
      <c r="F1481" s="102"/>
      <c r="G1481" s="102"/>
      <c r="I1481" s="93"/>
      <c r="J1481" s="93"/>
    </row>
    <row r="1482" spans="1:10" s="65" customFormat="1" ht="14" x14ac:dyDescent="0.35">
      <c r="A1482" s="145"/>
      <c r="B1482" s="152"/>
      <c r="E1482" s="102"/>
      <c r="F1482" s="102"/>
      <c r="G1482" s="102"/>
      <c r="I1482" s="93"/>
      <c r="J1482" s="93"/>
    </row>
    <row r="1483" spans="1:10" s="65" customFormat="1" ht="14" x14ac:dyDescent="0.35">
      <c r="A1483" s="145"/>
      <c r="B1483" s="152"/>
      <c r="E1483" s="102"/>
      <c r="F1483" s="102"/>
      <c r="G1483" s="102"/>
      <c r="I1483" s="93"/>
      <c r="J1483" s="93"/>
    </row>
    <row r="1484" spans="1:10" s="65" customFormat="1" ht="14" x14ac:dyDescent="0.35">
      <c r="A1484" s="145"/>
      <c r="B1484" s="152"/>
      <c r="E1484" s="102"/>
      <c r="F1484" s="102"/>
      <c r="G1484" s="102"/>
      <c r="I1484" s="93"/>
      <c r="J1484" s="93"/>
    </row>
    <row r="1485" spans="1:10" s="65" customFormat="1" ht="14" x14ac:dyDescent="0.35">
      <c r="A1485" s="145"/>
      <c r="B1485" s="152"/>
      <c r="E1485" s="102"/>
      <c r="F1485" s="102"/>
      <c r="G1485" s="102"/>
      <c r="I1485" s="93"/>
      <c r="J1485" s="93"/>
    </row>
    <row r="1486" spans="1:10" s="65" customFormat="1" ht="14" x14ac:dyDescent="0.35">
      <c r="A1486" s="145"/>
      <c r="B1486" s="152"/>
      <c r="E1486" s="102"/>
      <c r="F1486" s="102"/>
      <c r="G1486" s="102"/>
      <c r="I1486" s="93"/>
      <c r="J1486" s="93"/>
    </row>
    <row r="1487" spans="1:10" s="65" customFormat="1" ht="14" x14ac:dyDescent="0.35">
      <c r="A1487" s="145"/>
      <c r="B1487" s="152"/>
      <c r="E1487" s="102"/>
      <c r="F1487" s="102"/>
      <c r="G1487" s="102"/>
      <c r="I1487" s="93"/>
      <c r="J1487" s="93"/>
    </row>
    <row r="1488" spans="1:10" s="65" customFormat="1" ht="14" x14ac:dyDescent="0.35">
      <c r="A1488" s="145"/>
      <c r="B1488" s="152"/>
      <c r="E1488" s="102"/>
      <c r="F1488" s="102"/>
      <c r="G1488" s="102"/>
      <c r="I1488" s="93"/>
      <c r="J1488" s="93"/>
    </row>
    <row r="1489" spans="1:10" s="65" customFormat="1" ht="14" x14ac:dyDescent="0.35">
      <c r="A1489" s="145"/>
      <c r="B1489" s="152"/>
      <c r="E1489" s="102"/>
      <c r="F1489" s="102"/>
      <c r="G1489" s="102"/>
      <c r="I1489" s="93"/>
      <c r="J1489" s="93"/>
    </row>
    <row r="1490" spans="1:10" s="65" customFormat="1" ht="14" x14ac:dyDescent="0.35">
      <c r="A1490" s="145"/>
      <c r="B1490" s="152"/>
      <c r="E1490" s="102"/>
      <c r="F1490" s="102"/>
      <c r="G1490" s="102"/>
      <c r="I1490" s="93"/>
      <c r="J1490" s="93"/>
    </row>
    <row r="1491" spans="1:10" s="65" customFormat="1" ht="14" x14ac:dyDescent="0.35">
      <c r="A1491" s="145"/>
      <c r="B1491" s="152"/>
      <c r="E1491" s="102"/>
      <c r="F1491" s="102"/>
      <c r="G1491" s="102"/>
      <c r="I1491" s="93"/>
      <c r="J1491" s="93"/>
    </row>
    <row r="1492" spans="1:10" s="65" customFormat="1" ht="14" x14ac:dyDescent="0.35">
      <c r="A1492" s="145"/>
      <c r="B1492" s="152"/>
      <c r="E1492" s="102"/>
      <c r="F1492" s="102"/>
      <c r="G1492" s="102"/>
      <c r="I1492" s="93"/>
      <c r="J1492" s="93"/>
    </row>
    <row r="1493" spans="1:10" s="65" customFormat="1" ht="14" x14ac:dyDescent="0.35">
      <c r="A1493" s="145"/>
      <c r="B1493" s="152"/>
      <c r="E1493" s="102"/>
      <c r="F1493" s="102"/>
      <c r="G1493" s="102"/>
      <c r="I1493" s="93"/>
      <c r="J1493" s="93"/>
    </row>
    <row r="1494" spans="1:10" s="65" customFormat="1" ht="14" x14ac:dyDescent="0.35">
      <c r="A1494" s="145"/>
      <c r="B1494" s="152"/>
      <c r="E1494" s="102"/>
      <c r="F1494" s="102"/>
      <c r="G1494" s="102"/>
      <c r="I1494" s="93"/>
      <c r="J1494" s="93"/>
    </row>
    <row r="1495" spans="1:10" s="65" customFormat="1" ht="14" x14ac:dyDescent="0.35">
      <c r="A1495" s="145"/>
      <c r="B1495" s="152"/>
      <c r="E1495" s="102"/>
      <c r="F1495" s="102"/>
      <c r="G1495" s="102"/>
      <c r="I1495" s="93"/>
      <c r="J1495" s="93"/>
    </row>
    <row r="1496" spans="1:10" s="65" customFormat="1" ht="14" x14ac:dyDescent="0.35">
      <c r="A1496" s="145"/>
      <c r="B1496" s="152"/>
      <c r="E1496" s="102"/>
      <c r="F1496" s="102"/>
      <c r="G1496" s="102"/>
      <c r="I1496" s="93"/>
      <c r="J1496" s="93"/>
    </row>
    <row r="1497" spans="1:10" s="65" customFormat="1" ht="14" x14ac:dyDescent="0.35">
      <c r="A1497" s="145"/>
      <c r="B1497" s="152"/>
      <c r="E1497" s="102"/>
      <c r="F1497" s="102"/>
      <c r="G1497" s="102"/>
      <c r="I1497" s="93"/>
      <c r="J1497" s="93"/>
    </row>
    <row r="1498" spans="1:10" s="65" customFormat="1" ht="14" x14ac:dyDescent="0.35">
      <c r="A1498" s="145"/>
      <c r="B1498" s="152"/>
      <c r="E1498" s="102"/>
      <c r="F1498" s="102"/>
      <c r="G1498" s="102"/>
      <c r="I1498" s="93"/>
      <c r="J1498" s="93"/>
    </row>
    <row r="1499" spans="1:10" s="65" customFormat="1" ht="14" x14ac:dyDescent="0.35">
      <c r="A1499" s="145"/>
      <c r="B1499" s="152"/>
      <c r="E1499" s="102"/>
      <c r="F1499" s="102"/>
      <c r="G1499" s="102"/>
      <c r="I1499" s="93"/>
      <c r="J1499" s="93"/>
    </row>
    <row r="1500" spans="1:10" s="65" customFormat="1" ht="14" x14ac:dyDescent="0.35">
      <c r="A1500" s="145"/>
      <c r="B1500" s="152"/>
      <c r="E1500" s="102"/>
      <c r="F1500" s="102"/>
      <c r="G1500" s="102"/>
      <c r="I1500" s="93"/>
      <c r="J1500" s="93"/>
    </row>
    <row r="1501" spans="1:10" s="65" customFormat="1" ht="14" x14ac:dyDescent="0.35">
      <c r="A1501" s="145"/>
      <c r="B1501" s="152"/>
      <c r="E1501" s="102"/>
      <c r="F1501" s="102"/>
      <c r="G1501" s="102"/>
      <c r="I1501" s="93"/>
      <c r="J1501" s="93"/>
    </row>
    <row r="1502" spans="1:10" s="65" customFormat="1" ht="14" x14ac:dyDescent="0.35">
      <c r="A1502" s="145"/>
      <c r="B1502" s="152"/>
      <c r="E1502" s="102"/>
      <c r="F1502" s="102"/>
      <c r="G1502" s="102"/>
      <c r="I1502" s="93"/>
      <c r="J1502" s="93"/>
    </row>
    <row r="1503" spans="1:10" s="65" customFormat="1" ht="14" x14ac:dyDescent="0.35">
      <c r="A1503" s="145"/>
      <c r="B1503" s="152"/>
      <c r="E1503" s="102"/>
      <c r="F1503" s="102"/>
      <c r="G1503" s="102"/>
      <c r="I1503" s="93"/>
      <c r="J1503" s="93"/>
    </row>
    <row r="1504" spans="1:10" s="65" customFormat="1" ht="14" x14ac:dyDescent="0.35">
      <c r="A1504" s="145"/>
      <c r="B1504" s="152"/>
      <c r="E1504" s="102"/>
      <c r="F1504" s="102"/>
      <c r="G1504" s="102"/>
      <c r="I1504" s="93"/>
      <c r="J1504" s="93"/>
    </row>
    <row r="1505" spans="1:10" s="65" customFormat="1" ht="14" x14ac:dyDescent="0.35">
      <c r="A1505" s="145"/>
      <c r="B1505" s="152"/>
      <c r="E1505" s="102"/>
      <c r="F1505" s="102"/>
      <c r="G1505" s="102"/>
      <c r="I1505" s="93"/>
      <c r="J1505" s="93"/>
    </row>
    <row r="1506" spans="1:10" s="65" customFormat="1" ht="14" x14ac:dyDescent="0.35">
      <c r="A1506" s="145"/>
      <c r="B1506" s="152"/>
      <c r="E1506" s="102"/>
      <c r="F1506" s="102"/>
      <c r="G1506" s="102"/>
      <c r="I1506" s="93"/>
      <c r="J1506" s="93"/>
    </row>
    <row r="1507" spans="1:10" s="65" customFormat="1" ht="14" x14ac:dyDescent="0.35">
      <c r="A1507" s="145"/>
      <c r="B1507" s="152"/>
      <c r="E1507" s="102"/>
      <c r="F1507" s="102"/>
      <c r="G1507" s="102"/>
      <c r="I1507" s="93"/>
      <c r="J1507" s="93"/>
    </row>
    <row r="1508" spans="1:10" s="65" customFormat="1" ht="14" x14ac:dyDescent="0.35">
      <c r="A1508" s="145"/>
      <c r="B1508" s="152"/>
      <c r="E1508" s="102"/>
      <c r="F1508" s="102"/>
      <c r="G1508" s="102"/>
      <c r="I1508" s="93"/>
      <c r="J1508" s="93"/>
    </row>
    <row r="1509" spans="1:10" s="65" customFormat="1" ht="14" x14ac:dyDescent="0.35">
      <c r="A1509" s="145"/>
      <c r="B1509" s="152"/>
      <c r="E1509" s="102"/>
      <c r="F1509" s="102"/>
      <c r="G1509" s="102"/>
      <c r="I1509" s="93"/>
      <c r="J1509" s="93"/>
    </row>
    <row r="1510" spans="1:10" s="65" customFormat="1" ht="14" x14ac:dyDescent="0.35">
      <c r="A1510" s="145"/>
      <c r="B1510" s="152"/>
      <c r="E1510" s="102"/>
      <c r="F1510" s="102"/>
      <c r="G1510" s="102"/>
      <c r="I1510" s="93"/>
      <c r="J1510" s="93"/>
    </row>
    <row r="1511" spans="1:10" s="65" customFormat="1" ht="14" x14ac:dyDescent="0.35">
      <c r="A1511" s="145"/>
      <c r="B1511" s="152"/>
      <c r="E1511" s="102"/>
      <c r="F1511" s="102"/>
      <c r="G1511" s="102"/>
      <c r="I1511" s="93"/>
      <c r="J1511" s="93"/>
    </row>
    <row r="1512" spans="1:10" s="65" customFormat="1" ht="14" x14ac:dyDescent="0.35">
      <c r="A1512" s="145"/>
      <c r="B1512" s="152"/>
      <c r="E1512" s="102"/>
      <c r="F1512" s="102"/>
      <c r="G1512" s="102"/>
      <c r="I1512" s="93"/>
      <c r="J1512" s="93"/>
    </row>
    <row r="1513" spans="1:10" s="65" customFormat="1" ht="14" x14ac:dyDescent="0.35">
      <c r="A1513" s="145"/>
      <c r="B1513" s="152"/>
      <c r="E1513" s="102"/>
      <c r="F1513" s="102"/>
      <c r="G1513" s="102"/>
      <c r="I1513" s="93"/>
      <c r="J1513" s="93"/>
    </row>
    <row r="1514" spans="1:10" s="65" customFormat="1" ht="14" x14ac:dyDescent="0.35">
      <c r="A1514" s="145"/>
      <c r="B1514" s="152"/>
      <c r="E1514" s="102"/>
      <c r="F1514" s="102"/>
      <c r="G1514" s="102"/>
      <c r="I1514" s="93"/>
      <c r="J1514" s="93"/>
    </row>
    <row r="1515" spans="1:10" s="65" customFormat="1" ht="14" x14ac:dyDescent="0.35">
      <c r="A1515" s="145"/>
      <c r="B1515" s="152"/>
      <c r="E1515" s="102"/>
      <c r="F1515" s="102"/>
      <c r="G1515" s="102"/>
      <c r="I1515" s="93"/>
      <c r="J1515" s="93"/>
    </row>
    <row r="1516" spans="1:10" s="65" customFormat="1" ht="14" x14ac:dyDescent="0.35">
      <c r="A1516" s="145"/>
      <c r="B1516" s="152"/>
      <c r="E1516" s="102"/>
      <c r="F1516" s="102"/>
      <c r="G1516" s="102"/>
      <c r="I1516" s="93"/>
      <c r="J1516" s="93"/>
    </row>
    <row r="1517" spans="1:10" s="65" customFormat="1" ht="14" x14ac:dyDescent="0.35">
      <c r="A1517" s="145"/>
      <c r="B1517" s="152"/>
      <c r="E1517" s="102"/>
      <c r="F1517" s="102"/>
      <c r="G1517" s="102"/>
      <c r="I1517" s="93"/>
      <c r="J1517" s="93"/>
    </row>
    <row r="1518" spans="1:10" s="65" customFormat="1" ht="14" x14ac:dyDescent="0.35">
      <c r="A1518" s="145"/>
      <c r="B1518" s="152"/>
      <c r="E1518" s="102"/>
      <c r="F1518" s="102"/>
      <c r="G1518" s="102"/>
      <c r="I1518" s="93"/>
      <c r="J1518" s="93"/>
    </row>
    <row r="1519" spans="1:10" s="65" customFormat="1" ht="14" x14ac:dyDescent="0.35">
      <c r="A1519" s="145"/>
      <c r="B1519" s="152"/>
      <c r="E1519" s="102"/>
      <c r="F1519" s="102"/>
      <c r="G1519" s="102"/>
      <c r="I1519" s="93"/>
      <c r="J1519" s="93"/>
    </row>
    <row r="1520" spans="1:10" s="65" customFormat="1" ht="14" x14ac:dyDescent="0.35">
      <c r="A1520" s="145"/>
      <c r="B1520" s="152"/>
      <c r="E1520" s="102"/>
      <c r="F1520" s="102"/>
      <c r="G1520" s="102"/>
      <c r="I1520" s="93"/>
      <c r="J1520" s="93"/>
    </row>
    <row r="1521" spans="1:10" s="65" customFormat="1" ht="14" x14ac:dyDescent="0.35">
      <c r="A1521" s="145"/>
      <c r="B1521" s="152"/>
      <c r="E1521" s="102"/>
      <c r="F1521" s="102"/>
      <c r="G1521" s="102"/>
      <c r="I1521" s="93"/>
      <c r="J1521" s="93"/>
    </row>
    <row r="1522" spans="1:10" s="65" customFormat="1" ht="14" x14ac:dyDescent="0.35">
      <c r="A1522" s="145"/>
      <c r="B1522" s="152"/>
      <c r="E1522" s="102"/>
      <c r="F1522" s="102"/>
      <c r="G1522" s="102"/>
      <c r="I1522" s="93"/>
      <c r="J1522" s="93"/>
    </row>
    <row r="1523" spans="1:10" s="65" customFormat="1" ht="14" x14ac:dyDescent="0.35">
      <c r="A1523" s="145"/>
      <c r="B1523" s="152"/>
      <c r="E1523" s="102"/>
      <c r="F1523" s="102"/>
      <c r="G1523" s="102"/>
      <c r="I1523" s="93"/>
      <c r="J1523" s="93"/>
    </row>
    <row r="1524" spans="1:10" s="65" customFormat="1" ht="14" x14ac:dyDescent="0.35">
      <c r="A1524" s="145"/>
      <c r="B1524" s="152"/>
      <c r="E1524" s="102"/>
      <c r="F1524" s="102"/>
      <c r="G1524" s="102"/>
      <c r="I1524" s="93"/>
      <c r="J1524" s="93"/>
    </row>
    <row r="1525" spans="1:10" s="65" customFormat="1" ht="14" x14ac:dyDescent="0.35">
      <c r="A1525" s="145"/>
      <c r="B1525" s="152"/>
      <c r="E1525" s="102"/>
      <c r="F1525" s="102"/>
      <c r="G1525" s="102"/>
      <c r="I1525" s="93"/>
      <c r="J1525" s="93"/>
    </row>
    <row r="1526" spans="1:10" s="65" customFormat="1" ht="14" x14ac:dyDescent="0.35">
      <c r="A1526" s="145"/>
      <c r="B1526" s="152"/>
      <c r="E1526" s="102"/>
      <c r="F1526" s="102"/>
      <c r="G1526" s="102"/>
      <c r="I1526" s="93"/>
      <c r="J1526" s="93"/>
    </row>
    <row r="1527" spans="1:10" s="65" customFormat="1" ht="14" x14ac:dyDescent="0.35">
      <c r="A1527" s="145"/>
      <c r="B1527" s="152"/>
      <c r="E1527" s="102"/>
      <c r="F1527" s="102"/>
      <c r="G1527" s="102"/>
      <c r="I1527" s="93"/>
      <c r="J1527" s="93"/>
    </row>
    <row r="1528" spans="1:10" s="65" customFormat="1" ht="14" x14ac:dyDescent="0.35">
      <c r="A1528" s="145"/>
      <c r="B1528" s="152"/>
      <c r="E1528" s="102"/>
      <c r="F1528" s="102"/>
      <c r="G1528" s="102"/>
      <c r="I1528" s="93"/>
      <c r="J1528" s="93"/>
    </row>
    <row r="1529" spans="1:10" s="65" customFormat="1" ht="14" x14ac:dyDescent="0.35">
      <c r="A1529" s="145"/>
      <c r="B1529" s="152"/>
      <c r="E1529" s="102"/>
      <c r="F1529" s="102"/>
      <c r="G1529" s="102"/>
      <c r="I1529" s="93"/>
      <c r="J1529" s="93"/>
    </row>
    <row r="1530" spans="1:10" s="65" customFormat="1" ht="14" x14ac:dyDescent="0.35">
      <c r="A1530" s="145"/>
      <c r="B1530" s="152"/>
      <c r="E1530" s="102"/>
      <c r="F1530" s="102"/>
      <c r="G1530" s="102"/>
      <c r="I1530" s="93"/>
      <c r="J1530" s="93"/>
    </row>
    <row r="1531" spans="1:10" s="65" customFormat="1" ht="14" x14ac:dyDescent="0.35">
      <c r="A1531" s="145"/>
      <c r="B1531" s="152"/>
      <c r="E1531" s="102"/>
      <c r="F1531" s="102"/>
      <c r="G1531" s="102"/>
      <c r="I1531" s="93"/>
      <c r="J1531" s="93"/>
    </row>
    <row r="1532" spans="1:10" s="65" customFormat="1" ht="14" x14ac:dyDescent="0.35">
      <c r="A1532" s="145"/>
      <c r="B1532" s="152"/>
      <c r="E1532" s="102"/>
      <c r="F1532" s="102"/>
      <c r="G1532" s="102"/>
      <c r="I1532" s="93"/>
      <c r="J1532" s="93"/>
    </row>
    <row r="1533" spans="1:10" s="65" customFormat="1" ht="14" x14ac:dyDescent="0.35">
      <c r="A1533" s="145"/>
      <c r="B1533" s="152"/>
      <c r="E1533" s="102"/>
      <c r="F1533" s="102"/>
      <c r="G1533" s="102"/>
      <c r="I1533" s="93"/>
      <c r="J1533" s="93"/>
    </row>
    <row r="1534" spans="1:10" s="65" customFormat="1" ht="14" x14ac:dyDescent="0.35">
      <c r="A1534" s="145"/>
      <c r="B1534" s="152"/>
      <c r="E1534" s="102"/>
      <c r="F1534" s="102"/>
      <c r="G1534" s="102"/>
      <c r="I1534" s="93"/>
      <c r="J1534" s="93"/>
    </row>
    <row r="1535" spans="1:10" s="65" customFormat="1" ht="14" x14ac:dyDescent="0.35">
      <c r="A1535" s="145"/>
      <c r="B1535" s="152"/>
      <c r="E1535" s="102"/>
      <c r="F1535" s="102"/>
      <c r="G1535" s="102"/>
      <c r="I1535" s="93"/>
      <c r="J1535" s="93"/>
    </row>
    <row r="1536" spans="1:10" s="65" customFormat="1" ht="14" x14ac:dyDescent="0.35">
      <c r="A1536" s="145"/>
      <c r="B1536" s="152"/>
      <c r="E1536" s="102"/>
      <c r="F1536" s="102"/>
      <c r="G1536" s="102"/>
      <c r="I1536" s="93"/>
      <c r="J1536" s="93"/>
    </row>
    <row r="1537" spans="1:10" s="65" customFormat="1" ht="14" x14ac:dyDescent="0.35">
      <c r="A1537" s="145"/>
      <c r="B1537" s="152"/>
      <c r="E1537" s="102"/>
      <c r="F1537" s="102"/>
      <c r="G1537" s="102"/>
      <c r="I1537" s="93"/>
      <c r="J1537" s="93"/>
    </row>
    <row r="1538" spans="1:10" s="65" customFormat="1" ht="14" x14ac:dyDescent="0.35">
      <c r="A1538" s="145"/>
      <c r="B1538" s="152"/>
      <c r="E1538" s="102"/>
      <c r="F1538" s="102"/>
      <c r="G1538" s="102"/>
      <c r="I1538" s="93"/>
      <c r="J1538" s="93"/>
    </row>
    <row r="1539" spans="1:10" s="65" customFormat="1" ht="14" x14ac:dyDescent="0.35">
      <c r="A1539" s="145"/>
      <c r="B1539" s="152"/>
      <c r="E1539" s="102"/>
      <c r="F1539" s="102"/>
      <c r="G1539" s="102"/>
      <c r="I1539" s="93"/>
      <c r="J1539" s="93"/>
    </row>
    <row r="1540" spans="1:10" s="65" customFormat="1" ht="14" x14ac:dyDescent="0.35">
      <c r="A1540" s="145"/>
      <c r="B1540" s="152"/>
      <c r="E1540" s="102"/>
      <c r="F1540" s="102"/>
      <c r="G1540" s="102"/>
      <c r="I1540" s="93"/>
      <c r="J1540" s="93"/>
    </row>
    <row r="1541" spans="1:10" s="65" customFormat="1" ht="14" x14ac:dyDescent="0.35">
      <c r="A1541" s="145"/>
      <c r="B1541" s="152"/>
      <c r="E1541" s="102"/>
      <c r="F1541" s="102"/>
      <c r="G1541" s="102"/>
      <c r="I1541" s="93"/>
      <c r="J1541" s="93"/>
    </row>
    <row r="1542" spans="1:10" s="65" customFormat="1" ht="14" x14ac:dyDescent="0.35">
      <c r="A1542" s="145"/>
      <c r="B1542" s="152"/>
      <c r="E1542" s="102"/>
      <c r="F1542" s="102"/>
      <c r="G1542" s="102"/>
      <c r="I1542" s="93"/>
      <c r="J1542" s="93"/>
    </row>
    <row r="1543" spans="1:10" s="65" customFormat="1" ht="14" x14ac:dyDescent="0.35">
      <c r="A1543" s="145"/>
      <c r="B1543" s="152"/>
      <c r="E1543" s="102"/>
      <c r="F1543" s="102"/>
      <c r="G1543" s="102"/>
      <c r="I1543" s="93"/>
      <c r="J1543" s="93"/>
    </row>
    <row r="1544" spans="1:10" s="65" customFormat="1" ht="14" x14ac:dyDescent="0.35">
      <c r="A1544" s="145"/>
      <c r="B1544" s="152"/>
      <c r="E1544" s="102"/>
      <c r="F1544" s="102"/>
      <c r="G1544" s="102"/>
      <c r="I1544" s="93"/>
      <c r="J1544" s="93"/>
    </row>
    <row r="1545" spans="1:10" s="65" customFormat="1" ht="14" x14ac:dyDescent="0.35">
      <c r="A1545" s="145"/>
      <c r="B1545" s="152"/>
      <c r="E1545" s="102"/>
      <c r="F1545" s="102"/>
      <c r="G1545" s="102"/>
      <c r="I1545" s="93"/>
      <c r="J1545" s="93"/>
    </row>
    <row r="1546" spans="1:10" s="65" customFormat="1" ht="14" x14ac:dyDescent="0.35">
      <c r="A1546" s="145"/>
      <c r="B1546" s="152"/>
      <c r="E1546" s="102"/>
      <c r="F1546" s="102"/>
      <c r="G1546" s="102"/>
      <c r="I1546" s="93"/>
      <c r="J1546" s="93"/>
    </row>
    <row r="1547" spans="1:10" s="65" customFormat="1" ht="14" x14ac:dyDescent="0.35">
      <c r="A1547" s="145"/>
      <c r="B1547" s="152"/>
      <c r="E1547" s="102"/>
      <c r="F1547" s="102"/>
      <c r="G1547" s="102"/>
      <c r="I1547" s="93"/>
      <c r="J1547" s="93"/>
    </row>
    <row r="1548" spans="1:10" s="65" customFormat="1" ht="14" x14ac:dyDescent="0.35">
      <c r="A1548" s="145"/>
      <c r="B1548" s="152"/>
      <c r="E1548" s="102"/>
      <c r="F1548" s="102"/>
      <c r="G1548" s="102"/>
      <c r="I1548" s="93"/>
      <c r="J1548" s="93"/>
    </row>
    <row r="1549" spans="1:10" s="65" customFormat="1" ht="14" x14ac:dyDescent="0.35">
      <c r="A1549" s="145"/>
      <c r="B1549" s="152"/>
      <c r="E1549" s="102"/>
      <c r="F1549" s="102"/>
      <c r="G1549" s="102"/>
      <c r="I1549" s="93"/>
      <c r="J1549" s="93"/>
    </row>
    <row r="1550" spans="1:10" s="65" customFormat="1" ht="14" x14ac:dyDescent="0.35">
      <c r="A1550" s="145"/>
      <c r="B1550" s="152"/>
      <c r="E1550" s="102"/>
      <c r="F1550" s="102"/>
      <c r="G1550" s="102"/>
      <c r="I1550" s="93"/>
      <c r="J1550" s="93"/>
    </row>
    <row r="1551" spans="1:10" s="65" customFormat="1" ht="14" x14ac:dyDescent="0.35">
      <c r="A1551" s="145"/>
      <c r="B1551" s="152"/>
      <c r="E1551" s="102"/>
      <c r="F1551" s="102"/>
      <c r="G1551" s="102"/>
      <c r="I1551" s="93"/>
      <c r="J1551" s="93"/>
    </row>
    <row r="1552" spans="1:10" s="65" customFormat="1" ht="14" x14ac:dyDescent="0.35">
      <c r="A1552" s="145"/>
      <c r="B1552" s="152"/>
      <c r="E1552" s="102"/>
      <c r="F1552" s="102"/>
      <c r="G1552" s="102"/>
      <c r="I1552" s="93"/>
      <c r="J1552" s="93"/>
    </row>
    <row r="1553" spans="1:10" s="65" customFormat="1" ht="14" x14ac:dyDescent="0.35">
      <c r="A1553" s="145"/>
      <c r="B1553" s="152"/>
      <c r="E1553" s="102"/>
      <c r="F1553" s="102"/>
      <c r="G1553" s="102"/>
      <c r="I1553" s="93"/>
      <c r="J1553" s="93"/>
    </row>
    <row r="1554" spans="1:10" s="65" customFormat="1" ht="14" x14ac:dyDescent="0.35">
      <c r="A1554" s="145"/>
      <c r="B1554" s="152"/>
      <c r="E1554" s="102"/>
      <c r="F1554" s="102"/>
      <c r="G1554" s="102"/>
      <c r="I1554" s="93"/>
      <c r="J1554" s="93"/>
    </row>
    <row r="1555" spans="1:10" s="65" customFormat="1" ht="14" x14ac:dyDescent="0.35">
      <c r="A1555" s="145"/>
      <c r="B1555" s="152"/>
      <c r="E1555" s="102"/>
      <c r="F1555" s="102"/>
      <c r="G1555" s="102"/>
      <c r="I1555" s="93"/>
      <c r="J1555" s="93"/>
    </row>
    <row r="1556" spans="1:10" s="65" customFormat="1" ht="14" x14ac:dyDescent="0.35">
      <c r="A1556" s="145"/>
      <c r="B1556" s="152"/>
      <c r="E1556" s="102"/>
      <c r="F1556" s="102"/>
      <c r="G1556" s="102"/>
      <c r="I1556" s="93"/>
      <c r="J1556" s="93"/>
    </row>
    <row r="1557" spans="1:10" s="65" customFormat="1" ht="14" x14ac:dyDescent="0.35">
      <c r="A1557" s="145"/>
      <c r="B1557" s="152"/>
      <c r="E1557" s="102"/>
      <c r="F1557" s="102"/>
      <c r="G1557" s="102"/>
      <c r="I1557" s="93"/>
      <c r="J1557" s="93"/>
    </row>
    <row r="1558" spans="1:10" s="65" customFormat="1" ht="14" x14ac:dyDescent="0.35">
      <c r="A1558" s="145"/>
      <c r="B1558" s="152"/>
      <c r="E1558" s="102"/>
      <c r="F1558" s="102"/>
      <c r="G1558" s="102"/>
      <c r="I1558" s="93"/>
      <c r="J1558" s="93"/>
    </row>
    <row r="1559" spans="1:10" s="65" customFormat="1" ht="14" x14ac:dyDescent="0.35">
      <c r="A1559" s="145"/>
      <c r="B1559" s="152"/>
      <c r="E1559" s="102"/>
      <c r="F1559" s="102"/>
      <c r="G1559" s="102"/>
      <c r="I1559" s="93"/>
      <c r="J1559" s="93"/>
    </row>
    <row r="1560" spans="1:10" s="65" customFormat="1" ht="14" x14ac:dyDescent="0.35">
      <c r="A1560" s="145"/>
      <c r="B1560" s="152"/>
      <c r="E1560" s="102"/>
      <c r="F1560" s="102"/>
      <c r="G1560" s="102"/>
      <c r="I1560" s="93"/>
      <c r="J1560" s="93"/>
    </row>
    <row r="1561" spans="1:10" s="65" customFormat="1" ht="14" x14ac:dyDescent="0.35">
      <c r="A1561" s="145"/>
      <c r="B1561" s="152"/>
      <c r="E1561" s="102"/>
      <c r="F1561" s="102"/>
      <c r="G1561" s="102"/>
      <c r="I1561" s="93"/>
      <c r="J1561" s="93"/>
    </row>
    <row r="1562" spans="1:10" s="65" customFormat="1" ht="14" x14ac:dyDescent="0.35">
      <c r="A1562" s="145"/>
      <c r="B1562" s="152"/>
      <c r="E1562" s="102"/>
      <c r="F1562" s="102"/>
      <c r="G1562" s="102"/>
      <c r="I1562" s="93"/>
      <c r="J1562" s="93"/>
    </row>
    <row r="1563" spans="1:10" s="65" customFormat="1" ht="14" x14ac:dyDescent="0.35">
      <c r="A1563" s="145"/>
      <c r="B1563" s="152"/>
      <c r="E1563" s="102"/>
      <c r="F1563" s="102"/>
      <c r="G1563" s="102"/>
      <c r="I1563" s="93"/>
      <c r="J1563" s="93"/>
    </row>
    <row r="1564" spans="1:10" s="65" customFormat="1" ht="14" x14ac:dyDescent="0.35">
      <c r="A1564" s="145"/>
      <c r="B1564" s="152"/>
      <c r="E1564" s="102"/>
      <c r="F1564" s="102"/>
      <c r="G1564" s="102"/>
      <c r="I1564" s="93"/>
      <c r="J1564" s="93"/>
    </row>
    <row r="1565" spans="1:10" s="65" customFormat="1" ht="14" x14ac:dyDescent="0.35">
      <c r="A1565" s="145"/>
      <c r="B1565" s="152"/>
      <c r="E1565" s="102"/>
      <c r="F1565" s="102"/>
      <c r="G1565" s="102"/>
      <c r="I1565" s="93"/>
      <c r="J1565" s="93"/>
    </row>
    <row r="1566" spans="1:10" s="65" customFormat="1" ht="14" x14ac:dyDescent="0.35">
      <c r="A1566" s="145"/>
      <c r="B1566" s="152"/>
      <c r="E1566" s="102"/>
      <c r="F1566" s="102"/>
      <c r="G1566" s="102"/>
      <c r="I1566" s="93"/>
      <c r="J1566" s="93"/>
    </row>
    <row r="1567" spans="1:10" s="65" customFormat="1" ht="14" x14ac:dyDescent="0.35">
      <c r="A1567" s="145"/>
      <c r="B1567" s="152"/>
      <c r="E1567" s="102"/>
      <c r="F1567" s="102"/>
      <c r="G1567" s="102"/>
      <c r="I1567" s="93"/>
      <c r="J1567" s="93"/>
    </row>
    <row r="1568" spans="1:10" s="65" customFormat="1" ht="14" x14ac:dyDescent="0.35">
      <c r="A1568" s="145"/>
      <c r="B1568" s="152"/>
      <c r="E1568" s="102"/>
      <c r="F1568" s="102"/>
      <c r="G1568" s="102"/>
      <c r="I1568" s="93"/>
      <c r="J1568" s="93"/>
    </row>
    <row r="1569" spans="1:10" s="65" customFormat="1" ht="14" x14ac:dyDescent="0.35">
      <c r="A1569" s="145"/>
      <c r="B1569" s="152"/>
      <c r="E1569" s="102"/>
      <c r="F1569" s="102"/>
      <c r="G1569" s="102"/>
      <c r="I1569" s="93"/>
      <c r="J1569" s="93"/>
    </row>
    <row r="1570" spans="1:10" s="65" customFormat="1" ht="14" x14ac:dyDescent="0.35">
      <c r="A1570" s="145"/>
      <c r="B1570" s="152"/>
      <c r="E1570" s="102"/>
      <c r="F1570" s="102"/>
      <c r="G1570" s="102"/>
      <c r="I1570" s="93"/>
      <c r="J1570" s="93"/>
    </row>
    <row r="1571" spans="1:10" s="65" customFormat="1" ht="14" x14ac:dyDescent="0.35">
      <c r="A1571" s="145"/>
      <c r="B1571" s="152"/>
      <c r="E1571" s="102"/>
      <c r="F1571" s="102"/>
      <c r="G1571" s="102"/>
      <c r="I1571" s="93"/>
      <c r="J1571" s="93"/>
    </row>
    <row r="1572" spans="1:10" s="65" customFormat="1" ht="14" x14ac:dyDescent="0.35">
      <c r="A1572" s="145"/>
      <c r="B1572" s="152"/>
      <c r="E1572" s="102"/>
      <c r="F1572" s="102"/>
      <c r="G1572" s="102"/>
      <c r="I1572" s="93"/>
      <c r="J1572" s="93"/>
    </row>
    <row r="1573" spans="1:10" s="65" customFormat="1" ht="14" x14ac:dyDescent="0.35">
      <c r="A1573" s="145"/>
      <c r="B1573" s="152"/>
      <c r="E1573" s="102"/>
      <c r="F1573" s="102"/>
      <c r="G1573" s="102"/>
      <c r="I1573" s="93"/>
      <c r="J1573" s="93"/>
    </row>
    <row r="1574" spans="1:10" s="65" customFormat="1" ht="14" x14ac:dyDescent="0.35">
      <c r="A1574" s="145"/>
      <c r="B1574" s="152"/>
      <c r="E1574" s="102"/>
      <c r="F1574" s="102"/>
      <c r="G1574" s="102"/>
      <c r="I1574" s="93"/>
      <c r="J1574" s="93"/>
    </row>
    <row r="1575" spans="1:10" s="65" customFormat="1" ht="14" x14ac:dyDescent="0.35">
      <c r="A1575" s="145"/>
      <c r="B1575" s="152"/>
      <c r="E1575" s="102"/>
      <c r="F1575" s="102"/>
      <c r="G1575" s="102"/>
      <c r="I1575" s="93"/>
      <c r="J1575" s="93"/>
    </row>
    <row r="1576" spans="1:10" s="65" customFormat="1" ht="14" x14ac:dyDescent="0.35">
      <c r="A1576" s="145"/>
      <c r="B1576" s="152"/>
      <c r="E1576" s="102"/>
      <c r="F1576" s="102"/>
      <c r="G1576" s="102"/>
      <c r="I1576" s="93"/>
      <c r="J1576" s="93"/>
    </row>
    <row r="1577" spans="1:10" s="65" customFormat="1" ht="14" x14ac:dyDescent="0.35">
      <c r="A1577" s="145"/>
      <c r="B1577" s="152"/>
      <c r="E1577" s="102"/>
      <c r="F1577" s="102"/>
      <c r="G1577" s="102"/>
      <c r="I1577" s="93"/>
      <c r="J1577" s="93"/>
    </row>
    <row r="1578" spans="1:10" s="65" customFormat="1" ht="14" x14ac:dyDescent="0.35">
      <c r="A1578" s="145"/>
      <c r="B1578" s="152"/>
      <c r="E1578" s="102"/>
      <c r="F1578" s="102"/>
      <c r="G1578" s="102"/>
      <c r="I1578" s="93"/>
      <c r="J1578" s="93"/>
    </row>
    <row r="1579" spans="1:10" s="65" customFormat="1" ht="14" x14ac:dyDescent="0.35">
      <c r="A1579" s="145"/>
      <c r="B1579" s="152"/>
      <c r="E1579" s="102"/>
      <c r="F1579" s="102"/>
      <c r="G1579" s="102"/>
      <c r="I1579" s="93"/>
      <c r="J1579" s="93"/>
    </row>
    <row r="1580" spans="1:10" s="65" customFormat="1" ht="14" x14ac:dyDescent="0.35">
      <c r="A1580" s="145"/>
      <c r="B1580" s="152"/>
      <c r="E1580" s="102"/>
      <c r="F1580" s="102"/>
      <c r="G1580" s="102"/>
      <c r="I1580" s="93"/>
      <c r="J1580" s="93"/>
    </row>
    <row r="1581" spans="1:10" s="65" customFormat="1" ht="14" x14ac:dyDescent="0.35">
      <c r="A1581" s="145"/>
      <c r="B1581" s="152"/>
      <c r="E1581" s="102"/>
      <c r="F1581" s="102"/>
      <c r="G1581" s="102"/>
      <c r="I1581" s="93"/>
      <c r="J1581" s="93"/>
    </row>
    <row r="1582" spans="1:10" s="65" customFormat="1" ht="14" x14ac:dyDescent="0.35">
      <c r="A1582" s="145"/>
      <c r="B1582" s="152"/>
      <c r="E1582" s="102"/>
      <c r="F1582" s="102"/>
      <c r="G1582" s="102"/>
      <c r="I1582" s="93"/>
      <c r="J1582" s="93"/>
    </row>
    <row r="1583" spans="1:10" s="65" customFormat="1" ht="14" x14ac:dyDescent="0.35">
      <c r="A1583" s="145"/>
      <c r="B1583" s="152"/>
      <c r="E1583" s="102"/>
      <c r="F1583" s="102"/>
      <c r="G1583" s="102"/>
      <c r="I1583" s="93"/>
      <c r="J1583" s="93"/>
    </row>
    <row r="1584" spans="1:10" s="65" customFormat="1" ht="14" x14ac:dyDescent="0.35">
      <c r="A1584" s="145"/>
      <c r="B1584" s="152"/>
      <c r="E1584" s="102"/>
      <c r="F1584" s="102"/>
      <c r="G1584" s="102"/>
      <c r="I1584" s="93"/>
      <c r="J1584" s="93"/>
    </row>
    <row r="1585" spans="1:10" s="65" customFormat="1" ht="14" x14ac:dyDescent="0.35">
      <c r="A1585" s="145"/>
      <c r="B1585" s="152"/>
      <c r="E1585" s="102"/>
      <c r="F1585" s="102"/>
      <c r="G1585" s="102"/>
      <c r="I1585" s="93"/>
      <c r="J1585" s="93"/>
    </row>
    <row r="1586" spans="1:10" s="65" customFormat="1" ht="14" x14ac:dyDescent="0.35">
      <c r="A1586" s="145"/>
      <c r="B1586" s="152"/>
      <c r="E1586" s="102"/>
      <c r="F1586" s="102"/>
      <c r="G1586" s="102"/>
      <c r="I1586" s="93"/>
      <c r="J1586" s="93"/>
    </row>
    <row r="1587" spans="1:10" s="65" customFormat="1" ht="14" x14ac:dyDescent="0.35">
      <c r="A1587" s="145"/>
      <c r="B1587" s="152"/>
      <c r="E1587" s="102"/>
      <c r="F1587" s="102"/>
      <c r="G1587" s="102"/>
      <c r="I1587" s="93"/>
      <c r="J1587" s="93"/>
    </row>
    <row r="1588" spans="1:10" s="65" customFormat="1" ht="14" x14ac:dyDescent="0.35">
      <c r="A1588" s="145"/>
      <c r="B1588" s="152"/>
      <c r="E1588" s="102"/>
      <c r="F1588" s="102"/>
      <c r="G1588" s="102"/>
      <c r="I1588" s="93"/>
      <c r="J1588" s="93"/>
    </row>
    <row r="1589" spans="1:10" s="65" customFormat="1" ht="14" x14ac:dyDescent="0.35">
      <c r="A1589" s="145"/>
      <c r="B1589" s="152"/>
      <c r="E1589" s="102"/>
      <c r="F1589" s="102"/>
      <c r="G1589" s="102"/>
      <c r="I1589" s="93"/>
      <c r="J1589" s="93"/>
    </row>
    <row r="1590" spans="1:10" s="65" customFormat="1" ht="14" x14ac:dyDescent="0.35">
      <c r="A1590" s="145"/>
      <c r="B1590" s="152"/>
      <c r="E1590" s="102"/>
      <c r="F1590" s="102"/>
      <c r="G1590" s="102"/>
      <c r="I1590" s="93"/>
      <c r="J1590" s="93"/>
    </row>
    <row r="1591" spans="1:10" s="65" customFormat="1" ht="14" x14ac:dyDescent="0.35">
      <c r="A1591" s="145"/>
      <c r="B1591" s="152"/>
      <c r="E1591" s="102"/>
      <c r="F1591" s="102"/>
      <c r="G1591" s="102"/>
      <c r="I1591" s="93"/>
      <c r="J1591" s="93"/>
    </row>
    <row r="1592" spans="1:10" s="65" customFormat="1" ht="14" x14ac:dyDescent="0.35">
      <c r="A1592" s="145"/>
      <c r="B1592" s="152"/>
      <c r="E1592" s="102"/>
      <c r="F1592" s="102"/>
      <c r="G1592" s="102"/>
      <c r="I1592" s="93"/>
      <c r="J1592" s="93"/>
    </row>
    <row r="1593" spans="1:10" s="65" customFormat="1" ht="14" x14ac:dyDescent="0.35">
      <c r="A1593" s="145"/>
      <c r="B1593" s="152"/>
      <c r="E1593" s="102"/>
      <c r="F1593" s="102"/>
      <c r="G1593" s="102"/>
      <c r="I1593" s="93"/>
      <c r="J1593" s="93"/>
    </row>
    <row r="1594" spans="1:10" s="65" customFormat="1" ht="14" x14ac:dyDescent="0.35">
      <c r="A1594" s="145"/>
      <c r="B1594" s="152"/>
      <c r="E1594" s="102"/>
      <c r="F1594" s="102"/>
      <c r="G1594" s="102"/>
      <c r="I1594" s="93"/>
      <c r="J1594" s="93"/>
    </row>
    <row r="1595" spans="1:10" s="65" customFormat="1" ht="14" x14ac:dyDescent="0.35">
      <c r="A1595" s="145"/>
      <c r="B1595" s="152"/>
      <c r="E1595" s="102"/>
      <c r="F1595" s="102"/>
      <c r="G1595" s="102"/>
      <c r="I1595" s="93"/>
      <c r="J1595" s="93"/>
    </row>
    <row r="1596" spans="1:10" s="65" customFormat="1" ht="14" x14ac:dyDescent="0.35">
      <c r="A1596" s="145"/>
      <c r="B1596" s="152"/>
      <c r="E1596" s="102"/>
      <c r="F1596" s="102"/>
      <c r="G1596" s="102"/>
      <c r="I1596" s="93"/>
      <c r="J1596" s="93"/>
    </row>
    <row r="1597" spans="1:10" s="65" customFormat="1" ht="14" x14ac:dyDescent="0.35">
      <c r="A1597" s="145"/>
      <c r="B1597" s="152"/>
      <c r="E1597" s="102"/>
      <c r="F1597" s="102"/>
      <c r="G1597" s="102"/>
      <c r="I1597" s="93"/>
      <c r="J1597" s="93"/>
    </row>
    <row r="1598" spans="1:10" s="65" customFormat="1" ht="14" x14ac:dyDescent="0.35">
      <c r="A1598" s="145"/>
      <c r="B1598" s="152"/>
      <c r="E1598" s="102"/>
      <c r="F1598" s="102"/>
      <c r="G1598" s="102"/>
      <c r="I1598" s="93"/>
      <c r="J1598" s="93"/>
    </row>
    <row r="1599" spans="1:10" s="65" customFormat="1" ht="14" x14ac:dyDescent="0.35">
      <c r="A1599" s="145"/>
      <c r="B1599" s="152"/>
      <c r="E1599" s="102"/>
      <c r="F1599" s="102"/>
      <c r="G1599" s="102"/>
      <c r="I1599" s="93"/>
      <c r="J1599" s="93"/>
    </row>
    <row r="1600" spans="1:10" s="65" customFormat="1" ht="14" x14ac:dyDescent="0.35">
      <c r="A1600" s="145"/>
      <c r="B1600" s="152"/>
      <c r="E1600" s="102"/>
      <c r="F1600" s="102"/>
      <c r="G1600" s="102"/>
      <c r="I1600" s="93"/>
      <c r="J1600" s="93"/>
    </row>
    <row r="1601" spans="1:10" s="65" customFormat="1" ht="14" x14ac:dyDescent="0.35">
      <c r="A1601" s="145"/>
      <c r="B1601" s="152"/>
      <c r="E1601" s="102"/>
      <c r="F1601" s="102"/>
      <c r="G1601" s="102"/>
      <c r="I1601" s="93"/>
      <c r="J1601" s="93"/>
    </row>
    <row r="1602" spans="1:10" s="65" customFormat="1" ht="14" x14ac:dyDescent="0.35">
      <c r="A1602" s="145"/>
      <c r="B1602" s="152"/>
      <c r="E1602" s="102"/>
      <c r="F1602" s="102"/>
      <c r="G1602" s="102"/>
      <c r="I1602" s="93"/>
      <c r="J1602" s="93"/>
    </row>
    <row r="1603" spans="1:10" s="65" customFormat="1" ht="14" x14ac:dyDescent="0.35">
      <c r="A1603" s="145"/>
      <c r="B1603" s="152"/>
      <c r="E1603" s="102"/>
      <c r="F1603" s="102"/>
      <c r="G1603" s="102"/>
      <c r="I1603" s="93"/>
      <c r="J1603" s="93"/>
    </row>
    <row r="1604" spans="1:10" s="65" customFormat="1" ht="14" x14ac:dyDescent="0.35">
      <c r="A1604" s="145"/>
      <c r="B1604" s="152"/>
      <c r="E1604" s="102"/>
      <c r="F1604" s="102"/>
      <c r="G1604" s="102"/>
      <c r="I1604" s="93"/>
      <c r="J1604" s="93"/>
    </row>
    <row r="1605" spans="1:10" s="65" customFormat="1" ht="14" x14ac:dyDescent="0.35">
      <c r="A1605" s="145"/>
      <c r="B1605" s="152"/>
      <c r="E1605" s="102"/>
      <c r="F1605" s="102"/>
      <c r="G1605" s="102"/>
      <c r="I1605" s="93"/>
      <c r="J1605" s="93"/>
    </row>
    <row r="1606" spans="1:10" s="65" customFormat="1" ht="14" x14ac:dyDescent="0.35">
      <c r="A1606" s="145"/>
      <c r="B1606" s="152"/>
      <c r="E1606" s="102"/>
      <c r="F1606" s="102"/>
      <c r="G1606" s="102"/>
      <c r="I1606" s="93"/>
      <c r="J1606" s="93"/>
    </row>
    <row r="1607" spans="1:10" s="65" customFormat="1" ht="14" x14ac:dyDescent="0.35">
      <c r="A1607" s="145"/>
      <c r="B1607" s="152"/>
      <c r="E1607" s="102"/>
      <c r="F1607" s="102"/>
      <c r="G1607" s="102"/>
      <c r="I1607" s="93"/>
      <c r="J1607" s="93"/>
    </row>
    <row r="1608" spans="1:10" s="65" customFormat="1" ht="14" x14ac:dyDescent="0.35">
      <c r="A1608" s="145"/>
      <c r="B1608" s="152"/>
      <c r="E1608" s="102"/>
      <c r="F1608" s="102"/>
      <c r="G1608" s="102"/>
      <c r="I1608" s="93"/>
      <c r="J1608" s="93"/>
    </row>
    <row r="1609" spans="1:10" s="65" customFormat="1" ht="14" x14ac:dyDescent="0.35">
      <c r="A1609" s="145"/>
      <c r="B1609" s="152"/>
      <c r="E1609" s="102"/>
      <c r="F1609" s="102"/>
      <c r="G1609" s="102"/>
      <c r="I1609" s="93"/>
      <c r="J1609" s="93"/>
    </row>
    <row r="1610" spans="1:10" s="65" customFormat="1" ht="14" x14ac:dyDescent="0.35">
      <c r="A1610" s="145"/>
      <c r="B1610" s="152"/>
      <c r="E1610" s="102"/>
      <c r="F1610" s="102"/>
      <c r="G1610" s="102"/>
      <c r="I1610" s="93"/>
      <c r="J1610" s="93"/>
    </row>
    <row r="1611" spans="1:10" s="65" customFormat="1" ht="14" x14ac:dyDescent="0.35">
      <c r="A1611" s="145"/>
      <c r="B1611" s="152"/>
      <c r="E1611" s="102"/>
      <c r="F1611" s="102"/>
      <c r="G1611" s="102"/>
      <c r="I1611" s="93"/>
      <c r="J1611" s="93"/>
    </row>
    <row r="1612" spans="1:10" s="65" customFormat="1" ht="14" x14ac:dyDescent="0.35">
      <c r="A1612" s="145"/>
      <c r="B1612" s="152"/>
      <c r="E1612" s="102"/>
      <c r="F1612" s="102"/>
      <c r="G1612" s="102"/>
      <c r="I1612" s="93"/>
      <c r="J1612" s="93"/>
    </row>
    <row r="1613" spans="1:10" s="65" customFormat="1" ht="14" x14ac:dyDescent="0.35">
      <c r="A1613" s="145"/>
      <c r="B1613" s="152"/>
      <c r="E1613" s="102"/>
      <c r="F1613" s="102"/>
      <c r="G1613" s="102"/>
      <c r="I1613" s="93"/>
      <c r="J1613" s="93"/>
    </row>
    <row r="1614" spans="1:10" s="65" customFormat="1" ht="14" x14ac:dyDescent="0.35">
      <c r="A1614" s="145"/>
      <c r="B1614" s="152"/>
      <c r="E1614" s="102"/>
      <c r="F1614" s="102"/>
      <c r="G1614" s="102"/>
      <c r="I1614" s="93"/>
      <c r="J1614" s="93"/>
    </row>
    <row r="1615" spans="1:10" s="65" customFormat="1" ht="14" x14ac:dyDescent="0.35">
      <c r="A1615" s="145"/>
      <c r="B1615" s="152"/>
      <c r="E1615" s="102"/>
      <c r="F1615" s="102"/>
      <c r="G1615" s="102"/>
      <c r="I1615" s="93"/>
      <c r="J1615" s="93"/>
    </row>
    <row r="1616" spans="1:10" s="65" customFormat="1" ht="14" x14ac:dyDescent="0.35">
      <c r="A1616" s="145"/>
      <c r="B1616" s="152"/>
      <c r="E1616" s="102"/>
      <c r="F1616" s="102"/>
      <c r="G1616" s="102"/>
      <c r="I1616" s="93"/>
      <c r="J1616" s="93"/>
    </row>
    <row r="1617" spans="1:10" s="65" customFormat="1" ht="14" x14ac:dyDescent="0.35">
      <c r="A1617" s="145"/>
      <c r="B1617" s="152"/>
      <c r="E1617" s="102"/>
      <c r="F1617" s="102"/>
      <c r="G1617" s="102"/>
      <c r="I1617" s="93"/>
      <c r="J1617" s="93"/>
    </row>
    <row r="1618" spans="1:10" s="65" customFormat="1" ht="14" x14ac:dyDescent="0.35">
      <c r="A1618" s="145"/>
      <c r="B1618" s="152"/>
      <c r="E1618" s="102"/>
      <c r="F1618" s="102"/>
      <c r="G1618" s="102"/>
      <c r="I1618" s="93"/>
      <c r="J1618" s="93"/>
    </row>
    <row r="1619" spans="1:10" s="65" customFormat="1" ht="14" x14ac:dyDescent="0.35">
      <c r="A1619" s="145"/>
      <c r="B1619" s="152"/>
      <c r="E1619" s="102"/>
      <c r="F1619" s="102"/>
      <c r="G1619" s="102"/>
      <c r="I1619" s="93"/>
      <c r="J1619" s="93"/>
    </row>
    <row r="1620" spans="1:10" s="65" customFormat="1" ht="14" x14ac:dyDescent="0.35">
      <c r="A1620" s="145"/>
      <c r="B1620" s="152"/>
      <c r="E1620" s="102"/>
      <c r="F1620" s="102"/>
      <c r="G1620" s="102"/>
      <c r="I1620" s="93"/>
      <c r="J1620" s="93"/>
    </row>
    <row r="1621" spans="1:10" s="65" customFormat="1" ht="14" x14ac:dyDescent="0.35">
      <c r="A1621" s="145"/>
      <c r="B1621" s="152"/>
      <c r="E1621" s="102"/>
      <c r="F1621" s="102"/>
      <c r="G1621" s="102"/>
      <c r="I1621" s="93"/>
      <c r="J1621" s="93"/>
    </row>
    <row r="1622" spans="1:10" s="65" customFormat="1" ht="14" x14ac:dyDescent="0.35">
      <c r="A1622" s="145"/>
      <c r="B1622" s="152"/>
      <c r="E1622" s="102"/>
      <c r="F1622" s="102"/>
      <c r="G1622" s="102"/>
      <c r="I1622" s="93"/>
      <c r="J1622" s="93"/>
    </row>
    <row r="1623" spans="1:10" s="65" customFormat="1" ht="14" x14ac:dyDescent="0.35">
      <c r="A1623" s="145"/>
      <c r="B1623" s="152"/>
      <c r="E1623" s="102"/>
      <c r="F1623" s="102"/>
      <c r="G1623" s="102"/>
      <c r="I1623" s="93"/>
      <c r="J1623" s="93"/>
    </row>
    <row r="1624" spans="1:10" s="65" customFormat="1" ht="14" x14ac:dyDescent="0.35">
      <c r="A1624" s="145"/>
      <c r="B1624" s="152"/>
      <c r="E1624" s="102"/>
      <c r="F1624" s="102"/>
      <c r="G1624" s="102"/>
      <c r="I1624" s="93"/>
      <c r="J1624" s="93"/>
    </row>
    <row r="1625" spans="1:10" s="65" customFormat="1" ht="14" x14ac:dyDescent="0.35">
      <c r="A1625" s="145"/>
      <c r="B1625" s="152"/>
      <c r="E1625" s="102"/>
      <c r="F1625" s="102"/>
      <c r="G1625" s="102"/>
      <c r="I1625" s="93"/>
      <c r="J1625" s="93"/>
    </row>
    <row r="1626" spans="1:10" s="65" customFormat="1" ht="14" x14ac:dyDescent="0.35">
      <c r="A1626" s="145"/>
      <c r="B1626" s="152"/>
      <c r="E1626" s="102"/>
      <c r="F1626" s="102"/>
      <c r="G1626" s="102"/>
      <c r="I1626" s="93"/>
      <c r="J1626" s="93"/>
    </row>
    <row r="1627" spans="1:10" s="65" customFormat="1" ht="14" x14ac:dyDescent="0.35">
      <c r="A1627" s="145"/>
      <c r="B1627" s="152"/>
      <c r="E1627" s="102"/>
      <c r="F1627" s="102"/>
      <c r="G1627" s="102"/>
      <c r="I1627" s="93"/>
      <c r="J1627" s="93"/>
    </row>
    <row r="1628" spans="1:10" s="65" customFormat="1" ht="14" x14ac:dyDescent="0.35">
      <c r="A1628" s="145"/>
      <c r="B1628" s="152"/>
      <c r="E1628" s="102"/>
      <c r="F1628" s="102"/>
      <c r="G1628" s="102"/>
      <c r="I1628" s="93"/>
      <c r="J1628" s="93"/>
    </row>
    <row r="1629" spans="1:10" s="65" customFormat="1" ht="14" x14ac:dyDescent="0.35">
      <c r="A1629" s="145"/>
      <c r="B1629" s="152"/>
      <c r="E1629" s="102"/>
      <c r="F1629" s="102"/>
      <c r="G1629" s="102"/>
      <c r="I1629" s="93"/>
      <c r="J1629" s="93"/>
    </row>
    <row r="1630" spans="1:10" s="65" customFormat="1" ht="14" x14ac:dyDescent="0.35">
      <c r="A1630" s="145"/>
      <c r="B1630" s="152"/>
      <c r="E1630" s="102"/>
      <c r="F1630" s="102"/>
      <c r="G1630" s="102"/>
      <c r="I1630" s="93"/>
      <c r="J1630" s="93"/>
    </row>
    <row r="1631" spans="1:10" s="65" customFormat="1" ht="14" x14ac:dyDescent="0.35">
      <c r="A1631" s="145"/>
      <c r="B1631" s="152"/>
      <c r="E1631" s="102"/>
      <c r="F1631" s="102"/>
      <c r="G1631" s="102"/>
      <c r="I1631" s="93"/>
      <c r="J1631" s="93"/>
    </row>
    <row r="1632" spans="1:10" s="65" customFormat="1" ht="14" x14ac:dyDescent="0.35">
      <c r="A1632" s="145"/>
      <c r="B1632" s="152"/>
      <c r="E1632" s="102"/>
      <c r="F1632" s="102"/>
      <c r="G1632" s="102"/>
      <c r="I1632" s="93"/>
      <c r="J1632" s="93"/>
    </row>
    <row r="1633" spans="1:10" s="65" customFormat="1" ht="14" x14ac:dyDescent="0.35">
      <c r="A1633" s="145"/>
      <c r="B1633" s="152"/>
      <c r="E1633" s="102"/>
      <c r="F1633" s="102"/>
      <c r="G1633" s="102"/>
      <c r="I1633" s="93"/>
      <c r="J1633" s="93"/>
    </row>
    <row r="1634" spans="1:10" s="65" customFormat="1" ht="14" x14ac:dyDescent="0.35">
      <c r="A1634" s="145"/>
      <c r="B1634" s="152"/>
      <c r="E1634" s="102"/>
      <c r="F1634" s="102"/>
      <c r="G1634" s="102"/>
      <c r="I1634" s="93"/>
      <c r="J1634" s="93"/>
    </row>
    <row r="1635" spans="1:10" s="65" customFormat="1" ht="14" x14ac:dyDescent="0.35">
      <c r="A1635" s="145"/>
      <c r="B1635" s="152"/>
      <c r="E1635" s="102"/>
      <c r="F1635" s="102"/>
      <c r="G1635" s="102"/>
      <c r="I1635" s="93"/>
      <c r="J1635" s="93"/>
    </row>
    <row r="1636" spans="1:10" s="65" customFormat="1" ht="14" x14ac:dyDescent="0.35">
      <c r="A1636" s="145"/>
      <c r="B1636" s="152"/>
      <c r="E1636" s="102"/>
      <c r="F1636" s="102"/>
      <c r="G1636" s="102"/>
      <c r="I1636" s="93"/>
      <c r="J1636" s="93"/>
    </row>
    <row r="1637" spans="1:10" s="65" customFormat="1" ht="14" x14ac:dyDescent="0.35">
      <c r="A1637" s="145"/>
      <c r="B1637" s="152"/>
      <c r="E1637" s="102"/>
      <c r="F1637" s="102"/>
      <c r="G1637" s="102"/>
      <c r="I1637" s="93"/>
      <c r="J1637" s="93"/>
    </row>
    <row r="1638" spans="1:10" s="65" customFormat="1" ht="14" x14ac:dyDescent="0.35">
      <c r="A1638" s="145"/>
      <c r="B1638" s="152"/>
      <c r="E1638" s="102"/>
      <c r="F1638" s="102"/>
      <c r="G1638" s="102"/>
      <c r="I1638" s="93"/>
      <c r="J1638" s="93"/>
    </row>
    <row r="1639" spans="1:10" s="65" customFormat="1" ht="14" x14ac:dyDescent="0.35">
      <c r="A1639" s="145"/>
      <c r="B1639" s="152"/>
      <c r="E1639" s="102"/>
      <c r="F1639" s="102"/>
      <c r="G1639" s="102"/>
      <c r="I1639" s="93"/>
      <c r="J1639" s="93"/>
    </row>
    <row r="1640" spans="1:10" s="65" customFormat="1" ht="14" x14ac:dyDescent="0.35">
      <c r="A1640" s="145"/>
      <c r="B1640" s="152"/>
      <c r="E1640" s="102"/>
      <c r="F1640" s="102"/>
      <c r="G1640" s="102"/>
      <c r="I1640" s="93"/>
      <c r="J1640" s="93"/>
    </row>
    <row r="1641" spans="1:10" s="65" customFormat="1" ht="14" x14ac:dyDescent="0.35">
      <c r="A1641" s="145"/>
      <c r="B1641" s="152"/>
      <c r="E1641" s="102"/>
      <c r="F1641" s="102"/>
      <c r="G1641" s="102"/>
      <c r="I1641" s="93"/>
      <c r="J1641" s="93"/>
    </row>
    <row r="1642" spans="1:10" s="65" customFormat="1" ht="14" x14ac:dyDescent="0.35">
      <c r="A1642" s="145"/>
      <c r="B1642" s="152"/>
      <c r="E1642" s="102"/>
      <c r="F1642" s="102"/>
      <c r="G1642" s="102"/>
      <c r="I1642" s="93"/>
      <c r="J1642" s="93"/>
    </row>
    <row r="1643" spans="1:10" s="65" customFormat="1" ht="14" x14ac:dyDescent="0.35">
      <c r="A1643" s="145"/>
      <c r="B1643" s="152"/>
      <c r="E1643" s="102"/>
      <c r="F1643" s="102"/>
      <c r="G1643" s="102"/>
      <c r="I1643" s="93"/>
      <c r="J1643" s="93"/>
    </row>
    <row r="1644" spans="1:10" s="65" customFormat="1" ht="14" x14ac:dyDescent="0.35">
      <c r="A1644" s="145"/>
      <c r="B1644" s="152"/>
      <c r="E1644" s="102"/>
      <c r="F1644" s="102"/>
      <c r="G1644" s="102"/>
      <c r="I1644" s="93"/>
      <c r="J1644" s="93"/>
    </row>
    <row r="1645" spans="1:10" s="65" customFormat="1" ht="14" x14ac:dyDescent="0.35">
      <c r="A1645" s="145"/>
      <c r="B1645" s="152"/>
      <c r="E1645" s="102"/>
      <c r="F1645" s="102"/>
      <c r="G1645" s="102"/>
      <c r="I1645" s="93"/>
      <c r="J1645" s="93"/>
    </row>
    <row r="1646" spans="1:10" s="65" customFormat="1" ht="14" x14ac:dyDescent="0.35">
      <c r="A1646" s="145"/>
      <c r="B1646" s="152"/>
      <c r="E1646" s="102"/>
      <c r="F1646" s="102"/>
      <c r="G1646" s="102"/>
      <c r="I1646" s="93"/>
      <c r="J1646" s="93"/>
    </row>
    <row r="1647" spans="1:10" s="65" customFormat="1" ht="14" x14ac:dyDescent="0.35">
      <c r="A1647" s="145"/>
      <c r="B1647" s="152"/>
      <c r="E1647" s="102"/>
      <c r="F1647" s="102"/>
      <c r="G1647" s="102"/>
      <c r="I1647" s="93"/>
      <c r="J1647" s="93"/>
    </row>
    <row r="1648" spans="1:10" s="65" customFormat="1" ht="14" x14ac:dyDescent="0.35">
      <c r="A1648" s="145"/>
      <c r="B1648" s="152"/>
      <c r="E1648" s="102"/>
      <c r="F1648" s="102"/>
      <c r="G1648" s="102"/>
      <c r="I1648" s="93"/>
      <c r="J1648" s="93"/>
    </row>
    <row r="1649" spans="1:10" s="65" customFormat="1" ht="14" x14ac:dyDescent="0.35">
      <c r="A1649" s="145"/>
      <c r="B1649" s="152"/>
      <c r="E1649" s="102"/>
      <c r="F1649" s="102"/>
      <c r="G1649" s="102"/>
      <c r="I1649" s="93"/>
      <c r="J1649" s="93"/>
    </row>
    <row r="1650" spans="1:10" s="65" customFormat="1" ht="14" x14ac:dyDescent="0.35">
      <c r="A1650" s="145"/>
      <c r="B1650" s="152"/>
      <c r="E1650" s="102"/>
      <c r="F1650" s="102"/>
      <c r="G1650" s="102"/>
      <c r="I1650" s="93"/>
      <c r="J1650" s="93"/>
    </row>
    <row r="1651" spans="1:10" s="65" customFormat="1" ht="14" x14ac:dyDescent="0.35">
      <c r="A1651" s="145"/>
      <c r="B1651" s="152"/>
      <c r="E1651" s="102"/>
      <c r="F1651" s="102"/>
      <c r="G1651" s="102"/>
      <c r="I1651" s="93"/>
      <c r="J1651" s="93"/>
    </row>
    <row r="1652" spans="1:10" s="65" customFormat="1" ht="14" x14ac:dyDescent="0.35">
      <c r="A1652" s="145"/>
      <c r="B1652" s="152"/>
      <c r="E1652" s="102"/>
      <c r="F1652" s="102"/>
      <c r="G1652" s="102"/>
      <c r="I1652" s="93"/>
      <c r="J1652" s="93"/>
    </row>
    <row r="1653" spans="1:10" s="65" customFormat="1" ht="14" x14ac:dyDescent="0.35">
      <c r="A1653" s="145"/>
      <c r="B1653" s="152"/>
      <c r="E1653" s="102"/>
      <c r="F1653" s="102"/>
      <c r="G1653" s="102"/>
      <c r="I1653" s="93"/>
      <c r="J1653" s="93"/>
    </row>
    <row r="1654" spans="1:10" s="65" customFormat="1" ht="14" x14ac:dyDescent="0.35">
      <c r="A1654" s="145"/>
      <c r="B1654" s="152"/>
      <c r="E1654" s="102"/>
      <c r="F1654" s="102"/>
      <c r="G1654" s="102"/>
      <c r="I1654" s="93"/>
      <c r="J1654" s="93"/>
    </row>
    <row r="1655" spans="1:10" s="65" customFormat="1" ht="14" x14ac:dyDescent="0.35">
      <c r="A1655" s="145"/>
      <c r="B1655" s="152"/>
      <c r="E1655" s="102"/>
      <c r="F1655" s="102"/>
      <c r="G1655" s="102"/>
      <c r="I1655" s="93"/>
      <c r="J1655" s="93"/>
    </row>
    <row r="1656" spans="1:10" s="65" customFormat="1" ht="14" x14ac:dyDescent="0.35">
      <c r="A1656" s="145"/>
      <c r="B1656" s="152"/>
      <c r="E1656" s="102"/>
      <c r="F1656" s="102"/>
      <c r="G1656" s="102"/>
      <c r="I1656" s="93"/>
      <c r="J1656" s="93"/>
    </row>
    <row r="1657" spans="1:10" s="65" customFormat="1" ht="14" x14ac:dyDescent="0.35">
      <c r="A1657" s="145"/>
      <c r="B1657" s="152"/>
      <c r="E1657" s="102"/>
      <c r="F1657" s="102"/>
      <c r="G1657" s="102"/>
      <c r="I1657" s="93"/>
      <c r="J1657" s="93"/>
    </row>
    <row r="1658" spans="1:10" s="65" customFormat="1" ht="14" x14ac:dyDescent="0.35">
      <c r="A1658" s="145"/>
      <c r="B1658" s="152"/>
      <c r="E1658" s="102"/>
      <c r="F1658" s="102"/>
      <c r="G1658" s="102"/>
      <c r="I1658" s="93"/>
      <c r="J1658" s="93"/>
    </row>
    <row r="1659" spans="1:10" s="65" customFormat="1" ht="14" x14ac:dyDescent="0.35">
      <c r="A1659" s="145"/>
      <c r="B1659" s="152"/>
      <c r="E1659" s="102"/>
      <c r="F1659" s="102"/>
      <c r="G1659" s="102"/>
      <c r="I1659" s="93"/>
      <c r="J1659" s="93"/>
    </row>
    <row r="1660" spans="1:10" s="65" customFormat="1" ht="14" x14ac:dyDescent="0.35">
      <c r="A1660" s="145"/>
      <c r="B1660" s="152"/>
      <c r="E1660" s="102"/>
      <c r="F1660" s="102"/>
      <c r="G1660" s="102"/>
      <c r="I1660" s="93"/>
      <c r="J1660" s="93"/>
    </row>
    <row r="1661" spans="1:10" s="65" customFormat="1" ht="14" x14ac:dyDescent="0.35">
      <c r="A1661" s="145"/>
      <c r="B1661" s="152"/>
      <c r="E1661" s="102"/>
      <c r="F1661" s="102"/>
      <c r="G1661" s="102"/>
      <c r="I1661" s="93"/>
      <c r="J1661" s="93"/>
    </row>
    <row r="1662" spans="1:10" s="65" customFormat="1" ht="14" x14ac:dyDescent="0.35">
      <c r="A1662" s="145"/>
      <c r="B1662" s="152"/>
      <c r="E1662" s="102"/>
      <c r="F1662" s="102"/>
      <c r="G1662" s="102"/>
      <c r="I1662" s="93"/>
      <c r="J1662" s="93"/>
    </row>
    <row r="1663" spans="1:10" s="65" customFormat="1" ht="14" x14ac:dyDescent="0.35">
      <c r="A1663" s="145"/>
      <c r="B1663" s="152"/>
      <c r="E1663" s="102"/>
      <c r="F1663" s="102"/>
      <c r="G1663" s="102"/>
      <c r="I1663" s="93"/>
      <c r="J1663" s="93"/>
    </row>
    <row r="1664" spans="1:10" s="65" customFormat="1" ht="14" x14ac:dyDescent="0.35">
      <c r="A1664" s="145"/>
      <c r="B1664" s="152"/>
      <c r="E1664" s="102"/>
      <c r="F1664" s="102"/>
      <c r="G1664" s="102"/>
      <c r="I1664" s="93"/>
      <c r="J1664" s="93"/>
    </row>
    <row r="1665" spans="1:10" s="65" customFormat="1" ht="14" x14ac:dyDescent="0.35">
      <c r="A1665" s="145"/>
      <c r="B1665" s="152"/>
      <c r="E1665" s="102"/>
      <c r="F1665" s="102"/>
      <c r="G1665" s="102"/>
      <c r="I1665" s="93"/>
      <c r="J1665" s="93"/>
    </row>
    <row r="1666" spans="1:10" s="65" customFormat="1" ht="14" x14ac:dyDescent="0.35">
      <c r="A1666" s="145"/>
      <c r="B1666" s="152"/>
      <c r="E1666" s="102"/>
      <c r="F1666" s="102"/>
      <c r="G1666" s="102"/>
      <c r="I1666" s="93"/>
      <c r="J1666" s="93"/>
    </row>
    <row r="1667" spans="1:10" s="65" customFormat="1" ht="14" x14ac:dyDescent="0.35">
      <c r="A1667" s="145"/>
      <c r="B1667" s="152"/>
      <c r="E1667" s="102"/>
      <c r="F1667" s="102"/>
      <c r="G1667" s="102"/>
      <c r="I1667" s="93"/>
      <c r="J1667" s="93"/>
    </row>
    <row r="1668" spans="1:10" s="65" customFormat="1" ht="14" x14ac:dyDescent="0.35">
      <c r="A1668" s="145"/>
      <c r="B1668" s="152"/>
      <c r="E1668" s="102"/>
      <c r="F1668" s="102"/>
      <c r="G1668" s="102"/>
      <c r="I1668" s="93"/>
      <c r="J1668" s="93"/>
    </row>
    <row r="1669" spans="1:10" s="65" customFormat="1" ht="14" x14ac:dyDescent="0.35">
      <c r="A1669" s="145"/>
      <c r="B1669" s="152"/>
      <c r="E1669" s="102"/>
      <c r="F1669" s="102"/>
      <c r="G1669" s="102"/>
      <c r="I1669" s="93"/>
      <c r="J1669" s="93"/>
    </row>
    <row r="1670" spans="1:10" s="65" customFormat="1" ht="14" x14ac:dyDescent="0.35">
      <c r="A1670" s="145"/>
      <c r="B1670" s="152"/>
      <c r="E1670" s="102"/>
      <c r="F1670" s="102"/>
      <c r="G1670" s="102"/>
      <c r="I1670" s="93"/>
      <c r="J1670" s="93"/>
    </row>
    <row r="1671" spans="1:10" s="65" customFormat="1" ht="14" x14ac:dyDescent="0.35">
      <c r="A1671" s="145"/>
      <c r="B1671" s="152"/>
      <c r="E1671" s="102"/>
      <c r="F1671" s="102"/>
      <c r="G1671" s="102"/>
      <c r="I1671" s="93"/>
      <c r="J1671" s="93"/>
    </row>
    <row r="1672" spans="1:10" s="65" customFormat="1" ht="14" x14ac:dyDescent="0.35">
      <c r="A1672" s="145"/>
      <c r="B1672" s="152"/>
      <c r="E1672" s="102"/>
      <c r="F1672" s="102"/>
      <c r="G1672" s="102"/>
      <c r="I1672" s="93"/>
      <c r="J1672" s="93"/>
    </row>
    <row r="1673" spans="1:10" s="65" customFormat="1" ht="14" x14ac:dyDescent="0.35">
      <c r="A1673" s="145"/>
      <c r="B1673" s="152"/>
      <c r="E1673" s="102"/>
      <c r="F1673" s="102"/>
      <c r="G1673" s="102"/>
      <c r="I1673" s="93"/>
      <c r="J1673" s="93"/>
    </row>
    <row r="1674" spans="1:10" s="65" customFormat="1" ht="14" x14ac:dyDescent="0.35">
      <c r="A1674" s="145"/>
      <c r="B1674" s="152"/>
      <c r="E1674" s="102"/>
      <c r="F1674" s="102"/>
      <c r="G1674" s="102"/>
      <c r="I1674" s="93"/>
      <c r="J1674" s="93"/>
    </row>
    <row r="1675" spans="1:10" s="65" customFormat="1" ht="14" x14ac:dyDescent="0.35">
      <c r="A1675" s="145"/>
      <c r="B1675" s="152"/>
      <c r="E1675" s="102"/>
      <c r="F1675" s="102"/>
      <c r="G1675" s="102"/>
      <c r="I1675" s="93"/>
      <c r="J1675" s="93"/>
    </row>
    <row r="1676" spans="1:10" s="65" customFormat="1" ht="14" x14ac:dyDescent="0.35">
      <c r="A1676" s="145"/>
      <c r="B1676" s="152"/>
      <c r="E1676" s="102"/>
      <c r="F1676" s="102"/>
      <c r="G1676" s="102"/>
      <c r="I1676" s="93"/>
      <c r="J1676" s="93"/>
    </row>
    <row r="1677" spans="1:10" s="65" customFormat="1" ht="14" x14ac:dyDescent="0.35">
      <c r="A1677" s="145"/>
      <c r="B1677" s="152"/>
      <c r="E1677" s="102"/>
      <c r="F1677" s="102"/>
      <c r="G1677" s="102"/>
      <c r="I1677" s="93"/>
      <c r="J1677" s="93"/>
    </row>
    <row r="1678" spans="1:10" s="65" customFormat="1" ht="14" x14ac:dyDescent="0.35">
      <c r="A1678" s="145"/>
      <c r="B1678" s="152"/>
      <c r="E1678" s="102"/>
      <c r="F1678" s="102"/>
      <c r="G1678" s="102"/>
      <c r="I1678" s="93"/>
      <c r="J1678" s="93"/>
    </row>
    <row r="1679" spans="1:10" s="65" customFormat="1" ht="14" x14ac:dyDescent="0.35">
      <c r="A1679" s="145"/>
      <c r="B1679" s="152"/>
      <c r="E1679" s="102"/>
      <c r="F1679" s="102"/>
      <c r="G1679" s="102"/>
      <c r="I1679" s="93"/>
      <c r="J1679" s="93"/>
    </row>
    <row r="1680" spans="1:10" s="65" customFormat="1" ht="14" x14ac:dyDescent="0.35">
      <c r="A1680" s="145"/>
      <c r="B1680" s="152"/>
      <c r="E1680" s="102"/>
      <c r="F1680" s="102"/>
      <c r="G1680" s="102"/>
      <c r="I1680" s="93"/>
      <c r="J1680" s="93"/>
    </row>
    <row r="1681" spans="1:10" s="65" customFormat="1" ht="14" x14ac:dyDescent="0.35">
      <c r="A1681" s="145"/>
      <c r="B1681" s="152"/>
      <c r="E1681" s="102"/>
      <c r="F1681" s="102"/>
      <c r="G1681" s="102"/>
      <c r="I1681" s="93"/>
      <c r="J1681" s="93"/>
    </row>
    <row r="1682" spans="1:10" s="65" customFormat="1" ht="14" x14ac:dyDescent="0.35">
      <c r="A1682" s="145"/>
      <c r="B1682" s="152"/>
      <c r="E1682" s="102"/>
      <c r="F1682" s="102"/>
      <c r="G1682" s="102"/>
      <c r="I1682" s="93"/>
      <c r="J1682" s="93"/>
    </row>
    <row r="1683" spans="1:10" s="65" customFormat="1" ht="14" x14ac:dyDescent="0.35">
      <c r="A1683" s="145"/>
      <c r="B1683" s="152"/>
      <c r="E1683" s="102"/>
      <c r="F1683" s="102"/>
      <c r="G1683" s="102"/>
      <c r="I1683" s="93"/>
      <c r="J1683" s="93"/>
    </row>
    <row r="1684" spans="1:10" s="65" customFormat="1" ht="14" x14ac:dyDescent="0.35">
      <c r="A1684" s="145"/>
      <c r="B1684" s="152"/>
      <c r="E1684" s="102"/>
      <c r="F1684" s="102"/>
      <c r="G1684" s="102"/>
      <c r="I1684" s="93"/>
      <c r="J1684" s="93"/>
    </row>
    <row r="1685" spans="1:10" s="65" customFormat="1" ht="14" x14ac:dyDescent="0.35">
      <c r="A1685" s="145"/>
      <c r="B1685" s="152"/>
      <c r="E1685" s="102"/>
      <c r="F1685" s="102"/>
      <c r="G1685" s="102"/>
      <c r="I1685" s="93"/>
      <c r="J1685" s="93"/>
    </row>
    <row r="1686" spans="1:10" s="65" customFormat="1" ht="14" x14ac:dyDescent="0.35">
      <c r="A1686" s="145"/>
      <c r="B1686" s="152"/>
      <c r="E1686" s="102"/>
      <c r="F1686" s="102"/>
      <c r="G1686" s="102"/>
      <c r="I1686" s="93"/>
      <c r="J1686" s="93"/>
    </row>
    <row r="1687" spans="1:10" s="65" customFormat="1" ht="14" x14ac:dyDescent="0.35">
      <c r="A1687" s="145"/>
      <c r="B1687" s="152"/>
      <c r="E1687" s="102"/>
      <c r="F1687" s="102"/>
      <c r="G1687" s="102"/>
      <c r="I1687" s="93"/>
      <c r="J1687" s="93"/>
    </row>
    <row r="1688" spans="1:10" s="65" customFormat="1" ht="14" x14ac:dyDescent="0.35">
      <c r="A1688" s="145"/>
      <c r="B1688" s="152"/>
      <c r="E1688" s="102"/>
      <c r="F1688" s="102"/>
      <c r="G1688" s="102"/>
      <c r="I1688" s="93"/>
      <c r="J1688" s="93"/>
    </row>
    <row r="1689" spans="1:10" s="65" customFormat="1" ht="14" x14ac:dyDescent="0.35">
      <c r="A1689" s="145"/>
      <c r="B1689" s="152"/>
      <c r="E1689" s="102"/>
      <c r="F1689" s="102"/>
      <c r="G1689" s="102"/>
      <c r="I1689" s="93"/>
      <c r="J1689" s="93"/>
    </row>
    <row r="1690" spans="1:10" s="65" customFormat="1" ht="14" x14ac:dyDescent="0.35">
      <c r="A1690" s="145"/>
      <c r="B1690" s="152"/>
      <c r="E1690" s="102"/>
      <c r="F1690" s="102"/>
      <c r="G1690" s="102"/>
      <c r="I1690" s="93"/>
      <c r="J1690" s="93"/>
    </row>
    <row r="1691" spans="1:10" s="65" customFormat="1" ht="14" x14ac:dyDescent="0.35">
      <c r="A1691" s="145"/>
      <c r="B1691" s="152"/>
      <c r="E1691" s="102"/>
      <c r="F1691" s="102"/>
      <c r="G1691" s="102"/>
      <c r="I1691" s="93"/>
      <c r="J1691" s="93"/>
    </row>
    <row r="1692" spans="1:10" s="65" customFormat="1" ht="14" x14ac:dyDescent="0.35">
      <c r="A1692" s="145"/>
      <c r="B1692" s="152"/>
      <c r="E1692" s="102"/>
      <c r="F1692" s="102"/>
      <c r="G1692" s="102"/>
      <c r="I1692" s="93"/>
      <c r="J1692" s="93"/>
    </row>
    <row r="1693" spans="1:10" s="65" customFormat="1" ht="14" x14ac:dyDescent="0.35">
      <c r="A1693" s="145"/>
      <c r="B1693" s="152"/>
      <c r="E1693" s="102"/>
      <c r="F1693" s="102"/>
      <c r="G1693" s="102"/>
      <c r="I1693" s="93"/>
      <c r="J1693" s="93"/>
    </row>
    <row r="1694" spans="1:10" s="65" customFormat="1" ht="14" x14ac:dyDescent="0.35">
      <c r="A1694" s="145"/>
      <c r="B1694" s="152"/>
      <c r="E1694" s="102"/>
      <c r="F1694" s="102"/>
      <c r="G1694" s="102"/>
      <c r="I1694" s="93"/>
      <c r="J1694" s="93"/>
    </row>
    <row r="1695" spans="1:10" s="65" customFormat="1" ht="14" x14ac:dyDescent="0.35">
      <c r="A1695" s="145"/>
      <c r="B1695" s="152"/>
      <c r="E1695" s="102"/>
      <c r="F1695" s="102"/>
      <c r="G1695" s="102"/>
      <c r="I1695" s="93"/>
      <c r="J1695" s="93"/>
    </row>
    <row r="1696" spans="1:10" s="65" customFormat="1" ht="14" x14ac:dyDescent="0.35">
      <c r="A1696" s="145"/>
      <c r="B1696" s="152"/>
      <c r="E1696" s="102"/>
      <c r="F1696" s="102"/>
      <c r="G1696" s="102"/>
      <c r="I1696" s="93"/>
      <c r="J1696" s="93"/>
    </row>
    <row r="1697" spans="1:10" s="65" customFormat="1" ht="14" x14ac:dyDescent="0.35">
      <c r="A1697" s="145"/>
      <c r="B1697" s="152"/>
      <c r="E1697" s="102"/>
      <c r="F1697" s="102"/>
      <c r="G1697" s="102"/>
      <c r="I1697" s="93"/>
      <c r="J1697" s="93"/>
    </row>
    <row r="1698" spans="1:10" s="65" customFormat="1" ht="14" x14ac:dyDescent="0.35">
      <c r="A1698" s="145"/>
      <c r="B1698" s="152"/>
      <c r="E1698" s="102"/>
      <c r="F1698" s="102"/>
      <c r="G1698" s="102"/>
      <c r="I1698" s="93"/>
      <c r="J1698" s="93"/>
    </row>
    <row r="1699" spans="1:10" s="65" customFormat="1" ht="14" x14ac:dyDescent="0.35">
      <c r="A1699" s="145"/>
      <c r="B1699" s="152"/>
      <c r="E1699" s="102"/>
      <c r="F1699" s="102"/>
      <c r="G1699" s="102"/>
      <c r="I1699" s="93"/>
      <c r="J1699" s="93"/>
    </row>
    <row r="1700" spans="1:10" s="65" customFormat="1" ht="14" x14ac:dyDescent="0.35">
      <c r="A1700" s="145"/>
      <c r="B1700" s="152"/>
      <c r="E1700" s="102"/>
      <c r="F1700" s="102"/>
      <c r="G1700" s="102"/>
      <c r="I1700" s="93"/>
      <c r="J1700" s="93"/>
    </row>
    <row r="1701" spans="1:10" s="65" customFormat="1" ht="14" x14ac:dyDescent="0.35">
      <c r="A1701" s="145"/>
      <c r="B1701" s="152"/>
      <c r="E1701" s="102"/>
      <c r="F1701" s="102"/>
      <c r="G1701" s="102"/>
      <c r="I1701" s="93"/>
      <c r="J1701" s="93"/>
    </row>
    <row r="1702" spans="1:10" s="65" customFormat="1" ht="14" x14ac:dyDescent="0.35">
      <c r="A1702" s="145"/>
      <c r="B1702" s="152"/>
      <c r="E1702" s="102"/>
      <c r="F1702" s="102"/>
      <c r="G1702" s="102"/>
      <c r="I1702" s="93"/>
      <c r="J1702" s="93"/>
    </row>
    <row r="1703" spans="1:10" s="65" customFormat="1" ht="14" x14ac:dyDescent="0.35">
      <c r="A1703" s="145"/>
      <c r="B1703" s="152"/>
      <c r="E1703" s="102"/>
      <c r="F1703" s="102"/>
      <c r="G1703" s="102"/>
      <c r="I1703" s="93"/>
      <c r="J1703" s="93"/>
    </row>
    <row r="1704" spans="1:10" s="65" customFormat="1" ht="14" x14ac:dyDescent="0.35">
      <c r="A1704" s="145"/>
      <c r="B1704" s="152"/>
      <c r="E1704" s="102"/>
      <c r="F1704" s="102"/>
      <c r="G1704" s="102"/>
      <c r="I1704" s="93"/>
      <c r="J1704" s="93"/>
    </row>
    <row r="1705" spans="1:10" s="65" customFormat="1" ht="14" x14ac:dyDescent="0.35">
      <c r="A1705" s="145"/>
      <c r="B1705" s="152"/>
      <c r="E1705" s="102"/>
      <c r="F1705" s="102"/>
      <c r="G1705" s="102"/>
      <c r="I1705" s="93"/>
      <c r="J1705" s="93"/>
    </row>
    <row r="1706" spans="1:10" s="65" customFormat="1" ht="14" x14ac:dyDescent="0.35">
      <c r="A1706" s="145"/>
      <c r="B1706" s="152"/>
      <c r="E1706" s="102"/>
      <c r="F1706" s="102"/>
      <c r="G1706" s="102"/>
      <c r="I1706" s="93"/>
      <c r="J1706" s="93"/>
    </row>
    <row r="1707" spans="1:10" s="65" customFormat="1" ht="14" x14ac:dyDescent="0.35">
      <c r="A1707" s="145"/>
      <c r="B1707" s="152"/>
      <c r="E1707" s="102"/>
      <c r="F1707" s="102"/>
      <c r="G1707" s="102"/>
      <c r="I1707" s="93"/>
      <c r="J1707" s="93"/>
    </row>
    <row r="1708" spans="1:10" s="65" customFormat="1" ht="14" x14ac:dyDescent="0.35">
      <c r="A1708" s="145"/>
      <c r="B1708" s="152"/>
      <c r="E1708" s="102"/>
      <c r="F1708" s="102"/>
      <c r="G1708" s="102"/>
      <c r="I1708" s="93"/>
      <c r="J1708" s="93"/>
    </row>
    <row r="1709" spans="1:10" s="65" customFormat="1" ht="14" x14ac:dyDescent="0.35">
      <c r="A1709" s="145"/>
      <c r="B1709" s="152"/>
      <c r="E1709" s="102"/>
      <c r="F1709" s="102"/>
      <c r="G1709" s="102"/>
      <c r="I1709" s="93"/>
      <c r="J1709" s="93"/>
    </row>
    <row r="1710" spans="1:10" s="65" customFormat="1" ht="14" x14ac:dyDescent="0.35">
      <c r="A1710" s="145"/>
      <c r="B1710" s="152"/>
      <c r="E1710" s="102"/>
      <c r="F1710" s="102"/>
      <c r="G1710" s="102"/>
      <c r="I1710" s="93"/>
      <c r="J1710" s="93"/>
    </row>
    <row r="1711" spans="1:10" s="65" customFormat="1" ht="14" x14ac:dyDescent="0.35">
      <c r="A1711" s="145"/>
      <c r="B1711" s="152"/>
      <c r="E1711" s="102"/>
      <c r="F1711" s="102"/>
      <c r="G1711" s="102"/>
      <c r="I1711" s="93"/>
      <c r="J1711" s="93"/>
    </row>
    <row r="1712" spans="1:10" s="65" customFormat="1" ht="14" x14ac:dyDescent="0.35">
      <c r="A1712" s="145"/>
      <c r="B1712" s="152"/>
      <c r="E1712" s="102"/>
      <c r="F1712" s="102"/>
      <c r="G1712" s="102"/>
      <c r="I1712" s="93"/>
      <c r="J1712" s="93"/>
    </row>
    <row r="1713" spans="1:10" s="65" customFormat="1" ht="14" x14ac:dyDescent="0.35">
      <c r="A1713" s="145"/>
      <c r="B1713" s="152"/>
      <c r="E1713" s="102"/>
      <c r="F1713" s="102"/>
      <c r="G1713" s="102"/>
      <c r="I1713" s="93"/>
      <c r="J1713" s="93"/>
    </row>
    <row r="1714" spans="1:10" s="65" customFormat="1" ht="14" x14ac:dyDescent="0.35">
      <c r="A1714" s="145"/>
      <c r="B1714" s="152"/>
      <c r="E1714" s="102"/>
      <c r="F1714" s="102"/>
      <c r="G1714" s="102"/>
      <c r="I1714" s="93"/>
      <c r="J1714" s="93"/>
    </row>
    <row r="1715" spans="1:10" s="65" customFormat="1" ht="14" x14ac:dyDescent="0.35">
      <c r="A1715" s="145"/>
      <c r="B1715" s="152"/>
      <c r="E1715" s="102"/>
      <c r="F1715" s="102"/>
      <c r="G1715" s="102"/>
      <c r="I1715" s="93"/>
      <c r="J1715" s="93"/>
    </row>
    <row r="1716" spans="1:10" s="65" customFormat="1" ht="14" x14ac:dyDescent="0.35">
      <c r="A1716" s="145"/>
      <c r="B1716" s="152"/>
      <c r="E1716" s="102"/>
      <c r="F1716" s="102"/>
      <c r="G1716" s="102"/>
      <c r="I1716" s="93"/>
      <c r="J1716" s="93"/>
    </row>
    <row r="1717" spans="1:10" s="65" customFormat="1" ht="14" x14ac:dyDescent="0.35">
      <c r="A1717" s="145"/>
      <c r="B1717" s="152"/>
      <c r="E1717" s="102"/>
      <c r="F1717" s="102"/>
      <c r="G1717" s="102"/>
      <c r="I1717" s="93"/>
      <c r="J1717" s="93"/>
    </row>
    <row r="1718" spans="1:10" s="65" customFormat="1" ht="14" x14ac:dyDescent="0.35">
      <c r="A1718" s="145"/>
      <c r="B1718" s="152"/>
      <c r="E1718" s="102"/>
      <c r="F1718" s="102"/>
      <c r="G1718" s="102"/>
      <c r="I1718" s="93"/>
      <c r="J1718" s="93"/>
    </row>
    <row r="1719" spans="1:10" s="65" customFormat="1" ht="14" x14ac:dyDescent="0.35">
      <c r="A1719" s="145"/>
      <c r="B1719" s="152"/>
      <c r="E1719" s="102"/>
      <c r="F1719" s="102"/>
      <c r="G1719" s="102"/>
      <c r="I1719" s="93"/>
      <c r="J1719" s="93"/>
    </row>
    <row r="1720" spans="1:10" s="65" customFormat="1" ht="14" x14ac:dyDescent="0.35">
      <c r="A1720" s="145"/>
      <c r="B1720" s="152"/>
      <c r="E1720" s="102"/>
      <c r="F1720" s="102"/>
      <c r="G1720" s="102"/>
      <c r="I1720" s="93"/>
      <c r="J1720" s="93"/>
    </row>
    <row r="1721" spans="1:10" s="65" customFormat="1" ht="14" x14ac:dyDescent="0.35">
      <c r="A1721" s="145"/>
      <c r="B1721" s="152"/>
      <c r="E1721" s="102"/>
      <c r="F1721" s="102"/>
      <c r="G1721" s="102"/>
      <c r="I1721" s="93"/>
      <c r="J1721" s="93"/>
    </row>
    <row r="1722" spans="1:10" s="65" customFormat="1" ht="14" x14ac:dyDescent="0.35">
      <c r="A1722" s="145"/>
      <c r="B1722" s="152"/>
      <c r="E1722" s="102"/>
      <c r="F1722" s="102"/>
      <c r="G1722" s="102"/>
      <c r="I1722" s="93"/>
      <c r="J1722" s="93"/>
    </row>
    <row r="1723" spans="1:10" s="65" customFormat="1" ht="14" x14ac:dyDescent="0.35">
      <c r="A1723" s="145"/>
      <c r="B1723" s="152"/>
      <c r="E1723" s="102"/>
      <c r="F1723" s="102"/>
      <c r="G1723" s="102"/>
      <c r="I1723" s="93"/>
      <c r="J1723" s="93"/>
    </row>
    <row r="1724" spans="1:10" s="65" customFormat="1" ht="14" x14ac:dyDescent="0.35">
      <c r="A1724" s="145"/>
      <c r="B1724" s="152"/>
      <c r="E1724" s="102"/>
      <c r="F1724" s="102"/>
      <c r="G1724" s="102"/>
      <c r="I1724" s="93"/>
      <c r="J1724" s="93"/>
    </row>
    <row r="1725" spans="1:10" s="65" customFormat="1" ht="14" x14ac:dyDescent="0.35">
      <c r="A1725" s="145"/>
      <c r="B1725" s="152"/>
      <c r="E1725" s="102"/>
      <c r="F1725" s="102"/>
      <c r="G1725" s="102"/>
      <c r="I1725" s="93"/>
      <c r="J1725" s="93"/>
    </row>
    <row r="1726" spans="1:10" s="65" customFormat="1" ht="14" x14ac:dyDescent="0.35">
      <c r="A1726" s="145"/>
      <c r="B1726" s="152"/>
      <c r="E1726" s="102"/>
      <c r="F1726" s="102"/>
      <c r="G1726" s="102"/>
      <c r="I1726" s="93"/>
      <c r="J1726" s="93"/>
    </row>
    <row r="1727" spans="1:10" s="65" customFormat="1" ht="14" x14ac:dyDescent="0.35">
      <c r="A1727" s="145"/>
      <c r="B1727" s="152"/>
      <c r="E1727" s="102"/>
      <c r="F1727" s="102"/>
      <c r="G1727" s="102"/>
      <c r="I1727" s="93"/>
      <c r="J1727" s="93"/>
    </row>
    <row r="1728" spans="1:10" s="65" customFormat="1" ht="14" x14ac:dyDescent="0.35">
      <c r="A1728" s="145"/>
      <c r="B1728" s="152"/>
      <c r="E1728" s="102"/>
      <c r="F1728" s="102"/>
      <c r="G1728" s="102"/>
      <c r="I1728" s="93"/>
      <c r="J1728" s="93"/>
    </row>
    <row r="1729" spans="1:10" s="65" customFormat="1" ht="14" x14ac:dyDescent="0.35">
      <c r="A1729" s="145"/>
      <c r="B1729" s="152"/>
      <c r="E1729" s="102"/>
      <c r="F1729" s="102"/>
      <c r="G1729" s="102"/>
      <c r="I1729" s="93"/>
      <c r="J1729" s="93"/>
    </row>
    <row r="1730" spans="1:10" s="65" customFormat="1" ht="14" x14ac:dyDescent="0.35">
      <c r="A1730" s="145"/>
      <c r="B1730" s="152"/>
      <c r="E1730" s="102"/>
      <c r="F1730" s="102"/>
      <c r="G1730" s="102"/>
      <c r="I1730" s="93"/>
      <c r="J1730" s="93"/>
    </row>
    <row r="1731" spans="1:10" s="65" customFormat="1" ht="14" x14ac:dyDescent="0.35">
      <c r="A1731" s="145"/>
      <c r="B1731" s="152"/>
      <c r="E1731" s="102"/>
      <c r="F1731" s="102"/>
      <c r="G1731" s="102"/>
      <c r="I1731" s="93"/>
      <c r="J1731" s="93"/>
    </row>
    <row r="1732" spans="1:10" s="65" customFormat="1" ht="14" x14ac:dyDescent="0.35">
      <c r="A1732" s="145"/>
      <c r="B1732" s="152"/>
      <c r="E1732" s="102"/>
      <c r="F1732" s="102"/>
      <c r="G1732" s="102"/>
      <c r="I1732" s="93"/>
      <c r="J1732" s="93"/>
    </row>
    <row r="1733" spans="1:10" s="65" customFormat="1" ht="14" x14ac:dyDescent="0.35">
      <c r="A1733" s="145"/>
      <c r="B1733" s="152"/>
      <c r="E1733" s="102"/>
      <c r="F1733" s="102"/>
      <c r="G1733" s="102"/>
      <c r="I1733" s="93"/>
      <c r="J1733" s="93"/>
    </row>
    <row r="1734" spans="1:10" s="65" customFormat="1" ht="14" x14ac:dyDescent="0.35">
      <c r="A1734" s="145"/>
      <c r="B1734" s="152"/>
      <c r="E1734" s="102"/>
      <c r="F1734" s="102"/>
      <c r="G1734" s="102"/>
      <c r="I1734" s="93"/>
      <c r="J1734" s="93"/>
    </row>
    <row r="1735" spans="1:10" s="65" customFormat="1" ht="14" x14ac:dyDescent="0.35">
      <c r="A1735" s="145"/>
      <c r="B1735" s="152"/>
      <c r="E1735" s="102"/>
      <c r="F1735" s="102"/>
      <c r="G1735" s="102"/>
      <c r="I1735" s="93"/>
      <c r="J1735" s="93"/>
    </row>
    <row r="1736" spans="1:10" s="65" customFormat="1" ht="14" x14ac:dyDescent="0.35">
      <c r="A1736" s="145"/>
      <c r="B1736" s="152"/>
      <c r="E1736" s="102"/>
      <c r="F1736" s="102"/>
      <c r="G1736" s="102"/>
      <c r="I1736" s="93"/>
      <c r="J1736" s="93"/>
    </row>
    <row r="1737" spans="1:10" s="65" customFormat="1" ht="14" x14ac:dyDescent="0.35">
      <c r="A1737" s="145"/>
      <c r="B1737" s="152"/>
      <c r="E1737" s="102"/>
      <c r="F1737" s="102"/>
      <c r="G1737" s="102"/>
      <c r="I1737" s="93"/>
      <c r="J1737" s="93"/>
    </row>
    <row r="1738" spans="1:10" s="65" customFormat="1" ht="14" x14ac:dyDescent="0.35">
      <c r="A1738" s="145"/>
      <c r="B1738" s="152"/>
      <c r="E1738" s="102"/>
      <c r="F1738" s="102"/>
      <c r="G1738" s="102"/>
      <c r="I1738" s="93"/>
      <c r="J1738" s="93"/>
    </row>
    <row r="1739" spans="1:10" s="65" customFormat="1" ht="14" x14ac:dyDescent="0.35">
      <c r="A1739" s="145"/>
      <c r="B1739" s="152"/>
      <c r="E1739" s="102"/>
      <c r="F1739" s="102"/>
      <c r="G1739" s="102"/>
      <c r="I1739" s="93"/>
      <c r="J1739" s="93"/>
    </row>
    <row r="1740" spans="1:10" s="65" customFormat="1" ht="14" x14ac:dyDescent="0.35">
      <c r="A1740" s="145"/>
      <c r="B1740" s="152"/>
      <c r="E1740" s="102"/>
      <c r="F1740" s="102"/>
      <c r="G1740" s="102"/>
      <c r="I1740" s="93"/>
      <c r="J1740" s="93"/>
    </row>
    <row r="1741" spans="1:10" s="65" customFormat="1" ht="14" x14ac:dyDescent="0.35">
      <c r="A1741" s="145"/>
      <c r="B1741" s="152"/>
      <c r="E1741" s="102"/>
      <c r="F1741" s="102"/>
      <c r="G1741" s="102"/>
      <c r="I1741" s="93"/>
      <c r="J1741" s="93"/>
    </row>
    <row r="1742" spans="1:10" s="65" customFormat="1" ht="14" x14ac:dyDescent="0.35">
      <c r="A1742" s="145"/>
      <c r="B1742" s="152"/>
      <c r="E1742" s="102"/>
      <c r="F1742" s="102"/>
      <c r="G1742" s="102"/>
      <c r="I1742" s="93"/>
      <c r="J1742" s="93"/>
    </row>
    <row r="1743" spans="1:10" s="65" customFormat="1" ht="14" x14ac:dyDescent="0.35">
      <c r="A1743" s="145"/>
      <c r="B1743" s="152"/>
      <c r="E1743" s="102"/>
      <c r="F1743" s="102"/>
      <c r="G1743" s="102"/>
      <c r="I1743" s="93"/>
      <c r="J1743" s="93"/>
    </row>
    <row r="1744" spans="1:10" s="65" customFormat="1" ht="14" x14ac:dyDescent="0.35">
      <c r="A1744" s="145"/>
      <c r="B1744" s="152"/>
      <c r="E1744" s="102"/>
      <c r="F1744" s="102"/>
      <c r="G1744" s="102"/>
      <c r="I1744" s="93"/>
      <c r="J1744" s="93"/>
    </row>
    <row r="1745" spans="1:10" s="65" customFormat="1" ht="14" x14ac:dyDescent="0.35">
      <c r="A1745" s="145"/>
      <c r="B1745" s="152"/>
      <c r="E1745" s="102"/>
      <c r="F1745" s="102"/>
      <c r="G1745" s="102"/>
      <c r="I1745" s="93"/>
      <c r="J1745" s="93"/>
    </row>
    <row r="1746" spans="1:10" s="65" customFormat="1" ht="14" x14ac:dyDescent="0.35">
      <c r="A1746" s="145"/>
      <c r="B1746" s="152"/>
      <c r="E1746" s="102"/>
      <c r="F1746" s="102"/>
      <c r="G1746" s="102"/>
      <c r="I1746" s="93"/>
      <c r="J1746" s="93"/>
    </row>
    <row r="1747" spans="1:10" s="65" customFormat="1" ht="14" x14ac:dyDescent="0.35">
      <c r="A1747" s="145"/>
      <c r="B1747" s="152"/>
      <c r="E1747" s="102"/>
      <c r="F1747" s="102"/>
      <c r="G1747" s="102"/>
      <c r="I1747" s="93"/>
      <c r="J1747" s="93"/>
    </row>
    <row r="1748" spans="1:10" s="65" customFormat="1" ht="14" x14ac:dyDescent="0.35">
      <c r="A1748" s="145"/>
      <c r="B1748" s="152"/>
      <c r="E1748" s="102"/>
      <c r="F1748" s="102"/>
      <c r="G1748" s="102"/>
      <c r="I1748" s="93"/>
      <c r="J1748" s="93"/>
    </row>
    <row r="1749" spans="1:10" s="65" customFormat="1" ht="14" x14ac:dyDescent="0.35">
      <c r="A1749" s="145"/>
      <c r="B1749" s="152"/>
      <c r="E1749" s="102"/>
      <c r="F1749" s="102"/>
      <c r="G1749" s="102"/>
      <c r="I1749" s="93"/>
      <c r="J1749" s="93"/>
    </row>
    <row r="1750" spans="1:10" s="65" customFormat="1" ht="14" x14ac:dyDescent="0.35">
      <c r="A1750" s="145"/>
      <c r="B1750" s="152"/>
      <c r="E1750" s="102"/>
      <c r="F1750" s="102"/>
      <c r="G1750" s="102"/>
      <c r="I1750" s="93"/>
      <c r="J1750" s="93"/>
    </row>
    <row r="1751" spans="1:10" s="65" customFormat="1" ht="14" x14ac:dyDescent="0.35">
      <c r="A1751" s="145"/>
      <c r="B1751" s="152"/>
      <c r="E1751" s="102"/>
      <c r="F1751" s="102"/>
      <c r="G1751" s="102"/>
      <c r="I1751" s="93"/>
      <c r="J1751" s="93"/>
    </row>
    <row r="1752" spans="1:10" s="65" customFormat="1" ht="14" x14ac:dyDescent="0.35">
      <c r="A1752" s="145"/>
      <c r="B1752" s="152"/>
      <c r="E1752" s="102"/>
      <c r="F1752" s="102"/>
      <c r="G1752" s="102"/>
      <c r="I1752" s="93"/>
      <c r="J1752" s="93"/>
    </row>
    <row r="1753" spans="1:10" s="65" customFormat="1" ht="14" x14ac:dyDescent="0.35">
      <c r="A1753" s="145"/>
      <c r="B1753" s="152"/>
      <c r="E1753" s="102"/>
      <c r="F1753" s="102"/>
      <c r="G1753" s="102"/>
      <c r="I1753" s="93"/>
      <c r="J1753" s="93"/>
    </row>
    <row r="1754" spans="1:10" s="65" customFormat="1" ht="14" x14ac:dyDescent="0.35">
      <c r="A1754" s="145"/>
      <c r="B1754" s="152"/>
      <c r="E1754" s="102"/>
      <c r="F1754" s="102"/>
      <c r="G1754" s="102"/>
      <c r="I1754" s="93"/>
      <c r="J1754" s="93"/>
    </row>
    <row r="1755" spans="1:10" s="65" customFormat="1" ht="14" x14ac:dyDescent="0.35">
      <c r="A1755" s="145"/>
      <c r="B1755" s="152"/>
      <c r="E1755" s="102"/>
      <c r="F1755" s="102"/>
      <c r="G1755" s="102"/>
      <c r="I1755" s="93"/>
      <c r="J1755" s="93"/>
    </row>
    <row r="1756" spans="1:10" s="65" customFormat="1" ht="14" x14ac:dyDescent="0.35">
      <c r="A1756" s="145"/>
      <c r="B1756" s="152"/>
      <c r="E1756" s="102"/>
      <c r="F1756" s="102"/>
      <c r="G1756" s="102"/>
      <c r="I1756" s="93"/>
      <c r="J1756" s="93"/>
    </row>
    <row r="1757" spans="1:10" s="65" customFormat="1" ht="14" x14ac:dyDescent="0.35">
      <c r="A1757" s="145"/>
      <c r="B1757" s="152"/>
      <c r="E1757" s="102"/>
      <c r="F1757" s="102"/>
      <c r="G1757" s="102"/>
      <c r="I1757" s="93"/>
      <c r="J1757" s="93"/>
    </row>
    <row r="1758" spans="1:10" s="65" customFormat="1" ht="14" x14ac:dyDescent="0.35">
      <c r="A1758" s="145"/>
      <c r="B1758" s="152"/>
      <c r="E1758" s="102"/>
      <c r="F1758" s="102"/>
      <c r="G1758" s="102"/>
      <c r="I1758" s="93"/>
      <c r="J1758" s="93"/>
    </row>
    <row r="1759" spans="1:10" s="65" customFormat="1" ht="14" x14ac:dyDescent="0.35">
      <c r="A1759" s="145"/>
      <c r="B1759" s="152"/>
      <c r="E1759" s="102"/>
      <c r="F1759" s="102"/>
      <c r="G1759" s="102"/>
      <c r="I1759" s="93"/>
      <c r="J1759" s="93"/>
    </row>
    <row r="1760" spans="1:10" s="65" customFormat="1" ht="14" x14ac:dyDescent="0.35">
      <c r="A1760" s="145"/>
      <c r="B1760" s="152"/>
      <c r="E1760" s="102"/>
      <c r="F1760" s="102"/>
      <c r="G1760" s="102"/>
      <c r="I1760" s="93"/>
      <c r="J1760" s="93"/>
    </row>
    <row r="1761" spans="1:10" s="65" customFormat="1" ht="14" x14ac:dyDescent="0.35">
      <c r="A1761" s="145"/>
      <c r="B1761" s="152"/>
      <c r="E1761" s="102"/>
      <c r="F1761" s="102"/>
      <c r="G1761" s="102"/>
      <c r="I1761" s="93"/>
      <c r="J1761" s="93"/>
    </row>
    <row r="1762" spans="1:10" s="65" customFormat="1" ht="14" x14ac:dyDescent="0.35">
      <c r="A1762" s="145"/>
      <c r="B1762" s="152"/>
      <c r="E1762" s="102"/>
      <c r="F1762" s="102"/>
      <c r="G1762" s="102"/>
      <c r="I1762" s="93"/>
      <c r="J1762" s="93"/>
    </row>
    <row r="1763" spans="1:10" s="65" customFormat="1" ht="14" x14ac:dyDescent="0.35">
      <c r="A1763" s="145"/>
      <c r="B1763" s="152"/>
      <c r="E1763" s="102"/>
      <c r="F1763" s="102"/>
      <c r="G1763" s="102"/>
      <c r="I1763" s="93"/>
      <c r="J1763" s="93"/>
    </row>
    <row r="1764" spans="1:10" s="65" customFormat="1" ht="14" x14ac:dyDescent="0.35">
      <c r="A1764" s="145"/>
      <c r="B1764" s="152"/>
      <c r="E1764" s="102"/>
      <c r="F1764" s="102"/>
      <c r="G1764" s="102"/>
      <c r="I1764" s="93"/>
      <c r="J1764" s="93"/>
    </row>
    <row r="1765" spans="1:10" s="65" customFormat="1" ht="14" x14ac:dyDescent="0.35">
      <c r="A1765" s="145"/>
      <c r="B1765" s="152"/>
      <c r="E1765" s="102"/>
      <c r="F1765" s="102"/>
      <c r="G1765" s="102"/>
      <c r="I1765" s="93"/>
      <c r="J1765" s="93"/>
    </row>
    <row r="1766" spans="1:10" s="65" customFormat="1" ht="14" x14ac:dyDescent="0.35">
      <c r="A1766" s="145"/>
      <c r="B1766" s="152"/>
      <c r="E1766" s="102"/>
      <c r="F1766" s="102"/>
      <c r="G1766" s="102"/>
      <c r="I1766" s="93"/>
      <c r="J1766" s="93"/>
    </row>
    <row r="1767" spans="1:10" s="65" customFormat="1" ht="14" x14ac:dyDescent="0.35">
      <c r="A1767" s="145"/>
      <c r="B1767" s="152"/>
      <c r="E1767" s="102"/>
      <c r="F1767" s="102"/>
      <c r="G1767" s="102"/>
      <c r="I1767" s="93"/>
      <c r="J1767" s="93"/>
    </row>
    <row r="1768" spans="1:10" s="65" customFormat="1" ht="14" x14ac:dyDescent="0.35">
      <c r="A1768" s="145"/>
      <c r="B1768" s="152"/>
      <c r="E1768" s="102"/>
      <c r="F1768" s="102"/>
      <c r="G1768" s="102"/>
      <c r="I1768" s="93"/>
      <c r="J1768" s="93"/>
    </row>
    <row r="1769" spans="1:10" s="65" customFormat="1" ht="14" x14ac:dyDescent="0.35">
      <c r="A1769" s="145"/>
      <c r="B1769" s="152"/>
      <c r="E1769" s="102"/>
      <c r="F1769" s="102"/>
      <c r="G1769" s="102"/>
      <c r="I1769" s="93"/>
      <c r="J1769" s="93"/>
    </row>
    <row r="1770" spans="1:10" s="65" customFormat="1" ht="14" x14ac:dyDescent="0.35">
      <c r="A1770" s="145"/>
      <c r="B1770" s="152"/>
      <c r="E1770" s="102"/>
      <c r="F1770" s="102"/>
      <c r="G1770" s="102"/>
      <c r="I1770" s="93"/>
      <c r="J1770" s="93"/>
    </row>
    <row r="1771" spans="1:10" s="65" customFormat="1" ht="14" x14ac:dyDescent="0.35">
      <c r="A1771" s="145"/>
      <c r="B1771" s="152"/>
      <c r="E1771" s="102"/>
      <c r="F1771" s="102"/>
      <c r="G1771" s="102"/>
      <c r="I1771" s="93"/>
      <c r="J1771" s="93"/>
    </row>
    <row r="1772" spans="1:10" s="65" customFormat="1" ht="14" x14ac:dyDescent="0.35">
      <c r="A1772" s="145"/>
      <c r="B1772" s="152"/>
      <c r="E1772" s="102"/>
      <c r="F1772" s="102"/>
      <c r="G1772" s="102"/>
      <c r="I1772" s="93"/>
      <c r="J1772" s="93"/>
    </row>
    <row r="1773" spans="1:10" s="65" customFormat="1" ht="14" x14ac:dyDescent="0.35">
      <c r="A1773" s="145"/>
      <c r="B1773" s="152"/>
      <c r="E1773" s="102"/>
      <c r="F1773" s="102"/>
      <c r="G1773" s="102"/>
      <c r="I1773" s="93"/>
      <c r="J1773" s="93"/>
    </row>
    <row r="1774" spans="1:10" s="65" customFormat="1" ht="14" x14ac:dyDescent="0.35">
      <c r="A1774" s="145"/>
      <c r="B1774" s="152"/>
      <c r="E1774" s="102"/>
      <c r="F1774" s="102"/>
      <c r="G1774" s="102"/>
      <c r="I1774" s="93"/>
      <c r="J1774" s="93"/>
    </row>
    <row r="1775" spans="1:10" s="65" customFormat="1" ht="14" x14ac:dyDescent="0.35">
      <c r="A1775" s="145"/>
      <c r="B1775" s="152"/>
      <c r="E1775" s="102"/>
      <c r="F1775" s="102"/>
      <c r="G1775" s="102"/>
      <c r="I1775" s="93"/>
      <c r="J1775" s="93"/>
    </row>
    <row r="1776" spans="1:10" s="65" customFormat="1" ht="14" x14ac:dyDescent="0.35">
      <c r="A1776" s="145"/>
      <c r="B1776" s="152"/>
      <c r="E1776" s="102"/>
      <c r="F1776" s="102"/>
      <c r="G1776" s="102"/>
      <c r="I1776" s="93"/>
      <c r="J1776" s="93"/>
    </row>
    <row r="1777" spans="1:10" s="65" customFormat="1" ht="14" x14ac:dyDescent="0.35">
      <c r="A1777" s="145"/>
      <c r="B1777" s="152"/>
      <c r="E1777" s="102"/>
      <c r="F1777" s="102"/>
      <c r="G1777" s="102"/>
      <c r="I1777" s="93"/>
      <c r="J1777" s="93"/>
    </row>
    <row r="1778" spans="1:10" s="65" customFormat="1" ht="14" x14ac:dyDescent="0.35">
      <c r="A1778" s="145"/>
      <c r="B1778" s="152"/>
      <c r="E1778" s="102"/>
      <c r="F1778" s="102"/>
      <c r="G1778" s="102"/>
      <c r="I1778" s="93"/>
      <c r="J1778" s="93"/>
    </row>
    <row r="1779" spans="1:10" s="65" customFormat="1" ht="14" x14ac:dyDescent="0.35">
      <c r="A1779" s="145"/>
      <c r="B1779" s="152"/>
      <c r="E1779" s="102"/>
      <c r="F1779" s="102"/>
      <c r="G1779" s="102"/>
      <c r="I1779" s="93"/>
      <c r="J1779" s="93"/>
    </row>
    <row r="1780" spans="1:10" s="65" customFormat="1" ht="14" x14ac:dyDescent="0.35">
      <c r="A1780" s="145"/>
      <c r="B1780" s="152"/>
      <c r="E1780" s="102"/>
      <c r="F1780" s="102"/>
      <c r="G1780" s="102"/>
      <c r="I1780" s="93"/>
      <c r="J1780" s="93"/>
    </row>
    <row r="1781" spans="1:10" s="65" customFormat="1" ht="14" x14ac:dyDescent="0.35">
      <c r="A1781" s="145"/>
      <c r="B1781" s="152"/>
      <c r="E1781" s="102"/>
      <c r="F1781" s="102"/>
      <c r="G1781" s="102"/>
      <c r="I1781" s="93"/>
      <c r="J1781" s="93"/>
    </row>
    <row r="1782" spans="1:10" s="65" customFormat="1" ht="14" x14ac:dyDescent="0.35">
      <c r="A1782" s="145"/>
      <c r="B1782" s="152"/>
      <c r="E1782" s="102"/>
      <c r="F1782" s="102"/>
      <c r="G1782" s="102"/>
      <c r="I1782" s="93"/>
      <c r="J1782" s="93"/>
    </row>
    <row r="1783" spans="1:10" s="65" customFormat="1" ht="14" x14ac:dyDescent="0.35">
      <c r="A1783" s="145"/>
      <c r="B1783" s="152"/>
      <c r="E1783" s="102"/>
      <c r="F1783" s="102"/>
      <c r="G1783" s="102"/>
      <c r="I1783" s="93"/>
      <c r="J1783" s="93"/>
    </row>
    <row r="1784" spans="1:10" s="65" customFormat="1" ht="14" x14ac:dyDescent="0.35">
      <c r="A1784" s="145"/>
      <c r="B1784" s="152"/>
      <c r="E1784" s="102"/>
      <c r="F1784" s="102"/>
      <c r="G1784" s="102"/>
      <c r="I1784" s="93"/>
      <c r="J1784" s="93"/>
    </row>
    <row r="1785" spans="1:10" s="65" customFormat="1" ht="14" x14ac:dyDescent="0.35">
      <c r="A1785" s="145"/>
      <c r="B1785" s="152"/>
      <c r="E1785" s="102"/>
      <c r="F1785" s="102"/>
      <c r="G1785" s="102"/>
      <c r="I1785" s="93"/>
      <c r="J1785" s="93"/>
    </row>
    <row r="1786" spans="1:10" s="65" customFormat="1" ht="14" x14ac:dyDescent="0.35">
      <c r="A1786" s="145"/>
      <c r="B1786" s="152"/>
      <c r="E1786" s="102"/>
      <c r="F1786" s="102"/>
      <c r="G1786" s="102"/>
      <c r="I1786" s="93"/>
      <c r="J1786" s="93"/>
    </row>
    <row r="1787" spans="1:10" s="65" customFormat="1" ht="14" x14ac:dyDescent="0.35">
      <c r="A1787" s="145"/>
      <c r="B1787" s="152"/>
      <c r="E1787" s="102"/>
      <c r="F1787" s="102"/>
      <c r="G1787" s="102"/>
      <c r="I1787" s="93"/>
      <c r="J1787" s="93"/>
    </row>
    <row r="1788" spans="1:10" s="65" customFormat="1" ht="14" x14ac:dyDescent="0.35">
      <c r="A1788" s="145"/>
      <c r="B1788" s="152"/>
      <c r="E1788" s="102"/>
      <c r="F1788" s="102"/>
      <c r="G1788" s="102"/>
      <c r="I1788" s="93"/>
      <c r="J1788" s="93"/>
    </row>
    <row r="1789" spans="1:10" s="65" customFormat="1" ht="14" x14ac:dyDescent="0.35">
      <c r="A1789" s="145"/>
      <c r="B1789" s="152"/>
      <c r="E1789" s="102"/>
      <c r="F1789" s="102"/>
      <c r="G1789" s="102"/>
      <c r="I1789" s="93"/>
      <c r="J1789" s="93"/>
    </row>
    <row r="1790" spans="1:10" s="65" customFormat="1" ht="14" x14ac:dyDescent="0.35">
      <c r="A1790" s="145"/>
      <c r="B1790" s="152"/>
      <c r="E1790" s="102"/>
      <c r="F1790" s="102"/>
      <c r="G1790" s="102"/>
      <c r="I1790" s="93"/>
      <c r="J1790" s="93"/>
    </row>
    <row r="1791" spans="1:10" s="65" customFormat="1" ht="14" x14ac:dyDescent="0.35">
      <c r="A1791" s="145"/>
      <c r="B1791" s="152"/>
      <c r="E1791" s="102"/>
      <c r="F1791" s="102"/>
      <c r="G1791" s="102"/>
      <c r="I1791" s="93"/>
      <c r="J1791" s="93"/>
    </row>
    <row r="1792" spans="1:10" s="65" customFormat="1" ht="14" x14ac:dyDescent="0.35">
      <c r="A1792" s="145"/>
      <c r="B1792" s="152"/>
      <c r="E1792" s="102"/>
      <c r="F1792" s="102"/>
      <c r="G1792" s="102"/>
      <c r="I1792" s="93"/>
      <c r="J1792" s="93"/>
    </row>
    <row r="1793" spans="1:10" s="65" customFormat="1" ht="14" x14ac:dyDescent="0.35">
      <c r="A1793" s="145"/>
      <c r="B1793" s="152"/>
      <c r="E1793" s="102"/>
      <c r="F1793" s="102"/>
      <c r="G1793" s="102"/>
      <c r="I1793" s="93"/>
      <c r="J1793" s="93"/>
    </row>
    <row r="1794" spans="1:10" s="65" customFormat="1" ht="14" x14ac:dyDescent="0.35">
      <c r="A1794" s="145"/>
      <c r="B1794" s="152"/>
      <c r="E1794" s="102"/>
      <c r="F1794" s="102"/>
      <c r="G1794" s="102"/>
      <c r="I1794" s="93"/>
      <c r="J1794" s="93"/>
    </row>
    <row r="1795" spans="1:10" s="65" customFormat="1" ht="14" x14ac:dyDescent="0.35">
      <c r="A1795" s="145"/>
      <c r="B1795" s="152"/>
      <c r="E1795" s="102"/>
      <c r="F1795" s="102"/>
      <c r="G1795" s="102"/>
      <c r="I1795" s="93"/>
      <c r="J1795" s="93"/>
    </row>
    <row r="1796" spans="1:10" s="65" customFormat="1" ht="14" x14ac:dyDescent="0.35">
      <c r="A1796" s="145"/>
      <c r="B1796" s="152"/>
      <c r="E1796" s="102"/>
      <c r="F1796" s="102"/>
      <c r="G1796" s="102"/>
      <c r="I1796" s="93"/>
      <c r="J1796" s="93"/>
    </row>
    <row r="1797" spans="1:10" s="65" customFormat="1" ht="14" x14ac:dyDescent="0.35">
      <c r="A1797" s="145"/>
      <c r="B1797" s="152"/>
      <c r="E1797" s="102"/>
      <c r="F1797" s="102"/>
      <c r="G1797" s="102"/>
      <c r="I1797" s="93"/>
      <c r="J1797" s="93"/>
    </row>
    <row r="1798" spans="1:10" s="65" customFormat="1" ht="14" x14ac:dyDescent="0.35">
      <c r="A1798" s="145"/>
      <c r="B1798" s="152"/>
      <c r="E1798" s="102"/>
      <c r="F1798" s="102"/>
      <c r="G1798" s="102"/>
      <c r="I1798" s="93"/>
      <c r="J1798" s="93"/>
    </row>
    <row r="1799" spans="1:10" s="65" customFormat="1" ht="14" x14ac:dyDescent="0.35">
      <c r="A1799" s="145"/>
      <c r="B1799" s="152"/>
      <c r="E1799" s="102"/>
      <c r="F1799" s="102"/>
      <c r="G1799" s="102"/>
      <c r="I1799" s="93"/>
      <c r="J1799" s="93"/>
    </row>
    <row r="1800" spans="1:10" s="65" customFormat="1" ht="14" x14ac:dyDescent="0.35">
      <c r="A1800" s="145"/>
      <c r="B1800" s="152"/>
      <c r="E1800" s="102"/>
      <c r="F1800" s="102"/>
      <c r="G1800" s="102"/>
      <c r="I1800" s="93"/>
      <c r="J1800" s="93"/>
    </row>
    <row r="1801" spans="1:10" s="65" customFormat="1" ht="14" x14ac:dyDescent="0.35">
      <c r="A1801" s="145"/>
      <c r="B1801" s="152"/>
      <c r="E1801" s="102"/>
      <c r="F1801" s="102"/>
      <c r="G1801" s="102"/>
      <c r="I1801" s="93"/>
      <c r="J1801" s="93"/>
    </row>
    <row r="1802" spans="1:10" s="65" customFormat="1" ht="14" x14ac:dyDescent="0.35">
      <c r="A1802" s="145"/>
      <c r="B1802" s="152"/>
      <c r="E1802" s="102"/>
      <c r="F1802" s="102"/>
      <c r="G1802" s="102"/>
      <c r="I1802" s="93"/>
      <c r="J1802" s="93"/>
    </row>
    <row r="1803" spans="1:10" s="65" customFormat="1" ht="14" x14ac:dyDescent="0.35">
      <c r="A1803" s="145"/>
      <c r="B1803" s="152"/>
      <c r="E1803" s="102"/>
      <c r="F1803" s="102"/>
      <c r="G1803" s="102"/>
      <c r="I1803" s="93"/>
      <c r="J1803" s="93"/>
    </row>
    <row r="1804" spans="1:10" s="65" customFormat="1" ht="14" x14ac:dyDescent="0.35">
      <c r="A1804" s="145"/>
      <c r="B1804" s="152"/>
      <c r="E1804" s="102"/>
      <c r="F1804" s="102"/>
      <c r="G1804" s="102"/>
      <c r="I1804" s="93"/>
      <c r="J1804" s="93"/>
    </row>
    <row r="1805" spans="1:10" s="65" customFormat="1" ht="14" x14ac:dyDescent="0.35">
      <c r="A1805" s="145"/>
      <c r="B1805" s="152"/>
      <c r="E1805" s="102"/>
      <c r="F1805" s="102"/>
      <c r="G1805" s="102"/>
      <c r="I1805" s="93"/>
      <c r="J1805" s="93"/>
    </row>
    <row r="1806" spans="1:10" s="65" customFormat="1" ht="14" x14ac:dyDescent="0.35">
      <c r="A1806" s="145"/>
      <c r="B1806" s="152"/>
      <c r="E1806" s="102"/>
      <c r="F1806" s="102"/>
      <c r="G1806" s="102"/>
      <c r="I1806" s="93"/>
      <c r="J1806" s="93"/>
    </row>
    <row r="1807" spans="1:10" s="65" customFormat="1" ht="14" x14ac:dyDescent="0.35">
      <c r="A1807" s="145"/>
      <c r="B1807" s="152"/>
      <c r="E1807" s="102"/>
      <c r="F1807" s="102"/>
      <c r="G1807" s="102"/>
      <c r="I1807" s="93"/>
      <c r="J1807" s="93"/>
    </row>
    <row r="1808" spans="1:10" s="65" customFormat="1" ht="14" x14ac:dyDescent="0.35">
      <c r="A1808" s="145"/>
      <c r="B1808" s="152"/>
      <c r="E1808" s="102"/>
      <c r="F1808" s="102"/>
      <c r="G1808" s="102"/>
      <c r="I1808" s="93"/>
      <c r="J1808" s="93"/>
    </row>
    <row r="1809" spans="1:10" s="65" customFormat="1" ht="14" x14ac:dyDescent="0.35">
      <c r="A1809" s="145"/>
      <c r="B1809" s="152"/>
      <c r="E1809" s="102"/>
      <c r="F1809" s="102"/>
      <c r="G1809" s="102"/>
      <c r="I1809" s="93"/>
      <c r="J1809" s="93"/>
    </row>
    <row r="1810" spans="1:10" s="65" customFormat="1" ht="14" x14ac:dyDescent="0.35">
      <c r="A1810" s="145"/>
      <c r="B1810" s="152"/>
      <c r="E1810" s="102"/>
      <c r="F1810" s="102"/>
      <c r="G1810" s="102"/>
      <c r="I1810" s="93"/>
      <c r="J1810" s="93"/>
    </row>
    <row r="1811" spans="1:10" s="65" customFormat="1" ht="14" x14ac:dyDescent="0.35">
      <c r="A1811" s="145"/>
      <c r="B1811" s="152"/>
      <c r="E1811" s="102"/>
      <c r="F1811" s="102"/>
      <c r="G1811" s="102"/>
      <c r="I1811" s="93"/>
      <c r="J1811" s="93"/>
    </row>
    <row r="1812" spans="1:10" s="65" customFormat="1" ht="14" x14ac:dyDescent="0.35">
      <c r="A1812" s="145"/>
      <c r="B1812" s="152"/>
      <c r="E1812" s="102"/>
      <c r="F1812" s="102"/>
      <c r="G1812" s="102"/>
      <c r="I1812" s="93"/>
      <c r="J1812" s="93"/>
    </row>
    <row r="1813" spans="1:10" s="65" customFormat="1" ht="14" x14ac:dyDescent="0.35">
      <c r="A1813" s="145"/>
      <c r="B1813" s="152"/>
      <c r="E1813" s="102"/>
      <c r="F1813" s="102"/>
      <c r="G1813" s="102"/>
      <c r="I1813" s="93"/>
      <c r="J1813" s="93"/>
    </row>
    <row r="1814" spans="1:10" s="65" customFormat="1" ht="14" x14ac:dyDescent="0.35">
      <c r="A1814" s="145"/>
      <c r="B1814" s="152"/>
      <c r="E1814" s="102"/>
      <c r="F1814" s="102"/>
      <c r="G1814" s="102"/>
      <c r="I1814" s="93"/>
      <c r="J1814" s="93"/>
    </row>
    <row r="1815" spans="1:10" s="65" customFormat="1" ht="14" x14ac:dyDescent="0.35">
      <c r="A1815" s="145"/>
      <c r="B1815" s="152"/>
      <c r="E1815" s="102"/>
      <c r="F1815" s="102"/>
      <c r="G1815" s="102"/>
      <c r="I1815" s="93"/>
      <c r="J1815" s="93"/>
    </row>
    <row r="1816" spans="1:10" s="65" customFormat="1" ht="14" x14ac:dyDescent="0.35">
      <c r="A1816" s="145"/>
      <c r="B1816" s="152"/>
      <c r="E1816" s="102"/>
      <c r="F1816" s="102"/>
      <c r="G1816" s="102"/>
      <c r="I1816" s="93"/>
      <c r="J1816" s="93"/>
    </row>
    <row r="1817" spans="1:10" s="65" customFormat="1" ht="14" x14ac:dyDescent="0.35">
      <c r="A1817" s="145"/>
      <c r="B1817" s="152"/>
      <c r="E1817" s="102"/>
      <c r="F1817" s="102"/>
      <c r="G1817" s="102"/>
      <c r="I1817" s="93"/>
      <c r="J1817" s="93"/>
    </row>
    <row r="1818" spans="1:10" s="65" customFormat="1" ht="14" x14ac:dyDescent="0.35">
      <c r="A1818" s="145"/>
      <c r="B1818" s="152"/>
      <c r="E1818" s="102"/>
      <c r="F1818" s="102"/>
      <c r="G1818" s="102"/>
      <c r="I1818" s="93"/>
      <c r="J1818" s="93"/>
    </row>
    <row r="1819" spans="1:10" s="65" customFormat="1" ht="14" x14ac:dyDescent="0.35">
      <c r="A1819" s="145"/>
      <c r="B1819" s="152"/>
      <c r="E1819" s="102"/>
      <c r="F1819" s="102"/>
      <c r="G1819" s="102"/>
      <c r="I1819" s="93"/>
      <c r="J1819" s="93"/>
    </row>
    <row r="1820" spans="1:10" s="65" customFormat="1" ht="14" x14ac:dyDescent="0.35">
      <c r="A1820" s="145"/>
      <c r="B1820" s="152"/>
      <c r="E1820" s="102"/>
      <c r="F1820" s="102"/>
      <c r="G1820" s="102"/>
      <c r="I1820" s="93"/>
      <c r="J1820" s="93"/>
    </row>
    <row r="1821" spans="1:10" s="65" customFormat="1" ht="14" x14ac:dyDescent="0.35">
      <c r="A1821" s="145"/>
      <c r="B1821" s="152"/>
      <c r="E1821" s="102"/>
      <c r="F1821" s="102"/>
      <c r="G1821" s="102"/>
      <c r="I1821" s="93"/>
      <c r="J1821" s="93"/>
    </row>
    <row r="1822" spans="1:10" s="65" customFormat="1" ht="14" x14ac:dyDescent="0.35">
      <c r="A1822" s="145"/>
      <c r="B1822" s="152"/>
      <c r="E1822" s="102"/>
      <c r="F1822" s="102"/>
      <c r="G1822" s="102"/>
      <c r="I1822" s="93"/>
      <c r="J1822" s="93"/>
    </row>
    <row r="1823" spans="1:10" s="65" customFormat="1" ht="14" x14ac:dyDescent="0.35">
      <c r="A1823" s="145"/>
      <c r="B1823" s="152"/>
      <c r="E1823" s="102"/>
      <c r="F1823" s="102"/>
      <c r="G1823" s="102"/>
      <c r="I1823" s="93"/>
      <c r="J1823" s="93"/>
    </row>
    <row r="1824" spans="1:10" s="65" customFormat="1" ht="14" x14ac:dyDescent="0.35">
      <c r="A1824" s="145"/>
      <c r="B1824" s="152"/>
      <c r="E1824" s="102"/>
      <c r="F1824" s="102"/>
      <c r="G1824" s="102"/>
      <c r="I1824" s="93"/>
      <c r="J1824" s="93"/>
    </row>
    <row r="1825" spans="1:10" s="65" customFormat="1" ht="14" x14ac:dyDescent="0.35">
      <c r="A1825" s="145"/>
      <c r="B1825" s="152"/>
      <c r="E1825" s="102"/>
      <c r="F1825" s="102"/>
      <c r="G1825" s="102"/>
      <c r="I1825" s="93"/>
      <c r="J1825" s="93"/>
    </row>
    <row r="1826" spans="1:10" s="65" customFormat="1" ht="14" x14ac:dyDescent="0.35">
      <c r="A1826" s="145"/>
      <c r="B1826" s="152"/>
      <c r="E1826" s="102"/>
      <c r="F1826" s="102"/>
      <c r="G1826" s="102"/>
      <c r="I1826" s="93"/>
      <c r="J1826" s="93"/>
    </row>
    <row r="1827" spans="1:10" s="65" customFormat="1" ht="14" x14ac:dyDescent="0.35">
      <c r="A1827" s="145"/>
      <c r="B1827" s="152"/>
      <c r="E1827" s="102"/>
      <c r="F1827" s="102"/>
      <c r="G1827" s="102"/>
      <c r="I1827" s="93"/>
      <c r="J1827" s="93"/>
    </row>
    <row r="1828" spans="1:10" s="65" customFormat="1" ht="14" x14ac:dyDescent="0.35">
      <c r="A1828" s="145"/>
      <c r="B1828" s="152"/>
      <c r="E1828" s="102"/>
      <c r="F1828" s="102"/>
      <c r="G1828" s="102"/>
      <c r="I1828" s="93"/>
      <c r="J1828" s="93"/>
    </row>
    <row r="1829" spans="1:10" s="65" customFormat="1" ht="14" x14ac:dyDescent="0.35">
      <c r="A1829" s="145"/>
      <c r="B1829" s="152"/>
      <c r="E1829" s="102"/>
      <c r="F1829" s="102"/>
      <c r="G1829" s="102"/>
      <c r="I1829" s="93"/>
      <c r="J1829" s="93"/>
    </row>
    <row r="1830" spans="1:10" s="65" customFormat="1" ht="14" x14ac:dyDescent="0.35">
      <c r="A1830" s="145"/>
      <c r="B1830" s="152"/>
      <c r="E1830" s="102"/>
      <c r="F1830" s="102"/>
      <c r="G1830" s="102"/>
      <c r="I1830" s="93"/>
      <c r="J1830" s="93"/>
    </row>
    <row r="1831" spans="1:10" s="65" customFormat="1" ht="14" x14ac:dyDescent="0.35">
      <c r="A1831" s="145"/>
      <c r="B1831" s="152"/>
      <c r="E1831" s="102"/>
      <c r="F1831" s="102"/>
      <c r="G1831" s="102"/>
      <c r="I1831" s="93"/>
      <c r="J1831" s="93"/>
    </row>
    <row r="1832" spans="1:10" s="65" customFormat="1" ht="14" x14ac:dyDescent="0.35">
      <c r="A1832" s="145"/>
      <c r="B1832" s="152"/>
      <c r="E1832" s="102"/>
      <c r="F1832" s="102"/>
      <c r="G1832" s="102"/>
      <c r="I1832" s="93"/>
      <c r="J1832" s="93"/>
    </row>
    <row r="1833" spans="1:10" s="65" customFormat="1" ht="14" x14ac:dyDescent="0.35">
      <c r="A1833" s="145"/>
      <c r="B1833" s="152"/>
      <c r="E1833" s="102"/>
      <c r="F1833" s="102"/>
      <c r="G1833" s="102"/>
      <c r="I1833" s="93"/>
      <c r="J1833" s="93"/>
    </row>
    <row r="1834" spans="1:10" s="65" customFormat="1" ht="14" x14ac:dyDescent="0.35">
      <c r="A1834" s="145"/>
      <c r="B1834" s="152"/>
      <c r="E1834" s="102"/>
      <c r="F1834" s="102"/>
      <c r="G1834" s="102"/>
      <c r="I1834" s="93"/>
      <c r="J1834" s="93"/>
    </row>
    <row r="1835" spans="1:10" s="65" customFormat="1" ht="14" x14ac:dyDescent="0.35">
      <c r="A1835" s="145"/>
      <c r="B1835" s="152"/>
      <c r="E1835" s="102"/>
      <c r="F1835" s="102"/>
      <c r="G1835" s="102"/>
      <c r="I1835" s="93"/>
      <c r="J1835" s="93"/>
    </row>
    <row r="1836" spans="1:10" s="65" customFormat="1" ht="14" x14ac:dyDescent="0.35">
      <c r="A1836" s="145"/>
      <c r="B1836" s="152"/>
      <c r="E1836" s="102"/>
      <c r="F1836" s="102"/>
      <c r="G1836" s="102"/>
      <c r="I1836" s="93"/>
      <c r="J1836" s="93"/>
    </row>
    <row r="1837" spans="1:10" s="65" customFormat="1" ht="14" x14ac:dyDescent="0.35">
      <c r="A1837" s="145"/>
      <c r="B1837" s="152"/>
      <c r="E1837" s="102"/>
      <c r="F1837" s="102"/>
      <c r="G1837" s="102"/>
      <c r="I1837" s="93"/>
      <c r="J1837" s="93"/>
    </row>
    <row r="1838" spans="1:10" s="65" customFormat="1" ht="14" x14ac:dyDescent="0.35">
      <c r="A1838" s="145"/>
      <c r="B1838" s="152"/>
      <c r="E1838" s="102"/>
      <c r="F1838" s="102"/>
      <c r="G1838" s="102"/>
      <c r="I1838" s="93"/>
      <c r="J1838" s="93"/>
    </row>
    <row r="1839" spans="1:10" s="65" customFormat="1" ht="14" x14ac:dyDescent="0.35">
      <c r="A1839" s="145"/>
      <c r="B1839" s="152"/>
      <c r="E1839" s="102"/>
      <c r="F1839" s="102"/>
      <c r="G1839" s="102"/>
      <c r="I1839" s="93"/>
      <c r="J1839" s="93"/>
    </row>
    <row r="1840" spans="1:10" s="65" customFormat="1" ht="14" x14ac:dyDescent="0.35">
      <c r="A1840" s="145"/>
      <c r="B1840" s="152"/>
      <c r="E1840" s="102"/>
      <c r="F1840" s="102"/>
      <c r="G1840" s="102"/>
      <c r="I1840" s="93"/>
      <c r="J1840" s="93"/>
    </row>
    <row r="1841" spans="1:10" s="65" customFormat="1" ht="14" x14ac:dyDescent="0.35">
      <c r="A1841" s="145"/>
      <c r="B1841" s="152"/>
      <c r="E1841" s="102"/>
      <c r="F1841" s="102"/>
      <c r="G1841" s="102"/>
      <c r="I1841" s="93"/>
      <c r="J1841" s="93"/>
    </row>
    <row r="1842" spans="1:10" s="65" customFormat="1" ht="14" x14ac:dyDescent="0.35">
      <c r="A1842" s="145"/>
      <c r="B1842" s="152"/>
      <c r="E1842" s="102"/>
      <c r="F1842" s="102"/>
      <c r="G1842" s="102"/>
      <c r="I1842" s="93"/>
      <c r="J1842" s="93"/>
    </row>
    <row r="1843" spans="1:10" s="65" customFormat="1" ht="14" x14ac:dyDescent="0.35">
      <c r="A1843" s="145"/>
      <c r="B1843" s="152"/>
      <c r="E1843" s="102"/>
      <c r="F1843" s="102"/>
      <c r="G1843" s="102"/>
      <c r="I1843" s="93"/>
      <c r="J1843" s="93"/>
    </row>
    <row r="1844" spans="1:10" s="65" customFormat="1" ht="14" x14ac:dyDescent="0.35">
      <c r="A1844" s="145"/>
      <c r="B1844" s="152"/>
      <c r="E1844" s="102"/>
      <c r="F1844" s="102"/>
      <c r="G1844" s="102"/>
      <c r="I1844" s="93"/>
      <c r="J1844" s="93"/>
    </row>
    <row r="1845" spans="1:10" s="65" customFormat="1" ht="14" x14ac:dyDescent="0.35">
      <c r="A1845" s="145"/>
      <c r="B1845" s="152"/>
      <c r="E1845" s="102"/>
      <c r="F1845" s="102"/>
      <c r="G1845" s="102"/>
      <c r="I1845" s="93"/>
      <c r="J1845" s="93"/>
    </row>
    <row r="1846" spans="1:10" s="65" customFormat="1" ht="14" x14ac:dyDescent="0.35">
      <c r="A1846" s="145"/>
      <c r="B1846" s="152"/>
      <c r="E1846" s="102"/>
      <c r="F1846" s="102"/>
      <c r="G1846" s="102"/>
      <c r="I1846" s="93"/>
      <c r="J1846" s="93"/>
    </row>
    <row r="1847" spans="1:10" s="65" customFormat="1" ht="14" x14ac:dyDescent="0.35">
      <c r="A1847" s="145"/>
      <c r="B1847" s="152"/>
      <c r="E1847" s="102"/>
      <c r="F1847" s="102"/>
      <c r="G1847" s="102"/>
      <c r="I1847" s="93"/>
      <c r="J1847" s="93"/>
    </row>
    <row r="1848" spans="1:10" s="65" customFormat="1" ht="14" x14ac:dyDescent="0.35">
      <c r="A1848" s="145"/>
      <c r="B1848" s="152"/>
      <c r="E1848" s="102"/>
      <c r="F1848" s="102"/>
      <c r="G1848" s="102"/>
      <c r="I1848" s="93"/>
      <c r="J1848" s="93"/>
    </row>
    <row r="1849" spans="1:10" s="65" customFormat="1" ht="14" x14ac:dyDescent="0.35">
      <c r="A1849" s="145"/>
      <c r="B1849" s="152"/>
      <c r="E1849" s="102"/>
      <c r="F1849" s="102"/>
      <c r="G1849" s="102"/>
      <c r="I1849" s="93"/>
      <c r="J1849" s="93"/>
    </row>
    <row r="1850" spans="1:10" s="65" customFormat="1" ht="14" x14ac:dyDescent="0.35">
      <c r="A1850" s="145"/>
      <c r="B1850" s="152"/>
      <c r="E1850" s="102"/>
      <c r="F1850" s="102"/>
      <c r="G1850" s="102"/>
      <c r="I1850" s="93"/>
      <c r="J1850" s="93"/>
    </row>
    <row r="1851" spans="1:10" s="65" customFormat="1" ht="14" x14ac:dyDescent="0.35">
      <c r="A1851" s="145"/>
      <c r="B1851" s="152"/>
      <c r="E1851" s="102"/>
      <c r="F1851" s="102"/>
      <c r="G1851" s="102"/>
      <c r="I1851" s="93"/>
      <c r="J1851" s="93"/>
    </row>
    <row r="1852" spans="1:10" s="65" customFormat="1" ht="14" x14ac:dyDescent="0.35">
      <c r="A1852" s="145"/>
      <c r="B1852" s="152"/>
      <c r="E1852" s="102"/>
      <c r="F1852" s="102"/>
      <c r="G1852" s="102"/>
      <c r="I1852" s="93"/>
      <c r="J1852" s="93"/>
    </row>
    <row r="1853" spans="1:10" s="65" customFormat="1" ht="14" x14ac:dyDescent="0.35">
      <c r="A1853" s="145"/>
      <c r="B1853" s="152"/>
      <c r="E1853" s="102"/>
      <c r="F1853" s="102"/>
      <c r="G1853" s="102"/>
      <c r="I1853" s="93"/>
      <c r="J1853" s="93"/>
    </row>
    <row r="1854" spans="1:10" s="65" customFormat="1" ht="14" x14ac:dyDescent="0.35">
      <c r="A1854" s="145"/>
      <c r="B1854" s="152"/>
      <c r="E1854" s="102"/>
      <c r="F1854" s="102"/>
      <c r="G1854" s="102"/>
      <c r="I1854" s="93"/>
      <c r="J1854" s="93"/>
    </row>
    <row r="1855" spans="1:10" s="65" customFormat="1" ht="14" x14ac:dyDescent="0.35">
      <c r="A1855" s="145"/>
      <c r="B1855" s="152"/>
      <c r="E1855" s="102"/>
      <c r="F1855" s="102"/>
      <c r="G1855" s="102"/>
      <c r="I1855" s="93"/>
      <c r="J1855" s="93"/>
    </row>
    <row r="1856" spans="1:10" s="65" customFormat="1" ht="14" x14ac:dyDescent="0.35">
      <c r="A1856" s="145"/>
      <c r="B1856" s="152"/>
      <c r="E1856" s="102"/>
      <c r="F1856" s="102"/>
      <c r="G1856" s="102"/>
      <c r="I1856" s="93"/>
      <c r="J1856" s="93"/>
    </row>
    <row r="1857" spans="1:10" s="65" customFormat="1" ht="14" x14ac:dyDescent="0.35">
      <c r="A1857" s="145"/>
      <c r="B1857" s="152"/>
      <c r="E1857" s="102"/>
      <c r="F1857" s="102"/>
      <c r="G1857" s="102"/>
      <c r="I1857" s="93"/>
      <c r="J1857" s="93"/>
    </row>
    <row r="1858" spans="1:10" s="65" customFormat="1" ht="14" x14ac:dyDescent="0.35">
      <c r="A1858" s="145"/>
      <c r="B1858" s="152"/>
      <c r="E1858" s="102"/>
      <c r="F1858" s="102"/>
      <c r="G1858" s="102"/>
      <c r="I1858" s="93"/>
      <c r="J1858" s="93"/>
    </row>
    <row r="1859" spans="1:10" s="65" customFormat="1" ht="14" x14ac:dyDescent="0.35">
      <c r="A1859" s="145"/>
      <c r="B1859" s="152"/>
      <c r="E1859" s="102"/>
      <c r="F1859" s="102"/>
      <c r="G1859" s="102"/>
      <c r="I1859" s="93"/>
      <c r="J1859" s="93"/>
    </row>
    <row r="1860" spans="1:10" s="65" customFormat="1" ht="14" x14ac:dyDescent="0.35">
      <c r="A1860" s="145"/>
      <c r="B1860" s="152"/>
      <c r="E1860" s="102"/>
      <c r="F1860" s="102"/>
      <c r="G1860" s="102"/>
      <c r="I1860" s="93"/>
      <c r="J1860" s="93"/>
    </row>
    <row r="1861" spans="1:10" s="65" customFormat="1" ht="14" x14ac:dyDescent="0.35">
      <c r="A1861" s="145"/>
      <c r="B1861" s="152"/>
      <c r="E1861" s="102"/>
      <c r="F1861" s="102"/>
      <c r="G1861" s="102"/>
      <c r="I1861" s="93"/>
      <c r="J1861" s="93"/>
    </row>
    <row r="1862" spans="1:10" s="65" customFormat="1" ht="14" x14ac:dyDescent="0.35">
      <c r="A1862" s="145"/>
      <c r="B1862" s="152"/>
      <c r="E1862" s="102"/>
      <c r="F1862" s="102"/>
      <c r="G1862" s="102"/>
      <c r="I1862" s="93"/>
      <c r="J1862" s="93"/>
    </row>
    <row r="1863" spans="1:10" s="65" customFormat="1" ht="14" x14ac:dyDescent="0.35">
      <c r="A1863" s="145"/>
      <c r="B1863" s="152"/>
      <c r="E1863" s="102"/>
      <c r="F1863" s="102"/>
      <c r="G1863" s="102"/>
      <c r="I1863" s="93"/>
      <c r="J1863" s="93"/>
    </row>
    <row r="1864" spans="1:10" s="65" customFormat="1" ht="14" x14ac:dyDescent="0.35">
      <c r="A1864" s="145"/>
      <c r="B1864" s="152"/>
      <c r="E1864" s="102"/>
      <c r="F1864" s="102"/>
      <c r="G1864" s="102"/>
      <c r="I1864" s="93"/>
      <c r="J1864" s="93"/>
    </row>
    <row r="1865" spans="1:10" s="65" customFormat="1" ht="14" x14ac:dyDescent="0.35">
      <c r="A1865" s="145"/>
      <c r="B1865" s="152"/>
      <c r="E1865" s="102"/>
      <c r="F1865" s="102"/>
      <c r="G1865" s="102"/>
      <c r="I1865" s="93"/>
      <c r="J1865" s="93"/>
    </row>
    <row r="1866" spans="1:10" s="65" customFormat="1" ht="14" x14ac:dyDescent="0.35">
      <c r="A1866" s="145"/>
      <c r="B1866" s="152"/>
      <c r="E1866" s="102"/>
      <c r="F1866" s="102"/>
      <c r="G1866" s="102"/>
      <c r="I1866" s="93"/>
      <c r="J1866" s="93"/>
    </row>
    <row r="1867" spans="1:10" s="65" customFormat="1" ht="14" x14ac:dyDescent="0.35">
      <c r="A1867" s="145"/>
      <c r="B1867" s="152"/>
      <c r="E1867" s="102"/>
      <c r="F1867" s="102"/>
      <c r="G1867" s="102"/>
      <c r="I1867" s="93"/>
      <c r="J1867" s="93"/>
    </row>
    <row r="1868" spans="1:10" s="65" customFormat="1" ht="14" x14ac:dyDescent="0.35">
      <c r="A1868" s="145"/>
      <c r="B1868" s="152"/>
      <c r="E1868" s="102"/>
      <c r="F1868" s="102"/>
      <c r="G1868" s="102"/>
      <c r="I1868" s="93"/>
      <c r="J1868" s="93"/>
    </row>
    <row r="1869" spans="1:10" s="65" customFormat="1" ht="14" x14ac:dyDescent="0.35">
      <c r="A1869" s="145"/>
      <c r="B1869" s="152"/>
      <c r="E1869" s="102"/>
      <c r="F1869" s="102"/>
      <c r="G1869" s="102"/>
      <c r="I1869" s="93"/>
      <c r="J1869" s="93"/>
    </row>
    <row r="1870" spans="1:10" s="65" customFormat="1" ht="14" x14ac:dyDescent="0.35">
      <c r="A1870" s="145"/>
      <c r="B1870" s="152"/>
      <c r="E1870" s="102"/>
      <c r="F1870" s="102"/>
      <c r="G1870" s="102"/>
      <c r="I1870" s="93"/>
      <c r="J1870" s="93"/>
    </row>
    <row r="1871" spans="1:10" s="65" customFormat="1" ht="14" x14ac:dyDescent="0.35">
      <c r="A1871" s="145"/>
      <c r="B1871" s="152"/>
      <c r="E1871" s="102"/>
      <c r="F1871" s="102"/>
      <c r="G1871" s="102"/>
      <c r="I1871" s="93"/>
      <c r="J1871" s="93"/>
    </row>
    <row r="1872" spans="1:10" s="65" customFormat="1" ht="14" x14ac:dyDescent="0.35">
      <c r="A1872" s="145"/>
      <c r="B1872" s="152"/>
      <c r="E1872" s="102"/>
      <c r="F1872" s="102"/>
      <c r="G1872" s="102"/>
      <c r="I1872" s="93"/>
      <c r="J1872" s="93"/>
    </row>
    <row r="1873" spans="1:10" s="65" customFormat="1" ht="14" x14ac:dyDescent="0.35">
      <c r="A1873" s="145"/>
      <c r="B1873" s="152"/>
      <c r="E1873" s="102"/>
      <c r="F1873" s="102"/>
      <c r="G1873" s="102"/>
      <c r="I1873" s="93"/>
      <c r="J1873" s="93"/>
    </row>
    <row r="1874" spans="1:10" s="65" customFormat="1" ht="14" x14ac:dyDescent="0.35">
      <c r="A1874" s="145"/>
      <c r="B1874" s="152"/>
      <c r="E1874" s="102"/>
      <c r="F1874" s="102"/>
      <c r="G1874" s="102"/>
      <c r="I1874" s="93"/>
      <c r="J1874" s="93"/>
    </row>
    <row r="1875" spans="1:10" s="65" customFormat="1" ht="14" x14ac:dyDescent="0.35">
      <c r="A1875" s="145"/>
      <c r="B1875" s="152"/>
      <c r="E1875" s="102"/>
      <c r="F1875" s="102"/>
      <c r="G1875" s="102"/>
      <c r="I1875" s="93"/>
      <c r="J1875" s="93"/>
    </row>
    <row r="1876" spans="1:10" s="65" customFormat="1" ht="14" x14ac:dyDescent="0.35">
      <c r="A1876" s="145"/>
      <c r="B1876" s="152"/>
      <c r="E1876" s="102"/>
      <c r="F1876" s="102"/>
      <c r="G1876" s="102"/>
      <c r="I1876" s="93"/>
      <c r="J1876" s="93"/>
    </row>
    <row r="1877" spans="1:10" s="65" customFormat="1" ht="14" x14ac:dyDescent="0.35">
      <c r="A1877" s="145"/>
      <c r="B1877" s="152"/>
      <c r="E1877" s="102"/>
      <c r="F1877" s="102"/>
      <c r="G1877" s="102"/>
      <c r="I1877" s="93"/>
      <c r="J1877" s="93"/>
    </row>
    <row r="1878" spans="1:10" s="65" customFormat="1" ht="14" x14ac:dyDescent="0.35">
      <c r="A1878" s="145"/>
      <c r="B1878" s="152"/>
      <c r="E1878" s="102"/>
      <c r="F1878" s="102"/>
      <c r="G1878" s="102"/>
      <c r="I1878" s="93"/>
      <c r="J1878" s="93"/>
    </row>
    <row r="1879" spans="1:10" s="65" customFormat="1" ht="14" x14ac:dyDescent="0.35">
      <c r="A1879" s="145"/>
      <c r="B1879" s="152"/>
      <c r="E1879" s="102"/>
      <c r="F1879" s="102"/>
      <c r="G1879" s="102"/>
      <c r="I1879" s="93"/>
      <c r="J1879" s="93"/>
    </row>
    <row r="1880" spans="1:10" s="65" customFormat="1" ht="14" x14ac:dyDescent="0.35">
      <c r="A1880" s="145"/>
      <c r="B1880" s="152"/>
      <c r="E1880" s="102"/>
      <c r="F1880" s="102"/>
      <c r="G1880" s="102"/>
      <c r="I1880" s="93"/>
      <c r="J1880" s="93"/>
    </row>
    <row r="1881" spans="1:10" s="65" customFormat="1" ht="14" x14ac:dyDescent="0.35">
      <c r="A1881" s="145"/>
      <c r="B1881" s="152"/>
      <c r="E1881" s="102"/>
      <c r="F1881" s="102"/>
      <c r="G1881" s="102"/>
      <c r="I1881" s="93"/>
      <c r="J1881" s="93"/>
    </row>
    <row r="1882" spans="1:10" s="65" customFormat="1" ht="14" x14ac:dyDescent="0.35">
      <c r="A1882" s="145"/>
      <c r="B1882" s="152"/>
      <c r="E1882" s="102"/>
      <c r="F1882" s="102"/>
      <c r="G1882" s="102"/>
      <c r="I1882" s="93"/>
      <c r="J1882" s="93"/>
    </row>
    <row r="1883" spans="1:10" s="65" customFormat="1" ht="14" x14ac:dyDescent="0.35">
      <c r="A1883" s="145"/>
      <c r="B1883" s="152"/>
      <c r="E1883" s="102"/>
      <c r="F1883" s="102"/>
      <c r="G1883" s="102"/>
      <c r="I1883" s="93"/>
      <c r="J1883" s="93"/>
    </row>
    <row r="1884" spans="1:10" s="65" customFormat="1" ht="14" x14ac:dyDescent="0.35">
      <c r="A1884" s="145"/>
      <c r="B1884" s="152"/>
      <c r="E1884" s="102"/>
      <c r="F1884" s="102"/>
      <c r="G1884" s="102"/>
      <c r="I1884" s="93"/>
      <c r="J1884" s="93"/>
    </row>
    <row r="1885" spans="1:10" s="65" customFormat="1" ht="14" x14ac:dyDescent="0.35">
      <c r="A1885" s="145"/>
      <c r="B1885" s="152"/>
      <c r="E1885" s="102"/>
      <c r="F1885" s="102"/>
      <c r="G1885" s="102"/>
      <c r="I1885" s="93"/>
      <c r="J1885" s="93"/>
    </row>
    <row r="1886" spans="1:10" s="65" customFormat="1" ht="14" x14ac:dyDescent="0.35">
      <c r="A1886" s="145"/>
      <c r="B1886" s="152"/>
      <c r="E1886" s="102"/>
      <c r="F1886" s="102"/>
      <c r="G1886" s="102"/>
      <c r="I1886" s="93"/>
      <c r="J1886" s="93"/>
    </row>
    <row r="1887" spans="1:10" s="65" customFormat="1" ht="14" x14ac:dyDescent="0.35">
      <c r="A1887" s="145"/>
      <c r="B1887" s="152"/>
      <c r="E1887" s="102"/>
      <c r="F1887" s="102"/>
      <c r="G1887" s="102"/>
      <c r="I1887" s="93"/>
      <c r="J1887" s="93"/>
    </row>
    <row r="1888" spans="1:10" s="65" customFormat="1" ht="14" x14ac:dyDescent="0.35">
      <c r="A1888" s="145"/>
      <c r="B1888" s="152"/>
      <c r="E1888" s="102"/>
      <c r="F1888" s="102"/>
      <c r="G1888" s="102"/>
      <c r="I1888" s="93"/>
      <c r="J1888" s="93"/>
    </row>
    <row r="1889" spans="1:10" s="65" customFormat="1" ht="14" x14ac:dyDescent="0.35">
      <c r="A1889" s="145"/>
      <c r="B1889" s="152"/>
      <c r="E1889" s="102"/>
      <c r="F1889" s="102"/>
      <c r="G1889" s="102"/>
      <c r="I1889" s="93"/>
      <c r="J1889" s="93"/>
    </row>
    <row r="1890" spans="1:10" s="65" customFormat="1" ht="14" x14ac:dyDescent="0.35">
      <c r="A1890" s="145"/>
      <c r="B1890" s="152"/>
      <c r="E1890" s="102"/>
      <c r="F1890" s="102"/>
      <c r="G1890" s="102"/>
      <c r="I1890" s="93"/>
      <c r="J1890" s="93"/>
    </row>
    <row r="1891" spans="1:10" s="65" customFormat="1" ht="14" x14ac:dyDescent="0.35">
      <c r="A1891" s="145"/>
      <c r="B1891" s="152"/>
      <c r="E1891" s="102"/>
      <c r="F1891" s="102"/>
      <c r="G1891" s="102"/>
      <c r="I1891" s="93"/>
      <c r="J1891" s="93"/>
    </row>
    <row r="1892" spans="1:10" s="65" customFormat="1" ht="14" x14ac:dyDescent="0.35">
      <c r="A1892" s="145"/>
      <c r="B1892" s="152"/>
      <c r="E1892" s="102"/>
      <c r="F1892" s="102"/>
      <c r="G1892" s="102"/>
      <c r="I1892" s="93"/>
      <c r="J1892" s="93"/>
    </row>
    <row r="1893" spans="1:10" s="65" customFormat="1" ht="14" x14ac:dyDescent="0.35">
      <c r="A1893" s="145"/>
      <c r="B1893" s="152"/>
      <c r="E1893" s="102"/>
      <c r="F1893" s="102"/>
      <c r="G1893" s="102"/>
      <c r="I1893" s="93"/>
      <c r="J1893" s="93"/>
    </row>
    <row r="1894" spans="1:10" s="65" customFormat="1" ht="14" x14ac:dyDescent="0.35">
      <c r="A1894" s="145"/>
      <c r="B1894" s="152"/>
      <c r="E1894" s="102"/>
      <c r="F1894" s="102"/>
      <c r="G1894" s="102"/>
      <c r="I1894" s="93"/>
      <c r="J1894" s="93"/>
    </row>
    <row r="1895" spans="1:10" s="65" customFormat="1" ht="14" x14ac:dyDescent="0.35">
      <c r="A1895" s="145"/>
      <c r="B1895" s="152"/>
      <c r="E1895" s="102"/>
      <c r="F1895" s="102"/>
      <c r="G1895" s="102"/>
      <c r="I1895" s="93"/>
      <c r="J1895" s="93"/>
    </row>
    <row r="1896" spans="1:10" s="65" customFormat="1" ht="14" x14ac:dyDescent="0.35">
      <c r="A1896" s="145"/>
      <c r="B1896" s="152"/>
      <c r="E1896" s="102"/>
      <c r="F1896" s="102"/>
      <c r="G1896" s="102"/>
      <c r="I1896" s="93"/>
      <c r="J1896" s="93"/>
    </row>
    <row r="1897" spans="1:10" s="65" customFormat="1" ht="14" x14ac:dyDescent="0.35">
      <c r="A1897" s="145"/>
      <c r="B1897" s="152"/>
      <c r="E1897" s="102"/>
      <c r="F1897" s="102"/>
      <c r="G1897" s="102"/>
      <c r="I1897" s="93"/>
      <c r="J1897" s="93"/>
    </row>
    <row r="1898" spans="1:10" s="65" customFormat="1" ht="14" x14ac:dyDescent="0.35">
      <c r="A1898" s="145"/>
      <c r="B1898" s="152"/>
      <c r="E1898" s="102"/>
      <c r="F1898" s="102"/>
      <c r="G1898" s="102"/>
      <c r="I1898" s="93"/>
      <c r="J1898" s="93"/>
    </row>
    <row r="1899" spans="1:10" s="65" customFormat="1" ht="14" x14ac:dyDescent="0.35">
      <c r="A1899" s="145"/>
      <c r="B1899" s="152"/>
      <c r="E1899" s="102"/>
      <c r="F1899" s="102"/>
      <c r="G1899" s="102"/>
      <c r="I1899" s="93"/>
      <c r="J1899" s="93"/>
    </row>
    <row r="1900" spans="1:10" s="65" customFormat="1" ht="14" x14ac:dyDescent="0.35">
      <c r="A1900" s="145"/>
      <c r="B1900" s="152"/>
      <c r="E1900" s="102"/>
      <c r="F1900" s="102"/>
      <c r="G1900" s="102"/>
      <c r="I1900" s="93"/>
      <c r="J1900" s="93"/>
    </row>
    <row r="1901" spans="1:10" s="65" customFormat="1" ht="14" x14ac:dyDescent="0.35">
      <c r="A1901" s="145"/>
      <c r="B1901" s="152"/>
      <c r="E1901" s="102"/>
      <c r="F1901" s="102"/>
      <c r="G1901" s="102"/>
      <c r="I1901" s="93"/>
      <c r="J1901" s="93"/>
    </row>
    <row r="1902" spans="1:10" s="65" customFormat="1" ht="14" x14ac:dyDescent="0.35">
      <c r="A1902" s="145"/>
      <c r="B1902" s="152"/>
      <c r="E1902" s="102"/>
      <c r="F1902" s="102"/>
      <c r="G1902" s="102"/>
      <c r="I1902" s="93"/>
      <c r="J1902" s="93"/>
    </row>
    <row r="1903" spans="1:10" s="65" customFormat="1" ht="14" x14ac:dyDescent="0.35">
      <c r="A1903" s="145"/>
      <c r="B1903" s="152"/>
      <c r="E1903" s="102"/>
      <c r="F1903" s="102"/>
      <c r="G1903" s="102"/>
      <c r="I1903" s="93"/>
      <c r="J1903" s="93"/>
    </row>
    <row r="1904" spans="1:10" s="65" customFormat="1" ht="14" x14ac:dyDescent="0.35">
      <c r="A1904" s="145"/>
      <c r="B1904" s="152"/>
      <c r="E1904" s="102"/>
      <c r="F1904" s="102"/>
      <c r="G1904" s="102"/>
      <c r="I1904" s="93"/>
      <c r="J1904" s="93"/>
    </row>
    <row r="1905" spans="1:10" s="65" customFormat="1" ht="14" x14ac:dyDescent="0.35">
      <c r="A1905" s="145"/>
      <c r="B1905" s="152"/>
      <c r="E1905" s="102"/>
      <c r="F1905" s="102"/>
      <c r="G1905" s="102"/>
      <c r="I1905" s="93"/>
      <c r="J1905" s="93"/>
    </row>
    <row r="1906" spans="1:10" s="65" customFormat="1" ht="14" x14ac:dyDescent="0.35">
      <c r="A1906" s="145"/>
      <c r="B1906" s="152"/>
      <c r="E1906" s="102"/>
      <c r="F1906" s="102"/>
      <c r="G1906" s="102"/>
      <c r="I1906" s="93"/>
      <c r="J1906" s="93"/>
    </row>
    <row r="1907" spans="1:10" s="65" customFormat="1" ht="14" x14ac:dyDescent="0.35">
      <c r="A1907" s="145"/>
      <c r="B1907" s="152"/>
      <c r="E1907" s="102"/>
      <c r="F1907" s="102"/>
      <c r="G1907" s="102"/>
      <c r="I1907" s="93"/>
      <c r="J1907" s="93"/>
    </row>
    <row r="1908" spans="1:10" s="65" customFormat="1" ht="14" x14ac:dyDescent="0.35">
      <c r="A1908" s="145"/>
      <c r="B1908" s="152"/>
      <c r="E1908" s="102"/>
      <c r="F1908" s="102"/>
      <c r="G1908" s="102"/>
      <c r="I1908" s="93"/>
      <c r="J1908" s="93"/>
    </row>
    <row r="1909" spans="1:10" s="65" customFormat="1" ht="14" x14ac:dyDescent="0.35">
      <c r="A1909" s="145"/>
      <c r="B1909" s="152"/>
      <c r="E1909" s="102"/>
      <c r="F1909" s="102"/>
      <c r="G1909" s="102"/>
      <c r="I1909" s="93"/>
      <c r="J1909" s="93"/>
    </row>
    <row r="1910" spans="1:10" s="65" customFormat="1" ht="14" x14ac:dyDescent="0.35">
      <c r="A1910" s="145"/>
      <c r="B1910" s="152"/>
      <c r="E1910" s="102"/>
      <c r="F1910" s="102"/>
      <c r="G1910" s="102"/>
      <c r="I1910" s="93"/>
      <c r="J1910" s="93"/>
    </row>
    <row r="1911" spans="1:10" s="65" customFormat="1" ht="14" x14ac:dyDescent="0.35">
      <c r="A1911" s="145"/>
      <c r="B1911" s="152"/>
      <c r="E1911" s="102"/>
      <c r="F1911" s="102"/>
      <c r="G1911" s="102"/>
      <c r="I1911" s="93"/>
      <c r="J1911" s="93"/>
    </row>
    <row r="1912" spans="1:10" s="65" customFormat="1" ht="14" x14ac:dyDescent="0.35">
      <c r="A1912" s="145"/>
      <c r="B1912" s="152"/>
      <c r="E1912" s="102"/>
      <c r="F1912" s="102"/>
      <c r="G1912" s="102"/>
      <c r="I1912" s="93"/>
      <c r="J1912" s="93"/>
    </row>
    <row r="1913" spans="1:10" s="65" customFormat="1" ht="14" x14ac:dyDescent="0.35">
      <c r="A1913" s="145"/>
      <c r="B1913" s="152"/>
      <c r="E1913" s="102"/>
      <c r="F1913" s="102"/>
      <c r="G1913" s="102"/>
      <c r="I1913" s="93"/>
      <c r="J1913" s="93"/>
    </row>
    <row r="1914" spans="1:10" s="65" customFormat="1" ht="14" x14ac:dyDescent="0.35">
      <c r="A1914" s="145"/>
      <c r="B1914" s="152"/>
      <c r="E1914" s="102"/>
      <c r="F1914" s="102"/>
      <c r="G1914" s="102"/>
      <c r="I1914" s="93"/>
      <c r="J1914" s="93"/>
    </row>
    <row r="1915" spans="1:10" s="65" customFormat="1" ht="14" x14ac:dyDescent="0.35">
      <c r="A1915" s="145"/>
      <c r="B1915" s="152"/>
      <c r="E1915" s="102"/>
      <c r="F1915" s="102"/>
      <c r="G1915" s="102"/>
      <c r="I1915" s="93"/>
      <c r="J1915" s="93"/>
    </row>
    <row r="1916" spans="1:10" s="65" customFormat="1" ht="14" x14ac:dyDescent="0.35">
      <c r="A1916" s="145"/>
      <c r="B1916" s="152"/>
      <c r="E1916" s="102"/>
      <c r="F1916" s="102"/>
      <c r="G1916" s="102"/>
      <c r="I1916" s="93"/>
      <c r="J1916" s="93"/>
    </row>
    <row r="1917" spans="1:10" s="65" customFormat="1" ht="14" x14ac:dyDescent="0.35">
      <c r="A1917" s="145"/>
      <c r="B1917" s="152"/>
      <c r="E1917" s="102"/>
      <c r="F1917" s="102"/>
      <c r="G1917" s="102"/>
      <c r="I1917" s="93"/>
      <c r="J1917" s="93"/>
    </row>
    <row r="1918" spans="1:10" s="65" customFormat="1" ht="14" x14ac:dyDescent="0.35">
      <c r="A1918" s="145"/>
      <c r="B1918" s="152"/>
      <c r="E1918" s="102"/>
      <c r="F1918" s="102"/>
      <c r="G1918" s="102"/>
      <c r="I1918" s="93"/>
      <c r="J1918" s="93"/>
    </row>
    <row r="1919" spans="1:10" s="65" customFormat="1" ht="14" x14ac:dyDescent="0.35">
      <c r="A1919" s="145"/>
      <c r="B1919" s="152"/>
      <c r="E1919" s="102"/>
      <c r="F1919" s="102"/>
      <c r="G1919" s="102"/>
      <c r="I1919" s="93"/>
      <c r="J1919" s="93"/>
    </row>
    <row r="1920" spans="1:10" s="65" customFormat="1" ht="14" x14ac:dyDescent="0.35">
      <c r="A1920" s="145"/>
      <c r="B1920" s="152"/>
      <c r="E1920" s="102"/>
      <c r="F1920" s="102"/>
      <c r="G1920" s="102"/>
      <c r="I1920" s="93"/>
      <c r="J1920" s="93"/>
    </row>
    <row r="1921" spans="1:10" s="65" customFormat="1" ht="14" x14ac:dyDescent="0.35">
      <c r="A1921" s="145"/>
      <c r="B1921" s="152"/>
      <c r="E1921" s="102"/>
      <c r="F1921" s="102"/>
      <c r="G1921" s="102"/>
      <c r="I1921" s="93"/>
      <c r="J1921" s="93"/>
    </row>
    <row r="1922" spans="1:10" s="65" customFormat="1" ht="14" x14ac:dyDescent="0.35">
      <c r="A1922" s="145"/>
      <c r="B1922" s="152"/>
      <c r="E1922" s="102"/>
      <c r="F1922" s="102"/>
      <c r="G1922" s="102"/>
      <c r="I1922" s="93"/>
      <c r="J1922" s="93"/>
    </row>
    <row r="1923" spans="1:10" s="65" customFormat="1" ht="14" x14ac:dyDescent="0.35">
      <c r="A1923" s="145"/>
      <c r="B1923" s="152"/>
      <c r="E1923" s="102"/>
      <c r="F1923" s="102"/>
      <c r="G1923" s="102"/>
      <c r="I1923" s="93"/>
      <c r="J1923" s="93"/>
    </row>
    <row r="1924" spans="1:10" s="65" customFormat="1" ht="14" x14ac:dyDescent="0.35">
      <c r="A1924" s="145"/>
      <c r="B1924" s="152"/>
      <c r="E1924" s="102"/>
      <c r="F1924" s="102"/>
      <c r="G1924" s="102"/>
      <c r="I1924" s="93"/>
      <c r="J1924" s="93"/>
    </row>
    <row r="1925" spans="1:10" s="65" customFormat="1" ht="14" x14ac:dyDescent="0.35">
      <c r="A1925" s="145"/>
      <c r="B1925" s="152"/>
      <c r="E1925" s="102"/>
      <c r="F1925" s="102"/>
      <c r="G1925" s="102"/>
      <c r="I1925" s="93"/>
      <c r="J1925" s="93"/>
    </row>
    <row r="1926" spans="1:10" s="65" customFormat="1" ht="14" x14ac:dyDescent="0.35">
      <c r="A1926" s="145"/>
      <c r="B1926" s="152"/>
      <c r="E1926" s="102"/>
      <c r="F1926" s="102"/>
      <c r="G1926" s="102"/>
      <c r="I1926" s="93"/>
      <c r="J1926" s="93"/>
    </row>
    <row r="1927" spans="1:10" s="65" customFormat="1" ht="14" x14ac:dyDescent="0.35">
      <c r="A1927" s="145"/>
      <c r="B1927" s="152"/>
      <c r="E1927" s="102"/>
      <c r="F1927" s="102"/>
      <c r="G1927" s="102"/>
      <c r="I1927" s="93"/>
      <c r="J1927" s="93"/>
    </row>
    <row r="1928" spans="1:10" s="65" customFormat="1" ht="14" x14ac:dyDescent="0.35">
      <c r="A1928" s="145"/>
      <c r="B1928" s="152"/>
      <c r="E1928" s="102"/>
      <c r="F1928" s="102"/>
      <c r="G1928" s="102"/>
      <c r="I1928" s="93"/>
      <c r="J1928" s="93"/>
    </row>
    <row r="1929" spans="1:10" s="65" customFormat="1" ht="14" x14ac:dyDescent="0.35">
      <c r="A1929" s="145"/>
      <c r="B1929" s="152"/>
      <c r="E1929" s="102"/>
      <c r="F1929" s="102"/>
      <c r="G1929" s="102"/>
      <c r="I1929" s="93"/>
      <c r="J1929" s="93"/>
    </row>
    <row r="1930" spans="1:10" s="65" customFormat="1" ht="14" x14ac:dyDescent="0.35">
      <c r="A1930" s="145"/>
      <c r="B1930" s="152"/>
      <c r="E1930" s="102"/>
      <c r="F1930" s="102"/>
      <c r="G1930" s="102"/>
      <c r="I1930" s="93"/>
      <c r="J1930" s="93"/>
    </row>
    <row r="1931" spans="1:10" s="65" customFormat="1" ht="14" x14ac:dyDescent="0.35">
      <c r="A1931" s="145"/>
      <c r="B1931" s="152"/>
      <c r="E1931" s="102"/>
      <c r="F1931" s="102"/>
      <c r="G1931" s="102"/>
      <c r="I1931" s="93"/>
      <c r="J1931" s="93"/>
    </row>
    <row r="1932" spans="1:10" s="65" customFormat="1" ht="14" x14ac:dyDescent="0.35">
      <c r="A1932" s="145"/>
      <c r="B1932" s="152"/>
      <c r="E1932" s="102"/>
      <c r="F1932" s="102"/>
      <c r="G1932" s="102"/>
      <c r="I1932" s="93"/>
      <c r="J1932" s="93"/>
    </row>
    <row r="1933" spans="1:10" s="65" customFormat="1" ht="14" x14ac:dyDescent="0.35">
      <c r="A1933" s="145"/>
      <c r="B1933" s="152"/>
      <c r="E1933" s="102"/>
      <c r="F1933" s="102"/>
      <c r="G1933" s="102"/>
      <c r="I1933" s="93"/>
      <c r="J1933" s="93"/>
    </row>
    <row r="1934" spans="1:10" s="65" customFormat="1" ht="14" x14ac:dyDescent="0.35">
      <c r="A1934" s="145"/>
      <c r="B1934" s="152"/>
      <c r="E1934" s="102"/>
      <c r="F1934" s="102"/>
      <c r="G1934" s="102"/>
      <c r="I1934" s="93"/>
      <c r="J1934" s="93"/>
    </row>
    <row r="1935" spans="1:10" s="65" customFormat="1" ht="14" x14ac:dyDescent="0.35">
      <c r="A1935" s="145"/>
      <c r="B1935" s="152"/>
      <c r="E1935" s="102"/>
      <c r="F1935" s="102"/>
      <c r="G1935" s="102"/>
      <c r="I1935" s="93"/>
      <c r="J1935" s="93"/>
    </row>
    <row r="1936" spans="1:10" s="65" customFormat="1" ht="14" x14ac:dyDescent="0.35">
      <c r="A1936" s="145"/>
      <c r="B1936" s="152"/>
      <c r="E1936" s="102"/>
      <c r="F1936" s="102"/>
      <c r="G1936" s="102"/>
      <c r="I1936" s="93"/>
      <c r="J1936" s="93"/>
    </row>
    <row r="1937" spans="1:10" s="65" customFormat="1" ht="14" x14ac:dyDescent="0.35">
      <c r="A1937" s="145"/>
      <c r="B1937" s="152"/>
      <c r="E1937" s="102"/>
      <c r="F1937" s="102"/>
      <c r="G1937" s="102"/>
      <c r="I1937" s="93"/>
      <c r="J1937" s="93"/>
    </row>
    <row r="1938" spans="1:10" s="65" customFormat="1" ht="14" x14ac:dyDescent="0.35">
      <c r="A1938" s="145"/>
      <c r="B1938" s="152"/>
      <c r="E1938" s="102"/>
      <c r="F1938" s="102"/>
      <c r="G1938" s="102"/>
      <c r="I1938" s="93"/>
      <c r="J1938" s="93"/>
    </row>
    <row r="1939" spans="1:10" s="65" customFormat="1" ht="14" x14ac:dyDescent="0.35">
      <c r="A1939" s="145"/>
      <c r="B1939" s="152"/>
      <c r="E1939" s="102"/>
      <c r="F1939" s="102"/>
      <c r="G1939" s="102"/>
      <c r="I1939" s="93"/>
      <c r="J1939" s="93"/>
    </row>
    <row r="1940" spans="1:10" s="65" customFormat="1" ht="14" x14ac:dyDescent="0.35">
      <c r="A1940" s="145"/>
      <c r="B1940" s="152"/>
      <c r="E1940" s="102"/>
      <c r="F1940" s="102"/>
      <c r="G1940" s="102"/>
      <c r="I1940" s="93"/>
      <c r="J1940" s="93"/>
    </row>
    <row r="1941" spans="1:10" s="65" customFormat="1" ht="14" x14ac:dyDescent="0.35">
      <c r="A1941" s="145"/>
      <c r="B1941" s="152"/>
      <c r="E1941" s="102"/>
      <c r="F1941" s="102"/>
      <c r="G1941" s="102"/>
      <c r="I1941" s="93"/>
      <c r="J1941" s="93"/>
    </row>
    <row r="1942" spans="1:10" s="65" customFormat="1" ht="14" x14ac:dyDescent="0.35">
      <c r="A1942" s="145"/>
      <c r="B1942" s="152"/>
      <c r="E1942" s="102"/>
      <c r="F1942" s="102"/>
      <c r="G1942" s="102"/>
      <c r="I1942" s="93"/>
      <c r="J1942" s="93"/>
    </row>
    <row r="1943" spans="1:10" s="65" customFormat="1" ht="14" x14ac:dyDescent="0.35">
      <c r="A1943" s="145"/>
      <c r="B1943" s="152"/>
      <c r="E1943" s="102"/>
      <c r="F1943" s="102"/>
      <c r="G1943" s="102"/>
      <c r="I1943" s="93"/>
      <c r="J1943" s="93"/>
    </row>
    <row r="1944" spans="1:10" s="65" customFormat="1" ht="14" x14ac:dyDescent="0.35">
      <c r="A1944" s="145"/>
      <c r="B1944" s="152"/>
      <c r="E1944" s="102"/>
      <c r="F1944" s="102"/>
      <c r="G1944" s="102"/>
      <c r="I1944" s="93"/>
      <c r="J1944" s="93"/>
    </row>
    <row r="1945" spans="1:10" s="65" customFormat="1" ht="14" x14ac:dyDescent="0.35">
      <c r="A1945" s="145"/>
      <c r="B1945" s="152"/>
      <c r="E1945" s="102"/>
      <c r="F1945" s="102"/>
      <c r="G1945" s="102"/>
      <c r="I1945" s="93"/>
      <c r="J1945" s="93"/>
    </row>
    <row r="1946" spans="1:10" s="65" customFormat="1" ht="14" x14ac:dyDescent="0.35">
      <c r="A1946" s="145"/>
      <c r="B1946" s="152"/>
      <c r="E1946" s="102"/>
      <c r="F1946" s="102"/>
      <c r="G1946" s="102"/>
      <c r="I1946" s="93"/>
      <c r="J1946" s="93"/>
    </row>
    <row r="1947" spans="1:10" s="65" customFormat="1" ht="14" x14ac:dyDescent="0.35">
      <c r="A1947" s="145"/>
      <c r="B1947" s="152"/>
      <c r="E1947" s="102"/>
      <c r="F1947" s="102"/>
      <c r="G1947" s="102"/>
      <c r="I1947" s="93"/>
      <c r="J1947" s="93"/>
    </row>
    <row r="1948" spans="1:10" s="65" customFormat="1" ht="14" x14ac:dyDescent="0.35">
      <c r="A1948" s="145"/>
      <c r="B1948" s="152"/>
      <c r="E1948" s="102"/>
      <c r="F1948" s="102"/>
      <c r="G1948" s="102"/>
      <c r="I1948" s="93"/>
      <c r="J1948" s="93"/>
    </row>
    <row r="1949" spans="1:10" s="65" customFormat="1" ht="14" x14ac:dyDescent="0.35">
      <c r="A1949" s="145"/>
      <c r="B1949" s="152"/>
      <c r="E1949" s="102"/>
      <c r="F1949" s="102"/>
      <c r="G1949" s="102"/>
      <c r="I1949" s="93"/>
      <c r="J1949" s="93"/>
    </row>
    <row r="1950" spans="1:10" s="65" customFormat="1" ht="14" x14ac:dyDescent="0.35">
      <c r="A1950" s="145"/>
      <c r="B1950" s="152"/>
      <c r="E1950" s="102"/>
      <c r="F1950" s="102"/>
      <c r="G1950" s="102"/>
      <c r="I1950" s="93"/>
      <c r="J1950" s="93"/>
    </row>
    <row r="1951" spans="1:10" s="65" customFormat="1" ht="14" x14ac:dyDescent="0.35">
      <c r="A1951" s="145"/>
      <c r="B1951" s="152"/>
      <c r="E1951" s="102"/>
      <c r="F1951" s="102"/>
      <c r="G1951" s="102"/>
      <c r="I1951" s="93"/>
      <c r="J1951" s="93"/>
    </row>
    <row r="1952" spans="1:10" s="65" customFormat="1" ht="14" x14ac:dyDescent="0.35">
      <c r="A1952" s="145"/>
      <c r="B1952" s="152"/>
      <c r="E1952" s="102"/>
      <c r="F1952" s="102"/>
      <c r="G1952" s="102"/>
      <c r="I1952" s="93"/>
      <c r="J1952" s="93"/>
    </row>
    <row r="1953" spans="1:10" s="65" customFormat="1" ht="14" x14ac:dyDescent="0.35">
      <c r="A1953" s="145"/>
      <c r="B1953" s="152"/>
      <c r="E1953" s="102"/>
      <c r="F1953" s="102"/>
      <c r="G1953" s="102"/>
      <c r="I1953" s="93"/>
      <c r="J1953" s="93"/>
    </row>
    <row r="1954" spans="1:10" s="65" customFormat="1" ht="14" x14ac:dyDescent="0.35">
      <c r="A1954" s="145"/>
      <c r="B1954" s="152"/>
      <c r="E1954" s="102"/>
      <c r="F1954" s="102"/>
      <c r="G1954" s="102"/>
      <c r="I1954" s="93"/>
      <c r="J1954" s="93"/>
    </row>
    <row r="1955" spans="1:10" s="65" customFormat="1" ht="14" x14ac:dyDescent="0.35">
      <c r="A1955" s="145"/>
      <c r="B1955" s="152"/>
      <c r="E1955" s="102"/>
      <c r="F1955" s="102"/>
      <c r="G1955" s="102"/>
      <c r="I1955" s="93"/>
      <c r="J1955" s="93"/>
    </row>
    <row r="1956" spans="1:10" s="65" customFormat="1" ht="14" x14ac:dyDescent="0.35">
      <c r="A1956" s="145"/>
      <c r="B1956" s="152"/>
      <c r="E1956" s="102"/>
      <c r="F1956" s="102"/>
      <c r="G1956" s="102"/>
      <c r="I1956" s="93"/>
      <c r="J1956" s="93"/>
    </row>
    <row r="1957" spans="1:10" s="65" customFormat="1" ht="14" x14ac:dyDescent="0.35">
      <c r="A1957" s="145"/>
      <c r="B1957" s="152"/>
      <c r="E1957" s="102"/>
      <c r="F1957" s="102"/>
      <c r="G1957" s="102"/>
      <c r="I1957" s="93"/>
      <c r="J1957" s="93"/>
    </row>
    <row r="1958" spans="1:10" s="65" customFormat="1" ht="14" x14ac:dyDescent="0.35">
      <c r="A1958" s="145"/>
      <c r="B1958" s="152"/>
      <c r="E1958" s="102"/>
      <c r="F1958" s="102"/>
      <c r="G1958" s="102"/>
      <c r="I1958" s="93"/>
      <c r="J1958" s="93"/>
    </row>
    <row r="1959" spans="1:10" s="65" customFormat="1" ht="14" x14ac:dyDescent="0.35">
      <c r="A1959" s="145"/>
      <c r="B1959" s="152"/>
      <c r="E1959" s="102"/>
      <c r="F1959" s="102"/>
      <c r="G1959" s="102"/>
      <c r="I1959" s="93"/>
      <c r="J1959" s="93"/>
    </row>
    <row r="1960" spans="1:10" s="65" customFormat="1" ht="14" x14ac:dyDescent="0.35">
      <c r="A1960" s="145"/>
      <c r="B1960" s="152"/>
      <c r="E1960" s="102"/>
      <c r="F1960" s="102"/>
      <c r="G1960" s="102"/>
      <c r="I1960" s="93"/>
      <c r="J1960" s="93"/>
    </row>
    <row r="1961" spans="1:10" s="65" customFormat="1" ht="14" x14ac:dyDescent="0.35">
      <c r="A1961" s="145"/>
      <c r="B1961" s="152"/>
      <c r="E1961" s="102"/>
      <c r="F1961" s="102"/>
      <c r="G1961" s="102"/>
      <c r="I1961" s="93"/>
      <c r="J1961" s="93"/>
    </row>
    <row r="1962" spans="1:10" s="65" customFormat="1" ht="14" x14ac:dyDescent="0.35">
      <c r="A1962" s="145"/>
      <c r="B1962" s="152"/>
      <c r="E1962" s="102"/>
      <c r="F1962" s="102"/>
      <c r="G1962" s="102"/>
      <c r="I1962" s="93"/>
      <c r="J1962" s="93"/>
    </row>
    <row r="1963" spans="1:10" s="65" customFormat="1" ht="14" x14ac:dyDescent="0.35">
      <c r="A1963" s="145"/>
      <c r="B1963" s="152"/>
      <c r="E1963" s="102"/>
      <c r="F1963" s="102"/>
      <c r="G1963" s="102"/>
      <c r="I1963" s="93"/>
      <c r="J1963" s="93"/>
    </row>
    <row r="1964" spans="1:10" s="65" customFormat="1" ht="14" x14ac:dyDescent="0.35">
      <c r="A1964" s="145"/>
      <c r="B1964" s="152"/>
      <c r="E1964" s="102"/>
      <c r="F1964" s="102"/>
      <c r="G1964" s="102"/>
      <c r="I1964" s="93"/>
      <c r="J1964" s="93"/>
    </row>
    <row r="1965" spans="1:10" s="65" customFormat="1" ht="14" x14ac:dyDescent="0.35">
      <c r="A1965" s="145"/>
      <c r="B1965" s="152"/>
      <c r="E1965" s="102"/>
      <c r="F1965" s="102"/>
      <c r="G1965" s="102"/>
      <c r="I1965" s="93"/>
      <c r="J1965" s="93"/>
    </row>
    <row r="1966" spans="1:10" s="65" customFormat="1" ht="14" x14ac:dyDescent="0.35">
      <c r="A1966" s="145"/>
      <c r="B1966" s="152"/>
      <c r="E1966" s="102"/>
      <c r="F1966" s="102"/>
      <c r="G1966" s="102"/>
      <c r="I1966" s="93"/>
      <c r="J1966" s="93"/>
    </row>
    <row r="1967" spans="1:10" s="65" customFormat="1" ht="14" x14ac:dyDescent="0.35">
      <c r="A1967" s="145"/>
      <c r="B1967" s="152"/>
      <c r="E1967" s="102"/>
      <c r="F1967" s="102"/>
      <c r="G1967" s="102"/>
      <c r="I1967" s="93"/>
      <c r="J1967" s="93"/>
    </row>
    <row r="1968" spans="1:10" s="65" customFormat="1" ht="14" x14ac:dyDescent="0.35">
      <c r="A1968" s="145"/>
      <c r="B1968" s="152"/>
      <c r="E1968" s="102"/>
      <c r="F1968" s="102"/>
      <c r="G1968" s="102"/>
      <c r="I1968" s="93"/>
      <c r="J1968" s="93"/>
    </row>
    <row r="1969" spans="1:10" s="65" customFormat="1" ht="14" x14ac:dyDescent="0.35">
      <c r="A1969" s="145"/>
      <c r="B1969" s="152"/>
      <c r="E1969" s="102"/>
      <c r="F1969" s="102"/>
      <c r="G1969" s="102"/>
      <c r="I1969" s="93"/>
      <c r="J1969" s="93"/>
    </row>
    <row r="1970" spans="1:10" s="65" customFormat="1" ht="14" x14ac:dyDescent="0.35">
      <c r="A1970" s="145"/>
      <c r="B1970" s="152"/>
      <c r="E1970" s="102"/>
      <c r="F1970" s="102"/>
      <c r="G1970" s="102"/>
      <c r="I1970" s="93"/>
      <c r="J1970" s="93"/>
    </row>
    <row r="1971" spans="1:10" s="65" customFormat="1" ht="14" x14ac:dyDescent="0.35">
      <c r="A1971" s="145"/>
      <c r="B1971" s="152"/>
      <c r="E1971" s="102"/>
      <c r="F1971" s="102"/>
      <c r="G1971" s="102"/>
      <c r="I1971" s="93"/>
      <c r="J1971" s="93"/>
    </row>
    <row r="1972" spans="1:10" s="65" customFormat="1" ht="14" x14ac:dyDescent="0.35">
      <c r="A1972" s="145"/>
      <c r="B1972" s="152"/>
      <c r="E1972" s="102"/>
      <c r="F1972" s="102"/>
      <c r="G1972" s="102"/>
      <c r="I1972" s="93"/>
      <c r="J1972" s="93"/>
    </row>
    <row r="1973" spans="1:10" s="65" customFormat="1" ht="14" x14ac:dyDescent="0.35">
      <c r="A1973" s="145"/>
      <c r="B1973" s="152"/>
      <c r="E1973" s="102"/>
      <c r="F1973" s="102"/>
      <c r="G1973" s="102"/>
      <c r="I1973" s="93"/>
      <c r="J1973" s="93"/>
    </row>
    <row r="1974" spans="1:10" s="65" customFormat="1" ht="14" x14ac:dyDescent="0.35">
      <c r="A1974" s="145"/>
      <c r="B1974" s="152"/>
      <c r="E1974" s="102"/>
      <c r="F1974" s="102"/>
      <c r="G1974" s="102"/>
      <c r="I1974" s="93"/>
      <c r="J1974" s="93"/>
    </row>
    <row r="1975" spans="1:10" s="65" customFormat="1" ht="14" x14ac:dyDescent="0.35">
      <c r="A1975" s="145"/>
      <c r="B1975" s="152"/>
      <c r="E1975" s="102"/>
      <c r="F1975" s="102"/>
      <c r="G1975" s="102"/>
      <c r="I1975" s="93"/>
      <c r="J1975" s="93"/>
    </row>
    <row r="1976" spans="1:10" s="65" customFormat="1" ht="14" x14ac:dyDescent="0.35">
      <c r="A1976" s="145"/>
      <c r="B1976" s="152"/>
      <c r="E1976" s="102"/>
      <c r="F1976" s="102"/>
      <c r="G1976" s="102"/>
      <c r="I1976" s="93"/>
      <c r="J1976" s="93"/>
    </row>
    <row r="1977" spans="1:10" s="65" customFormat="1" ht="14" x14ac:dyDescent="0.35">
      <c r="A1977" s="145"/>
      <c r="B1977" s="152"/>
      <c r="E1977" s="102"/>
      <c r="F1977" s="102"/>
      <c r="G1977" s="102"/>
      <c r="I1977" s="93"/>
      <c r="J1977" s="93"/>
    </row>
    <row r="1978" spans="1:10" s="65" customFormat="1" ht="14" x14ac:dyDescent="0.35">
      <c r="A1978" s="145"/>
      <c r="B1978" s="152"/>
      <c r="E1978" s="102"/>
      <c r="F1978" s="102"/>
      <c r="G1978" s="102"/>
      <c r="I1978" s="93"/>
      <c r="J1978" s="93"/>
    </row>
    <row r="1979" spans="1:10" s="65" customFormat="1" ht="14" x14ac:dyDescent="0.35">
      <c r="A1979" s="145"/>
      <c r="B1979" s="152"/>
      <c r="E1979" s="102"/>
      <c r="F1979" s="102"/>
      <c r="G1979" s="102"/>
      <c r="I1979" s="93"/>
      <c r="J1979" s="93"/>
    </row>
    <row r="1980" spans="1:10" s="65" customFormat="1" ht="14" x14ac:dyDescent="0.35">
      <c r="A1980" s="145"/>
      <c r="B1980" s="152"/>
      <c r="E1980" s="102"/>
      <c r="F1980" s="102"/>
      <c r="G1980" s="102"/>
      <c r="I1980" s="93"/>
      <c r="J1980" s="93"/>
    </row>
    <row r="1981" spans="1:10" s="65" customFormat="1" ht="14" x14ac:dyDescent="0.35">
      <c r="A1981" s="145"/>
      <c r="B1981" s="152"/>
      <c r="E1981" s="102"/>
      <c r="F1981" s="102"/>
      <c r="G1981" s="102"/>
      <c r="I1981" s="93"/>
      <c r="J1981" s="93"/>
    </row>
    <row r="1982" spans="1:10" s="65" customFormat="1" ht="14" x14ac:dyDescent="0.35">
      <c r="A1982" s="145"/>
      <c r="B1982" s="152"/>
      <c r="E1982" s="102"/>
      <c r="F1982" s="102"/>
      <c r="G1982" s="102"/>
      <c r="I1982" s="93"/>
      <c r="J1982" s="93"/>
    </row>
    <row r="1983" spans="1:10" s="65" customFormat="1" ht="14" x14ac:dyDescent="0.35">
      <c r="A1983" s="145"/>
      <c r="B1983" s="152"/>
      <c r="E1983" s="102"/>
      <c r="F1983" s="102"/>
      <c r="G1983" s="102"/>
      <c r="I1983" s="93"/>
      <c r="J1983" s="93"/>
    </row>
    <row r="1984" spans="1:10" s="65" customFormat="1" ht="14" x14ac:dyDescent="0.35">
      <c r="A1984" s="145"/>
      <c r="B1984" s="152"/>
      <c r="E1984" s="102"/>
      <c r="F1984" s="102"/>
      <c r="G1984" s="102"/>
      <c r="I1984" s="93"/>
      <c r="J1984" s="93"/>
    </row>
    <row r="1985" spans="1:10" s="65" customFormat="1" ht="14" x14ac:dyDescent="0.35">
      <c r="A1985" s="145"/>
      <c r="B1985" s="152"/>
      <c r="E1985" s="102"/>
      <c r="F1985" s="102"/>
      <c r="G1985" s="102"/>
      <c r="I1985" s="93"/>
      <c r="J1985" s="93"/>
    </row>
    <row r="1986" spans="1:10" s="65" customFormat="1" ht="14" x14ac:dyDescent="0.35">
      <c r="A1986" s="145"/>
      <c r="B1986" s="152"/>
      <c r="E1986" s="102"/>
      <c r="F1986" s="102"/>
      <c r="G1986" s="102"/>
      <c r="I1986" s="93"/>
      <c r="J1986" s="93"/>
    </row>
    <row r="1987" spans="1:10" s="65" customFormat="1" ht="14" x14ac:dyDescent="0.35">
      <c r="A1987" s="145"/>
      <c r="B1987" s="152"/>
      <c r="E1987" s="102"/>
      <c r="F1987" s="102"/>
      <c r="G1987" s="102"/>
      <c r="I1987" s="93"/>
      <c r="J1987" s="93"/>
    </row>
    <row r="1988" spans="1:10" s="65" customFormat="1" ht="14" x14ac:dyDescent="0.35">
      <c r="A1988" s="145"/>
      <c r="B1988" s="152"/>
      <c r="E1988" s="102"/>
      <c r="F1988" s="102"/>
      <c r="G1988" s="102"/>
      <c r="I1988" s="93"/>
      <c r="J1988" s="93"/>
    </row>
    <row r="1989" spans="1:10" s="65" customFormat="1" ht="14" x14ac:dyDescent="0.35">
      <c r="A1989" s="145"/>
      <c r="B1989" s="152"/>
      <c r="E1989" s="102"/>
      <c r="F1989" s="102"/>
      <c r="G1989" s="102"/>
      <c r="I1989" s="93"/>
      <c r="J1989" s="93"/>
    </row>
    <row r="1990" spans="1:10" s="65" customFormat="1" ht="14" x14ac:dyDescent="0.35">
      <c r="A1990" s="145"/>
      <c r="B1990" s="152"/>
      <c r="E1990" s="102"/>
      <c r="F1990" s="102"/>
      <c r="G1990" s="102"/>
      <c r="I1990" s="93"/>
      <c r="J1990" s="93"/>
    </row>
    <row r="1991" spans="1:10" s="65" customFormat="1" ht="14" x14ac:dyDescent="0.35">
      <c r="A1991" s="145"/>
      <c r="B1991" s="152"/>
      <c r="E1991" s="102"/>
      <c r="F1991" s="102"/>
      <c r="G1991" s="102"/>
      <c r="I1991" s="93"/>
      <c r="J1991" s="93"/>
    </row>
    <row r="1992" spans="1:10" s="65" customFormat="1" ht="14" x14ac:dyDescent="0.35">
      <c r="A1992" s="145"/>
      <c r="B1992" s="152"/>
      <c r="E1992" s="102"/>
      <c r="F1992" s="102"/>
      <c r="G1992" s="102"/>
      <c r="I1992" s="93"/>
      <c r="J1992" s="93"/>
    </row>
    <row r="1993" spans="1:10" s="65" customFormat="1" ht="14" x14ac:dyDescent="0.35">
      <c r="A1993" s="145"/>
      <c r="B1993" s="152"/>
      <c r="E1993" s="102"/>
      <c r="F1993" s="102"/>
      <c r="G1993" s="102"/>
      <c r="I1993" s="93"/>
      <c r="J1993" s="93"/>
    </row>
    <row r="1994" spans="1:10" s="65" customFormat="1" ht="14" x14ac:dyDescent="0.35">
      <c r="A1994" s="145"/>
      <c r="B1994" s="152"/>
      <c r="E1994" s="102"/>
      <c r="F1994" s="102"/>
      <c r="G1994" s="102"/>
      <c r="I1994" s="93"/>
      <c r="J1994" s="93"/>
    </row>
    <row r="1995" spans="1:10" s="65" customFormat="1" ht="14" x14ac:dyDescent="0.35">
      <c r="A1995" s="145"/>
      <c r="B1995" s="152"/>
      <c r="E1995" s="102"/>
      <c r="F1995" s="102"/>
      <c r="G1995" s="102"/>
      <c r="I1995" s="93"/>
      <c r="J1995" s="93"/>
    </row>
    <row r="1996" spans="1:10" s="65" customFormat="1" ht="14" x14ac:dyDescent="0.35">
      <c r="A1996" s="145"/>
      <c r="B1996" s="152"/>
      <c r="E1996" s="102"/>
      <c r="F1996" s="102"/>
      <c r="G1996" s="102"/>
      <c r="I1996" s="93"/>
      <c r="J1996" s="93"/>
    </row>
    <row r="1997" spans="1:10" s="65" customFormat="1" ht="14" x14ac:dyDescent="0.35">
      <c r="A1997" s="145"/>
      <c r="B1997" s="152"/>
      <c r="E1997" s="102"/>
      <c r="F1997" s="102"/>
      <c r="G1997" s="102"/>
      <c r="I1997" s="93"/>
      <c r="J1997" s="93"/>
    </row>
    <row r="1998" spans="1:10" s="65" customFormat="1" ht="14" x14ac:dyDescent="0.35">
      <c r="A1998" s="145"/>
      <c r="B1998" s="152"/>
      <c r="E1998" s="102"/>
      <c r="F1998" s="102"/>
      <c r="G1998" s="102"/>
      <c r="I1998" s="93"/>
      <c r="J1998" s="93"/>
    </row>
    <row r="1999" spans="1:10" s="65" customFormat="1" ht="14" x14ac:dyDescent="0.35">
      <c r="A1999" s="145"/>
      <c r="B1999" s="152"/>
      <c r="E1999" s="102"/>
      <c r="F1999" s="102"/>
      <c r="G1999" s="102"/>
      <c r="I1999" s="93"/>
      <c r="J1999" s="93"/>
    </row>
    <row r="2000" spans="1:10" s="65" customFormat="1" ht="14" x14ac:dyDescent="0.35">
      <c r="A2000" s="145"/>
      <c r="B2000" s="152"/>
      <c r="E2000" s="102"/>
      <c r="F2000" s="102"/>
      <c r="G2000" s="102"/>
      <c r="I2000" s="93"/>
      <c r="J2000" s="93"/>
    </row>
    <row r="2001" spans="1:10" s="65" customFormat="1" ht="14" x14ac:dyDescent="0.35">
      <c r="A2001" s="145"/>
      <c r="B2001" s="152"/>
      <c r="E2001" s="102"/>
      <c r="F2001" s="102"/>
      <c r="G2001" s="102"/>
      <c r="I2001" s="93"/>
      <c r="J2001" s="93"/>
    </row>
    <row r="2002" spans="1:10" s="65" customFormat="1" ht="14" x14ac:dyDescent="0.35">
      <c r="A2002" s="145"/>
      <c r="B2002" s="152"/>
      <c r="E2002" s="102"/>
      <c r="F2002" s="102"/>
      <c r="G2002" s="102"/>
      <c r="I2002" s="93"/>
      <c r="J2002" s="93"/>
    </row>
    <row r="2003" spans="1:10" s="65" customFormat="1" ht="14" x14ac:dyDescent="0.35">
      <c r="A2003" s="145"/>
      <c r="B2003" s="152"/>
      <c r="E2003" s="102"/>
      <c r="F2003" s="102"/>
      <c r="G2003" s="102"/>
      <c r="I2003" s="93"/>
      <c r="J2003" s="93"/>
    </row>
    <row r="2004" spans="1:10" s="65" customFormat="1" ht="14" x14ac:dyDescent="0.35">
      <c r="A2004" s="145"/>
      <c r="B2004" s="152"/>
      <c r="E2004" s="102"/>
      <c r="F2004" s="102"/>
      <c r="G2004" s="102"/>
      <c r="I2004" s="93"/>
      <c r="J2004" s="93"/>
    </row>
    <row r="2005" spans="1:10" s="65" customFormat="1" ht="14" x14ac:dyDescent="0.35">
      <c r="A2005" s="145"/>
      <c r="B2005" s="152"/>
      <c r="E2005" s="102"/>
      <c r="F2005" s="102"/>
      <c r="G2005" s="102"/>
      <c r="I2005" s="93"/>
      <c r="J2005" s="93"/>
    </row>
    <row r="2006" spans="1:10" s="65" customFormat="1" ht="14" x14ac:dyDescent="0.35">
      <c r="A2006" s="145"/>
      <c r="B2006" s="152"/>
      <c r="E2006" s="102"/>
      <c r="F2006" s="102"/>
      <c r="G2006" s="102"/>
      <c r="I2006" s="93"/>
      <c r="J2006" s="93"/>
    </row>
    <row r="2007" spans="1:10" s="65" customFormat="1" ht="14" x14ac:dyDescent="0.35">
      <c r="A2007" s="145"/>
      <c r="B2007" s="152"/>
      <c r="E2007" s="102"/>
      <c r="F2007" s="102"/>
      <c r="G2007" s="102"/>
      <c r="I2007" s="93"/>
      <c r="J2007" s="93"/>
    </row>
    <row r="2008" spans="1:10" s="65" customFormat="1" ht="14" x14ac:dyDescent="0.35">
      <c r="A2008" s="145"/>
      <c r="B2008" s="152"/>
      <c r="E2008" s="102"/>
      <c r="F2008" s="102"/>
      <c r="G2008" s="102"/>
      <c r="I2008" s="93"/>
      <c r="J2008" s="93"/>
    </row>
    <row r="2009" spans="1:10" s="65" customFormat="1" ht="14" x14ac:dyDescent="0.35">
      <c r="A2009" s="145"/>
      <c r="B2009" s="152"/>
      <c r="E2009" s="102"/>
      <c r="F2009" s="102"/>
      <c r="G2009" s="102"/>
      <c r="I2009" s="93"/>
      <c r="J2009" s="93"/>
    </row>
    <row r="2010" spans="1:10" s="65" customFormat="1" ht="14" x14ac:dyDescent="0.35">
      <c r="A2010" s="145"/>
      <c r="B2010" s="152"/>
      <c r="E2010" s="102"/>
      <c r="F2010" s="102"/>
      <c r="G2010" s="102"/>
      <c r="I2010" s="93"/>
      <c r="J2010" s="93"/>
    </row>
    <row r="2011" spans="1:10" s="65" customFormat="1" ht="14" x14ac:dyDescent="0.35">
      <c r="A2011" s="145"/>
      <c r="B2011" s="152"/>
      <c r="E2011" s="102"/>
      <c r="F2011" s="102"/>
      <c r="G2011" s="102"/>
      <c r="I2011" s="93"/>
      <c r="J2011" s="93"/>
    </row>
    <row r="2012" spans="1:10" s="65" customFormat="1" ht="14" x14ac:dyDescent="0.35">
      <c r="A2012" s="145"/>
      <c r="B2012" s="152"/>
      <c r="E2012" s="102"/>
      <c r="F2012" s="102"/>
      <c r="G2012" s="102"/>
      <c r="I2012" s="93"/>
      <c r="J2012" s="93"/>
    </row>
    <row r="2013" spans="1:10" s="65" customFormat="1" ht="14" x14ac:dyDescent="0.35">
      <c r="A2013" s="145"/>
      <c r="B2013" s="152"/>
      <c r="E2013" s="102"/>
      <c r="F2013" s="102"/>
      <c r="G2013" s="102"/>
      <c r="I2013" s="93"/>
      <c r="J2013" s="93"/>
    </row>
    <row r="2014" spans="1:10" s="65" customFormat="1" ht="14" x14ac:dyDescent="0.35">
      <c r="A2014" s="145"/>
      <c r="B2014" s="152"/>
      <c r="E2014" s="102"/>
      <c r="F2014" s="102"/>
      <c r="G2014" s="102"/>
      <c r="I2014" s="93"/>
      <c r="J2014" s="93"/>
    </row>
    <row r="2015" spans="1:10" s="65" customFormat="1" ht="14" x14ac:dyDescent="0.35">
      <c r="A2015" s="145"/>
      <c r="B2015" s="152"/>
      <c r="E2015" s="102"/>
      <c r="F2015" s="102"/>
      <c r="G2015" s="102"/>
      <c r="I2015" s="93"/>
      <c r="J2015" s="93"/>
    </row>
    <row r="2016" spans="1:10" s="65" customFormat="1" ht="14" x14ac:dyDescent="0.35">
      <c r="A2016" s="145"/>
      <c r="B2016" s="152"/>
      <c r="E2016" s="102"/>
      <c r="F2016" s="102"/>
      <c r="G2016" s="102"/>
      <c r="I2016" s="93"/>
      <c r="J2016" s="93"/>
    </row>
    <row r="2017" spans="1:10" s="65" customFormat="1" ht="14" x14ac:dyDescent="0.35">
      <c r="A2017" s="145"/>
      <c r="B2017" s="152"/>
      <c r="E2017" s="102"/>
      <c r="F2017" s="102"/>
      <c r="G2017" s="102"/>
      <c r="I2017" s="93"/>
      <c r="J2017" s="93"/>
    </row>
    <row r="2018" spans="1:10" s="65" customFormat="1" ht="14" x14ac:dyDescent="0.35">
      <c r="A2018" s="145"/>
      <c r="B2018" s="152"/>
      <c r="E2018" s="102"/>
      <c r="F2018" s="102"/>
      <c r="G2018" s="102"/>
      <c r="I2018" s="93"/>
      <c r="J2018" s="93"/>
    </row>
    <row r="2019" spans="1:10" s="65" customFormat="1" ht="14" x14ac:dyDescent="0.35">
      <c r="A2019" s="145"/>
      <c r="B2019" s="152"/>
      <c r="E2019" s="102"/>
      <c r="F2019" s="102"/>
      <c r="G2019" s="102"/>
      <c r="I2019" s="93"/>
      <c r="J2019" s="93"/>
    </row>
    <row r="2020" spans="1:10" s="65" customFormat="1" ht="14" x14ac:dyDescent="0.35">
      <c r="A2020" s="145"/>
      <c r="B2020" s="152"/>
      <c r="E2020" s="102"/>
      <c r="F2020" s="102"/>
      <c r="G2020" s="102"/>
      <c r="I2020" s="93"/>
      <c r="J2020" s="93"/>
    </row>
    <row r="2021" spans="1:10" s="65" customFormat="1" ht="14" x14ac:dyDescent="0.35">
      <c r="A2021" s="145"/>
      <c r="B2021" s="152"/>
      <c r="E2021" s="102"/>
      <c r="F2021" s="102"/>
      <c r="G2021" s="102"/>
      <c r="I2021" s="93"/>
      <c r="J2021" s="93"/>
    </row>
    <row r="2022" spans="1:10" s="65" customFormat="1" ht="14" x14ac:dyDescent="0.35">
      <c r="A2022" s="145"/>
      <c r="B2022" s="152"/>
      <c r="E2022" s="102"/>
      <c r="F2022" s="102"/>
      <c r="G2022" s="102"/>
      <c r="I2022" s="93"/>
      <c r="J2022" s="93"/>
    </row>
    <row r="2023" spans="1:10" s="65" customFormat="1" ht="14" x14ac:dyDescent="0.35">
      <c r="A2023" s="145"/>
      <c r="B2023" s="152"/>
      <c r="E2023" s="102"/>
      <c r="F2023" s="102"/>
      <c r="G2023" s="102"/>
      <c r="I2023" s="93"/>
      <c r="J2023" s="93"/>
    </row>
    <row r="2024" spans="1:10" s="65" customFormat="1" ht="14" x14ac:dyDescent="0.35">
      <c r="A2024" s="145"/>
      <c r="B2024" s="152"/>
      <c r="E2024" s="102"/>
      <c r="F2024" s="102"/>
      <c r="G2024" s="102"/>
      <c r="I2024" s="93"/>
      <c r="J2024" s="93"/>
    </row>
    <row r="2025" spans="1:10" s="65" customFormat="1" ht="14" x14ac:dyDescent="0.35">
      <c r="A2025" s="145"/>
      <c r="B2025" s="152"/>
      <c r="E2025" s="102"/>
      <c r="F2025" s="102"/>
      <c r="G2025" s="102"/>
      <c r="I2025" s="93"/>
      <c r="J2025" s="93"/>
    </row>
    <row r="2026" spans="1:10" s="65" customFormat="1" ht="14" x14ac:dyDescent="0.35">
      <c r="A2026" s="145"/>
      <c r="B2026" s="152"/>
      <c r="E2026" s="102"/>
      <c r="F2026" s="102"/>
      <c r="G2026" s="102"/>
      <c r="I2026" s="93"/>
      <c r="J2026" s="93"/>
    </row>
    <row r="2027" spans="1:10" s="65" customFormat="1" ht="14" x14ac:dyDescent="0.35">
      <c r="A2027" s="145"/>
      <c r="B2027" s="152"/>
      <c r="E2027" s="102"/>
      <c r="F2027" s="102"/>
      <c r="G2027" s="102"/>
      <c r="I2027" s="93"/>
      <c r="J2027" s="93"/>
    </row>
    <row r="2028" spans="1:10" s="65" customFormat="1" ht="14" x14ac:dyDescent="0.35">
      <c r="A2028" s="145"/>
      <c r="B2028" s="152"/>
      <c r="E2028" s="102"/>
      <c r="F2028" s="102"/>
      <c r="G2028" s="102"/>
      <c r="I2028" s="93"/>
      <c r="J2028" s="93"/>
    </row>
    <row r="2029" spans="1:10" s="65" customFormat="1" ht="14" x14ac:dyDescent="0.35">
      <c r="A2029" s="145"/>
      <c r="B2029" s="152"/>
      <c r="E2029" s="102"/>
      <c r="F2029" s="102"/>
      <c r="G2029" s="102"/>
      <c r="I2029" s="93"/>
      <c r="J2029" s="93"/>
    </row>
    <row r="2030" spans="1:10" s="65" customFormat="1" ht="14" x14ac:dyDescent="0.35">
      <c r="A2030" s="145"/>
      <c r="B2030" s="152"/>
      <c r="E2030" s="102"/>
      <c r="F2030" s="102"/>
      <c r="G2030" s="102"/>
      <c r="I2030" s="93"/>
      <c r="J2030" s="93"/>
    </row>
    <row r="2031" spans="1:10" s="65" customFormat="1" ht="14" x14ac:dyDescent="0.35">
      <c r="A2031" s="145"/>
      <c r="B2031" s="152"/>
      <c r="E2031" s="102"/>
      <c r="F2031" s="102"/>
      <c r="G2031" s="102"/>
      <c r="I2031" s="93"/>
      <c r="J2031" s="93"/>
    </row>
    <row r="2032" spans="1:10" s="65" customFormat="1" ht="14" x14ac:dyDescent="0.35">
      <c r="A2032" s="145"/>
      <c r="B2032" s="152"/>
      <c r="E2032" s="102"/>
      <c r="F2032" s="102"/>
      <c r="G2032" s="102"/>
      <c r="I2032" s="93"/>
      <c r="J2032" s="93"/>
    </row>
    <row r="2033" spans="1:10" s="65" customFormat="1" ht="14" x14ac:dyDescent="0.35">
      <c r="A2033" s="145"/>
      <c r="B2033" s="152"/>
      <c r="E2033" s="102"/>
      <c r="F2033" s="102"/>
      <c r="G2033" s="102"/>
      <c r="I2033" s="93"/>
      <c r="J2033" s="93"/>
    </row>
    <row r="2034" spans="1:10" s="65" customFormat="1" ht="14" x14ac:dyDescent="0.35">
      <c r="A2034" s="145"/>
      <c r="B2034" s="152"/>
      <c r="E2034" s="102"/>
      <c r="F2034" s="102"/>
      <c r="G2034" s="102"/>
      <c r="I2034" s="93"/>
      <c r="J2034" s="93"/>
    </row>
    <row r="2035" spans="1:10" s="65" customFormat="1" ht="14" x14ac:dyDescent="0.35">
      <c r="A2035" s="145"/>
      <c r="B2035" s="152"/>
      <c r="E2035" s="102"/>
      <c r="F2035" s="102"/>
      <c r="G2035" s="102"/>
      <c r="I2035" s="93"/>
      <c r="J2035" s="93"/>
    </row>
    <row r="2036" spans="1:10" s="65" customFormat="1" ht="14" x14ac:dyDescent="0.35">
      <c r="A2036" s="145"/>
      <c r="B2036" s="152"/>
      <c r="E2036" s="102"/>
      <c r="F2036" s="102"/>
      <c r="G2036" s="102"/>
      <c r="I2036" s="93"/>
      <c r="J2036" s="93"/>
    </row>
    <row r="2037" spans="1:10" s="65" customFormat="1" ht="14" x14ac:dyDescent="0.35">
      <c r="A2037" s="145"/>
      <c r="B2037" s="152"/>
      <c r="E2037" s="102"/>
      <c r="F2037" s="102"/>
      <c r="G2037" s="102"/>
      <c r="I2037" s="93"/>
      <c r="J2037" s="93"/>
    </row>
    <row r="2038" spans="1:10" s="65" customFormat="1" ht="14" x14ac:dyDescent="0.35">
      <c r="A2038" s="145"/>
      <c r="B2038" s="152"/>
      <c r="E2038" s="102"/>
      <c r="F2038" s="102"/>
      <c r="G2038" s="102"/>
      <c r="I2038" s="93"/>
      <c r="J2038" s="93"/>
    </row>
    <row r="2039" spans="1:10" s="65" customFormat="1" ht="14" x14ac:dyDescent="0.35">
      <c r="A2039" s="145"/>
      <c r="B2039" s="152"/>
      <c r="E2039" s="102"/>
      <c r="F2039" s="102"/>
      <c r="G2039" s="102"/>
      <c r="I2039" s="93"/>
      <c r="J2039" s="93"/>
    </row>
    <row r="2040" spans="1:10" s="65" customFormat="1" ht="14" x14ac:dyDescent="0.35">
      <c r="A2040" s="145"/>
      <c r="B2040" s="152"/>
      <c r="E2040" s="102"/>
      <c r="F2040" s="102"/>
      <c r="G2040" s="102"/>
      <c r="I2040" s="93"/>
      <c r="J2040" s="93"/>
    </row>
    <row r="2041" spans="1:10" s="65" customFormat="1" ht="14" x14ac:dyDescent="0.35">
      <c r="A2041" s="145"/>
      <c r="B2041" s="152"/>
      <c r="E2041" s="102"/>
      <c r="F2041" s="102"/>
      <c r="G2041" s="102"/>
      <c r="I2041" s="93"/>
      <c r="J2041" s="93"/>
    </row>
    <row r="2042" spans="1:10" s="65" customFormat="1" ht="14" x14ac:dyDescent="0.35">
      <c r="A2042" s="145"/>
      <c r="B2042" s="152"/>
      <c r="E2042" s="102"/>
      <c r="F2042" s="102"/>
      <c r="G2042" s="102"/>
      <c r="I2042" s="93"/>
      <c r="J2042" s="93"/>
    </row>
    <row r="2043" spans="1:10" s="65" customFormat="1" ht="14" x14ac:dyDescent="0.35">
      <c r="A2043" s="145"/>
      <c r="B2043" s="152"/>
      <c r="E2043" s="102"/>
      <c r="F2043" s="102"/>
      <c r="G2043" s="102"/>
      <c r="I2043" s="93"/>
      <c r="J2043" s="93"/>
    </row>
    <row r="2044" spans="1:10" s="65" customFormat="1" ht="14" x14ac:dyDescent="0.35">
      <c r="A2044" s="145"/>
      <c r="B2044" s="152"/>
      <c r="E2044" s="102"/>
      <c r="F2044" s="102"/>
      <c r="G2044" s="102"/>
      <c r="I2044" s="93"/>
      <c r="J2044" s="93"/>
    </row>
    <row r="2045" spans="1:10" s="65" customFormat="1" ht="14" x14ac:dyDescent="0.35">
      <c r="A2045" s="145"/>
      <c r="B2045" s="152"/>
      <c r="E2045" s="102"/>
      <c r="F2045" s="102"/>
      <c r="G2045" s="102"/>
      <c r="I2045" s="93"/>
      <c r="J2045" s="93"/>
    </row>
    <row r="2046" spans="1:10" s="65" customFormat="1" ht="14" x14ac:dyDescent="0.35">
      <c r="A2046" s="145"/>
      <c r="B2046" s="152"/>
      <c r="E2046" s="102"/>
      <c r="F2046" s="102"/>
      <c r="G2046" s="102"/>
      <c r="I2046" s="93"/>
      <c r="J2046" s="93"/>
    </row>
    <row r="2047" spans="1:10" s="65" customFormat="1" ht="14" x14ac:dyDescent="0.35">
      <c r="A2047" s="145"/>
      <c r="B2047" s="152"/>
      <c r="E2047" s="102"/>
      <c r="F2047" s="102"/>
      <c r="G2047" s="102"/>
      <c r="I2047" s="93"/>
      <c r="J2047" s="93"/>
    </row>
    <row r="2048" spans="1:10" s="65" customFormat="1" ht="14" x14ac:dyDescent="0.35">
      <c r="A2048" s="145"/>
      <c r="B2048" s="152"/>
      <c r="E2048" s="102"/>
      <c r="F2048" s="102"/>
      <c r="G2048" s="102"/>
      <c r="I2048" s="93"/>
      <c r="J2048" s="93"/>
    </row>
    <row r="2049" spans="1:10" s="65" customFormat="1" ht="14" x14ac:dyDescent="0.35">
      <c r="A2049" s="145"/>
      <c r="B2049" s="152"/>
      <c r="E2049" s="102"/>
      <c r="F2049" s="102"/>
      <c r="G2049" s="102"/>
      <c r="I2049" s="93"/>
      <c r="J2049" s="93"/>
    </row>
    <row r="2050" spans="1:10" s="65" customFormat="1" ht="14" x14ac:dyDescent="0.35">
      <c r="A2050" s="145"/>
      <c r="B2050" s="152"/>
      <c r="E2050" s="102"/>
      <c r="F2050" s="102"/>
      <c r="G2050" s="102"/>
      <c r="I2050" s="93"/>
      <c r="J2050" s="93"/>
    </row>
    <row r="2051" spans="1:10" s="65" customFormat="1" ht="14" x14ac:dyDescent="0.35">
      <c r="A2051" s="145"/>
      <c r="B2051" s="152"/>
      <c r="E2051" s="102"/>
      <c r="F2051" s="102"/>
      <c r="G2051" s="102"/>
      <c r="I2051" s="93"/>
      <c r="J2051" s="93"/>
    </row>
    <row r="2052" spans="1:10" s="65" customFormat="1" ht="14" x14ac:dyDescent="0.35">
      <c r="A2052" s="145"/>
      <c r="B2052" s="152"/>
      <c r="E2052" s="102"/>
      <c r="F2052" s="102"/>
      <c r="G2052" s="102"/>
      <c r="I2052" s="93"/>
      <c r="J2052" s="93"/>
    </row>
    <row r="2053" spans="1:10" s="65" customFormat="1" ht="14" x14ac:dyDescent="0.35">
      <c r="A2053" s="145"/>
      <c r="B2053" s="152"/>
      <c r="E2053" s="102"/>
      <c r="F2053" s="102"/>
      <c r="G2053" s="102"/>
      <c r="I2053" s="93"/>
      <c r="J2053" s="93"/>
    </row>
    <row r="2054" spans="1:10" s="65" customFormat="1" ht="14" x14ac:dyDescent="0.35">
      <c r="A2054" s="145"/>
      <c r="B2054" s="152"/>
      <c r="E2054" s="102"/>
      <c r="F2054" s="102"/>
      <c r="G2054" s="102"/>
      <c r="I2054" s="93"/>
      <c r="J2054" s="93"/>
    </row>
    <row r="2055" spans="1:10" s="65" customFormat="1" ht="14" x14ac:dyDescent="0.35">
      <c r="A2055" s="145"/>
      <c r="B2055" s="152"/>
      <c r="E2055" s="102"/>
      <c r="F2055" s="102"/>
      <c r="G2055" s="102"/>
      <c r="I2055" s="93"/>
      <c r="J2055" s="93"/>
    </row>
    <row r="2056" spans="1:10" s="65" customFormat="1" ht="14" x14ac:dyDescent="0.35">
      <c r="A2056" s="145"/>
      <c r="B2056" s="152"/>
      <c r="E2056" s="102"/>
      <c r="F2056" s="102"/>
      <c r="G2056" s="102"/>
      <c r="I2056" s="93"/>
      <c r="J2056" s="93"/>
    </row>
    <row r="2057" spans="1:10" s="65" customFormat="1" ht="14" x14ac:dyDescent="0.35">
      <c r="A2057" s="145"/>
      <c r="B2057" s="152"/>
      <c r="E2057" s="102"/>
      <c r="F2057" s="102"/>
      <c r="G2057" s="102"/>
      <c r="I2057" s="93"/>
      <c r="J2057" s="93"/>
    </row>
    <row r="2058" spans="1:10" s="65" customFormat="1" ht="14" x14ac:dyDescent="0.35">
      <c r="A2058" s="145"/>
      <c r="B2058" s="152"/>
      <c r="E2058" s="102"/>
      <c r="F2058" s="102"/>
      <c r="G2058" s="102"/>
      <c r="I2058" s="93"/>
      <c r="J2058" s="93"/>
    </row>
    <row r="2059" spans="1:10" s="65" customFormat="1" ht="14" x14ac:dyDescent="0.35">
      <c r="A2059" s="145"/>
      <c r="B2059" s="152"/>
      <c r="E2059" s="102"/>
      <c r="F2059" s="102"/>
      <c r="G2059" s="102"/>
      <c r="I2059" s="93"/>
      <c r="J2059" s="93"/>
    </row>
    <row r="2060" spans="1:10" s="65" customFormat="1" ht="14" x14ac:dyDescent="0.35">
      <c r="A2060" s="145"/>
      <c r="B2060" s="152"/>
      <c r="E2060" s="102"/>
      <c r="F2060" s="102"/>
      <c r="G2060" s="102"/>
      <c r="I2060" s="93"/>
      <c r="J2060" s="93"/>
    </row>
    <row r="2061" spans="1:10" s="65" customFormat="1" ht="14" x14ac:dyDescent="0.35">
      <c r="A2061" s="145"/>
      <c r="B2061" s="152"/>
      <c r="E2061" s="102"/>
      <c r="F2061" s="102"/>
      <c r="G2061" s="102"/>
      <c r="I2061" s="93"/>
      <c r="J2061" s="93"/>
    </row>
    <row r="2062" spans="1:10" s="65" customFormat="1" ht="14" x14ac:dyDescent="0.35">
      <c r="A2062" s="145"/>
      <c r="B2062" s="152"/>
      <c r="E2062" s="102"/>
      <c r="F2062" s="102"/>
      <c r="G2062" s="102"/>
      <c r="I2062" s="93"/>
      <c r="J2062" s="93"/>
    </row>
    <row r="2063" spans="1:10" s="65" customFormat="1" ht="14" x14ac:dyDescent="0.35">
      <c r="A2063" s="145"/>
      <c r="B2063" s="152"/>
      <c r="E2063" s="102"/>
      <c r="F2063" s="102"/>
      <c r="G2063" s="102"/>
      <c r="I2063" s="93"/>
      <c r="J2063" s="93"/>
    </row>
    <row r="2064" spans="1:10" s="65" customFormat="1" ht="14" x14ac:dyDescent="0.35">
      <c r="A2064" s="145"/>
      <c r="B2064" s="152"/>
      <c r="E2064" s="102"/>
      <c r="F2064" s="102"/>
      <c r="G2064" s="102"/>
      <c r="I2064" s="93"/>
      <c r="J2064" s="93"/>
    </row>
    <row r="2065" spans="1:10" s="65" customFormat="1" ht="14" x14ac:dyDescent="0.35">
      <c r="A2065" s="145"/>
      <c r="B2065" s="152"/>
      <c r="E2065" s="102"/>
      <c r="F2065" s="102"/>
      <c r="G2065" s="102"/>
      <c r="I2065" s="93"/>
      <c r="J2065" s="93"/>
    </row>
    <row r="2066" spans="1:10" s="65" customFormat="1" ht="14" x14ac:dyDescent="0.35">
      <c r="A2066" s="145"/>
      <c r="B2066" s="152"/>
      <c r="E2066" s="102"/>
      <c r="F2066" s="102"/>
      <c r="G2066" s="102"/>
      <c r="I2066" s="93"/>
      <c r="J2066" s="93"/>
    </row>
    <row r="2067" spans="1:10" s="65" customFormat="1" ht="14" x14ac:dyDescent="0.35">
      <c r="A2067" s="145"/>
      <c r="B2067" s="152"/>
      <c r="E2067" s="102"/>
      <c r="F2067" s="102"/>
      <c r="G2067" s="102"/>
      <c r="I2067" s="93"/>
      <c r="J2067" s="93"/>
    </row>
    <row r="2068" spans="1:10" s="65" customFormat="1" ht="14" x14ac:dyDescent="0.35">
      <c r="A2068" s="145"/>
      <c r="B2068" s="152"/>
      <c r="E2068" s="102"/>
      <c r="F2068" s="102"/>
      <c r="G2068" s="102"/>
      <c r="I2068" s="93"/>
      <c r="J2068" s="93"/>
    </row>
    <row r="2069" spans="1:10" s="65" customFormat="1" ht="14" x14ac:dyDescent="0.35">
      <c r="A2069" s="145"/>
      <c r="B2069" s="152"/>
      <c r="E2069" s="102"/>
      <c r="F2069" s="102"/>
      <c r="G2069" s="102"/>
      <c r="I2069" s="93"/>
      <c r="J2069" s="93"/>
    </row>
    <row r="2070" spans="1:10" s="65" customFormat="1" ht="14" x14ac:dyDescent="0.35">
      <c r="A2070" s="145"/>
      <c r="B2070" s="152"/>
      <c r="E2070" s="102"/>
      <c r="F2070" s="102"/>
      <c r="G2070" s="102"/>
      <c r="I2070" s="93"/>
      <c r="J2070" s="93"/>
    </row>
    <row r="2071" spans="1:10" s="65" customFormat="1" ht="14" x14ac:dyDescent="0.35">
      <c r="A2071" s="145"/>
      <c r="B2071" s="152"/>
      <c r="E2071" s="102"/>
      <c r="F2071" s="102"/>
      <c r="G2071" s="102"/>
      <c r="I2071" s="93"/>
      <c r="J2071" s="93"/>
    </row>
    <row r="2072" spans="1:10" s="65" customFormat="1" ht="14" x14ac:dyDescent="0.35">
      <c r="A2072" s="145"/>
      <c r="B2072" s="152"/>
      <c r="E2072" s="102"/>
      <c r="F2072" s="102"/>
      <c r="G2072" s="102"/>
      <c r="I2072" s="93"/>
      <c r="J2072" s="93"/>
    </row>
    <row r="2073" spans="1:10" s="65" customFormat="1" ht="14" x14ac:dyDescent="0.35">
      <c r="A2073" s="145"/>
      <c r="B2073" s="152"/>
      <c r="E2073" s="102"/>
      <c r="F2073" s="102"/>
      <c r="G2073" s="102"/>
      <c r="I2073" s="93"/>
      <c r="J2073" s="93"/>
    </row>
    <row r="2074" spans="1:10" s="65" customFormat="1" ht="14" x14ac:dyDescent="0.35">
      <c r="A2074" s="145"/>
      <c r="B2074" s="152"/>
      <c r="E2074" s="102"/>
      <c r="F2074" s="102"/>
      <c r="G2074" s="102"/>
      <c r="I2074" s="93"/>
      <c r="J2074" s="93"/>
    </row>
    <row r="2075" spans="1:10" s="65" customFormat="1" ht="14" x14ac:dyDescent="0.35">
      <c r="A2075" s="145"/>
      <c r="B2075" s="152"/>
      <c r="E2075" s="102"/>
      <c r="F2075" s="102"/>
      <c r="G2075" s="102"/>
      <c r="I2075" s="93"/>
      <c r="J2075" s="93"/>
    </row>
    <row r="2076" spans="1:10" s="65" customFormat="1" ht="14" x14ac:dyDescent="0.35">
      <c r="A2076" s="145"/>
      <c r="B2076" s="152"/>
      <c r="E2076" s="102"/>
      <c r="F2076" s="102"/>
      <c r="G2076" s="102"/>
      <c r="I2076" s="93"/>
      <c r="J2076" s="93"/>
    </row>
    <row r="2077" spans="1:10" s="65" customFormat="1" ht="14" x14ac:dyDescent="0.35">
      <c r="A2077" s="145"/>
      <c r="B2077" s="152"/>
      <c r="E2077" s="102"/>
      <c r="F2077" s="102"/>
      <c r="G2077" s="102"/>
      <c r="I2077" s="93"/>
      <c r="J2077" s="93"/>
    </row>
    <row r="2078" spans="1:10" s="65" customFormat="1" ht="14" x14ac:dyDescent="0.35">
      <c r="A2078" s="145"/>
      <c r="B2078" s="152"/>
      <c r="E2078" s="102"/>
      <c r="F2078" s="102"/>
      <c r="G2078" s="102"/>
      <c r="I2078" s="93"/>
      <c r="J2078" s="93"/>
    </row>
    <row r="2079" spans="1:10" s="65" customFormat="1" ht="14" x14ac:dyDescent="0.35">
      <c r="A2079" s="145"/>
      <c r="B2079" s="152"/>
      <c r="E2079" s="102"/>
      <c r="F2079" s="102"/>
      <c r="G2079" s="102"/>
      <c r="I2079" s="93"/>
      <c r="J2079" s="93"/>
    </row>
    <row r="2080" spans="1:10" s="65" customFormat="1" ht="14" x14ac:dyDescent="0.35">
      <c r="A2080" s="145"/>
      <c r="B2080" s="152"/>
      <c r="E2080" s="102"/>
      <c r="F2080" s="102"/>
      <c r="G2080" s="102"/>
      <c r="I2080" s="93"/>
      <c r="J2080" s="93"/>
    </row>
    <row r="2081" spans="1:10" s="65" customFormat="1" ht="14" x14ac:dyDescent="0.35">
      <c r="A2081" s="145"/>
      <c r="B2081" s="152"/>
      <c r="E2081" s="102"/>
      <c r="F2081" s="102"/>
      <c r="G2081" s="102"/>
      <c r="I2081" s="93"/>
      <c r="J2081" s="93"/>
    </row>
    <row r="2082" spans="1:10" s="65" customFormat="1" ht="14" x14ac:dyDescent="0.35">
      <c r="A2082" s="145"/>
      <c r="B2082" s="152"/>
      <c r="E2082" s="102"/>
      <c r="F2082" s="102"/>
      <c r="G2082" s="102"/>
      <c r="I2082" s="93"/>
      <c r="J2082" s="93"/>
    </row>
    <row r="2083" spans="1:10" s="65" customFormat="1" ht="14" x14ac:dyDescent="0.35">
      <c r="A2083" s="145"/>
      <c r="B2083" s="152"/>
      <c r="E2083" s="102"/>
      <c r="F2083" s="102"/>
      <c r="G2083" s="102"/>
      <c r="I2083" s="93"/>
      <c r="J2083" s="93"/>
    </row>
    <row r="2084" spans="1:10" s="65" customFormat="1" ht="14" x14ac:dyDescent="0.35">
      <c r="A2084" s="145"/>
      <c r="B2084" s="152"/>
      <c r="E2084" s="102"/>
      <c r="F2084" s="102"/>
      <c r="G2084" s="102"/>
      <c r="I2084" s="93"/>
      <c r="J2084" s="93"/>
    </row>
    <row r="2085" spans="1:10" s="65" customFormat="1" ht="14" x14ac:dyDescent="0.35">
      <c r="A2085" s="145"/>
      <c r="B2085" s="152"/>
      <c r="E2085" s="102"/>
      <c r="F2085" s="102"/>
      <c r="G2085" s="102"/>
      <c r="I2085" s="93"/>
      <c r="J2085" s="93"/>
    </row>
    <row r="2086" spans="1:10" s="65" customFormat="1" ht="14" x14ac:dyDescent="0.35">
      <c r="A2086" s="145"/>
      <c r="B2086" s="152"/>
      <c r="E2086" s="102"/>
      <c r="F2086" s="102"/>
      <c r="G2086" s="102"/>
      <c r="I2086" s="93"/>
      <c r="J2086" s="93"/>
    </row>
    <row r="2087" spans="1:10" s="65" customFormat="1" ht="14" x14ac:dyDescent="0.35">
      <c r="A2087" s="145"/>
      <c r="B2087" s="152"/>
      <c r="E2087" s="102"/>
      <c r="F2087" s="102"/>
      <c r="G2087" s="102"/>
      <c r="I2087" s="93"/>
      <c r="J2087" s="93"/>
    </row>
    <row r="2088" spans="1:10" s="65" customFormat="1" ht="14" x14ac:dyDescent="0.35">
      <c r="A2088" s="145"/>
      <c r="B2088" s="152"/>
      <c r="E2088" s="102"/>
      <c r="F2088" s="102"/>
      <c r="G2088" s="102"/>
      <c r="I2088" s="93"/>
      <c r="J2088" s="93"/>
    </row>
    <row r="2089" spans="1:10" s="65" customFormat="1" ht="14" x14ac:dyDescent="0.35">
      <c r="A2089" s="145"/>
      <c r="B2089" s="152"/>
      <c r="E2089" s="102"/>
      <c r="F2089" s="102"/>
      <c r="G2089" s="102"/>
      <c r="I2089" s="93"/>
      <c r="J2089" s="93"/>
    </row>
    <row r="2090" spans="1:10" s="65" customFormat="1" ht="14" x14ac:dyDescent="0.35">
      <c r="A2090" s="145"/>
      <c r="B2090" s="152"/>
      <c r="E2090" s="102"/>
      <c r="F2090" s="102"/>
      <c r="G2090" s="102"/>
      <c r="I2090" s="93"/>
      <c r="J2090" s="93"/>
    </row>
    <row r="2091" spans="1:10" s="65" customFormat="1" ht="14" x14ac:dyDescent="0.35">
      <c r="A2091" s="145"/>
      <c r="B2091" s="152"/>
      <c r="E2091" s="102"/>
      <c r="F2091" s="102"/>
      <c r="G2091" s="102"/>
      <c r="I2091" s="93"/>
      <c r="J2091" s="93"/>
    </row>
    <row r="2092" spans="1:10" s="65" customFormat="1" ht="14" x14ac:dyDescent="0.35">
      <c r="A2092" s="145"/>
      <c r="B2092" s="152"/>
      <c r="E2092" s="102"/>
      <c r="F2092" s="102"/>
      <c r="G2092" s="102"/>
      <c r="I2092" s="93"/>
      <c r="J2092" s="93"/>
    </row>
    <row r="2093" spans="1:10" s="65" customFormat="1" ht="14" x14ac:dyDescent="0.35">
      <c r="A2093" s="145"/>
      <c r="B2093" s="152"/>
      <c r="E2093" s="102"/>
      <c r="F2093" s="102"/>
      <c r="G2093" s="102"/>
      <c r="I2093" s="93"/>
      <c r="J2093" s="93"/>
    </row>
    <row r="2094" spans="1:10" s="65" customFormat="1" ht="14" x14ac:dyDescent="0.35">
      <c r="A2094" s="145"/>
      <c r="B2094" s="152"/>
      <c r="E2094" s="102"/>
      <c r="F2094" s="102"/>
      <c r="G2094" s="102"/>
      <c r="I2094" s="93"/>
      <c r="J2094" s="93"/>
    </row>
    <row r="2095" spans="1:10" s="65" customFormat="1" ht="14" x14ac:dyDescent="0.35">
      <c r="A2095" s="145"/>
      <c r="B2095" s="152"/>
      <c r="E2095" s="102"/>
      <c r="F2095" s="102"/>
      <c r="G2095" s="102"/>
      <c r="I2095" s="93"/>
      <c r="J2095" s="93"/>
    </row>
    <row r="2096" spans="1:10" s="65" customFormat="1" ht="14" x14ac:dyDescent="0.35">
      <c r="A2096" s="145"/>
      <c r="B2096" s="152"/>
      <c r="E2096" s="102"/>
      <c r="F2096" s="102"/>
      <c r="G2096" s="102"/>
      <c r="I2096" s="93"/>
      <c r="J2096" s="93"/>
    </row>
    <row r="2097" spans="1:10" s="65" customFormat="1" ht="14" x14ac:dyDescent="0.35">
      <c r="A2097" s="145"/>
      <c r="B2097" s="152"/>
      <c r="E2097" s="102"/>
      <c r="F2097" s="102"/>
      <c r="G2097" s="102"/>
      <c r="I2097" s="93"/>
      <c r="J2097" s="93"/>
    </row>
    <row r="2098" spans="1:10" s="65" customFormat="1" ht="14" x14ac:dyDescent="0.35">
      <c r="A2098" s="145"/>
      <c r="B2098" s="152"/>
      <c r="E2098" s="102"/>
      <c r="F2098" s="102"/>
      <c r="G2098" s="102"/>
      <c r="I2098" s="93"/>
      <c r="J2098" s="93"/>
    </row>
    <row r="2099" spans="1:10" s="65" customFormat="1" ht="14" x14ac:dyDescent="0.35">
      <c r="A2099" s="145"/>
      <c r="B2099" s="152"/>
      <c r="E2099" s="102"/>
      <c r="F2099" s="102"/>
      <c r="G2099" s="102"/>
      <c r="I2099" s="93"/>
      <c r="J2099" s="93"/>
    </row>
    <row r="2100" spans="1:10" s="65" customFormat="1" ht="14" x14ac:dyDescent="0.35">
      <c r="A2100" s="145"/>
      <c r="B2100" s="152"/>
      <c r="E2100" s="102"/>
      <c r="F2100" s="102"/>
      <c r="G2100" s="102"/>
      <c r="I2100" s="93"/>
      <c r="J2100" s="93"/>
    </row>
    <row r="2101" spans="1:10" s="65" customFormat="1" ht="14" x14ac:dyDescent="0.35">
      <c r="A2101" s="145"/>
      <c r="B2101" s="152"/>
      <c r="E2101" s="102"/>
      <c r="F2101" s="102"/>
      <c r="G2101" s="102"/>
      <c r="I2101" s="93"/>
      <c r="J2101" s="93"/>
    </row>
    <row r="2102" spans="1:10" s="65" customFormat="1" ht="14" x14ac:dyDescent="0.35">
      <c r="A2102" s="145"/>
      <c r="B2102" s="152"/>
      <c r="E2102" s="102"/>
      <c r="F2102" s="102"/>
      <c r="G2102" s="102"/>
      <c r="I2102" s="93"/>
      <c r="J2102" s="93"/>
    </row>
    <row r="2103" spans="1:10" s="65" customFormat="1" ht="14" x14ac:dyDescent="0.35">
      <c r="A2103" s="145"/>
      <c r="B2103" s="152"/>
      <c r="E2103" s="102"/>
      <c r="F2103" s="102"/>
      <c r="G2103" s="102"/>
      <c r="I2103" s="93"/>
      <c r="J2103" s="93"/>
    </row>
    <row r="2104" spans="1:10" s="65" customFormat="1" ht="14" x14ac:dyDescent="0.35">
      <c r="A2104" s="145"/>
      <c r="B2104" s="152"/>
      <c r="E2104" s="102"/>
      <c r="F2104" s="102"/>
      <c r="G2104" s="102"/>
      <c r="I2104" s="93"/>
      <c r="J2104" s="93"/>
    </row>
    <row r="2105" spans="1:10" s="65" customFormat="1" ht="14" x14ac:dyDescent="0.35">
      <c r="A2105" s="145"/>
      <c r="B2105" s="152"/>
      <c r="E2105" s="102"/>
      <c r="F2105" s="102"/>
      <c r="G2105" s="102"/>
      <c r="I2105" s="93"/>
      <c r="J2105" s="93"/>
    </row>
    <row r="2106" spans="1:10" s="65" customFormat="1" ht="14" x14ac:dyDescent="0.35">
      <c r="A2106" s="145"/>
      <c r="B2106" s="152"/>
      <c r="E2106" s="102"/>
      <c r="F2106" s="102"/>
      <c r="G2106" s="102"/>
      <c r="I2106" s="93"/>
      <c r="J2106" s="93"/>
    </row>
    <row r="2107" spans="1:10" s="65" customFormat="1" ht="14" x14ac:dyDescent="0.35">
      <c r="A2107" s="145"/>
      <c r="B2107" s="152"/>
      <c r="E2107" s="102"/>
      <c r="F2107" s="102"/>
      <c r="G2107" s="102"/>
      <c r="I2107" s="93"/>
      <c r="J2107" s="93"/>
    </row>
    <row r="2108" spans="1:10" s="65" customFormat="1" ht="14" x14ac:dyDescent="0.35">
      <c r="A2108" s="145"/>
      <c r="B2108" s="152"/>
      <c r="E2108" s="102"/>
      <c r="F2108" s="102"/>
      <c r="G2108" s="102"/>
      <c r="I2108" s="93"/>
      <c r="J2108" s="93"/>
    </row>
    <row r="2109" spans="1:10" s="65" customFormat="1" ht="14" x14ac:dyDescent="0.35">
      <c r="A2109" s="145"/>
      <c r="B2109" s="152"/>
      <c r="E2109" s="102"/>
      <c r="F2109" s="102"/>
      <c r="G2109" s="102"/>
      <c r="I2109" s="93"/>
      <c r="J2109" s="93"/>
    </row>
    <row r="2110" spans="1:10" s="65" customFormat="1" ht="14" x14ac:dyDescent="0.35">
      <c r="A2110" s="145"/>
      <c r="B2110" s="152"/>
      <c r="E2110" s="102"/>
      <c r="F2110" s="102"/>
      <c r="G2110" s="102"/>
      <c r="I2110" s="93"/>
      <c r="J2110" s="93"/>
    </row>
    <row r="2111" spans="1:10" s="65" customFormat="1" ht="14" x14ac:dyDescent="0.35">
      <c r="A2111" s="145"/>
      <c r="B2111" s="152"/>
      <c r="E2111" s="102"/>
      <c r="F2111" s="102"/>
      <c r="G2111" s="102"/>
      <c r="I2111" s="93"/>
      <c r="J2111" s="93"/>
    </row>
    <row r="2112" spans="1:10" s="65" customFormat="1" ht="14" x14ac:dyDescent="0.35">
      <c r="A2112" s="145"/>
      <c r="B2112" s="152"/>
      <c r="E2112" s="102"/>
      <c r="F2112" s="102"/>
      <c r="G2112" s="102"/>
      <c r="I2112" s="93"/>
      <c r="J2112" s="93"/>
    </row>
    <row r="2113" spans="1:10" s="65" customFormat="1" ht="14" x14ac:dyDescent="0.35">
      <c r="A2113" s="145"/>
      <c r="B2113" s="152"/>
      <c r="E2113" s="102"/>
      <c r="F2113" s="102"/>
      <c r="G2113" s="102"/>
      <c r="I2113" s="93"/>
      <c r="J2113" s="93"/>
    </row>
    <row r="2114" spans="1:10" s="65" customFormat="1" ht="14" x14ac:dyDescent="0.35">
      <c r="A2114" s="145"/>
      <c r="B2114" s="152"/>
      <c r="E2114" s="102"/>
      <c r="F2114" s="102"/>
      <c r="G2114" s="102"/>
      <c r="I2114" s="93"/>
      <c r="J2114" s="93"/>
    </row>
    <row r="2115" spans="1:10" s="65" customFormat="1" ht="14" x14ac:dyDescent="0.35">
      <c r="A2115" s="145"/>
      <c r="B2115" s="152"/>
      <c r="E2115" s="102"/>
      <c r="F2115" s="102"/>
      <c r="G2115" s="102"/>
      <c r="I2115" s="93"/>
      <c r="J2115" s="93"/>
    </row>
    <row r="2116" spans="1:10" s="65" customFormat="1" ht="14" x14ac:dyDescent="0.35">
      <c r="A2116" s="145"/>
      <c r="B2116" s="152"/>
      <c r="E2116" s="102"/>
      <c r="F2116" s="102"/>
      <c r="G2116" s="102"/>
      <c r="I2116" s="93"/>
      <c r="J2116" s="93"/>
    </row>
    <row r="2117" spans="1:10" s="65" customFormat="1" ht="14" x14ac:dyDescent="0.35">
      <c r="A2117" s="145"/>
      <c r="B2117" s="152"/>
      <c r="E2117" s="102"/>
      <c r="F2117" s="102"/>
      <c r="G2117" s="102"/>
      <c r="I2117" s="93"/>
      <c r="J2117" s="93"/>
    </row>
    <row r="2118" spans="1:10" s="65" customFormat="1" ht="14" x14ac:dyDescent="0.35">
      <c r="A2118" s="145"/>
      <c r="B2118" s="152"/>
      <c r="E2118" s="102"/>
      <c r="F2118" s="102"/>
      <c r="G2118" s="102"/>
      <c r="I2118" s="93"/>
      <c r="J2118" s="93"/>
    </row>
    <row r="2119" spans="1:10" s="65" customFormat="1" ht="14" x14ac:dyDescent="0.35">
      <c r="A2119" s="145"/>
      <c r="B2119" s="152"/>
      <c r="E2119" s="102"/>
      <c r="F2119" s="102"/>
      <c r="G2119" s="102"/>
      <c r="I2119" s="93"/>
      <c r="J2119" s="93"/>
    </row>
    <row r="2120" spans="1:10" s="65" customFormat="1" ht="14" x14ac:dyDescent="0.35">
      <c r="A2120" s="145"/>
      <c r="B2120" s="152"/>
      <c r="E2120" s="102"/>
      <c r="F2120" s="102"/>
      <c r="G2120" s="102"/>
      <c r="I2120" s="93"/>
      <c r="J2120" s="93"/>
    </row>
    <row r="2121" spans="1:10" s="65" customFormat="1" ht="14" x14ac:dyDescent="0.35">
      <c r="A2121" s="145"/>
      <c r="B2121" s="152"/>
      <c r="E2121" s="102"/>
      <c r="F2121" s="102"/>
      <c r="G2121" s="102"/>
      <c r="I2121" s="93"/>
      <c r="J2121" s="93"/>
    </row>
    <row r="2122" spans="1:10" s="65" customFormat="1" ht="14" x14ac:dyDescent="0.35">
      <c r="A2122" s="145"/>
      <c r="B2122" s="152"/>
      <c r="E2122" s="102"/>
      <c r="F2122" s="102"/>
      <c r="G2122" s="102"/>
      <c r="I2122" s="93"/>
      <c r="J2122" s="93"/>
    </row>
    <row r="2123" spans="1:10" s="65" customFormat="1" ht="14" x14ac:dyDescent="0.35">
      <c r="A2123" s="145"/>
      <c r="B2123" s="152"/>
      <c r="E2123" s="102"/>
      <c r="F2123" s="102"/>
      <c r="G2123" s="102"/>
      <c r="I2123" s="93"/>
      <c r="J2123" s="93"/>
    </row>
    <row r="2124" spans="1:10" s="65" customFormat="1" ht="14" x14ac:dyDescent="0.35">
      <c r="A2124" s="145"/>
      <c r="B2124" s="152"/>
      <c r="E2124" s="102"/>
      <c r="F2124" s="102"/>
      <c r="G2124" s="102"/>
      <c r="I2124" s="93"/>
      <c r="J2124" s="93"/>
    </row>
    <row r="2125" spans="1:10" s="65" customFormat="1" ht="14" x14ac:dyDescent="0.35">
      <c r="A2125" s="145"/>
      <c r="B2125" s="152"/>
      <c r="E2125" s="102"/>
      <c r="F2125" s="102"/>
      <c r="G2125" s="102"/>
      <c r="I2125" s="93"/>
      <c r="J2125" s="93"/>
    </row>
    <row r="2126" spans="1:10" s="65" customFormat="1" ht="14" x14ac:dyDescent="0.35">
      <c r="A2126" s="145"/>
      <c r="B2126" s="152"/>
      <c r="E2126" s="102"/>
      <c r="F2126" s="102"/>
      <c r="G2126" s="102"/>
      <c r="I2126" s="93"/>
      <c r="J2126" s="93"/>
    </row>
    <row r="2127" spans="1:10" s="65" customFormat="1" ht="14" x14ac:dyDescent="0.35">
      <c r="A2127" s="145"/>
      <c r="B2127" s="152"/>
      <c r="E2127" s="102"/>
      <c r="F2127" s="102"/>
      <c r="G2127" s="102"/>
      <c r="I2127" s="93"/>
      <c r="J2127" s="93"/>
    </row>
    <row r="2128" spans="1:10" s="65" customFormat="1" ht="14" x14ac:dyDescent="0.35">
      <c r="A2128" s="145"/>
      <c r="B2128" s="152"/>
      <c r="E2128" s="102"/>
      <c r="F2128" s="102"/>
      <c r="G2128" s="102"/>
      <c r="I2128" s="93"/>
      <c r="J2128" s="93"/>
    </row>
    <row r="2129" spans="1:10" s="65" customFormat="1" ht="14" x14ac:dyDescent="0.35">
      <c r="A2129" s="145"/>
      <c r="B2129" s="152"/>
      <c r="E2129" s="102"/>
      <c r="F2129" s="102"/>
      <c r="G2129" s="102"/>
      <c r="I2129" s="93"/>
      <c r="J2129" s="93"/>
    </row>
    <row r="2130" spans="1:10" s="65" customFormat="1" ht="14" x14ac:dyDescent="0.35">
      <c r="A2130" s="145"/>
      <c r="B2130" s="152"/>
      <c r="E2130" s="102"/>
      <c r="F2130" s="102"/>
      <c r="G2130" s="102"/>
      <c r="I2130" s="93"/>
      <c r="J2130" s="93"/>
    </row>
    <row r="2131" spans="1:10" s="65" customFormat="1" ht="14" x14ac:dyDescent="0.35">
      <c r="A2131" s="145"/>
      <c r="B2131" s="152"/>
      <c r="E2131" s="102"/>
      <c r="F2131" s="102"/>
      <c r="G2131" s="102"/>
      <c r="I2131" s="93"/>
      <c r="J2131" s="93"/>
    </row>
    <row r="2132" spans="1:10" s="65" customFormat="1" ht="14" x14ac:dyDescent="0.35">
      <c r="A2132" s="145"/>
      <c r="B2132" s="152"/>
      <c r="E2132" s="102"/>
      <c r="F2132" s="102"/>
      <c r="G2132" s="102"/>
      <c r="I2132" s="93"/>
      <c r="J2132" s="93"/>
    </row>
    <row r="2133" spans="1:10" s="65" customFormat="1" ht="14" x14ac:dyDescent="0.35">
      <c r="A2133" s="145"/>
      <c r="B2133" s="152"/>
      <c r="E2133" s="102"/>
      <c r="F2133" s="102"/>
      <c r="G2133" s="102"/>
      <c r="I2133" s="93"/>
      <c r="J2133" s="93"/>
    </row>
    <row r="2134" spans="1:10" s="65" customFormat="1" ht="14" x14ac:dyDescent="0.35">
      <c r="A2134" s="145"/>
      <c r="B2134" s="152"/>
      <c r="E2134" s="102"/>
      <c r="F2134" s="102"/>
      <c r="G2134" s="102"/>
      <c r="I2134" s="93"/>
      <c r="J2134" s="93"/>
    </row>
    <row r="2135" spans="1:10" s="65" customFormat="1" ht="14" x14ac:dyDescent="0.35">
      <c r="A2135" s="145"/>
      <c r="B2135" s="152"/>
      <c r="E2135" s="102"/>
      <c r="F2135" s="102"/>
      <c r="G2135" s="102"/>
      <c r="I2135" s="93"/>
      <c r="J2135" s="93"/>
    </row>
    <row r="2136" spans="1:10" s="65" customFormat="1" ht="14" x14ac:dyDescent="0.35">
      <c r="A2136" s="145"/>
      <c r="B2136" s="152"/>
      <c r="E2136" s="102"/>
      <c r="F2136" s="102"/>
      <c r="G2136" s="102"/>
      <c r="I2136" s="93"/>
      <c r="J2136" s="93"/>
    </row>
    <row r="2137" spans="1:10" s="65" customFormat="1" ht="14" x14ac:dyDescent="0.35">
      <c r="A2137" s="145"/>
      <c r="B2137" s="152"/>
      <c r="E2137" s="102"/>
      <c r="F2137" s="102"/>
      <c r="G2137" s="102"/>
      <c r="I2137" s="93"/>
      <c r="J2137" s="93"/>
    </row>
    <row r="2138" spans="1:10" s="65" customFormat="1" ht="14" x14ac:dyDescent="0.35">
      <c r="A2138" s="145"/>
      <c r="B2138" s="152"/>
      <c r="E2138" s="102"/>
      <c r="F2138" s="102"/>
      <c r="G2138" s="102"/>
      <c r="I2138" s="93"/>
      <c r="J2138" s="93"/>
    </row>
    <row r="2139" spans="1:10" s="65" customFormat="1" ht="14" x14ac:dyDescent="0.35">
      <c r="A2139" s="145"/>
      <c r="B2139" s="152"/>
      <c r="E2139" s="102"/>
      <c r="F2139" s="102"/>
      <c r="G2139" s="102"/>
      <c r="I2139" s="93"/>
      <c r="J2139" s="93"/>
    </row>
    <row r="2140" spans="1:10" s="65" customFormat="1" ht="14" x14ac:dyDescent="0.35">
      <c r="A2140" s="145"/>
      <c r="B2140" s="152"/>
      <c r="E2140" s="102"/>
      <c r="F2140" s="102"/>
      <c r="G2140" s="102"/>
      <c r="I2140" s="93"/>
      <c r="J2140" s="93"/>
    </row>
    <row r="2141" spans="1:10" s="65" customFormat="1" ht="14" x14ac:dyDescent="0.35">
      <c r="A2141" s="145"/>
      <c r="B2141" s="152"/>
      <c r="E2141" s="102"/>
      <c r="F2141" s="102"/>
      <c r="G2141" s="102"/>
      <c r="I2141" s="93"/>
      <c r="J2141" s="93"/>
    </row>
    <row r="2142" spans="1:10" s="65" customFormat="1" ht="14" x14ac:dyDescent="0.35">
      <c r="A2142" s="145"/>
      <c r="B2142" s="152"/>
      <c r="E2142" s="102"/>
      <c r="F2142" s="102"/>
      <c r="G2142" s="102"/>
      <c r="I2142" s="93"/>
      <c r="J2142" s="93"/>
    </row>
    <row r="2143" spans="1:10" s="65" customFormat="1" ht="14" x14ac:dyDescent="0.35">
      <c r="A2143" s="145"/>
      <c r="B2143" s="152"/>
      <c r="E2143" s="102"/>
      <c r="F2143" s="102"/>
      <c r="G2143" s="102"/>
      <c r="I2143" s="93"/>
      <c r="J2143" s="93"/>
    </row>
    <row r="2144" spans="1:10" s="65" customFormat="1" ht="14" x14ac:dyDescent="0.35">
      <c r="A2144" s="145"/>
      <c r="B2144" s="152"/>
      <c r="E2144" s="102"/>
      <c r="F2144" s="102"/>
      <c r="G2144" s="102"/>
      <c r="I2144" s="93"/>
      <c r="J2144" s="93"/>
    </row>
    <row r="2145" spans="1:10" s="65" customFormat="1" ht="14" x14ac:dyDescent="0.35">
      <c r="A2145" s="145"/>
      <c r="B2145" s="152"/>
      <c r="E2145" s="102"/>
      <c r="F2145" s="102"/>
      <c r="G2145" s="102"/>
      <c r="I2145" s="93"/>
      <c r="J2145" s="93"/>
    </row>
    <row r="2146" spans="1:10" s="65" customFormat="1" ht="14" x14ac:dyDescent="0.35">
      <c r="A2146" s="145"/>
      <c r="B2146" s="152"/>
      <c r="E2146" s="102"/>
      <c r="F2146" s="102"/>
      <c r="G2146" s="102"/>
      <c r="I2146" s="93"/>
      <c r="J2146" s="93"/>
    </row>
    <row r="2147" spans="1:10" s="65" customFormat="1" ht="14" x14ac:dyDescent="0.35">
      <c r="A2147" s="145"/>
      <c r="B2147" s="152"/>
      <c r="E2147" s="102"/>
      <c r="F2147" s="102"/>
      <c r="G2147" s="102"/>
      <c r="I2147" s="93"/>
      <c r="J2147" s="93"/>
    </row>
    <row r="2148" spans="1:10" s="65" customFormat="1" ht="14" x14ac:dyDescent="0.35">
      <c r="A2148" s="145"/>
      <c r="B2148" s="152"/>
      <c r="E2148" s="102"/>
      <c r="F2148" s="102"/>
      <c r="G2148" s="102"/>
      <c r="I2148" s="93"/>
      <c r="J2148" s="93"/>
    </row>
    <row r="2149" spans="1:10" s="65" customFormat="1" ht="14" x14ac:dyDescent="0.35">
      <c r="A2149" s="145"/>
      <c r="B2149" s="152"/>
      <c r="E2149" s="102"/>
      <c r="F2149" s="102"/>
      <c r="G2149" s="102"/>
      <c r="I2149" s="93"/>
      <c r="J2149" s="93"/>
    </row>
    <row r="2150" spans="1:10" s="65" customFormat="1" ht="14" x14ac:dyDescent="0.35">
      <c r="A2150" s="145"/>
      <c r="B2150" s="152"/>
      <c r="E2150" s="102"/>
      <c r="F2150" s="102"/>
      <c r="G2150" s="102"/>
      <c r="I2150" s="93"/>
      <c r="J2150" s="93"/>
    </row>
    <row r="2151" spans="1:10" s="65" customFormat="1" ht="14" x14ac:dyDescent="0.35">
      <c r="A2151" s="145"/>
      <c r="B2151" s="152"/>
      <c r="E2151" s="102"/>
      <c r="F2151" s="102"/>
      <c r="G2151" s="102"/>
      <c r="I2151" s="93"/>
      <c r="J2151" s="93"/>
    </row>
    <row r="2152" spans="1:10" s="65" customFormat="1" ht="14" x14ac:dyDescent="0.35">
      <c r="A2152" s="145"/>
      <c r="B2152" s="152"/>
      <c r="E2152" s="102"/>
      <c r="F2152" s="102"/>
      <c r="G2152" s="102"/>
      <c r="I2152" s="93"/>
      <c r="J2152" s="93"/>
    </row>
    <row r="2153" spans="1:10" s="65" customFormat="1" ht="14" x14ac:dyDescent="0.35">
      <c r="A2153" s="145"/>
      <c r="B2153" s="152"/>
      <c r="E2153" s="102"/>
      <c r="F2153" s="102"/>
      <c r="G2153" s="102"/>
      <c r="I2153" s="93"/>
      <c r="J2153" s="93"/>
    </row>
    <row r="2154" spans="1:10" s="65" customFormat="1" ht="14" x14ac:dyDescent="0.35">
      <c r="A2154" s="145"/>
      <c r="B2154" s="152"/>
      <c r="E2154" s="102"/>
      <c r="F2154" s="102"/>
      <c r="G2154" s="102"/>
      <c r="I2154" s="93"/>
      <c r="J2154" s="93"/>
    </row>
    <row r="2155" spans="1:10" s="65" customFormat="1" ht="14" x14ac:dyDescent="0.35">
      <c r="A2155" s="145"/>
      <c r="B2155" s="152"/>
      <c r="E2155" s="102"/>
      <c r="F2155" s="102"/>
      <c r="G2155" s="102"/>
      <c r="I2155" s="93"/>
      <c r="J2155" s="93"/>
    </row>
    <row r="2156" spans="1:10" s="65" customFormat="1" ht="14" x14ac:dyDescent="0.35">
      <c r="A2156" s="145"/>
      <c r="B2156" s="152"/>
      <c r="E2156" s="102"/>
      <c r="F2156" s="102"/>
      <c r="G2156" s="102"/>
      <c r="I2156" s="93"/>
      <c r="J2156" s="93"/>
    </row>
    <row r="2157" spans="1:10" s="65" customFormat="1" ht="14" x14ac:dyDescent="0.35">
      <c r="A2157" s="145"/>
      <c r="B2157" s="152"/>
      <c r="E2157" s="102"/>
      <c r="F2157" s="102"/>
      <c r="G2157" s="102"/>
      <c r="I2157" s="93"/>
      <c r="J2157" s="93"/>
    </row>
    <row r="2158" spans="1:10" s="65" customFormat="1" ht="14" x14ac:dyDescent="0.35">
      <c r="A2158" s="145"/>
      <c r="B2158" s="152"/>
      <c r="E2158" s="102"/>
      <c r="F2158" s="102"/>
      <c r="G2158" s="102"/>
      <c r="I2158" s="93"/>
      <c r="J2158" s="93"/>
    </row>
    <row r="2159" spans="1:10" s="65" customFormat="1" ht="14" x14ac:dyDescent="0.35">
      <c r="A2159" s="145"/>
      <c r="B2159" s="152"/>
      <c r="E2159" s="102"/>
      <c r="F2159" s="102"/>
      <c r="G2159" s="102"/>
      <c r="I2159" s="93"/>
      <c r="J2159" s="93"/>
    </row>
    <row r="2160" spans="1:10" s="65" customFormat="1" ht="14" x14ac:dyDescent="0.35">
      <c r="A2160" s="145"/>
      <c r="B2160" s="152"/>
      <c r="E2160" s="102"/>
      <c r="F2160" s="102"/>
      <c r="G2160" s="102"/>
      <c r="I2160" s="93"/>
      <c r="J2160" s="93"/>
    </row>
    <row r="2161" spans="1:10" s="65" customFormat="1" ht="14" x14ac:dyDescent="0.35">
      <c r="A2161" s="145"/>
      <c r="B2161" s="152"/>
      <c r="E2161" s="102"/>
      <c r="F2161" s="102"/>
      <c r="G2161" s="102"/>
      <c r="I2161" s="93"/>
      <c r="J2161" s="93"/>
    </row>
    <row r="2162" spans="1:10" s="65" customFormat="1" ht="14" x14ac:dyDescent="0.35">
      <c r="A2162" s="145"/>
      <c r="B2162" s="152"/>
      <c r="E2162" s="102"/>
      <c r="F2162" s="102"/>
      <c r="G2162" s="102"/>
      <c r="I2162" s="93"/>
      <c r="J2162" s="93"/>
    </row>
    <row r="2163" spans="1:10" s="65" customFormat="1" ht="14" x14ac:dyDescent="0.35">
      <c r="A2163" s="145"/>
      <c r="B2163" s="152"/>
      <c r="E2163" s="102"/>
      <c r="F2163" s="102"/>
      <c r="G2163" s="102"/>
      <c r="I2163" s="93"/>
      <c r="J2163" s="93"/>
    </row>
    <row r="2164" spans="1:10" s="65" customFormat="1" ht="14" x14ac:dyDescent="0.35">
      <c r="A2164" s="145"/>
      <c r="B2164" s="152"/>
      <c r="E2164" s="102"/>
      <c r="F2164" s="102"/>
      <c r="G2164" s="102"/>
      <c r="I2164" s="93"/>
      <c r="J2164" s="93"/>
    </row>
    <row r="2165" spans="1:10" s="65" customFormat="1" ht="14" x14ac:dyDescent="0.35">
      <c r="A2165" s="145"/>
      <c r="B2165" s="152"/>
      <c r="E2165" s="102"/>
      <c r="F2165" s="102"/>
      <c r="G2165" s="102"/>
      <c r="I2165" s="93"/>
      <c r="J2165" s="93"/>
    </row>
    <row r="2166" spans="1:10" s="65" customFormat="1" ht="14" x14ac:dyDescent="0.35">
      <c r="A2166" s="145"/>
      <c r="B2166" s="152"/>
      <c r="E2166" s="102"/>
      <c r="F2166" s="102"/>
      <c r="G2166" s="102"/>
      <c r="I2166" s="93"/>
      <c r="J2166" s="93"/>
    </row>
    <row r="2167" spans="1:10" s="65" customFormat="1" ht="14" x14ac:dyDescent="0.35">
      <c r="A2167" s="145"/>
      <c r="B2167" s="152"/>
      <c r="E2167" s="102"/>
      <c r="F2167" s="102"/>
      <c r="G2167" s="102"/>
      <c r="I2167" s="93"/>
      <c r="J2167" s="93"/>
    </row>
    <row r="2168" spans="1:10" s="65" customFormat="1" ht="14" x14ac:dyDescent="0.35">
      <c r="A2168" s="145"/>
      <c r="B2168" s="152"/>
      <c r="E2168" s="102"/>
      <c r="F2168" s="102"/>
      <c r="G2168" s="102"/>
      <c r="I2168" s="93"/>
      <c r="J2168" s="93"/>
    </row>
    <row r="2169" spans="1:10" s="65" customFormat="1" ht="14" x14ac:dyDescent="0.35">
      <c r="A2169" s="145"/>
      <c r="B2169" s="152"/>
      <c r="E2169" s="102"/>
      <c r="F2169" s="102"/>
      <c r="G2169" s="102"/>
      <c r="I2169" s="93"/>
      <c r="J2169" s="93"/>
    </row>
    <row r="2170" spans="1:10" s="65" customFormat="1" ht="14" x14ac:dyDescent="0.35">
      <c r="A2170" s="145"/>
      <c r="B2170" s="152"/>
      <c r="E2170" s="102"/>
      <c r="F2170" s="102"/>
      <c r="G2170" s="102"/>
      <c r="I2170" s="93"/>
      <c r="J2170" s="93"/>
    </row>
    <row r="2171" spans="1:10" s="65" customFormat="1" ht="14" x14ac:dyDescent="0.35">
      <c r="A2171" s="145"/>
      <c r="B2171" s="152"/>
      <c r="E2171" s="102"/>
      <c r="F2171" s="102"/>
      <c r="G2171" s="102"/>
      <c r="I2171" s="93"/>
      <c r="J2171" s="93"/>
    </row>
    <row r="2172" spans="1:10" s="65" customFormat="1" ht="14" x14ac:dyDescent="0.35">
      <c r="A2172" s="145"/>
      <c r="B2172" s="152"/>
      <c r="E2172" s="102"/>
      <c r="F2172" s="102"/>
      <c r="G2172" s="102"/>
      <c r="I2172" s="93"/>
      <c r="J2172" s="93"/>
    </row>
    <row r="2173" spans="1:10" s="65" customFormat="1" ht="14" x14ac:dyDescent="0.35">
      <c r="A2173" s="145"/>
      <c r="B2173" s="152"/>
      <c r="E2173" s="102"/>
      <c r="F2173" s="102"/>
      <c r="G2173" s="102"/>
      <c r="I2173" s="93"/>
      <c r="J2173" s="93"/>
    </row>
    <row r="2174" spans="1:10" s="65" customFormat="1" ht="14" x14ac:dyDescent="0.35">
      <c r="A2174" s="145"/>
      <c r="B2174" s="152"/>
      <c r="E2174" s="102"/>
      <c r="F2174" s="102"/>
      <c r="G2174" s="102"/>
      <c r="I2174" s="93"/>
      <c r="J2174" s="93"/>
    </row>
    <row r="2175" spans="1:10" s="65" customFormat="1" ht="14" x14ac:dyDescent="0.35">
      <c r="A2175" s="145"/>
      <c r="B2175" s="152"/>
      <c r="E2175" s="102"/>
      <c r="F2175" s="102"/>
      <c r="G2175" s="102"/>
      <c r="I2175" s="93"/>
      <c r="J2175" s="93"/>
    </row>
    <row r="2176" spans="1:10" s="65" customFormat="1" ht="14" x14ac:dyDescent="0.35">
      <c r="A2176" s="145"/>
      <c r="B2176" s="152"/>
      <c r="E2176" s="102"/>
      <c r="F2176" s="102"/>
      <c r="G2176" s="102"/>
      <c r="I2176" s="93"/>
      <c r="J2176" s="93"/>
    </row>
    <row r="2177" spans="1:10" s="65" customFormat="1" ht="14" x14ac:dyDescent="0.35">
      <c r="A2177" s="145"/>
      <c r="B2177" s="152"/>
      <c r="E2177" s="102"/>
      <c r="F2177" s="102"/>
      <c r="G2177" s="102"/>
      <c r="I2177" s="93"/>
      <c r="J2177" s="93"/>
    </row>
    <row r="2178" spans="1:10" s="65" customFormat="1" ht="14" x14ac:dyDescent="0.35">
      <c r="A2178" s="145"/>
      <c r="B2178" s="152"/>
      <c r="E2178" s="102"/>
      <c r="F2178" s="102"/>
      <c r="G2178" s="102"/>
      <c r="I2178" s="93"/>
      <c r="J2178" s="93"/>
    </row>
    <row r="2179" spans="1:10" s="65" customFormat="1" ht="14" x14ac:dyDescent="0.35">
      <c r="A2179" s="145"/>
      <c r="B2179" s="152"/>
      <c r="E2179" s="102"/>
      <c r="F2179" s="102"/>
      <c r="G2179" s="102"/>
      <c r="I2179" s="93"/>
      <c r="J2179" s="93"/>
    </row>
    <row r="2180" spans="1:10" s="65" customFormat="1" ht="14" x14ac:dyDescent="0.35">
      <c r="A2180" s="145"/>
      <c r="B2180" s="152"/>
      <c r="E2180" s="102"/>
      <c r="F2180" s="102"/>
      <c r="G2180" s="102"/>
      <c r="I2180" s="93"/>
      <c r="J2180" s="93"/>
    </row>
    <row r="2181" spans="1:10" s="65" customFormat="1" ht="14" x14ac:dyDescent="0.35">
      <c r="A2181" s="145"/>
      <c r="B2181" s="152"/>
      <c r="E2181" s="102"/>
      <c r="F2181" s="102"/>
      <c r="G2181" s="102"/>
      <c r="I2181" s="93"/>
      <c r="J2181" s="93"/>
    </row>
    <row r="2182" spans="1:10" s="65" customFormat="1" ht="14" x14ac:dyDescent="0.35">
      <c r="A2182" s="145"/>
      <c r="B2182" s="152"/>
      <c r="E2182" s="102"/>
      <c r="F2182" s="102"/>
      <c r="G2182" s="102"/>
      <c r="I2182" s="93"/>
      <c r="J2182" s="93"/>
    </row>
    <row r="2183" spans="1:10" s="65" customFormat="1" ht="14" x14ac:dyDescent="0.35">
      <c r="A2183" s="145"/>
      <c r="B2183" s="152"/>
      <c r="E2183" s="102"/>
      <c r="F2183" s="102"/>
      <c r="G2183" s="102"/>
      <c r="I2183" s="93"/>
      <c r="J2183" s="93"/>
    </row>
    <row r="2184" spans="1:10" s="65" customFormat="1" ht="14" x14ac:dyDescent="0.35">
      <c r="A2184" s="145"/>
      <c r="B2184" s="152"/>
      <c r="E2184" s="102"/>
      <c r="F2184" s="102"/>
      <c r="G2184" s="102"/>
      <c r="I2184" s="93"/>
      <c r="J2184" s="93"/>
    </row>
    <row r="2185" spans="1:10" s="65" customFormat="1" ht="14" x14ac:dyDescent="0.35">
      <c r="A2185" s="145"/>
      <c r="B2185" s="152"/>
      <c r="E2185" s="102"/>
      <c r="F2185" s="102"/>
      <c r="G2185" s="102"/>
      <c r="I2185" s="93"/>
      <c r="J2185" s="93"/>
    </row>
    <row r="2186" spans="1:10" s="65" customFormat="1" ht="14" x14ac:dyDescent="0.35">
      <c r="A2186" s="145"/>
      <c r="B2186" s="152"/>
      <c r="E2186" s="102"/>
      <c r="F2186" s="102"/>
      <c r="G2186" s="102"/>
      <c r="I2186" s="93"/>
      <c r="J2186" s="93"/>
    </row>
    <row r="2187" spans="1:10" s="65" customFormat="1" ht="14" x14ac:dyDescent="0.35">
      <c r="A2187" s="145"/>
      <c r="B2187" s="152"/>
      <c r="E2187" s="102"/>
      <c r="F2187" s="102"/>
      <c r="G2187" s="102"/>
      <c r="I2187" s="93"/>
      <c r="J2187" s="93"/>
    </row>
    <row r="2188" spans="1:10" s="65" customFormat="1" ht="14" x14ac:dyDescent="0.35">
      <c r="A2188" s="145"/>
      <c r="B2188" s="152"/>
      <c r="E2188" s="102"/>
      <c r="F2188" s="102"/>
      <c r="G2188" s="102"/>
      <c r="I2188" s="93"/>
      <c r="J2188" s="93"/>
    </row>
    <row r="2189" spans="1:10" s="65" customFormat="1" ht="14" x14ac:dyDescent="0.35">
      <c r="A2189" s="145"/>
      <c r="B2189" s="152"/>
      <c r="E2189" s="102"/>
      <c r="F2189" s="102"/>
      <c r="G2189" s="102"/>
      <c r="I2189" s="93"/>
      <c r="J2189" s="93"/>
    </row>
    <row r="2190" spans="1:10" s="65" customFormat="1" ht="14" x14ac:dyDescent="0.35">
      <c r="A2190" s="145"/>
      <c r="B2190" s="152"/>
      <c r="E2190" s="102"/>
      <c r="F2190" s="102"/>
      <c r="G2190" s="102"/>
      <c r="I2190" s="93"/>
      <c r="J2190" s="93"/>
    </row>
    <row r="2191" spans="1:10" s="65" customFormat="1" ht="14" x14ac:dyDescent="0.35">
      <c r="A2191" s="145"/>
      <c r="B2191" s="152"/>
      <c r="E2191" s="102"/>
      <c r="F2191" s="102"/>
      <c r="G2191" s="102"/>
      <c r="I2191" s="93"/>
      <c r="J2191" s="93"/>
    </row>
    <row r="2192" spans="1:10" s="65" customFormat="1" ht="14" x14ac:dyDescent="0.35">
      <c r="A2192" s="145"/>
      <c r="B2192" s="152"/>
      <c r="E2192" s="102"/>
      <c r="F2192" s="102"/>
      <c r="G2192" s="102"/>
      <c r="I2192" s="93"/>
      <c r="J2192" s="93"/>
    </row>
    <row r="2193" spans="1:10" s="65" customFormat="1" ht="14" x14ac:dyDescent="0.35">
      <c r="A2193" s="145"/>
      <c r="B2193" s="152"/>
      <c r="E2193" s="102"/>
      <c r="F2193" s="102"/>
      <c r="G2193" s="102"/>
      <c r="I2193" s="93"/>
      <c r="J2193" s="93"/>
    </row>
    <row r="2194" spans="1:10" s="65" customFormat="1" ht="14" x14ac:dyDescent="0.35">
      <c r="A2194" s="145"/>
      <c r="B2194" s="152"/>
      <c r="E2194" s="102"/>
      <c r="F2194" s="102"/>
      <c r="G2194" s="102"/>
      <c r="I2194" s="93"/>
      <c r="J2194" s="93"/>
    </row>
    <row r="2195" spans="1:10" s="65" customFormat="1" ht="14" x14ac:dyDescent="0.35">
      <c r="A2195" s="145"/>
      <c r="B2195" s="152"/>
      <c r="E2195" s="102"/>
      <c r="F2195" s="102"/>
      <c r="G2195" s="102"/>
      <c r="I2195" s="93"/>
      <c r="J2195" s="93"/>
    </row>
    <row r="2196" spans="1:10" s="65" customFormat="1" ht="14" x14ac:dyDescent="0.35">
      <c r="A2196" s="145"/>
      <c r="B2196" s="152"/>
      <c r="E2196" s="102"/>
      <c r="F2196" s="102"/>
      <c r="G2196" s="102"/>
      <c r="I2196" s="93"/>
      <c r="J2196" s="93"/>
    </row>
    <row r="2197" spans="1:10" s="65" customFormat="1" ht="14" x14ac:dyDescent="0.35">
      <c r="A2197" s="145"/>
      <c r="B2197" s="152"/>
      <c r="E2197" s="102"/>
      <c r="F2197" s="102"/>
      <c r="G2197" s="102"/>
      <c r="I2197" s="93"/>
      <c r="J2197" s="93"/>
    </row>
    <row r="2198" spans="1:10" s="65" customFormat="1" ht="14" x14ac:dyDescent="0.35">
      <c r="A2198" s="145"/>
      <c r="B2198" s="152"/>
      <c r="E2198" s="102"/>
      <c r="F2198" s="102"/>
      <c r="G2198" s="102"/>
      <c r="I2198" s="93"/>
      <c r="J2198" s="93"/>
    </row>
    <row r="2199" spans="1:10" s="65" customFormat="1" ht="14" x14ac:dyDescent="0.35">
      <c r="A2199" s="145"/>
      <c r="B2199" s="152"/>
      <c r="E2199" s="102"/>
      <c r="F2199" s="102"/>
      <c r="G2199" s="102"/>
      <c r="I2199" s="93"/>
      <c r="J2199" s="93"/>
    </row>
    <row r="2200" spans="1:10" s="65" customFormat="1" ht="14" x14ac:dyDescent="0.35">
      <c r="A2200" s="145"/>
      <c r="B2200" s="152"/>
      <c r="E2200" s="102"/>
      <c r="F2200" s="102"/>
      <c r="G2200" s="102"/>
      <c r="I2200" s="93"/>
      <c r="J2200" s="93"/>
    </row>
    <row r="2201" spans="1:10" s="65" customFormat="1" ht="14" x14ac:dyDescent="0.35">
      <c r="A2201" s="145"/>
      <c r="B2201" s="152"/>
      <c r="E2201" s="102"/>
      <c r="F2201" s="102"/>
      <c r="G2201" s="102"/>
      <c r="I2201" s="93"/>
      <c r="J2201" s="93"/>
    </row>
    <row r="2202" spans="1:10" s="65" customFormat="1" ht="14" x14ac:dyDescent="0.35">
      <c r="A2202" s="145"/>
      <c r="B2202" s="152"/>
      <c r="E2202" s="102"/>
      <c r="F2202" s="102"/>
      <c r="G2202" s="102"/>
      <c r="I2202" s="93"/>
      <c r="J2202" s="93"/>
    </row>
    <row r="2203" spans="1:10" s="65" customFormat="1" ht="14" x14ac:dyDescent="0.35">
      <c r="A2203" s="145"/>
      <c r="B2203" s="152"/>
      <c r="E2203" s="102"/>
      <c r="F2203" s="102"/>
      <c r="G2203" s="102"/>
      <c r="I2203" s="93"/>
      <c r="J2203" s="93"/>
    </row>
    <row r="2204" spans="1:10" s="65" customFormat="1" ht="14" x14ac:dyDescent="0.35">
      <c r="A2204" s="145"/>
      <c r="B2204" s="152"/>
      <c r="E2204" s="102"/>
      <c r="F2204" s="102"/>
      <c r="G2204" s="102"/>
      <c r="I2204" s="93"/>
      <c r="J2204" s="93"/>
    </row>
    <row r="2205" spans="1:10" s="65" customFormat="1" ht="14" x14ac:dyDescent="0.35">
      <c r="A2205" s="145"/>
      <c r="B2205" s="152"/>
      <c r="E2205" s="102"/>
      <c r="F2205" s="102"/>
      <c r="G2205" s="102"/>
      <c r="I2205" s="93"/>
      <c r="J2205" s="93"/>
    </row>
    <row r="2206" spans="1:10" s="65" customFormat="1" ht="14" x14ac:dyDescent="0.35">
      <c r="A2206" s="145"/>
      <c r="B2206" s="152"/>
      <c r="E2206" s="102"/>
      <c r="F2206" s="102"/>
      <c r="G2206" s="102"/>
      <c r="I2206" s="93"/>
      <c r="J2206" s="93"/>
    </row>
    <row r="2207" spans="1:10" s="65" customFormat="1" ht="14" x14ac:dyDescent="0.35">
      <c r="A2207" s="145"/>
      <c r="B2207" s="152"/>
      <c r="E2207" s="102"/>
      <c r="F2207" s="102"/>
      <c r="G2207" s="102"/>
      <c r="I2207" s="93"/>
      <c r="J2207" s="93"/>
    </row>
    <row r="2208" spans="1:10" s="65" customFormat="1" ht="14" x14ac:dyDescent="0.35">
      <c r="A2208" s="145"/>
      <c r="B2208" s="152"/>
      <c r="E2208" s="102"/>
      <c r="F2208" s="102"/>
      <c r="G2208" s="102"/>
      <c r="I2208" s="93"/>
      <c r="J2208" s="93"/>
    </row>
    <row r="2209" spans="1:10" s="65" customFormat="1" ht="14" x14ac:dyDescent="0.35">
      <c r="A2209" s="145"/>
      <c r="B2209" s="152"/>
      <c r="E2209" s="102"/>
      <c r="F2209" s="102"/>
      <c r="G2209" s="102"/>
      <c r="I2209" s="93"/>
      <c r="J2209" s="93"/>
    </row>
    <row r="2210" spans="1:10" s="65" customFormat="1" ht="14" x14ac:dyDescent="0.35">
      <c r="A2210" s="145"/>
      <c r="B2210" s="152"/>
      <c r="E2210" s="102"/>
      <c r="F2210" s="102"/>
      <c r="G2210" s="102"/>
      <c r="I2210" s="93"/>
      <c r="J2210" s="93"/>
    </row>
    <row r="2211" spans="1:10" s="65" customFormat="1" ht="14" x14ac:dyDescent="0.35">
      <c r="A2211" s="145"/>
      <c r="B2211" s="152"/>
      <c r="E2211" s="102"/>
      <c r="F2211" s="102"/>
      <c r="G2211" s="102"/>
      <c r="I2211" s="93"/>
      <c r="J2211" s="93"/>
    </row>
    <row r="2212" spans="1:10" s="65" customFormat="1" ht="14" x14ac:dyDescent="0.35">
      <c r="A2212" s="145"/>
      <c r="B2212" s="152"/>
      <c r="E2212" s="102"/>
      <c r="F2212" s="102"/>
      <c r="G2212" s="102"/>
      <c r="I2212" s="93"/>
      <c r="J2212" s="93"/>
    </row>
    <row r="2213" spans="1:10" s="65" customFormat="1" ht="14" x14ac:dyDescent="0.35">
      <c r="A2213" s="145"/>
      <c r="B2213" s="152"/>
      <c r="E2213" s="102"/>
      <c r="F2213" s="102"/>
      <c r="G2213" s="102"/>
      <c r="I2213" s="93"/>
      <c r="J2213" s="93"/>
    </row>
    <row r="2214" spans="1:10" s="65" customFormat="1" ht="14" x14ac:dyDescent="0.35">
      <c r="A2214" s="145"/>
      <c r="B2214" s="152"/>
      <c r="E2214" s="102"/>
      <c r="F2214" s="102"/>
      <c r="G2214" s="102"/>
      <c r="I2214" s="93"/>
      <c r="J2214" s="93"/>
    </row>
    <row r="2215" spans="1:10" s="65" customFormat="1" ht="14" x14ac:dyDescent="0.35">
      <c r="A2215" s="145"/>
      <c r="B2215" s="152"/>
      <c r="E2215" s="102"/>
      <c r="F2215" s="102"/>
      <c r="G2215" s="102"/>
      <c r="I2215" s="93"/>
      <c r="J2215" s="93"/>
    </row>
    <row r="2216" spans="1:10" s="65" customFormat="1" ht="14" x14ac:dyDescent="0.35">
      <c r="A2216" s="145"/>
      <c r="B2216" s="152"/>
      <c r="E2216" s="102"/>
      <c r="F2216" s="102"/>
      <c r="G2216" s="102"/>
      <c r="I2216" s="93"/>
      <c r="J2216" s="93"/>
    </row>
    <row r="2217" spans="1:10" s="65" customFormat="1" ht="14" x14ac:dyDescent="0.35">
      <c r="A2217" s="145"/>
      <c r="B2217" s="152"/>
      <c r="E2217" s="102"/>
      <c r="F2217" s="102"/>
      <c r="G2217" s="102"/>
      <c r="I2217" s="93"/>
      <c r="J2217" s="93"/>
    </row>
    <row r="2218" spans="1:10" s="65" customFormat="1" ht="14" x14ac:dyDescent="0.35">
      <c r="A2218" s="145"/>
      <c r="B2218" s="152"/>
      <c r="E2218" s="102"/>
      <c r="F2218" s="102"/>
      <c r="G2218" s="102"/>
      <c r="I2218" s="93"/>
      <c r="J2218" s="93"/>
    </row>
    <row r="2219" spans="1:10" s="65" customFormat="1" ht="14" x14ac:dyDescent="0.35">
      <c r="A2219" s="145"/>
      <c r="B2219" s="152"/>
      <c r="E2219" s="102"/>
      <c r="F2219" s="102"/>
      <c r="G2219" s="102"/>
      <c r="I2219" s="93"/>
      <c r="J2219" s="93"/>
    </row>
    <row r="2220" spans="1:10" s="65" customFormat="1" ht="14" x14ac:dyDescent="0.35">
      <c r="A2220" s="145"/>
      <c r="B2220" s="152"/>
      <c r="E2220" s="102"/>
      <c r="F2220" s="102"/>
      <c r="G2220" s="102"/>
      <c r="I2220" s="93"/>
      <c r="J2220" s="93"/>
    </row>
    <row r="2221" spans="1:10" s="65" customFormat="1" ht="14" x14ac:dyDescent="0.35">
      <c r="A2221" s="145"/>
      <c r="B2221" s="152"/>
      <c r="E2221" s="102"/>
      <c r="F2221" s="102"/>
      <c r="G2221" s="102"/>
      <c r="I2221" s="93"/>
      <c r="J2221" s="93"/>
    </row>
    <row r="2222" spans="1:10" s="65" customFormat="1" ht="14" x14ac:dyDescent="0.35">
      <c r="A2222" s="145"/>
      <c r="B2222" s="152"/>
      <c r="E2222" s="102"/>
      <c r="F2222" s="102"/>
      <c r="G2222" s="102"/>
      <c r="I2222" s="93"/>
      <c r="J2222" s="93"/>
    </row>
    <row r="2223" spans="1:10" s="65" customFormat="1" ht="14" x14ac:dyDescent="0.35">
      <c r="A2223" s="145"/>
      <c r="B2223" s="152"/>
      <c r="E2223" s="102"/>
      <c r="F2223" s="102"/>
      <c r="G2223" s="102"/>
      <c r="I2223" s="93"/>
      <c r="J2223" s="93"/>
    </row>
    <row r="2224" spans="1:10" s="65" customFormat="1" ht="14" x14ac:dyDescent="0.35">
      <c r="A2224" s="145"/>
      <c r="B2224" s="152"/>
      <c r="E2224" s="102"/>
      <c r="F2224" s="102"/>
      <c r="G2224" s="102"/>
      <c r="I2224" s="93"/>
      <c r="J2224" s="93"/>
    </row>
    <row r="2225" spans="1:10" s="65" customFormat="1" ht="14" x14ac:dyDescent="0.35">
      <c r="A2225" s="145"/>
      <c r="B2225" s="152"/>
      <c r="E2225" s="102"/>
      <c r="F2225" s="102"/>
      <c r="G2225" s="102"/>
      <c r="I2225" s="93"/>
      <c r="J2225" s="93"/>
    </row>
    <row r="2226" spans="1:10" s="65" customFormat="1" ht="14" x14ac:dyDescent="0.35">
      <c r="A2226" s="145"/>
      <c r="B2226" s="152"/>
      <c r="E2226" s="102"/>
      <c r="F2226" s="102"/>
      <c r="G2226" s="102"/>
      <c r="I2226" s="93"/>
      <c r="J2226" s="93"/>
    </row>
    <row r="2227" spans="1:10" s="65" customFormat="1" ht="14" x14ac:dyDescent="0.35">
      <c r="A2227" s="145"/>
      <c r="B2227" s="152"/>
      <c r="E2227" s="102"/>
      <c r="F2227" s="102"/>
      <c r="G2227" s="102"/>
      <c r="I2227" s="93"/>
      <c r="J2227" s="93"/>
    </row>
    <row r="2228" spans="1:10" s="65" customFormat="1" ht="14" x14ac:dyDescent="0.35">
      <c r="A2228" s="145"/>
      <c r="B2228" s="152"/>
      <c r="E2228" s="102"/>
      <c r="F2228" s="102"/>
      <c r="G2228" s="102"/>
      <c r="I2228" s="93"/>
      <c r="J2228" s="93"/>
    </row>
    <row r="2229" spans="1:10" s="65" customFormat="1" ht="14" x14ac:dyDescent="0.35">
      <c r="A2229" s="145"/>
      <c r="B2229" s="152"/>
      <c r="E2229" s="102"/>
      <c r="F2229" s="102"/>
      <c r="G2229" s="102"/>
      <c r="I2229" s="93"/>
      <c r="J2229" s="93"/>
    </row>
    <row r="2230" spans="1:10" s="65" customFormat="1" ht="14" x14ac:dyDescent="0.35">
      <c r="A2230" s="145"/>
      <c r="B2230" s="152"/>
      <c r="E2230" s="102"/>
      <c r="F2230" s="102"/>
      <c r="G2230" s="102"/>
      <c r="I2230" s="93"/>
      <c r="J2230" s="93"/>
    </row>
    <row r="2231" spans="1:10" s="65" customFormat="1" ht="14" x14ac:dyDescent="0.35">
      <c r="A2231" s="145"/>
      <c r="B2231" s="152"/>
      <c r="E2231" s="102"/>
      <c r="F2231" s="102"/>
      <c r="G2231" s="102"/>
      <c r="I2231" s="93"/>
      <c r="J2231" s="93"/>
    </row>
    <row r="2232" spans="1:10" s="65" customFormat="1" ht="14" x14ac:dyDescent="0.35">
      <c r="A2232" s="145"/>
      <c r="B2232" s="152"/>
      <c r="E2232" s="102"/>
      <c r="F2232" s="102"/>
      <c r="G2232" s="102"/>
      <c r="I2232" s="93"/>
      <c r="J2232" s="93"/>
    </row>
    <row r="2233" spans="1:10" s="65" customFormat="1" ht="14" x14ac:dyDescent="0.35">
      <c r="A2233" s="145"/>
      <c r="B2233" s="152"/>
      <c r="E2233" s="102"/>
      <c r="F2233" s="102"/>
      <c r="G2233" s="102"/>
      <c r="I2233" s="93"/>
      <c r="J2233" s="93"/>
    </row>
    <row r="2234" spans="1:10" s="65" customFormat="1" ht="14" x14ac:dyDescent="0.35">
      <c r="A2234" s="145"/>
      <c r="B2234" s="152"/>
      <c r="E2234" s="102"/>
      <c r="F2234" s="102"/>
      <c r="G2234" s="102"/>
      <c r="I2234" s="93"/>
      <c r="J2234" s="93"/>
    </row>
    <row r="2235" spans="1:10" s="65" customFormat="1" ht="14" x14ac:dyDescent="0.35">
      <c r="A2235" s="145"/>
      <c r="B2235" s="152"/>
      <c r="E2235" s="102"/>
      <c r="F2235" s="102"/>
      <c r="G2235" s="102"/>
      <c r="I2235" s="93"/>
      <c r="J2235" s="93"/>
    </row>
    <row r="2236" spans="1:10" s="65" customFormat="1" ht="14" x14ac:dyDescent="0.35">
      <c r="A2236" s="145"/>
      <c r="B2236" s="152"/>
      <c r="E2236" s="102"/>
      <c r="F2236" s="102"/>
      <c r="G2236" s="102"/>
      <c r="I2236" s="93"/>
      <c r="J2236" s="93"/>
    </row>
    <row r="2237" spans="1:10" s="65" customFormat="1" ht="14" x14ac:dyDescent="0.35">
      <c r="A2237" s="145"/>
      <c r="B2237" s="152"/>
      <c r="E2237" s="102"/>
      <c r="F2237" s="102"/>
      <c r="G2237" s="102"/>
      <c r="I2237" s="93"/>
      <c r="J2237" s="93"/>
    </row>
    <row r="2238" spans="1:10" s="65" customFormat="1" ht="14" x14ac:dyDescent="0.35">
      <c r="A2238" s="145"/>
      <c r="B2238" s="152"/>
      <c r="E2238" s="102"/>
      <c r="F2238" s="102"/>
      <c r="G2238" s="102"/>
      <c r="I2238" s="93"/>
      <c r="J2238" s="93"/>
    </row>
    <row r="2239" spans="1:10" s="65" customFormat="1" ht="14" x14ac:dyDescent="0.35">
      <c r="A2239" s="145"/>
      <c r="B2239" s="152"/>
      <c r="E2239" s="102"/>
      <c r="F2239" s="102"/>
      <c r="G2239" s="102"/>
      <c r="I2239" s="93"/>
      <c r="J2239" s="93"/>
    </row>
    <row r="2240" spans="1:10" s="65" customFormat="1" ht="14" x14ac:dyDescent="0.35">
      <c r="A2240" s="145"/>
      <c r="B2240" s="152"/>
      <c r="E2240" s="102"/>
      <c r="F2240" s="102"/>
      <c r="G2240" s="102"/>
      <c r="I2240" s="93"/>
      <c r="J2240" s="93"/>
    </row>
    <row r="2241" spans="1:10" s="65" customFormat="1" ht="14" x14ac:dyDescent="0.35">
      <c r="A2241" s="145"/>
      <c r="B2241" s="152"/>
      <c r="E2241" s="102"/>
      <c r="F2241" s="102"/>
      <c r="G2241" s="102"/>
      <c r="I2241" s="93"/>
      <c r="J2241" s="93"/>
    </row>
    <row r="2242" spans="1:10" s="65" customFormat="1" ht="14" x14ac:dyDescent="0.35">
      <c r="A2242" s="145"/>
      <c r="B2242" s="152"/>
      <c r="E2242" s="102"/>
      <c r="F2242" s="102"/>
      <c r="G2242" s="102"/>
      <c r="I2242" s="93"/>
      <c r="J2242" s="93"/>
    </row>
    <row r="2243" spans="1:10" s="65" customFormat="1" ht="14" x14ac:dyDescent="0.35">
      <c r="A2243" s="145"/>
      <c r="B2243" s="152"/>
      <c r="E2243" s="102"/>
      <c r="F2243" s="102"/>
      <c r="G2243" s="102"/>
      <c r="I2243" s="93"/>
      <c r="J2243" s="93"/>
    </row>
    <row r="2244" spans="1:10" s="65" customFormat="1" ht="14" x14ac:dyDescent="0.35">
      <c r="A2244" s="145"/>
      <c r="B2244" s="152"/>
      <c r="E2244" s="102"/>
      <c r="F2244" s="102"/>
      <c r="G2244" s="102"/>
      <c r="I2244" s="93"/>
      <c r="J2244" s="93"/>
    </row>
    <row r="2245" spans="1:10" s="65" customFormat="1" ht="14" x14ac:dyDescent="0.35">
      <c r="A2245" s="145"/>
      <c r="B2245" s="152"/>
      <c r="E2245" s="102"/>
      <c r="F2245" s="102"/>
      <c r="G2245" s="102"/>
      <c r="I2245" s="93"/>
      <c r="J2245" s="93"/>
    </row>
    <row r="2246" spans="1:10" s="65" customFormat="1" ht="14" x14ac:dyDescent="0.35">
      <c r="A2246" s="145"/>
      <c r="B2246" s="152"/>
      <c r="E2246" s="102"/>
      <c r="F2246" s="102"/>
      <c r="G2246" s="102"/>
      <c r="I2246" s="93"/>
      <c r="J2246" s="93"/>
    </row>
    <row r="2247" spans="1:10" s="65" customFormat="1" ht="14" x14ac:dyDescent="0.35">
      <c r="A2247" s="145"/>
      <c r="B2247" s="152"/>
      <c r="E2247" s="102"/>
      <c r="F2247" s="102"/>
      <c r="G2247" s="102"/>
      <c r="I2247" s="93"/>
      <c r="J2247" s="93"/>
    </row>
    <row r="2248" spans="1:10" s="65" customFormat="1" ht="14" x14ac:dyDescent="0.35">
      <c r="A2248" s="145"/>
      <c r="B2248" s="152"/>
      <c r="E2248" s="102"/>
      <c r="F2248" s="102"/>
      <c r="G2248" s="102"/>
      <c r="I2248" s="93"/>
      <c r="J2248" s="93"/>
    </row>
    <row r="2249" spans="1:10" s="65" customFormat="1" ht="14" x14ac:dyDescent="0.35">
      <c r="A2249" s="145"/>
      <c r="B2249" s="152"/>
      <c r="E2249" s="102"/>
      <c r="F2249" s="102"/>
      <c r="G2249" s="102"/>
      <c r="I2249" s="93"/>
      <c r="J2249" s="93"/>
    </row>
    <row r="2250" spans="1:10" s="65" customFormat="1" ht="14" x14ac:dyDescent="0.35">
      <c r="A2250" s="145"/>
      <c r="B2250" s="152"/>
      <c r="E2250" s="102"/>
      <c r="F2250" s="102"/>
      <c r="G2250" s="102"/>
      <c r="I2250" s="93"/>
      <c r="J2250" s="93"/>
    </row>
    <row r="2251" spans="1:10" s="65" customFormat="1" ht="14" x14ac:dyDescent="0.35">
      <c r="A2251" s="145"/>
      <c r="B2251" s="152"/>
      <c r="E2251" s="102"/>
      <c r="F2251" s="102"/>
      <c r="G2251" s="102"/>
      <c r="I2251" s="93"/>
      <c r="J2251" s="93"/>
    </row>
    <row r="2252" spans="1:10" s="65" customFormat="1" ht="14" x14ac:dyDescent="0.35">
      <c r="A2252" s="145"/>
      <c r="B2252" s="152"/>
      <c r="E2252" s="102"/>
      <c r="F2252" s="102"/>
      <c r="G2252" s="102"/>
      <c r="I2252" s="93"/>
      <c r="J2252" s="93"/>
    </row>
    <row r="2253" spans="1:10" s="65" customFormat="1" ht="14" x14ac:dyDescent="0.35">
      <c r="A2253" s="145"/>
      <c r="B2253" s="152"/>
      <c r="E2253" s="102"/>
      <c r="F2253" s="102"/>
      <c r="G2253" s="102"/>
      <c r="I2253" s="93"/>
      <c r="J2253" s="93"/>
    </row>
    <row r="2254" spans="1:10" s="65" customFormat="1" ht="14" x14ac:dyDescent="0.35">
      <c r="A2254" s="145"/>
      <c r="B2254" s="152"/>
      <c r="E2254" s="102"/>
      <c r="F2254" s="102"/>
      <c r="G2254" s="102"/>
      <c r="I2254" s="93"/>
      <c r="J2254" s="93"/>
    </row>
    <row r="2255" spans="1:10" s="65" customFormat="1" ht="14" x14ac:dyDescent="0.35">
      <c r="A2255" s="145"/>
      <c r="B2255" s="152"/>
      <c r="E2255" s="102"/>
      <c r="F2255" s="102"/>
      <c r="G2255" s="102"/>
      <c r="I2255" s="93"/>
      <c r="J2255" s="93"/>
    </row>
    <row r="2256" spans="1:10" s="65" customFormat="1" ht="14" x14ac:dyDescent="0.35">
      <c r="A2256" s="145"/>
      <c r="B2256" s="152"/>
      <c r="E2256" s="102"/>
      <c r="F2256" s="102"/>
      <c r="G2256" s="102"/>
      <c r="I2256" s="93"/>
      <c r="J2256" s="93"/>
    </row>
    <row r="2257" spans="1:10" s="65" customFormat="1" ht="14" x14ac:dyDescent="0.35">
      <c r="A2257" s="145"/>
      <c r="B2257" s="152"/>
      <c r="E2257" s="102"/>
      <c r="F2257" s="102"/>
      <c r="G2257" s="102"/>
      <c r="I2257" s="93"/>
      <c r="J2257" s="93"/>
    </row>
    <row r="2258" spans="1:10" s="65" customFormat="1" ht="14" x14ac:dyDescent="0.35">
      <c r="A2258" s="145"/>
      <c r="B2258" s="152"/>
      <c r="E2258" s="102"/>
      <c r="F2258" s="102"/>
      <c r="G2258" s="102"/>
      <c r="I2258" s="93"/>
      <c r="J2258" s="93"/>
    </row>
    <row r="2259" spans="1:10" s="65" customFormat="1" ht="14" x14ac:dyDescent="0.35">
      <c r="A2259" s="145"/>
      <c r="B2259" s="152"/>
      <c r="E2259" s="102"/>
      <c r="F2259" s="102"/>
      <c r="G2259" s="102"/>
      <c r="I2259" s="93"/>
      <c r="J2259" s="93"/>
    </row>
    <row r="2260" spans="1:10" s="65" customFormat="1" ht="14" x14ac:dyDescent="0.35">
      <c r="A2260" s="145"/>
      <c r="B2260" s="152"/>
      <c r="E2260" s="102"/>
      <c r="F2260" s="102"/>
      <c r="G2260" s="102"/>
      <c r="I2260" s="93"/>
      <c r="J2260" s="93"/>
    </row>
    <row r="2261" spans="1:10" s="65" customFormat="1" ht="14" x14ac:dyDescent="0.35">
      <c r="A2261" s="145"/>
      <c r="B2261" s="152"/>
      <c r="E2261" s="102"/>
      <c r="F2261" s="102"/>
      <c r="G2261" s="102"/>
      <c r="I2261" s="93"/>
      <c r="J2261" s="93"/>
    </row>
    <row r="2262" spans="1:10" s="65" customFormat="1" ht="14" x14ac:dyDescent="0.35">
      <c r="A2262" s="145"/>
      <c r="B2262" s="152"/>
      <c r="E2262" s="102"/>
      <c r="F2262" s="102"/>
      <c r="G2262" s="102"/>
      <c r="I2262" s="93"/>
      <c r="J2262" s="93"/>
    </row>
    <row r="2263" spans="1:10" s="65" customFormat="1" ht="14" x14ac:dyDescent="0.35">
      <c r="A2263" s="145"/>
      <c r="B2263" s="152"/>
      <c r="E2263" s="102"/>
      <c r="F2263" s="102"/>
      <c r="G2263" s="102"/>
      <c r="I2263" s="93"/>
      <c r="J2263" s="93"/>
    </row>
    <row r="2264" spans="1:10" s="65" customFormat="1" ht="14" x14ac:dyDescent="0.35">
      <c r="A2264" s="145"/>
      <c r="B2264" s="152"/>
      <c r="E2264" s="102"/>
      <c r="F2264" s="102"/>
      <c r="G2264" s="102"/>
      <c r="I2264" s="93"/>
      <c r="J2264" s="93"/>
    </row>
    <row r="2265" spans="1:10" s="65" customFormat="1" ht="14" x14ac:dyDescent="0.35">
      <c r="A2265" s="145"/>
      <c r="B2265" s="152"/>
      <c r="E2265" s="102"/>
      <c r="F2265" s="102"/>
      <c r="G2265" s="102"/>
      <c r="I2265" s="93"/>
      <c r="J2265" s="93"/>
    </row>
    <row r="2266" spans="1:10" s="65" customFormat="1" ht="14" x14ac:dyDescent="0.35">
      <c r="A2266" s="145"/>
      <c r="B2266" s="152"/>
      <c r="E2266" s="102"/>
      <c r="F2266" s="102"/>
      <c r="G2266" s="102"/>
      <c r="I2266" s="93"/>
      <c r="J2266" s="93"/>
    </row>
    <row r="2267" spans="1:10" s="65" customFormat="1" ht="14" x14ac:dyDescent="0.35">
      <c r="A2267" s="145"/>
      <c r="B2267" s="152"/>
      <c r="E2267" s="102"/>
      <c r="F2267" s="102"/>
      <c r="G2267" s="102"/>
      <c r="I2267" s="93"/>
      <c r="J2267" s="93"/>
    </row>
    <row r="2268" spans="1:10" s="65" customFormat="1" ht="14" x14ac:dyDescent="0.35">
      <c r="A2268" s="145"/>
      <c r="B2268" s="152"/>
      <c r="E2268" s="102"/>
      <c r="F2268" s="102"/>
      <c r="G2268" s="102"/>
      <c r="I2268" s="93"/>
      <c r="J2268" s="93"/>
    </row>
    <row r="2269" spans="1:10" s="65" customFormat="1" ht="14" x14ac:dyDescent="0.35">
      <c r="A2269" s="145"/>
      <c r="B2269" s="152"/>
      <c r="E2269" s="102"/>
      <c r="F2269" s="102"/>
      <c r="G2269" s="102"/>
      <c r="I2269" s="93"/>
      <c r="J2269" s="93"/>
    </row>
    <row r="2270" spans="1:10" s="65" customFormat="1" ht="14" x14ac:dyDescent="0.35">
      <c r="A2270" s="145"/>
      <c r="B2270" s="152"/>
      <c r="E2270" s="102"/>
      <c r="F2270" s="102"/>
      <c r="G2270" s="102"/>
      <c r="I2270" s="93"/>
      <c r="J2270" s="93"/>
    </row>
    <row r="2271" spans="1:10" s="65" customFormat="1" ht="14" x14ac:dyDescent="0.35">
      <c r="A2271" s="145"/>
      <c r="B2271" s="152"/>
      <c r="E2271" s="102"/>
      <c r="F2271" s="102"/>
      <c r="G2271" s="102"/>
      <c r="I2271" s="93"/>
      <c r="J2271" s="93"/>
    </row>
    <row r="2272" spans="1:10" s="65" customFormat="1" ht="14" x14ac:dyDescent="0.35">
      <c r="A2272" s="145"/>
      <c r="B2272" s="152"/>
      <c r="E2272" s="102"/>
      <c r="F2272" s="102"/>
      <c r="G2272" s="102"/>
      <c r="I2272" s="93"/>
      <c r="J2272" s="93"/>
    </row>
    <row r="2273" spans="1:10" s="65" customFormat="1" ht="14" x14ac:dyDescent="0.35">
      <c r="A2273" s="145"/>
      <c r="B2273" s="152"/>
      <c r="E2273" s="102"/>
      <c r="F2273" s="102"/>
      <c r="G2273" s="102"/>
      <c r="I2273" s="93"/>
      <c r="J2273" s="93"/>
    </row>
    <row r="2274" spans="1:10" s="65" customFormat="1" ht="14" x14ac:dyDescent="0.35">
      <c r="A2274" s="145"/>
      <c r="B2274" s="152"/>
      <c r="E2274" s="102"/>
      <c r="F2274" s="102"/>
      <c r="G2274" s="102"/>
      <c r="I2274" s="93"/>
      <c r="J2274" s="93"/>
    </row>
    <row r="2275" spans="1:10" s="65" customFormat="1" ht="14" x14ac:dyDescent="0.35">
      <c r="A2275" s="145"/>
      <c r="B2275" s="152"/>
      <c r="E2275" s="102"/>
      <c r="F2275" s="102"/>
      <c r="G2275" s="102"/>
      <c r="I2275" s="93"/>
      <c r="J2275" s="93"/>
    </row>
    <row r="2276" spans="1:10" s="65" customFormat="1" ht="14" x14ac:dyDescent="0.35">
      <c r="A2276" s="145"/>
      <c r="B2276" s="152"/>
      <c r="E2276" s="102"/>
      <c r="F2276" s="102"/>
      <c r="G2276" s="102"/>
      <c r="I2276" s="93"/>
      <c r="J2276" s="93"/>
    </row>
    <row r="2277" spans="1:10" s="65" customFormat="1" ht="14" x14ac:dyDescent="0.35">
      <c r="A2277" s="145"/>
      <c r="B2277" s="152"/>
      <c r="E2277" s="102"/>
      <c r="F2277" s="102"/>
      <c r="G2277" s="102"/>
      <c r="I2277" s="93"/>
      <c r="J2277" s="93"/>
    </row>
    <row r="2278" spans="1:10" s="65" customFormat="1" ht="14" x14ac:dyDescent="0.35">
      <c r="A2278" s="145"/>
      <c r="B2278" s="152"/>
      <c r="E2278" s="102"/>
      <c r="F2278" s="102"/>
      <c r="G2278" s="102"/>
      <c r="I2278" s="93"/>
      <c r="J2278" s="93"/>
    </row>
    <row r="2279" spans="1:10" s="65" customFormat="1" ht="14" x14ac:dyDescent="0.35">
      <c r="A2279" s="145"/>
      <c r="B2279" s="152"/>
      <c r="E2279" s="102"/>
      <c r="F2279" s="102"/>
      <c r="G2279" s="102"/>
      <c r="I2279" s="93"/>
      <c r="J2279" s="93"/>
    </row>
    <row r="2280" spans="1:10" s="65" customFormat="1" ht="14" x14ac:dyDescent="0.35">
      <c r="A2280" s="145"/>
      <c r="B2280" s="152"/>
      <c r="E2280" s="102"/>
      <c r="F2280" s="102"/>
      <c r="G2280" s="102"/>
      <c r="I2280" s="93"/>
      <c r="J2280" s="93"/>
    </row>
    <row r="2281" spans="1:10" s="65" customFormat="1" ht="14" x14ac:dyDescent="0.35">
      <c r="A2281" s="145"/>
      <c r="B2281" s="152"/>
      <c r="E2281" s="102"/>
      <c r="F2281" s="102"/>
      <c r="G2281" s="102"/>
      <c r="I2281" s="93"/>
      <c r="J2281" s="93"/>
    </row>
    <row r="2282" spans="1:10" s="65" customFormat="1" ht="14" x14ac:dyDescent="0.35">
      <c r="A2282" s="145"/>
      <c r="B2282" s="152"/>
      <c r="E2282" s="102"/>
      <c r="F2282" s="102"/>
      <c r="G2282" s="102"/>
      <c r="I2282" s="93"/>
      <c r="J2282" s="93"/>
    </row>
    <row r="2283" spans="1:10" s="65" customFormat="1" ht="14" x14ac:dyDescent="0.35">
      <c r="A2283" s="145"/>
      <c r="B2283" s="152"/>
      <c r="E2283" s="102"/>
      <c r="F2283" s="102"/>
      <c r="G2283" s="102"/>
      <c r="I2283" s="93"/>
      <c r="J2283" s="93"/>
    </row>
    <row r="2284" spans="1:10" s="65" customFormat="1" ht="14" x14ac:dyDescent="0.35">
      <c r="A2284" s="145"/>
      <c r="B2284" s="152"/>
      <c r="E2284" s="102"/>
      <c r="F2284" s="102"/>
      <c r="G2284" s="102"/>
      <c r="I2284" s="93"/>
      <c r="J2284" s="93"/>
    </row>
    <row r="2285" spans="1:10" s="65" customFormat="1" ht="14" x14ac:dyDescent="0.35">
      <c r="A2285" s="145"/>
      <c r="B2285" s="152"/>
      <c r="E2285" s="102"/>
      <c r="F2285" s="102"/>
      <c r="G2285" s="102"/>
      <c r="I2285" s="93"/>
      <c r="J2285" s="93"/>
    </row>
    <row r="2286" spans="1:10" s="65" customFormat="1" ht="14" x14ac:dyDescent="0.35">
      <c r="A2286" s="145"/>
      <c r="B2286" s="152"/>
      <c r="E2286" s="102"/>
      <c r="F2286" s="102"/>
      <c r="G2286" s="102"/>
      <c r="I2286" s="93"/>
      <c r="J2286" s="93"/>
    </row>
    <row r="2287" spans="1:10" s="65" customFormat="1" ht="14" x14ac:dyDescent="0.35">
      <c r="A2287" s="145"/>
      <c r="B2287" s="152"/>
      <c r="E2287" s="102"/>
      <c r="F2287" s="102"/>
      <c r="G2287" s="102"/>
      <c r="I2287" s="93"/>
      <c r="J2287" s="93"/>
    </row>
    <row r="2288" spans="1:10" s="65" customFormat="1" ht="14" x14ac:dyDescent="0.35">
      <c r="A2288" s="145"/>
      <c r="B2288" s="152"/>
      <c r="E2288" s="102"/>
      <c r="F2288" s="102"/>
      <c r="G2288" s="102"/>
      <c r="I2288" s="93"/>
      <c r="J2288" s="93"/>
    </row>
    <row r="2289" spans="1:10" s="65" customFormat="1" ht="14" x14ac:dyDescent="0.35">
      <c r="A2289" s="145"/>
      <c r="B2289" s="152"/>
      <c r="E2289" s="102"/>
      <c r="F2289" s="102"/>
      <c r="G2289" s="102"/>
      <c r="I2289" s="93"/>
      <c r="J2289" s="93"/>
    </row>
    <row r="2290" spans="1:10" s="65" customFormat="1" ht="14" x14ac:dyDescent="0.35">
      <c r="A2290" s="145"/>
      <c r="B2290" s="152"/>
      <c r="E2290" s="102"/>
      <c r="F2290" s="102"/>
      <c r="G2290" s="102"/>
      <c r="I2290" s="93"/>
      <c r="J2290" s="93"/>
    </row>
    <row r="2291" spans="1:10" s="65" customFormat="1" ht="14" x14ac:dyDescent="0.35">
      <c r="A2291" s="145"/>
      <c r="B2291" s="152"/>
      <c r="E2291" s="102"/>
      <c r="F2291" s="102"/>
      <c r="G2291" s="102"/>
      <c r="I2291" s="93"/>
      <c r="J2291" s="93"/>
    </row>
    <row r="2292" spans="1:10" s="65" customFormat="1" ht="14" x14ac:dyDescent="0.35">
      <c r="A2292" s="145"/>
      <c r="B2292" s="152"/>
      <c r="E2292" s="102"/>
      <c r="F2292" s="102"/>
      <c r="G2292" s="102"/>
      <c r="I2292" s="93"/>
      <c r="J2292" s="93"/>
    </row>
    <row r="2293" spans="1:10" s="65" customFormat="1" ht="14" x14ac:dyDescent="0.35">
      <c r="A2293" s="145"/>
      <c r="B2293" s="152"/>
      <c r="E2293" s="102"/>
      <c r="F2293" s="102"/>
      <c r="G2293" s="102"/>
      <c r="I2293" s="93"/>
      <c r="J2293" s="93"/>
    </row>
    <row r="2294" spans="1:10" s="65" customFormat="1" ht="14" x14ac:dyDescent="0.35">
      <c r="A2294" s="145"/>
      <c r="B2294" s="152"/>
      <c r="E2294" s="102"/>
      <c r="F2294" s="102"/>
      <c r="G2294" s="102"/>
      <c r="I2294" s="93"/>
      <c r="J2294" s="93"/>
    </row>
    <row r="2295" spans="1:10" s="65" customFormat="1" ht="14" x14ac:dyDescent="0.35">
      <c r="A2295" s="145"/>
      <c r="B2295" s="152"/>
      <c r="E2295" s="102"/>
      <c r="F2295" s="102"/>
      <c r="G2295" s="102"/>
      <c r="I2295" s="93"/>
      <c r="J2295" s="93"/>
    </row>
    <row r="2296" spans="1:10" s="65" customFormat="1" ht="14" x14ac:dyDescent="0.35">
      <c r="A2296" s="145"/>
      <c r="B2296" s="152"/>
      <c r="E2296" s="102"/>
      <c r="F2296" s="102"/>
      <c r="G2296" s="102"/>
      <c r="I2296" s="93"/>
      <c r="J2296" s="93"/>
    </row>
    <row r="2297" spans="1:10" s="65" customFormat="1" ht="14" x14ac:dyDescent="0.35">
      <c r="A2297" s="145"/>
      <c r="B2297" s="152"/>
      <c r="E2297" s="102"/>
      <c r="F2297" s="102"/>
      <c r="G2297" s="102"/>
      <c r="I2297" s="93"/>
      <c r="J2297" s="93"/>
    </row>
    <row r="2298" spans="1:10" s="65" customFormat="1" ht="14" x14ac:dyDescent="0.35">
      <c r="A2298" s="145"/>
      <c r="B2298" s="152"/>
      <c r="E2298" s="102"/>
      <c r="F2298" s="102"/>
      <c r="G2298" s="102"/>
      <c r="I2298" s="93"/>
      <c r="J2298" s="93"/>
    </row>
    <row r="2299" spans="1:10" s="65" customFormat="1" ht="14" x14ac:dyDescent="0.35">
      <c r="A2299" s="145"/>
      <c r="B2299" s="152"/>
      <c r="E2299" s="102"/>
      <c r="F2299" s="102"/>
      <c r="G2299" s="102"/>
      <c r="I2299" s="93"/>
      <c r="J2299" s="93"/>
    </row>
    <row r="2300" spans="1:10" s="65" customFormat="1" ht="14" x14ac:dyDescent="0.35">
      <c r="A2300" s="145"/>
      <c r="B2300" s="152"/>
      <c r="E2300" s="102"/>
      <c r="F2300" s="102"/>
      <c r="G2300" s="102"/>
      <c r="I2300" s="93"/>
      <c r="J2300" s="93"/>
    </row>
    <row r="2301" spans="1:10" s="65" customFormat="1" ht="14" x14ac:dyDescent="0.35">
      <c r="A2301" s="145"/>
      <c r="B2301" s="152"/>
      <c r="E2301" s="102"/>
      <c r="F2301" s="102"/>
      <c r="G2301" s="102"/>
      <c r="I2301" s="93"/>
      <c r="J2301" s="93"/>
    </row>
    <row r="2302" spans="1:10" s="65" customFormat="1" ht="14" x14ac:dyDescent="0.35">
      <c r="A2302" s="145"/>
      <c r="B2302" s="152"/>
      <c r="E2302" s="102"/>
      <c r="F2302" s="102"/>
      <c r="G2302" s="102"/>
      <c r="I2302" s="93"/>
      <c r="J2302" s="93"/>
    </row>
    <row r="2303" spans="1:10" s="65" customFormat="1" ht="14" x14ac:dyDescent="0.35">
      <c r="A2303" s="145"/>
      <c r="B2303" s="152"/>
      <c r="E2303" s="102"/>
      <c r="F2303" s="102"/>
      <c r="G2303" s="102"/>
      <c r="I2303" s="93"/>
      <c r="J2303" s="93"/>
    </row>
    <row r="2304" spans="1:10" s="65" customFormat="1" ht="14" x14ac:dyDescent="0.35">
      <c r="A2304" s="145"/>
      <c r="B2304" s="152"/>
      <c r="E2304" s="102"/>
      <c r="F2304" s="102"/>
      <c r="G2304" s="102"/>
      <c r="I2304" s="93"/>
      <c r="J2304" s="93"/>
    </row>
    <row r="2305" spans="1:10" s="65" customFormat="1" ht="14" x14ac:dyDescent="0.35">
      <c r="A2305" s="145"/>
      <c r="B2305" s="152"/>
      <c r="E2305" s="102"/>
      <c r="F2305" s="102"/>
      <c r="G2305" s="102"/>
      <c r="I2305" s="93"/>
      <c r="J2305" s="93"/>
    </row>
    <row r="2306" spans="1:10" s="65" customFormat="1" ht="14" x14ac:dyDescent="0.35">
      <c r="A2306" s="145"/>
      <c r="B2306" s="152"/>
      <c r="E2306" s="102"/>
      <c r="F2306" s="102"/>
      <c r="G2306" s="102"/>
      <c r="I2306" s="93"/>
      <c r="J2306" s="93"/>
    </row>
    <row r="2307" spans="1:10" s="65" customFormat="1" ht="14" x14ac:dyDescent="0.35">
      <c r="A2307" s="145"/>
      <c r="B2307" s="152"/>
      <c r="E2307" s="102"/>
      <c r="F2307" s="102"/>
      <c r="G2307" s="102"/>
      <c r="I2307" s="93"/>
      <c r="J2307" s="93"/>
    </row>
    <row r="2308" spans="1:10" s="65" customFormat="1" ht="14" x14ac:dyDescent="0.35">
      <c r="A2308" s="145"/>
      <c r="B2308" s="152"/>
      <c r="E2308" s="102"/>
      <c r="F2308" s="102"/>
      <c r="G2308" s="102"/>
      <c r="I2308" s="93"/>
      <c r="J2308" s="93"/>
    </row>
    <row r="2309" spans="1:10" s="65" customFormat="1" ht="14" x14ac:dyDescent="0.35">
      <c r="A2309" s="145"/>
      <c r="B2309" s="152"/>
      <c r="E2309" s="102"/>
      <c r="F2309" s="102"/>
      <c r="G2309" s="102"/>
      <c r="I2309" s="93"/>
      <c r="J2309" s="93"/>
    </row>
    <row r="2310" spans="1:10" s="65" customFormat="1" ht="14" x14ac:dyDescent="0.35">
      <c r="A2310" s="145"/>
      <c r="B2310" s="152"/>
      <c r="E2310" s="102"/>
      <c r="F2310" s="102"/>
      <c r="G2310" s="102"/>
      <c r="I2310" s="93"/>
      <c r="J2310" s="93"/>
    </row>
    <row r="2311" spans="1:10" s="65" customFormat="1" ht="14" x14ac:dyDescent="0.35">
      <c r="A2311" s="145"/>
      <c r="B2311" s="152"/>
      <c r="E2311" s="102"/>
      <c r="F2311" s="102"/>
      <c r="G2311" s="102"/>
      <c r="I2311" s="93"/>
      <c r="J2311" s="93"/>
    </row>
    <row r="2312" spans="1:10" s="65" customFormat="1" ht="14" x14ac:dyDescent="0.35">
      <c r="A2312" s="145"/>
      <c r="B2312" s="152"/>
      <c r="E2312" s="102"/>
      <c r="F2312" s="102"/>
      <c r="G2312" s="102"/>
      <c r="I2312" s="93"/>
      <c r="J2312" s="93"/>
    </row>
    <row r="2313" spans="1:10" s="65" customFormat="1" ht="14" x14ac:dyDescent="0.35">
      <c r="A2313" s="145"/>
      <c r="B2313" s="152"/>
      <c r="E2313" s="102"/>
      <c r="F2313" s="102"/>
      <c r="G2313" s="102"/>
      <c r="I2313" s="93"/>
      <c r="J2313" s="93"/>
    </row>
    <row r="2314" spans="1:10" s="65" customFormat="1" ht="14" x14ac:dyDescent="0.35">
      <c r="A2314" s="145"/>
      <c r="B2314" s="152"/>
      <c r="E2314" s="102"/>
      <c r="F2314" s="102"/>
      <c r="G2314" s="102"/>
      <c r="I2314" s="93"/>
      <c r="J2314" s="93"/>
    </row>
    <row r="2315" spans="1:10" s="65" customFormat="1" ht="14" x14ac:dyDescent="0.35">
      <c r="A2315" s="145"/>
      <c r="B2315" s="152"/>
      <c r="E2315" s="102"/>
      <c r="F2315" s="102"/>
      <c r="G2315" s="102"/>
      <c r="I2315" s="93"/>
      <c r="J2315" s="93"/>
    </row>
    <row r="2316" spans="1:10" s="65" customFormat="1" ht="14" x14ac:dyDescent="0.35">
      <c r="A2316" s="145"/>
      <c r="B2316" s="152"/>
      <c r="E2316" s="102"/>
      <c r="F2316" s="102"/>
      <c r="G2316" s="102"/>
      <c r="I2316" s="93"/>
      <c r="J2316" s="93"/>
    </row>
    <row r="2317" spans="1:10" s="65" customFormat="1" ht="14" x14ac:dyDescent="0.35">
      <c r="A2317" s="145"/>
      <c r="B2317" s="152"/>
      <c r="E2317" s="102"/>
      <c r="F2317" s="102"/>
      <c r="G2317" s="102"/>
      <c r="I2317" s="93"/>
      <c r="J2317" s="93"/>
    </row>
    <row r="2318" spans="1:10" s="65" customFormat="1" ht="14" x14ac:dyDescent="0.35">
      <c r="A2318" s="145"/>
      <c r="B2318" s="152"/>
      <c r="E2318" s="102"/>
      <c r="F2318" s="102"/>
      <c r="G2318" s="102"/>
      <c r="I2318" s="93"/>
      <c r="J2318" s="93"/>
    </row>
    <row r="2319" spans="1:10" s="65" customFormat="1" ht="14" x14ac:dyDescent="0.35">
      <c r="A2319" s="145"/>
      <c r="B2319" s="152"/>
      <c r="E2319" s="102"/>
      <c r="F2319" s="102"/>
      <c r="G2319" s="102"/>
      <c r="I2319" s="93"/>
      <c r="J2319" s="93"/>
    </row>
    <row r="2320" spans="1:10" s="65" customFormat="1" ht="14" x14ac:dyDescent="0.35">
      <c r="A2320" s="145"/>
      <c r="B2320" s="152"/>
      <c r="E2320" s="102"/>
      <c r="F2320" s="102"/>
      <c r="G2320" s="102"/>
      <c r="I2320" s="93"/>
      <c r="J2320" s="93"/>
    </row>
    <row r="2321" spans="1:10" s="65" customFormat="1" ht="14" x14ac:dyDescent="0.35">
      <c r="A2321" s="145"/>
      <c r="B2321" s="152"/>
      <c r="E2321" s="102"/>
      <c r="F2321" s="102"/>
      <c r="G2321" s="102"/>
      <c r="I2321" s="93"/>
      <c r="J2321" s="93"/>
    </row>
    <row r="2322" spans="1:10" s="65" customFormat="1" ht="14" x14ac:dyDescent="0.35">
      <c r="A2322" s="145"/>
      <c r="B2322" s="152"/>
      <c r="E2322" s="102"/>
      <c r="F2322" s="102"/>
      <c r="G2322" s="102"/>
      <c r="I2322" s="93"/>
      <c r="J2322" s="93"/>
    </row>
    <row r="2323" spans="1:10" s="65" customFormat="1" ht="14" x14ac:dyDescent="0.35">
      <c r="A2323" s="145"/>
      <c r="B2323" s="152"/>
      <c r="E2323" s="102"/>
      <c r="F2323" s="102"/>
      <c r="G2323" s="102"/>
      <c r="I2323" s="93"/>
      <c r="J2323" s="93"/>
    </row>
    <row r="2324" spans="1:10" s="65" customFormat="1" ht="14" x14ac:dyDescent="0.35">
      <c r="A2324" s="145"/>
      <c r="B2324" s="152"/>
      <c r="E2324" s="102"/>
      <c r="F2324" s="102"/>
      <c r="G2324" s="102"/>
      <c r="I2324" s="93"/>
      <c r="J2324" s="93"/>
    </row>
    <row r="2325" spans="1:10" s="65" customFormat="1" ht="14" x14ac:dyDescent="0.35">
      <c r="A2325" s="145"/>
      <c r="B2325" s="152"/>
      <c r="E2325" s="102"/>
      <c r="F2325" s="102"/>
      <c r="G2325" s="102"/>
      <c r="I2325" s="93"/>
      <c r="J2325" s="93"/>
    </row>
    <row r="2326" spans="1:10" s="65" customFormat="1" ht="14" x14ac:dyDescent="0.35">
      <c r="A2326" s="145"/>
      <c r="B2326" s="152"/>
      <c r="E2326" s="102"/>
      <c r="F2326" s="102"/>
      <c r="G2326" s="102"/>
      <c r="I2326" s="93"/>
      <c r="J2326" s="93"/>
    </row>
    <row r="2327" spans="1:10" s="65" customFormat="1" ht="14" x14ac:dyDescent="0.35">
      <c r="A2327" s="145"/>
      <c r="B2327" s="152"/>
      <c r="E2327" s="102"/>
      <c r="F2327" s="102"/>
      <c r="G2327" s="102"/>
      <c r="I2327" s="93"/>
      <c r="J2327" s="93"/>
    </row>
    <row r="2328" spans="1:10" s="65" customFormat="1" ht="14" x14ac:dyDescent="0.35">
      <c r="A2328" s="145"/>
      <c r="B2328" s="152"/>
      <c r="E2328" s="102"/>
      <c r="F2328" s="102"/>
      <c r="G2328" s="102"/>
      <c r="I2328" s="93"/>
      <c r="J2328" s="93"/>
    </row>
    <row r="2329" spans="1:10" s="65" customFormat="1" ht="14" x14ac:dyDescent="0.35">
      <c r="A2329" s="145"/>
      <c r="B2329" s="152"/>
      <c r="E2329" s="102"/>
      <c r="F2329" s="102"/>
      <c r="G2329" s="102"/>
      <c r="I2329" s="93"/>
      <c r="J2329" s="93"/>
    </row>
    <row r="2330" spans="1:10" s="65" customFormat="1" ht="14" x14ac:dyDescent="0.35">
      <c r="A2330" s="145"/>
      <c r="B2330" s="152"/>
      <c r="E2330" s="102"/>
      <c r="F2330" s="102"/>
      <c r="G2330" s="102"/>
      <c r="I2330" s="93"/>
      <c r="J2330" s="93"/>
    </row>
    <row r="2331" spans="1:10" s="65" customFormat="1" ht="14" x14ac:dyDescent="0.35">
      <c r="A2331" s="145"/>
      <c r="B2331" s="152"/>
      <c r="E2331" s="102"/>
      <c r="F2331" s="102"/>
      <c r="G2331" s="102"/>
      <c r="I2331" s="93"/>
      <c r="J2331" s="93"/>
    </row>
    <row r="2332" spans="1:10" s="65" customFormat="1" ht="14" x14ac:dyDescent="0.35">
      <c r="A2332" s="145"/>
      <c r="B2332" s="152"/>
      <c r="E2332" s="102"/>
      <c r="F2332" s="102"/>
      <c r="G2332" s="102"/>
      <c r="I2332" s="93"/>
      <c r="J2332" s="93"/>
    </row>
    <row r="2333" spans="1:10" s="65" customFormat="1" ht="14" x14ac:dyDescent="0.35">
      <c r="A2333" s="145"/>
      <c r="B2333" s="152"/>
      <c r="E2333" s="102"/>
      <c r="F2333" s="102"/>
      <c r="G2333" s="102"/>
      <c r="I2333" s="93"/>
      <c r="J2333" s="93"/>
    </row>
    <row r="2334" spans="1:10" s="65" customFormat="1" ht="14" x14ac:dyDescent="0.35">
      <c r="A2334" s="145"/>
      <c r="B2334" s="152"/>
      <c r="E2334" s="102"/>
      <c r="F2334" s="102"/>
      <c r="G2334" s="102"/>
      <c r="I2334" s="93"/>
      <c r="J2334" s="93"/>
    </row>
    <row r="2335" spans="1:10" s="65" customFormat="1" ht="14" x14ac:dyDescent="0.35">
      <c r="A2335" s="145"/>
      <c r="B2335" s="152"/>
      <c r="E2335" s="102"/>
      <c r="F2335" s="102"/>
      <c r="G2335" s="102"/>
      <c r="I2335" s="93"/>
      <c r="J2335" s="93"/>
    </row>
    <row r="2336" spans="1:10" s="65" customFormat="1" ht="14" x14ac:dyDescent="0.35">
      <c r="A2336" s="145"/>
      <c r="B2336" s="152"/>
      <c r="E2336" s="102"/>
      <c r="F2336" s="102"/>
      <c r="G2336" s="102"/>
      <c r="I2336" s="93"/>
      <c r="J2336" s="93"/>
    </row>
    <row r="2337" spans="1:10" s="65" customFormat="1" ht="14" x14ac:dyDescent="0.35">
      <c r="A2337" s="145"/>
      <c r="B2337" s="152"/>
      <c r="E2337" s="102"/>
      <c r="F2337" s="102"/>
      <c r="G2337" s="102"/>
      <c r="I2337" s="93"/>
      <c r="J2337" s="93"/>
    </row>
    <row r="2338" spans="1:10" s="65" customFormat="1" ht="14" x14ac:dyDescent="0.35">
      <c r="A2338" s="145"/>
      <c r="B2338" s="152"/>
      <c r="E2338" s="102"/>
      <c r="F2338" s="102"/>
      <c r="G2338" s="102"/>
      <c r="I2338" s="93"/>
      <c r="J2338" s="93"/>
    </row>
    <row r="2339" spans="1:10" s="65" customFormat="1" ht="14" x14ac:dyDescent="0.35">
      <c r="A2339" s="145"/>
      <c r="B2339" s="152"/>
      <c r="E2339" s="102"/>
      <c r="F2339" s="102"/>
      <c r="G2339" s="102"/>
      <c r="I2339" s="93"/>
      <c r="J2339" s="93"/>
    </row>
    <row r="2340" spans="1:10" s="65" customFormat="1" ht="14" x14ac:dyDescent="0.35">
      <c r="A2340" s="145"/>
      <c r="B2340" s="152"/>
      <c r="E2340" s="102"/>
      <c r="F2340" s="102"/>
      <c r="G2340" s="102"/>
      <c r="I2340" s="93"/>
      <c r="J2340" s="93"/>
    </row>
    <row r="2341" spans="1:10" s="65" customFormat="1" ht="14" x14ac:dyDescent="0.35">
      <c r="A2341" s="145"/>
      <c r="B2341" s="152"/>
      <c r="E2341" s="102"/>
      <c r="F2341" s="102"/>
      <c r="G2341" s="102"/>
      <c r="I2341" s="93"/>
      <c r="J2341" s="93"/>
    </row>
    <row r="2342" spans="1:10" s="65" customFormat="1" ht="14" x14ac:dyDescent="0.35">
      <c r="A2342" s="145"/>
      <c r="B2342" s="152"/>
      <c r="E2342" s="102"/>
      <c r="F2342" s="102"/>
      <c r="G2342" s="102"/>
      <c r="I2342" s="93"/>
      <c r="J2342" s="93"/>
    </row>
    <row r="2343" spans="1:10" s="65" customFormat="1" ht="14" x14ac:dyDescent="0.35">
      <c r="A2343" s="145"/>
      <c r="B2343" s="152"/>
      <c r="E2343" s="102"/>
      <c r="F2343" s="102"/>
      <c r="G2343" s="102"/>
      <c r="I2343" s="93"/>
      <c r="J2343" s="93"/>
    </row>
    <row r="2344" spans="1:10" s="65" customFormat="1" ht="14" x14ac:dyDescent="0.35">
      <c r="A2344" s="145"/>
      <c r="B2344" s="152"/>
      <c r="E2344" s="102"/>
      <c r="F2344" s="102"/>
      <c r="G2344" s="102"/>
      <c r="I2344" s="93"/>
      <c r="J2344" s="93"/>
    </row>
    <row r="2345" spans="1:10" s="65" customFormat="1" ht="14" x14ac:dyDescent="0.35">
      <c r="A2345" s="145"/>
      <c r="B2345" s="152"/>
      <c r="E2345" s="102"/>
      <c r="F2345" s="102"/>
      <c r="G2345" s="102"/>
      <c r="I2345" s="93"/>
      <c r="J2345" s="93"/>
    </row>
    <row r="2346" spans="1:10" s="65" customFormat="1" ht="14" x14ac:dyDescent="0.35">
      <c r="A2346" s="145"/>
      <c r="B2346" s="152"/>
      <c r="E2346" s="102"/>
      <c r="F2346" s="102"/>
      <c r="G2346" s="102"/>
      <c r="I2346" s="93"/>
      <c r="J2346" s="93"/>
    </row>
    <row r="2347" spans="1:10" s="65" customFormat="1" ht="14" x14ac:dyDescent="0.35">
      <c r="A2347" s="145"/>
      <c r="B2347" s="152"/>
      <c r="E2347" s="102"/>
      <c r="F2347" s="102"/>
      <c r="G2347" s="102"/>
      <c r="I2347" s="93"/>
      <c r="J2347" s="93"/>
    </row>
    <row r="2348" spans="1:10" s="65" customFormat="1" ht="14" x14ac:dyDescent="0.35">
      <c r="A2348" s="145"/>
      <c r="B2348" s="152"/>
      <c r="E2348" s="102"/>
      <c r="F2348" s="102"/>
      <c r="G2348" s="102"/>
      <c r="I2348" s="93"/>
      <c r="J2348" s="93"/>
    </row>
    <row r="2349" spans="1:10" s="65" customFormat="1" ht="14" x14ac:dyDescent="0.35">
      <c r="A2349" s="145"/>
      <c r="B2349" s="152"/>
      <c r="E2349" s="102"/>
      <c r="F2349" s="102"/>
      <c r="G2349" s="102"/>
      <c r="I2349" s="93"/>
      <c r="J2349" s="93"/>
    </row>
    <row r="2350" spans="1:10" s="65" customFormat="1" ht="14" x14ac:dyDescent="0.35">
      <c r="A2350" s="145"/>
      <c r="B2350" s="152"/>
      <c r="E2350" s="102"/>
      <c r="F2350" s="102"/>
      <c r="G2350" s="102"/>
      <c r="I2350" s="93"/>
      <c r="J2350" s="93"/>
    </row>
    <row r="2351" spans="1:10" s="65" customFormat="1" ht="14" x14ac:dyDescent="0.35">
      <c r="A2351" s="145"/>
      <c r="B2351" s="152"/>
      <c r="E2351" s="102"/>
      <c r="F2351" s="102"/>
      <c r="G2351" s="102"/>
      <c r="I2351" s="93"/>
      <c r="J2351" s="93"/>
    </row>
    <row r="2352" spans="1:10" s="65" customFormat="1" ht="14" x14ac:dyDescent="0.35">
      <c r="A2352" s="145"/>
      <c r="B2352" s="152"/>
      <c r="E2352" s="102"/>
      <c r="F2352" s="102"/>
      <c r="G2352" s="102"/>
      <c r="I2352" s="93"/>
      <c r="J2352" s="93"/>
    </row>
    <row r="2353" spans="1:10" s="65" customFormat="1" ht="14" x14ac:dyDescent="0.35">
      <c r="A2353" s="145"/>
      <c r="B2353" s="152"/>
      <c r="E2353" s="102"/>
      <c r="F2353" s="102"/>
      <c r="G2353" s="102"/>
      <c r="I2353" s="93"/>
      <c r="J2353" s="93"/>
    </row>
    <row r="2354" spans="1:10" s="65" customFormat="1" ht="14" x14ac:dyDescent="0.35">
      <c r="A2354" s="145"/>
      <c r="B2354" s="152"/>
      <c r="E2354" s="102"/>
      <c r="F2354" s="102"/>
      <c r="G2354" s="102"/>
      <c r="I2354" s="93"/>
      <c r="J2354" s="93"/>
    </row>
    <row r="2355" spans="1:10" s="65" customFormat="1" ht="14" x14ac:dyDescent="0.35">
      <c r="A2355" s="145"/>
      <c r="B2355" s="152"/>
      <c r="E2355" s="102"/>
      <c r="F2355" s="102"/>
      <c r="G2355" s="102"/>
      <c r="I2355" s="93"/>
      <c r="J2355" s="93"/>
    </row>
    <row r="2356" spans="1:10" s="65" customFormat="1" ht="14" x14ac:dyDescent="0.35">
      <c r="A2356" s="145"/>
      <c r="B2356" s="152"/>
      <c r="E2356" s="102"/>
      <c r="F2356" s="102"/>
      <c r="G2356" s="102"/>
      <c r="I2356" s="93"/>
      <c r="J2356" s="93"/>
    </row>
    <row r="2357" spans="1:10" s="65" customFormat="1" ht="14" x14ac:dyDescent="0.35">
      <c r="A2357" s="145"/>
      <c r="B2357" s="152"/>
      <c r="E2357" s="102"/>
      <c r="F2357" s="102"/>
      <c r="G2357" s="102"/>
      <c r="I2357" s="93"/>
      <c r="J2357" s="93"/>
    </row>
    <row r="2358" spans="1:10" s="65" customFormat="1" ht="14" x14ac:dyDescent="0.35">
      <c r="A2358" s="145"/>
      <c r="B2358" s="152"/>
      <c r="E2358" s="102"/>
      <c r="F2358" s="102"/>
      <c r="G2358" s="102"/>
      <c r="I2358" s="93"/>
      <c r="J2358" s="93"/>
    </row>
    <row r="2359" spans="1:10" s="65" customFormat="1" ht="14" x14ac:dyDescent="0.35">
      <c r="A2359" s="145"/>
      <c r="B2359" s="152"/>
      <c r="E2359" s="102"/>
      <c r="F2359" s="102"/>
      <c r="G2359" s="102"/>
      <c r="I2359" s="93"/>
      <c r="J2359" s="93"/>
    </row>
    <row r="2360" spans="1:10" s="65" customFormat="1" ht="14" x14ac:dyDescent="0.35">
      <c r="A2360" s="145"/>
      <c r="B2360" s="152"/>
      <c r="E2360" s="102"/>
      <c r="F2360" s="102"/>
      <c r="G2360" s="102"/>
      <c r="I2360" s="93"/>
      <c r="J2360" s="93"/>
    </row>
    <row r="2361" spans="1:10" s="65" customFormat="1" ht="14" x14ac:dyDescent="0.35">
      <c r="A2361" s="145"/>
      <c r="B2361" s="152"/>
      <c r="E2361" s="102"/>
      <c r="F2361" s="102"/>
      <c r="G2361" s="102"/>
      <c r="I2361" s="93"/>
      <c r="J2361" s="93"/>
    </row>
    <row r="2362" spans="1:10" s="65" customFormat="1" ht="14" x14ac:dyDescent="0.35">
      <c r="A2362" s="145"/>
      <c r="B2362" s="152"/>
      <c r="E2362" s="102"/>
      <c r="F2362" s="102"/>
      <c r="G2362" s="102"/>
      <c r="I2362" s="93"/>
      <c r="J2362" s="93"/>
    </row>
    <row r="2363" spans="1:10" s="65" customFormat="1" ht="14" x14ac:dyDescent="0.35">
      <c r="A2363" s="145"/>
      <c r="B2363" s="152"/>
      <c r="E2363" s="102"/>
      <c r="F2363" s="102"/>
      <c r="G2363" s="102"/>
      <c r="I2363" s="93"/>
      <c r="J2363" s="93"/>
    </row>
    <row r="2364" spans="1:10" s="65" customFormat="1" ht="14" x14ac:dyDescent="0.35">
      <c r="A2364" s="145"/>
      <c r="B2364" s="152"/>
      <c r="E2364" s="102"/>
      <c r="F2364" s="102"/>
      <c r="G2364" s="102"/>
      <c r="I2364" s="93"/>
      <c r="J2364" s="93"/>
    </row>
    <row r="2365" spans="1:10" s="65" customFormat="1" ht="14" x14ac:dyDescent="0.35">
      <c r="A2365" s="145"/>
      <c r="B2365" s="152"/>
      <c r="E2365" s="102"/>
      <c r="F2365" s="102"/>
      <c r="G2365" s="102"/>
      <c r="I2365" s="93"/>
      <c r="J2365" s="93"/>
    </row>
    <row r="2366" spans="1:10" s="65" customFormat="1" ht="14" x14ac:dyDescent="0.35">
      <c r="A2366" s="145"/>
      <c r="B2366" s="152"/>
      <c r="E2366" s="102"/>
      <c r="F2366" s="102"/>
      <c r="G2366" s="102"/>
      <c r="I2366" s="93"/>
      <c r="J2366" s="93"/>
    </row>
    <row r="2367" spans="1:10" s="65" customFormat="1" ht="14" x14ac:dyDescent="0.35">
      <c r="A2367" s="145"/>
      <c r="B2367" s="152"/>
      <c r="E2367" s="102"/>
      <c r="F2367" s="102"/>
      <c r="G2367" s="102"/>
      <c r="I2367" s="93"/>
      <c r="J2367" s="93"/>
    </row>
    <row r="2368" spans="1:10" s="65" customFormat="1" ht="14" x14ac:dyDescent="0.35">
      <c r="A2368" s="145"/>
      <c r="B2368" s="152"/>
      <c r="E2368" s="102"/>
      <c r="F2368" s="102"/>
      <c r="G2368" s="102"/>
      <c r="I2368" s="93"/>
      <c r="J2368" s="93"/>
    </row>
    <row r="2369" spans="1:10" s="65" customFormat="1" ht="14" x14ac:dyDescent="0.35">
      <c r="A2369" s="145"/>
      <c r="B2369" s="152"/>
      <c r="E2369" s="102"/>
      <c r="F2369" s="102"/>
      <c r="G2369" s="102"/>
      <c r="I2369" s="93"/>
      <c r="J2369" s="93"/>
    </row>
    <row r="2370" spans="1:10" s="65" customFormat="1" ht="14" x14ac:dyDescent="0.35">
      <c r="A2370" s="145"/>
      <c r="B2370" s="152"/>
      <c r="E2370" s="102"/>
      <c r="F2370" s="102"/>
      <c r="G2370" s="102"/>
      <c r="I2370" s="93"/>
      <c r="J2370" s="93"/>
    </row>
    <row r="2371" spans="1:10" s="65" customFormat="1" ht="14" x14ac:dyDescent="0.35">
      <c r="A2371" s="145"/>
      <c r="B2371" s="152"/>
      <c r="E2371" s="102"/>
      <c r="F2371" s="102"/>
      <c r="G2371" s="102"/>
      <c r="I2371" s="93"/>
      <c r="J2371" s="93"/>
    </row>
    <row r="2372" spans="1:10" s="65" customFormat="1" ht="14" x14ac:dyDescent="0.35">
      <c r="A2372" s="145"/>
      <c r="B2372" s="152"/>
      <c r="E2372" s="102"/>
      <c r="F2372" s="102"/>
      <c r="G2372" s="102"/>
      <c r="I2372" s="93"/>
      <c r="J2372" s="93"/>
    </row>
    <row r="2373" spans="1:10" s="65" customFormat="1" ht="14" x14ac:dyDescent="0.35">
      <c r="A2373" s="145"/>
      <c r="B2373" s="152"/>
      <c r="E2373" s="102"/>
      <c r="F2373" s="102"/>
      <c r="G2373" s="102"/>
      <c r="I2373" s="93"/>
      <c r="J2373" s="93"/>
    </row>
    <row r="2374" spans="1:10" s="65" customFormat="1" ht="14" x14ac:dyDescent="0.35">
      <c r="A2374" s="145"/>
      <c r="B2374" s="152"/>
      <c r="E2374" s="102"/>
      <c r="F2374" s="102"/>
      <c r="G2374" s="102"/>
      <c r="I2374" s="93"/>
      <c r="J2374" s="93"/>
    </row>
    <row r="2375" spans="1:10" s="65" customFormat="1" ht="14" x14ac:dyDescent="0.35">
      <c r="A2375" s="145"/>
      <c r="B2375" s="152"/>
      <c r="E2375" s="102"/>
      <c r="F2375" s="102"/>
      <c r="G2375" s="102"/>
      <c r="I2375" s="93"/>
      <c r="J2375" s="93"/>
    </row>
    <row r="2376" spans="1:10" s="65" customFormat="1" ht="14" x14ac:dyDescent="0.35">
      <c r="A2376" s="145"/>
      <c r="B2376" s="152"/>
      <c r="E2376" s="102"/>
      <c r="F2376" s="102"/>
      <c r="G2376" s="102"/>
      <c r="I2376" s="93"/>
      <c r="J2376" s="93"/>
    </row>
    <row r="2377" spans="1:10" s="65" customFormat="1" ht="14" x14ac:dyDescent="0.35">
      <c r="A2377" s="145"/>
      <c r="B2377" s="152"/>
      <c r="E2377" s="102"/>
      <c r="F2377" s="102"/>
      <c r="G2377" s="102"/>
      <c r="I2377" s="93"/>
      <c r="J2377" s="93"/>
    </row>
    <row r="2378" spans="1:10" s="65" customFormat="1" ht="14" x14ac:dyDescent="0.35">
      <c r="A2378" s="145"/>
      <c r="B2378" s="152"/>
      <c r="E2378" s="102"/>
      <c r="F2378" s="102"/>
      <c r="G2378" s="102"/>
      <c r="I2378" s="93"/>
      <c r="J2378" s="93"/>
    </row>
    <row r="2379" spans="1:10" s="65" customFormat="1" ht="14" x14ac:dyDescent="0.35">
      <c r="A2379" s="145"/>
      <c r="B2379" s="152"/>
      <c r="E2379" s="102"/>
      <c r="F2379" s="102"/>
      <c r="G2379" s="102"/>
      <c r="I2379" s="93"/>
      <c r="J2379" s="93"/>
    </row>
    <row r="2380" spans="1:10" s="65" customFormat="1" ht="14" x14ac:dyDescent="0.35">
      <c r="A2380" s="145"/>
      <c r="B2380" s="152"/>
      <c r="E2380" s="102"/>
      <c r="F2380" s="102"/>
      <c r="G2380" s="102"/>
      <c r="I2380" s="93"/>
      <c r="J2380" s="93"/>
    </row>
    <row r="2381" spans="1:10" s="65" customFormat="1" ht="14" x14ac:dyDescent="0.35">
      <c r="A2381" s="145"/>
      <c r="B2381" s="152"/>
      <c r="E2381" s="102"/>
      <c r="F2381" s="102"/>
      <c r="G2381" s="102"/>
      <c r="I2381" s="93"/>
      <c r="J2381" s="93"/>
    </row>
    <row r="2382" spans="1:10" s="65" customFormat="1" ht="14" x14ac:dyDescent="0.35">
      <c r="A2382" s="145"/>
      <c r="B2382" s="152"/>
      <c r="E2382" s="102"/>
      <c r="F2382" s="102"/>
      <c r="G2382" s="102"/>
      <c r="I2382" s="93"/>
      <c r="J2382" s="93"/>
    </row>
    <row r="2383" spans="1:10" s="65" customFormat="1" ht="14" x14ac:dyDescent="0.35">
      <c r="A2383" s="145"/>
      <c r="B2383" s="152"/>
      <c r="E2383" s="102"/>
      <c r="F2383" s="102"/>
      <c r="G2383" s="102"/>
      <c r="I2383" s="93"/>
      <c r="J2383" s="93"/>
    </row>
    <row r="2384" spans="1:10" s="65" customFormat="1" ht="14" x14ac:dyDescent="0.35">
      <c r="A2384" s="145"/>
      <c r="B2384" s="152"/>
      <c r="E2384" s="102"/>
      <c r="F2384" s="102"/>
      <c r="G2384" s="102"/>
      <c r="I2384" s="93"/>
      <c r="J2384" s="93"/>
    </row>
    <row r="2385" spans="1:10" s="65" customFormat="1" ht="14" x14ac:dyDescent="0.35">
      <c r="A2385" s="145"/>
      <c r="B2385" s="152"/>
      <c r="E2385" s="102"/>
      <c r="F2385" s="102"/>
      <c r="G2385" s="102"/>
      <c r="I2385" s="93"/>
      <c r="J2385" s="93"/>
    </row>
    <row r="2386" spans="1:10" s="65" customFormat="1" ht="14" x14ac:dyDescent="0.35">
      <c r="A2386" s="145"/>
      <c r="B2386" s="152"/>
      <c r="E2386" s="102"/>
      <c r="F2386" s="102"/>
      <c r="G2386" s="102"/>
      <c r="I2386" s="93"/>
      <c r="J2386" s="93"/>
    </row>
    <row r="2387" spans="1:10" s="65" customFormat="1" ht="14" x14ac:dyDescent="0.35">
      <c r="A2387" s="145"/>
      <c r="B2387" s="152"/>
      <c r="E2387" s="102"/>
      <c r="F2387" s="102"/>
      <c r="G2387" s="102"/>
      <c r="I2387" s="93"/>
      <c r="J2387" s="93"/>
    </row>
    <row r="2388" spans="1:10" s="65" customFormat="1" ht="14" x14ac:dyDescent="0.35">
      <c r="A2388" s="145"/>
      <c r="B2388" s="152"/>
      <c r="E2388" s="102"/>
      <c r="F2388" s="102"/>
      <c r="G2388" s="102"/>
      <c r="I2388" s="93"/>
      <c r="J2388" s="93"/>
    </row>
    <row r="2389" spans="1:10" s="65" customFormat="1" ht="14" x14ac:dyDescent="0.35">
      <c r="A2389" s="145"/>
      <c r="B2389" s="152"/>
      <c r="E2389" s="102"/>
      <c r="F2389" s="102"/>
      <c r="G2389" s="102"/>
      <c r="I2389" s="93"/>
      <c r="J2389" s="93"/>
    </row>
    <row r="2390" spans="1:10" s="65" customFormat="1" ht="14" x14ac:dyDescent="0.35">
      <c r="A2390" s="145"/>
      <c r="B2390" s="152"/>
      <c r="E2390" s="102"/>
      <c r="F2390" s="102"/>
      <c r="G2390" s="102"/>
      <c r="I2390" s="93"/>
      <c r="J2390" s="93"/>
    </row>
    <row r="2391" spans="1:10" s="65" customFormat="1" ht="14" x14ac:dyDescent="0.35">
      <c r="A2391" s="145"/>
      <c r="B2391" s="152"/>
      <c r="E2391" s="102"/>
      <c r="F2391" s="102"/>
      <c r="G2391" s="102"/>
      <c r="I2391" s="93"/>
      <c r="J2391" s="93"/>
    </row>
    <row r="2392" spans="1:10" s="65" customFormat="1" ht="14" x14ac:dyDescent="0.35">
      <c r="A2392" s="145"/>
      <c r="B2392" s="152"/>
      <c r="E2392" s="102"/>
      <c r="F2392" s="102"/>
      <c r="G2392" s="102"/>
      <c r="I2392" s="93"/>
      <c r="J2392" s="93"/>
    </row>
    <row r="2393" spans="1:10" s="65" customFormat="1" ht="14" x14ac:dyDescent="0.35">
      <c r="A2393" s="145"/>
      <c r="B2393" s="152"/>
      <c r="E2393" s="102"/>
      <c r="F2393" s="102"/>
      <c r="G2393" s="102"/>
      <c r="I2393" s="93"/>
      <c r="J2393" s="93"/>
    </row>
    <row r="2394" spans="1:10" s="65" customFormat="1" ht="14" x14ac:dyDescent="0.35">
      <c r="A2394" s="145"/>
      <c r="B2394" s="152"/>
      <c r="E2394" s="102"/>
      <c r="F2394" s="102"/>
      <c r="G2394" s="102"/>
      <c r="I2394" s="93"/>
      <c r="J2394" s="93"/>
    </row>
    <row r="2395" spans="1:10" s="65" customFormat="1" ht="14" x14ac:dyDescent="0.35">
      <c r="A2395" s="145"/>
      <c r="B2395" s="152"/>
      <c r="E2395" s="102"/>
      <c r="F2395" s="102"/>
      <c r="G2395" s="102"/>
      <c r="I2395" s="93"/>
      <c r="J2395" s="93"/>
    </row>
    <row r="2396" spans="1:10" s="65" customFormat="1" ht="14" x14ac:dyDescent="0.35">
      <c r="A2396" s="145"/>
      <c r="B2396" s="152"/>
      <c r="E2396" s="102"/>
      <c r="F2396" s="102"/>
      <c r="G2396" s="102"/>
      <c r="I2396" s="93"/>
      <c r="J2396" s="93"/>
    </row>
    <row r="2397" spans="1:10" s="65" customFormat="1" ht="14" x14ac:dyDescent="0.35">
      <c r="A2397" s="145"/>
      <c r="B2397" s="152"/>
      <c r="E2397" s="102"/>
      <c r="F2397" s="102"/>
      <c r="G2397" s="102"/>
      <c r="I2397" s="93"/>
      <c r="J2397" s="93"/>
    </row>
    <row r="2398" spans="1:10" s="65" customFormat="1" ht="14" x14ac:dyDescent="0.35">
      <c r="A2398" s="145"/>
      <c r="B2398" s="152"/>
      <c r="E2398" s="102"/>
      <c r="F2398" s="102"/>
      <c r="G2398" s="102"/>
      <c r="I2398" s="93"/>
      <c r="J2398" s="93"/>
    </row>
    <row r="2399" spans="1:10" s="65" customFormat="1" ht="14" x14ac:dyDescent="0.35">
      <c r="A2399" s="145"/>
      <c r="B2399" s="152"/>
      <c r="E2399" s="102"/>
      <c r="F2399" s="102"/>
      <c r="G2399" s="102"/>
      <c r="I2399" s="93"/>
      <c r="J2399" s="93"/>
    </row>
    <row r="2400" spans="1:10" s="65" customFormat="1" ht="14" x14ac:dyDescent="0.35">
      <c r="A2400" s="145"/>
      <c r="B2400" s="152"/>
      <c r="E2400" s="102"/>
      <c r="F2400" s="102"/>
      <c r="G2400" s="102"/>
      <c r="I2400" s="93"/>
      <c r="J2400" s="93"/>
    </row>
    <row r="2401" spans="1:10" s="65" customFormat="1" ht="14" x14ac:dyDescent="0.35">
      <c r="A2401" s="145"/>
      <c r="B2401" s="152"/>
      <c r="E2401" s="102"/>
      <c r="F2401" s="102"/>
      <c r="G2401" s="102"/>
      <c r="I2401" s="93"/>
      <c r="J2401" s="93"/>
    </row>
    <row r="2402" spans="1:10" s="65" customFormat="1" ht="14" x14ac:dyDescent="0.35">
      <c r="A2402" s="145"/>
      <c r="B2402" s="152"/>
      <c r="E2402" s="102"/>
      <c r="F2402" s="102"/>
      <c r="G2402" s="102"/>
      <c r="I2402" s="93"/>
      <c r="J2402" s="93"/>
    </row>
    <row r="2403" spans="1:10" s="65" customFormat="1" ht="14" x14ac:dyDescent="0.35">
      <c r="A2403" s="145"/>
      <c r="B2403" s="152"/>
      <c r="E2403" s="102"/>
      <c r="F2403" s="102"/>
      <c r="G2403" s="102"/>
      <c r="I2403" s="93"/>
      <c r="J2403" s="93"/>
    </row>
    <row r="2404" spans="1:10" s="65" customFormat="1" ht="14" x14ac:dyDescent="0.35">
      <c r="A2404" s="145"/>
      <c r="B2404" s="152"/>
      <c r="E2404" s="102"/>
      <c r="F2404" s="102"/>
      <c r="G2404" s="102"/>
      <c r="I2404" s="93"/>
      <c r="J2404" s="93"/>
    </row>
    <row r="2405" spans="1:10" s="65" customFormat="1" ht="14" x14ac:dyDescent="0.35">
      <c r="A2405" s="145"/>
      <c r="B2405" s="152"/>
      <c r="E2405" s="102"/>
      <c r="F2405" s="102"/>
      <c r="G2405" s="102"/>
      <c r="I2405" s="93"/>
      <c r="J2405" s="93"/>
    </row>
    <row r="2406" spans="1:10" s="65" customFormat="1" ht="14" x14ac:dyDescent="0.35">
      <c r="A2406" s="145"/>
      <c r="B2406" s="152"/>
      <c r="E2406" s="102"/>
      <c r="F2406" s="102"/>
      <c r="G2406" s="102"/>
      <c r="I2406" s="93"/>
      <c r="J2406" s="93"/>
    </row>
    <row r="2407" spans="1:10" s="65" customFormat="1" ht="14" x14ac:dyDescent="0.35">
      <c r="A2407" s="145"/>
      <c r="B2407" s="152"/>
      <c r="E2407" s="102"/>
      <c r="F2407" s="102"/>
      <c r="G2407" s="102"/>
      <c r="I2407" s="93"/>
      <c r="J2407" s="93"/>
    </row>
    <row r="2408" spans="1:10" s="65" customFormat="1" ht="14" x14ac:dyDescent="0.35">
      <c r="A2408" s="145"/>
      <c r="B2408" s="152"/>
      <c r="E2408" s="102"/>
      <c r="F2408" s="102"/>
      <c r="G2408" s="102"/>
      <c r="I2408" s="93"/>
      <c r="J2408" s="93"/>
    </row>
    <row r="2409" spans="1:10" s="65" customFormat="1" ht="14" x14ac:dyDescent="0.35">
      <c r="A2409" s="145"/>
      <c r="B2409" s="152"/>
      <c r="E2409" s="102"/>
      <c r="F2409" s="102"/>
      <c r="G2409" s="102"/>
      <c r="I2409" s="93"/>
      <c r="J2409" s="93"/>
    </row>
    <row r="2410" spans="1:10" s="65" customFormat="1" ht="14" x14ac:dyDescent="0.35">
      <c r="A2410" s="145"/>
      <c r="B2410" s="152"/>
      <c r="E2410" s="102"/>
      <c r="F2410" s="102"/>
      <c r="G2410" s="102"/>
      <c r="I2410" s="93"/>
      <c r="J2410" s="93"/>
    </row>
    <row r="2411" spans="1:10" s="65" customFormat="1" ht="14" x14ac:dyDescent="0.35">
      <c r="A2411" s="145"/>
      <c r="B2411" s="152"/>
      <c r="E2411" s="102"/>
      <c r="F2411" s="102"/>
      <c r="G2411" s="102"/>
      <c r="I2411" s="93"/>
      <c r="J2411" s="93"/>
    </row>
    <row r="2412" spans="1:10" s="65" customFormat="1" ht="14" x14ac:dyDescent="0.35">
      <c r="A2412" s="145"/>
      <c r="B2412" s="152"/>
      <c r="E2412" s="102"/>
      <c r="F2412" s="102"/>
      <c r="G2412" s="102"/>
      <c r="I2412" s="93"/>
      <c r="J2412" s="93"/>
    </row>
    <row r="2413" spans="1:10" s="65" customFormat="1" ht="14" x14ac:dyDescent="0.35">
      <c r="A2413" s="145"/>
      <c r="B2413" s="152"/>
      <c r="E2413" s="102"/>
      <c r="F2413" s="102"/>
      <c r="G2413" s="102"/>
      <c r="I2413" s="93"/>
      <c r="J2413" s="93"/>
    </row>
    <row r="2414" spans="1:10" s="65" customFormat="1" ht="14" x14ac:dyDescent="0.35">
      <c r="A2414" s="145"/>
      <c r="B2414" s="152"/>
      <c r="E2414" s="102"/>
      <c r="F2414" s="102"/>
      <c r="G2414" s="102"/>
      <c r="I2414" s="93"/>
      <c r="J2414" s="93"/>
    </row>
    <row r="2415" spans="1:10" s="65" customFormat="1" ht="14" x14ac:dyDescent="0.35">
      <c r="A2415" s="145"/>
      <c r="B2415" s="152"/>
      <c r="E2415" s="102"/>
      <c r="F2415" s="102"/>
      <c r="G2415" s="102"/>
      <c r="I2415" s="93"/>
      <c r="J2415" s="93"/>
    </row>
    <row r="2416" spans="1:10" s="65" customFormat="1" ht="14" x14ac:dyDescent="0.35">
      <c r="A2416" s="145"/>
      <c r="B2416" s="152"/>
      <c r="E2416" s="102"/>
      <c r="F2416" s="102"/>
      <c r="G2416" s="102"/>
      <c r="I2416" s="93"/>
      <c r="J2416" s="93"/>
    </row>
    <row r="2417" spans="1:10" s="65" customFormat="1" ht="14" x14ac:dyDescent="0.35">
      <c r="A2417" s="145"/>
      <c r="B2417" s="152"/>
      <c r="E2417" s="102"/>
      <c r="F2417" s="102"/>
      <c r="G2417" s="102"/>
      <c r="I2417" s="93"/>
      <c r="J2417" s="93"/>
    </row>
    <row r="2418" spans="1:10" s="65" customFormat="1" ht="14" x14ac:dyDescent="0.35">
      <c r="A2418" s="145"/>
      <c r="B2418" s="152"/>
      <c r="E2418" s="102"/>
      <c r="F2418" s="102"/>
      <c r="G2418" s="102"/>
      <c r="I2418" s="93"/>
      <c r="J2418" s="93"/>
    </row>
    <row r="2419" spans="1:10" s="65" customFormat="1" ht="14" x14ac:dyDescent="0.35">
      <c r="A2419" s="145"/>
      <c r="B2419" s="152"/>
      <c r="E2419" s="102"/>
      <c r="F2419" s="102"/>
      <c r="G2419" s="102"/>
      <c r="I2419" s="93"/>
      <c r="J2419" s="93"/>
    </row>
    <row r="2420" spans="1:10" s="65" customFormat="1" ht="14" x14ac:dyDescent="0.35">
      <c r="A2420" s="145"/>
      <c r="B2420" s="152"/>
      <c r="E2420" s="102"/>
      <c r="F2420" s="102"/>
      <c r="G2420" s="102"/>
      <c r="I2420" s="93"/>
      <c r="J2420" s="93"/>
    </row>
    <row r="2421" spans="1:10" s="65" customFormat="1" ht="14" x14ac:dyDescent="0.35">
      <c r="A2421" s="145"/>
      <c r="B2421" s="152"/>
      <c r="E2421" s="102"/>
      <c r="F2421" s="102"/>
      <c r="G2421" s="102"/>
      <c r="I2421" s="93"/>
      <c r="J2421" s="93"/>
    </row>
    <row r="2422" spans="1:10" s="65" customFormat="1" ht="14" x14ac:dyDescent="0.35">
      <c r="A2422" s="145"/>
      <c r="B2422" s="152"/>
      <c r="E2422" s="102"/>
      <c r="F2422" s="102"/>
      <c r="G2422" s="102"/>
      <c r="I2422" s="93"/>
      <c r="J2422" s="93"/>
    </row>
    <row r="2423" spans="1:10" s="65" customFormat="1" ht="14" x14ac:dyDescent="0.35">
      <c r="A2423" s="145"/>
      <c r="B2423" s="152"/>
      <c r="E2423" s="102"/>
      <c r="F2423" s="102"/>
      <c r="G2423" s="102"/>
      <c r="I2423" s="93"/>
      <c r="J2423" s="93"/>
    </row>
    <row r="2424" spans="1:10" s="65" customFormat="1" ht="14" x14ac:dyDescent="0.35">
      <c r="A2424" s="145"/>
      <c r="B2424" s="152"/>
      <c r="E2424" s="102"/>
      <c r="F2424" s="102"/>
      <c r="G2424" s="102"/>
      <c r="I2424" s="93"/>
      <c r="J2424" s="93"/>
    </row>
    <row r="2425" spans="1:10" s="65" customFormat="1" ht="14" x14ac:dyDescent="0.35">
      <c r="A2425" s="145"/>
      <c r="B2425" s="152"/>
      <c r="E2425" s="102"/>
      <c r="F2425" s="102"/>
      <c r="G2425" s="102"/>
      <c r="I2425" s="93"/>
      <c r="J2425" s="93"/>
    </row>
    <row r="2426" spans="1:10" s="65" customFormat="1" ht="14" x14ac:dyDescent="0.35">
      <c r="A2426" s="145"/>
      <c r="B2426" s="152"/>
      <c r="E2426" s="102"/>
      <c r="F2426" s="102"/>
      <c r="G2426" s="102"/>
      <c r="I2426" s="93"/>
      <c r="J2426" s="93"/>
    </row>
    <row r="2427" spans="1:10" s="65" customFormat="1" ht="14" x14ac:dyDescent="0.35">
      <c r="A2427" s="145"/>
      <c r="B2427" s="152"/>
      <c r="E2427" s="102"/>
      <c r="F2427" s="102"/>
      <c r="G2427" s="102"/>
      <c r="I2427" s="93"/>
      <c r="J2427" s="93"/>
    </row>
    <row r="2428" spans="1:10" s="65" customFormat="1" ht="14" x14ac:dyDescent="0.35">
      <c r="A2428" s="145"/>
      <c r="B2428" s="152"/>
      <c r="E2428" s="102"/>
      <c r="F2428" s="102"/>
      <c r="G2428" s="102"/>
      <c r="I2428" s="93"/>
      <c r="J2428" s="93"/>
    </row>
    <row r="2429" spans="1:10" s="65" customFormat="1" ht="14" x14ac:dyDescent="0.35">
      <c r="A2429" s="145"/>
      <c r="B2429" s="152"/>
      <c r="E2429" s="102"/>
      <c r="F2429" s="102"/>
      <c r="G2429" s="102"/>
      <c r="I2429" s="93"/>
      <c r="J2429" s="93"/>
    </row>
    <row r="2430" spans="1:10" s="65" customFormat="1" ht="14" x14ac:dyDescent="0.35">
      <c r="A2430" s="145"/>
      <c r="B2430" s="152"/>
      <c r="E2430" s="102"/>
      <c r="F2430" s="102"/>
      <c r="G2430" s="102"/>
      <c r="I2430" s="93"/>
      <c r="J2430" s="93"/>
    </row>
    <row r="2431" spans="1:10" s="65" customFormat="1" ht="14" x14ac:dyDescent="0.35">
      <c r="A2431" s="145"/>
      <c r="B2431" s="152"/>
      <c r="E2431" s="102"/>
      <c r="F2431" s="102"/>
      <c r="G2431" s="102"/>
      <c r="I2431" s="93"/>
      <c r="J2431" s="93"/>
    </row>
    <row r="2432" spans="1:10" s="65" customFormat="1" ht="14" x14ac:dyDescent="0.35">
      <c r="A2432" s="145"/>
      <c r="B2432" s="152"/>
      <c r="E2432" s="102"/>
      <c r="F2432" s="102"/>
      <c r="G2432" s="102"/>
      <c r="I2432" s="93"/>
      <c r="J2432" s="93"/>
    </row>
    <row r="2433" spans="1:10" s="65" customFormat="1" ht="14" x14ac:dyDescent="0.35">
      <c r="A2433" s="145"/>
      <c r="B2433" s="152"/>
      <c r="E2433" s="102"/>
      <c r="F2433" s="102"/>
      <c r="G2433" s="102"/>
      <c r="I2433" s="93"/>
      <c r="J2433" s="93"/>
    </row>
    <row r="2434" spans="1:10" s="65" customFormat="1" ht="14" x14ac:dyDescent="0.35">
      <c r="A2434" s="145"/>
      <c r="B2434" s="152"/>
      <c r="E2434" s="102"/>
      <c r="F2434" s="102"/>
      <c r="G2434" s="102"/>
      <c r="I2434" s="93"/>
      <c r="J2434" s="93"/>
    </row>
    <row r="2435" spans="1:10" s="65" customFormat="1" ht="14" x14ac:dyDescent="0.35">
      <c r="A2435" s="145"/>
      <c r="B2435" s="152"/>
      <c r="E2435" s="102"/>
      <c r="F2435" s="102"/>
      <c r="G2435" s="102"/>
      <c r="I2435" s="93"/>
      <c r="J2435" s="93"/>
    </row>
    <row r="2436" spans="1:10" s="65" customFormat="1" ht="14" x14ac:dyDescent="0.35">
      <c r="A2436" s="145"/>
      <c r="B2436" s="152"/>
      <c r="E2436" s="102"/>
      <c r="F2436" s="102"/>
      <c r="G2436" s="102"/>
      <c r="I2436" s="93"/>
      <c r="J2436" s="93"/>
    </row>
    <row r="2437" spans="1:10" s="65" customFormat="1" ht="14" x14ac:dyDescent="0.35">
      <c r="A2437" s="145"/>
      <c r="B2437" s="152"/>
      <c r="E2437" s="102"/>
      <c r="F2437" s="102"/>
      <c r="G2437" s="102"/>
      <c r="I2437" s="93"/>
      <c r="J2437" s="93"/>
    </row>
    <row r="2438" spans="1:10" s="65" customFormat="1" ht="14" x14ac:dyDescent="0.35">
      <c r="A2438" s="145"/>
      <c r="B2438" s="152"/>
      <c r="E2438" s="102"/>
      <c r="F2438" s="102"/>
      <c r="G2438" s="102"/>
      <c r="I2438" s="93"/>
      <c r="J2438" s="93"/>
    </row>
    <row r="2439" spans="1:10" s="65" customFormat="1" ht="14" x14ac:dyDescent="0.35">
      <c r="A2439" s="145"/>
      <c r="B2439" s="152"/>
      <c r="E2439" s="102"/>
      <c r="F2439" s="102"/>
      <c r="G2439" s="102"/>
      <c r="I2439" s="93"/>
      <c r="J2439" s="93"/>
    </row>
    <row r="2440" spans="1:10" s="65" customFormat="1" ht="14" x14ac:dyDescent="0.35">
      <c r="A2440" s="145"/>
      <c r="B2440" s="152"/>
      <c r="E2440" s="102"/>
      <c r="F2440" s="102"/>
      <c r="G2440" s="102"/>
      <c r="I2440" s="93"/>
      <c r="J2440" s="93"/>
    </row>
    <row r="2441" spans="1:10" s="65" customFormat="1" ht="14" x14ac:dyDescent="0.35">
      <c r="A2441" s="145"/>
      <c r="B2441" s="152"/>
      <c r="E2441" s="102"/>
      <c r="F2441" s="102"/>
      <c r="G2441" s="102"/>
      <c r="I2441" s="93"/>
      <c r="J2441" s="93"/>
    </row>
    <row r="2442" spans="1:10" s="65" customFormat="1" ht="14" x14ac:dyDescent="0.35">
      <c r="A2442" s="145"/>
      <c r="B2442" s="152"/>
      <c r="E2442" s="102"/>
      <c r="F2442" s="102"/>
      <c r="G2442" s="102"/>
      <c r="I2442" s="93"/>
      <c r="J2442" s="93"/>
    </row>
    <row r="2443" spans="1:10" s="65" customFormat="1" ht="14" x14ac:dyDescent="0.35">
      <c r="A2443" s="145"/>
      <c r="B2443" s="152"/>
      <c r="E2443" s="102"/>
      <c r="F2443" s="102"/>
      <c r="G2443" s="102"/>
      <c r="I2443" s="93"/>
      <c r="J2443" s="93"/>
    </row>
    <row r="2444" spans="1:10" s="65" customFormat="1" ht="14" x14ac:dyDescent="0.35">
      <c r="A2444" s="145"/>
      <c r="B2444" s="152"/>
      <c r="E2444" s="102"/>
      <c r="F2444" s="102"/>
      <c r="G2444" s="102"/>
      <c r="I2444" s="93"/>
      <c r="J2444" s="93"/>
    </row>
    <row r="2445" spans="1:10" s="65" customFormat="1" ht="14" x14ac:dyDescent="0.35">
      <c r="A2445" s="145"/>
      <c r="B2445" s="152"/>
      <c r="E2445" s="102"/>
      <c r="F2445" s="102"/>
      <c r="G2445" s="102"/>
      <c r="I2445" s="93"/>
      <c r="J2445" s="93"/>
    </row>
    <row r="2446" spans="1:10" s="65" customFormat="1" ht="14" x14ac:dyDescent="0.35">
      <c r="A2446" s="145"/>
      <c r="B2446" s="152"/>
      <c r="E2446" s="102"/>
      <c r="F2446" s="102"/>
      <c r="G2446" s="102"/>
      <c r="I2446" s="93"/>
      <c r="J2446" s="93"/>
    </row>
    <row r="2447" spans="1:10" s="65" customFormat="1" ht="14" x14ac:dyDescent="0.35">
      <c r="A2447" s="145"/>
      <c r="B2447" s="152"/>
      <c r="E2447" s="102"/>
      <c r="F2447" s="102"/>
      <c r="G2447" s="102"/>
      <c r="I2447" s="93"/>
      <c r="J2447" s="93"/>
    </row>
    <row r="2448" spans="1:10" s="65" customFormat="1" ht="14" x14ac:dyDescent="0.35">
      <c r="A2448" s="145"/>
      <c r="B2448" s="152"/>
      <c r="E2448" s="102"/>
      <c r="F2448" s="102"/>
      <c r="G2448" s="102"/>
      <c r="I2448" s="93"/>
      <c r="J2448" s="93"/>
    </row>
    <row r="2449" spans="1:10" s="65" customFormat="1" ht="14" x14ac:dyDescent="0.35">
      <c r="A2449" s="145"/>
      <c r="B2449" s="152"/>
      <c r="E2449" s="102"/>
      <c r="F2449" s="102"/>
      <c r="G2449" s="102"/>
      <c r="I2449" s="93"/>
      <c r="J2449" s="93"/>
    </row>
    <row r="2450" spans="1:10" s="65" customFormat="1" ht="14" x14ac:dyDescent="0.35">
      <c r="A2450" s="145"/>
      <c r="B2450" s="152"/>
      <c r="E2450" s="102"/>
      <c r="F2450" s="102"/>
      <c r="G2450" s="102"/>
      <c r="I2450" s="93"/>
      <c r="J2450" s="93"/>
    </row>
    <row r="2451" spans="1:10" s="65" customFormat="1" ht="14" x14ac:dyDescent="0.35">
      <c r="A2451" s="145"/>
      <c r="B2451" s="152"/>
      <c r="E2451" s="102"/>
      <c r="F2451" s="102"/>
      <c r="G2451" s="102"/>
      <c r="I2451" s="93"/>
      <c r="J2451" s="93"/>
    </row>
    <row r="2452" spans="1:10" s="65" customFormat="1" ht="14" x14ac:dyDescent="0.35">
      <c r="A2452" s="145"/>
      <c r="B2452" s="152"/>
      <c r="E2452" s="102"/>
      <c r="F2452" s="102"/>
      <c r="G2452" s="102"/>
      <c r="I2452" s="93"/>
      <c r="J2452" s="93"/>
    </row>
    <row r="2453" spans="1:10" s="65" customFormat="1" ht="14" x14ac:dyDescent="0.35">
      <c r="A2453" s="145"/>
      <c r="B2453" s="152"/>
      <c r="E2453" s="102"/>
      <c r="F2453" s="102"/>
      <c r="G2453" s="102"/>
      <c r="I2453" s="93"/>
      <c r="J2453" s="93"/>
    </row>
    <row r="2454" spans="1:10" s="65" customFormat="1" ht="14" x14ac:dyDescent="0.35">
      <c r="A2454" s="145"/>
      <c r="B2454" s="152"/>
      <c r="E2454" s="102"/>
      <c r="F2454" s="102"/>
      <c r="G2454" s="102"/>
      <c r="I2454" s="93"/>
      <c r="J2454" s="93"/>
    </row>
    <row r="2455" spans="1:10" s="65" customFormat="1" ht="14" x14ac:dyDescent="0.35">
      <c r="A2455" s="145"/>
      <c r="B2455" s="152"/>
      <c r="E2455" s="102"/>
      <c r="F2455" s="102"/>
      <c r="G2455" s="102"/>
      <c r="I2455" s="93"/>
      <c r="J2455" s="93"/>
    </row>
    <row r="2456" spans="1:10" s="65" customFormat="1" ht="14" x14ac:dyDescent="0.35">
      <c r="A2456" s="145"/>
      <c r="B2456" s="152"/>
      <c r="E2456" s="102"/>
      <c r="F2456" s="102"/>
      <c r="G2456" s="102"/>
      <c r="I2456" s="93"/>
      <c r="J2456" s="93"/>
    </row>
    <row r="2457" spans="1:10" s="65" customFormat="1" ht="14" x14ac:dyDescent="0.35">
      <c r="A2457" s="145"/>
      <c r="B2457" s="152"/>
      <c r="E2457" s="102"/>
      <c r="F2457" s="102"/>
      <c r="G2457" s="102"/>
      <c r="I2457" s="93"/>
      <c r="J2457" s="93"/>
    </row>
    <row r="2458" spans="1:10" s="65" customFormat="1" ht="14" x14ac:dyDescent="0.35">
      <c r="A2458" s="145"/>
      <c r="B2458" s="152"/>
      <c r="E2458" s="102"/>
      <c r="F2458" s="102"/>
      <c r="G2458" s="102"/>
      <c r="I2458" s="93"/>
      <c r="J2458" s="93"/>
    </row>
    <row r="2459" spans="1:10" s="65" customFormat="1" ht="14" x14ac:dyDescent="0.35">
      <c r="A2459" s="145"/>
      <c r="B2459" s="152"/>
      <c r="E2459" s="102"/>
      <c r="F2459" s="102"/>
      <c r="G2459" s="102"/>
      <c r="I2459" s="93"/>
      <c r="J2459" s="93"/>
    </row>
    <row r="2460" spans="1:10" s="65" customFormat="1" ht="14" x14ac:dyDescent="0.35">
      <c r="A2460" s="145"/>
      <c r="B2460" s="152"/>
      <c r="E2460" s="102"/>
      <c r="F2460" s="102"/>
      <c r="G2460" s="102"/>
      <c r="I2460" s="93"/>
      <c r="J2460" s="93"/>
    </row>
    <row r="2461" spans="1:10" s="65" customFormat="1" ht="14" x14ac:dyDescent="0.35">
      <c r="A2461" s="145"/>
      <c r="B2461" s="152"/>
      <c r="E2461" s="102"/>
      <c r="F2461" s="102"/>
      <c r="G2461" s="102"/>
      <c r="I2461" s="93"/>
      <c r="J2461" s="93"/>
    </row>
    <row r="2462" spans="1:10" s="65" customFormat="1" ht="14" x14ac:dyDescent="0.35">
      <c r="A2462" s="145"/>
      <c r="B2462" s="152"/>
      <c r="E2462" s="102"/>
      <c r="F2462" s="102"/>
      <c r="G2462" s="102"/>
      <c r="I2462" s="93"/>
      <c r="J2462" s="93"/>
    </row>
    <row r="2463" spans="1:10" s="65" customFormat="1" ht="14" x14ac:dyDescent="0.35">
      <c r="A2463" s="145"/>
      <c r="B2463" s="152"/>
      <c r="E2463" s="102"/>
      <c r="F2463" s="102"/>
      <c r="G2463" s="102"/>
      <c r="I2463" s="93"/>
      <c r="J2463" s="93"/>
    </row>
    <row r="2464" spans="1:10" s="65" customFormat="1" ht="14" x14ac:dyDescent="0.35">
      <c r="A2464" s="145"/>
      <c r="B2464" s="152"/>
      <c r="E2464" s="102"/>
      <c r="F2464" s="102"/>
      <c r="G2464" s="102"/>
      <c r="I2464" s="93"/>
      <c r="J2464" s="93"/>
    </row>
    <row r="2465" spans="1:10" s="65" customFormat="1" ht="14" x14ac:dyDescent="0.35">
      <c r="A2465" s="145"/>
      <c r="B2465" s="152"/>
      <c r="E2465" s="102"/>
      <c r="F2465" s="102"/>
      <c r="G2465" s="102"/>
      <c r="I2465" s="93"/>
      <c r="J2465" s="93"/>
    </row>
    <row r="2466" spans="1:10" s="65" customFormat="1" ht="14" x14ac:dyDescent="0.35">
      <c r="A2466" s="145"/>
      <c r="B2466" s="152"/>
      <c r="E2466" s="102"/>
      <c r="F2466" s="102"/>
      <c r="G2466" s="102"/>
      <c r="I2466" s="93"/>
      <c r="J2466" s="93"/>
    </row>
    <row r="2467" spans="1:10" s="65" customFormat="1" ht="14" x14ac:dyDescent="0.35">
      <c r="A2467" s="145"/>
      <c r="B2467" s="152"/>
      <c r="E2467" s="102"/>
      <c r="F2467" s="102"/>
      <c r="G2467" s="102"/>
      <c r="I2467" s="93"/>
      <c r="J2467" s="93"/>
    </row>
    <row r="2468" spans="1:10" s="65" customFormat="1" ht="14" x14ac:dyDescent="0.35">
      <c r="A2468" s="145"/>
      <c r="B2468" s="152"/>
      <c r="E2468" s="102"/>
      <c r="F2468" s="102"/>
      <c r="G2468" s="102"/>
      <c r="I2468" s="93"/>
      <c r="J2468" s="93"/>
    </row>
    <row r="2469" spans="1:10" s="65" customFormat="1" ht="14" x14ac:dyDescent="0.35">
      <c r="A2469" s="145"/>
      <c r="B2469" s="152"/>
      <c r="E2469" s="102"/>
      <c r="F2469" s="102"/>
      <c r="G2469" s="102"/>
      <c r="I2469" s="93"/>
      <c r="J2469" s="93"/>
    </row>
    <row r="2470" spans="1:10" s="65" customFormat="1" ht="14" x14ac:dyDescent="0.35">
      <c r="A2470" s="145"/>
      <c r="B2470" s="152"/>
      <c r="E2470" s="102"/>
      <c r="F2470" s="102"/>
      <c r="G2470" s="102"/>
      <c r="I2470" s="93"/>
      <c r="J2470" s="93"/>
    </row>
    <row r="2471" spans="1:10" s="65" customFormat="1" ht="14" x14ac:dyDescent="0.35">
      <c r="A2471" s="145"/>
      <c r="B2471" s="152"/>
      <c r="E2471" s="102"/>
      <c r="F2471" s="102"/>
      <c r="G2471" s="102"/>
      <c r="I2471" s="93"/>
      <c r="J2471" s="93"/>
    </row>
    <row r="2472" spans="1:10" s="65" customFormat="1" ht="14" x14ac:dyDescent="0.35">
      <c r="A2472" s="145"/>
      <c r="B2472" s="152"/>
      <c r="E2472" s="102"/>
      <c r="F2472" s="102"/>
      <c r="G2472" s="102"/>
      <c r="I2472" s="93"/>
      <c r="J2472" s="93"/>
    </row>
    <row r="2473" spans="1:10" s="65" customFormat="1" ht="14" x14ac:dyDescent="0.35">
      <c r="A2473" s="145"/>
      <c r="B2473" s="152"/>
      <c r="E2473" s="102"/>
      <c r="F2473" s="102"/>
      <c r="G2473" s="102"/>
      <c r="I2473" s="93"/>
      <c r="J2473" s="93"/>
    </row>
    <row r="2474" spans="1:10" s="65" customFormat="1" ht="14" x14ac:dyDescent="0.35">
      <c r="A2474" s="145"/>
      <c r="B2474" s="152"/>
      <c r="E2474" s="102"/>
      <c r="F2474" s="102"/>
      <c r="G2474" s="102"/>
      <c r="I2474" s="93"/>
      <c r="J2474" s="93"/>
    </row>
    <row r="2475" spans="1:10" s="65" customFormat="1" ht="14" x14ac:dyDescent="0.35">
      <c r="A2475" s="145"/>
      <c r="B2475" s="152"/>
      <c r="E2475" s="102"/>
      <c r="F2475" s="102"/>
      <c r="G2475" s="102"/>
      <c r="I2475" s="93"/>
      <c r="J2475" s="93"/>
    </row>
    <row r="2476" spans="1:10" s="65" customFormat="1" ht="14" x14ac:dyDescent="0.35">
      <c r="A2476" s="145"/>
      <c r="B2476" s="152"/>
      <c r="E2476" s="102"/>
      <c r="F2476" s="102"/>
      <c r="G2476" s="102"/>
      <c r="I2476" s="93"/>
      <c r="J2476" s="93"/>
    </row>
    <row r="2477" spans="1:10" s="65" customFormat="1" ht="14" x14ac:dyDescent="0.35">
      <c r="A2477" s="145"/>
      <c r="B2477" s="152"/>
      <c r="E2477" s="102"/>
      <c r="F2477" s="102"/>
      <c r="G2477" s="102"/>
      <c r="I2477" s="93"/>
      <c r="J2477" s="93"/>
    </row>
    <row r="2478" spans="1:10" s="65" customFormat="1" ht="14" x14ac:dyDescent="0.35">
      <c r="A2478" s="145"/>
      <c r="B2478" s="152"/>
      <c r="E2478" s="102"/>
      <c r="F2478" s="102"/>
      <c r="G2478" s="102"/>
      <c r="I2478" s="93"/>
      <c r="J2478" s="93"/>
    </row>
    <row r="2479" spans="1:10" s="65" customFormat="1" ht="14" x14ac:dyDescent="0.35">
      <c r="A2479" s="145"/>
      <c r="B2479" s="152"/>
      <c r="E2479" s="102"/>
      <c r="F2479" s="102"/>
      <c r="G2479" s="102"/>
      <c r="I2479" s="93"/>
      <c r="J2479" s="93"/>
    </row>
    <row r="2480" spans="1:10" s="65" customFormat="1" ht="14" x14ac:dyDescent="0.35">
      <c r="A2480" s="145"/>
      <c r="B2480" s="152"/>
      <c r="E2480" s="102"/>
      <c r="F2480" s="102"/>
      <c r="G2480" s="102"/>
      <c r="I2480" s="93"/>
      <c r="J2480" s="93"/>
    </row>
    <row r="2481" spans="1:10" s="65" customFormat="1" ht="14" x14ac:dyDescent="0.35">
      <c r="A2481" s="145"/>
      <c r="B2481" s="152"/>
      <c r="E2481" s="102"/>
      <c r="F2481" s="102"/>
      <c r="G2481" s="102"/>
      <c r="I2481" s="93"/>
      <c r="J2481" s="93"/>
    </row>
    <row r="2482" spans="1:10" s="65" customFormat="1" ht="14" x14ac:dyDescent="0.35">
      <c r="A2482" s="145"/>
      <c r="B2482" s="152"/>
      <c r="E2482" s="102"/>
      <c r="F2482" s="102"/>
      <c r="G2482" s="102"/>
      <c r="I2482" s="93"/>
      <c r="J2482" s="93"/>
    </row>
    <row r="2483" spans="1:10" s="65" customFormat="1" ht="14" x14ac:dyDescent="0.35">
      <c r="A2483" s="145"/>
      <c r="B2483" s="152"/>
      <c r="E2483" s="102"/>
      <c r="F2483" s="102"/>
      <c r="G2483" s="102"/>
      <c r="I2483" s="93"/>
      <c r="J2483" s="93"/>
    </row>
    <row r="2484" spans="1:10" s="65" customFormat="1" ht="14" x14ac:dyDescent="0.35">
      <c r="A2484" s="145"/>
      <c r="B2484" s="152"/>
      <c r="E2484" s="102"/>
      <c r="F2484" s="102"/>
      <c r="G2484" s="102"/>
      <c r="I2484" s="93"/>
      <c r="J2484" s="93"/>
    </row>
    <row r="2485" spans="1:10" s="65" customFormat="1" ht="14" x14ac:dyDescent="0.35">
      <c r="A2485" s="145"/>
      <c r="B2485" s="152"/>
      <c r="E2485" s="102"/>
      <c r="F2485" s="102"/>
      <c r="G2485" s="102"/>
      <c r="I2485" s="93"/>
      <c r="J2485" s="93"/>
    </row>
    <row r="2486" spans="1:10" s="65" customFormat="1" ht="14" x14ac:dyDescent="0.35">
      <c r="A2486" s="145"/>
      <c r="B2486" s="152"/>
      <c r="E2486" s="102"/>
      <c r="F2486" s="102"/>
      <c r="G2486" s="102"/>
      <c r="I2486" s="93"/>
      <c r="J2486" s="93"/>
    </row>
    <row r="2487" spans="1:10" s="65" customFormat="1" ht="14" x14ac:dyDescent="0.35">
      <c r="A2487" s="145"/>
      <c r="B2487" s="152"/>
      <c r="E2487" s="102"/>
      <c r="F2487" s="102"/>
      <c r="G2487" s="102"/>
      <c r="I2487" s="93"/>
      <c r="J2487" s="93"/>
    </row>
    <row r="2488" spans="1:10" s="65" customFormat="1" ht="14" x14ac:dyDescent="0.35">
      <c r="A2488" s="145"/>
      <c r="B2488" s="152"/>
      <c r="E2488" s="102"/>
      <c r="F2488" s="102"/>
      <c r="G2488" s="102"/>
      <c r="I2488" s="93"/>
      <c r="J2488" s="93"/>
    </row>
    <row r="2489" spans="1:10" s="65" customFormat="1" ht="14" x14ac:dyDescent="0.35">
      <c r="A2489" s="145"/>
      <c r="B2489" s="152"/>
      <c r="E2489" s="102"/>
      <c r="F2489" s="102"/>
      <c r="G2489" s="102"/>
      <c r="I2489" s="93"/>
      <c r="J2489" s="93"/>
    </row>
    <row r="2490" spans="1:10" s="65" customFormat="1" ht="14" x14ac:dyDescent="0.35">
      <c r="A2490" s="145"/>
      <c r="B2490" s="152"/>
      <c r="E2490" s="102"/>
      <c r="F2490" s="102"/>
      <c r="G2490" s="102"/>
      <c r="I2490" s="93"/>
      <c r="J2490" s="93"/>
    </row>
    <row r="2491" spans="1:10" s="65" customFormat="1" ht="14" x14ac:dyDescent="0.35">
      <c r="A2491" s="145"/>
      <c r="B2491" s="152"/>
      <c r="E2491" s="102"/>
      <c r="F2491" s="102"/>
      <c r="G2491" s="102"/>
      <c r="I2491" s="93"/>
      <c r="J2491" s="93"/>
    </row>
    <row r="2492" spans="1:10" s="65" customFormat="1" ht="14" x14ac:dyDescent="0.35">
      <c r="A2492" s="145"/>
      <c r="B2492" s="152"/>
      <c r="E2492" s="102"/>
      <c r="F2492" s="102"/>
      <c r="G2492" s="102"/>
      <c r="I2492" s="93"/>
      <c r="J2492" s="93"/>
    </row>
    <row r="2493" spans="1:10" s="65" customFormat="1" ht="14" x14ac:dyDescent="0.35">
      <c r="A2493" s="145"/>
      <c r="B2493" s="152"/>
      <c r="E2493" s="102"/>
      <c r="F2493" s="102"/>
      <c r="G2493" s="102"/>
      <c r="I2493" s="93"/>
      <c r="J2493" s="93"/>
    </row>
    <row r="2494" spans="1:10" s="65" customFormat="1" ht="14" x14ac:dyDescent="0.35">
      <c r="A2494" s="145"/>
      <c r="B2494" s="152"/>
      <c r="E2494" s="102"/>
      <c r="F2494" s="102"/>
      <c r="G2494" s="102"/>
      <c r="I2494" s="93"/>
      <c r="J2494" s="93"/>
    </row>
    <row r="2495" spans="1:10" s="65" customFormat="1" ht="14" x14ac:dyDescent="0.35">
      <c r="A2495" s="145"/>
      <c r="B2495" s="152"/>
      <c r="E2495" s="102"/>
      <c r="F2495" s="102"/>
      <c r="G2495" s="102"/>
      <c r="I2495" s="93"/>
      <c r="J2495" s="93"/>
    </row>
    <row r="2496" spans="1:10" s="65" customFormat="1" ht="14" x14ac:dyDescent="0.35">
      <c r="A2496" s="145"/>
      <c r="B2496" s="152"/>
      <c r="E2496" s="102"/>
      <c r="F2496" s="102"/>
      <c r="G2496" s="102"/>
      <c r="I2496" s="93"/>
      <c r="J2496" s="93"/>
    </row>
    <row r="2497" spans="1:10" s="65" customFormat="1" ht="14" x14ac:dyDescent="0.35">
      <c r="A2497" s="145"/>
      <c r="B2497" s="152"/>
      <c r="E2497" s="102"/>
      <c r="F2497" s="102"/>
      <c r="G2497" s="102"/>
      <c r="I2497" s="93"/>
      <c r="J2497" s="93"/>
    </row>
    <row r="2498" spans="1:10" s="65" customFormat="1" ht="14" x14ac:dyDescent="0.35">
      <c r="A2498" s="145"/>
      <c r="B2498" s="152"/>
      <c r="E2498" s="102"/>
      <c r="F2498" s="102"/>
      <c r="G2498" s="102"/>
      <c r="I2498" s="93"/>
      <c r="J2498" s="93"/>
    </row>
    <row r="2499" spans="1:10" s="65" customFormat="1" ht="14" x14ac:dyDescent="0.35">
      <c r="A2499" s="145"/>
      <c r="B2499" s="152"/>
      <c r="E2499" s="102"/>
      <c r="F2499" s="102"/>
      <c r="G2499" s="102"/>
      <c r="I2499" s="93"/>
      <c r="J2499" s="93"/>
    </row>
    <row r="2500" spans="1:10" s="65" customFormat="1" ht="14" x14ac:dyDescent="0.35">
      <c r="A2500" s="145"/>
      <c r="B2500" s="152"/>
      <c r="E2500" s="102"/>
      <c r="F2500" s="102"/>
      <c r="G2500" s="102"/>
      <c r="I2500" s="93"/>
      <c r="J2500" s="93"/>
    </row>
    <row r="2501" spans="1:10" s="65" customFormat="1" ht="14" x14ac:dyDescent="0.35">
      <c r="A2501" s="145"/>
      <c r="B2501" s="152"/>
      <c r="E2501" s="102"/>
      <c r="F2501" s="102"/>
      <c r="G2501" s="102"/>
      <c r="I2501" s="93"/>
      <c r="J2501" s="93"/>
    </row>
    <row r="2502" spans="1:10" s="65" customFormat="1" ht="14" x14ac:dyDescent="0.35">
      <c r="A2502" s="145"/>
      <c r="B2502" s="152"/>
      <c r="E2502" s="102"/>
      <c r="F2502" s="102"/>
      <c r="G2502" s="102"/>
      <c r="I2502" s="93"/>
      <c r="J2502" s="93"/>
    </row>
    <row r="2503" spans="1:10" s="65" customFormat="1" ht="14" x14ac:dyDescent="0.35">
      <c r="A2503" s="145"/>
      <c r="B2503" s="152"/>
      <c r="E2503" s="102"/>
      <c r="F2503" s="102"/>
      <c r="G2503" s="102"/>
      <c r="I2503" s="93"/>
      <c r="J2503" s="93"/>
    </row>
    <row r="2504" spans="1:10" s="65" customFormat="1" ht="14" x14ac:dyDescent="0.35">
      <c r="A2504" s="145"/>
      <c r="B2504" s="152"/>
      <c r="E2504" s="102"/>
      <c r="F2504" s="102"/>
      <c r="G2504" s="102"/>
      <c r="I2504" s="93"/>
      <c r="J2504" s="93"/>
    </row>
    <row r="2505" spans="1:10" s="65" customFormat="1" ht="14" x14ac:dyDescent="0.35">
      <c r="A2505" s="145"/>
      <c r="B2505" s="152"/>
      <c r="E2505" s="102"/>
      <c r="F2505" s="102"/>
      <c r="G2505" s="102"/>
      <c r="I2505" s="93"/>
      <c r="J2505" s="93"/>
    </row>
    <row r="2506" spans="1:10" s="65" customFormat="1" ht="14" x14ac:dyDescent="0.35">
      <c r="A2506" s="145"/>
      <c r="B2506" s="152"/>
      <c r="E2506" s="102"/>
      <c r="F2506" s="102"/>
      <c r="G2506" s="102"/>
      <c r="I2506" s="93"/>
      <c r="J2506" s="93"/>
    </row>
    <row r="2507" spans="1:10" s="65" customFormat="1" ht="14" x14ac:dyDescent="0.35">
      <c r="A2507" s="145"/>
      <c r="B2507" s="152"/>
      <c r="E2507" s="102"/>
      <c r="F2507" s="102"/>
      <c r="G2507" s="102"/>
      <c r="I2507" s="93"/>
      <c r="J2507" s="93"/>
    </row>
    <row r="2508" spans="1:10" s="65" customFormat="1" ht="14" x14ac:dyDescent="0.35">
      <c r="A2508" s="145"/>
      <c r="B2508" s="152"/>
      <c r="E2508" s="102"/>
      <c r="F2508" s="102"/>
      <c r="G2508" s="102"/>
      <c r="I2508" s="93"/>
      <c r="J2508" s="93"/>
    </row>
    <row r="2509" spans="1:10" s="65" customFormat="1" ht="14" x14ac:dyDescent="0.35">
      <c r="A2509" s="145"/>
      <c r="B2509" s="152"/>
      <c r="E2509" s="102"/>
      <c r="F2509" s="102"/>
      <c r="G2509" s="102"/>
      <c r="I2509" s="93"/>
      <c r="J2509" s="93"/>
    </row>
    <row r="2510" spans="1:10" s="65" customFormat="1" ht="14" x14ac:dyDescent="0.35">
      <c r="A2510" s="145"/>
      <c r="B2510" s="152"/>
      <c r="E2510" s="102"/>
      <c r="F2510" s="102"/>
      <c r="G2510" s="102"/>
      <c r="I2510" s="93"/>
      <c r="J2510" s="93"/>
    </row>
    <row r="2511" spans="1:10" s="65" customFormat="1" ht="14" x14ac:dyDescent="0.35">
      <c r="A2511" s="145"/>
      <c r="B2511" s="152"/>
      <c r="E2511" s="102"/>
      <c r="F2511" s="102"/>
      <c r="G2511" s="102"/>
      <c r="I2511" s="93"/>
      <c r="J2511" s="93"/>
    </row>
    <row r="2512" spans="1:10" s="65" customFormat="1" ht="14" x14ac:dyDescent="0.35">
      <c r="A2512" s="145"/>
      <c r="B2512" s="152"/>
      <c r="E2512" s="102"/>
      <c r="F2512" s="102"/>
      <c r="G2512" s="102"/>
      <c r="I2512" s="93"/>
      <c r="J2512" s="93"/>
    </row>
    <row r="2513" spans="1:10" s="65" customFormat="1" ht="14" x14ac:dyDescent="0.35">
      <c r="A2513" s="145"/>
      <c r="B2513" s="152"/>
      <c r="E2513" s="102"/>
      <c r="F2513" s="102"/>
      <c r="G2513" s="102"/>
      <c r="I2513" s="93"/>
      <c r="J2513" s="93"/>
    </row>
    <row r="2514" spans="1:10" s="65" customFormat="1" ht="14" x14ac:dyDescent="0.35">
      <c r="A2514" s="145"/>
      <c r="B2514" s="152"/>
      <c r="E2514" s="102"/>
      <c r="F2514" s="102"/>
      <c r="G2514" s="102"/>
      <c r="I2514" s="93"/>
      <c r="J2514" s="93"/>
    </row>
    <row r="2515" spans="1:10" s="65" customFormat="1" ht="14" x14ac:dyDescent="0.35">
      <c r="A2515" s="145"/>
      <c r="B2515" s="152"/>
      <c r="E2515" s="102"/>
      <c r="F2515" s="102"/>
      <c r="G2515" s="102"/>
      <c r="I2515" s="93"/>
      <c r="J2515" s="93"/>
    </row>
    <row r="2516" spans="1:10" s="65" customFormat="1" ht="14" x14ac:dyDescent="0.35">
      <c r="A2516" s="145"/>
      <c r="B2516" s="152"/>
      <c r="E2516" s="102"/>
      <c r="F2516" s="102"/>
      <c r="G2516" s="102"/>
      <c r="I2516" s="93"/>
      <c r="J2516" s="93"/>
    </row>
    <row r="2517" spans="1:10" s="65" customFormat="1" ht="14" x14ac:dyDescent="0.35">
      <c r="A2517" s="145"/>
      <c r="B2517" s="152"/>
      <c r="E2517" s="102"/>
      <c r="F2517" s="102"/>
      <c r="G2517" s="102"/>
      <c r="I2517" s="93"/>
      <c r="J2517" s="93"/>
    </row>
    <row r="2518" spans="1:10" s="65" customFormat="1" ht="14" x14ac:dyDescent="0.35">
      <c r="A2518" s="145"/>
      <c r="B2518" s="152"/>
      <c r="E2518" s="102"/>
      <c r="F2518" s="102"/>
      <c r="G2518" s="102"/>
      <c r="I2518" s="93"/>
      <c r="J2518" s="93"/>
    </row>
    <row r="2519" spans="1:10" s="65" customFormat="1" ht="14" x14ac:dyDescent="0.35">
      <c r="A2519" s="145"/>
      <c r="B2519" s="152"/>
      <c r="E2519" s="102"/>
      <c r="F2519" s="102"/>
      <c r="G2519" s="102"/>
      <c r="I2519" s="93"/>
      <c r="J2519" s="93"/>
    </row>
    <row r="2520" spans="1:10" s="65" customFormat="1" ht="14" x14ac:dyDescent="0.35">
      <c r="A2520" s="145"/>
      <c r="B2520" s="152"/>
      <c r="E2520" s="102"/>
      <c r="F2520" s="102"/>
      <c r="G2520" s="102"/>
      <c r="I2520" s="93"/>
      <c r="J2520" s="93"/>
    </row>
    <row r="2521" spans="1:10" s="65" customFormat="1" ht="14" x14ac:dyDescent="0.35">
      <c r="A2521" s="145"/>
      <c r="B2521" s="152"/>
      <c r="E2521" s="102"/>
      <c r="F2521" s="102"/>
      <c r="G2521" s="102"/>
      <c r="I2521" s="93"/>
      <c r="J2521" s="93"/>
    </row>
    <row r="2522" spans="1:10" s="65" customFormat="1" ht="14" x14ac:dyDescent="0.35">
      <c r="A2522" s="145"/>
      <c r="B2522" s="152"/>
      <c r="E2522" s="102"/>
      <c r="F2522" s="102"/>
      <c r="G2522" s="102"/>
      <c r="I2522" s="93"/>
      <c r="J2522" s="93"/>
    </row>
    <row r="2523" spans="1:10" s="65" customFormat="1" ht="14" x14ac:dyDescent="0.35">
      <c r="A2523" s="145"/>
      <c r="B2523" s="152"/>
      <c r="E2523" s="102"/>
      <c r="F2523" s="102"/>
      <c r="G2523" s="102"/>
      <c r="I2523" s="93"/>
      <c r="J2523" s="93"/>
    </row>
    <row r="2524" spans="1:10" s="65" customFormat="1" ht="14" x14ac:dyDescent="0.35">
      <c r="A2524" s="145"/>
      <c r="B2524" s="152"/>
      <c r="E2524" s="102"/>
      <c r="F2524" s="102"/>
      <c r="G2524" s="102"/>
      <c r="I2524" s="93"/>
      <c r="J2524" s="93"/>
    </row>
    <row r="2525" spans="1:10" s="65" customFormat="1" ht="14" x14ac:dyDescent="0.35">
      <c r="A2525" s="145"/>
      <c r="B2525" s="152"/>
      <c r="E2525" s="102"/>
      <c r="F2525" s="102"/>
      <c r="G2525" s="102"/>
      <c r="I2525" s="93"/>
      <c r="J2525" s="93"/>
    </row>
    <row r="2526" spans="1:10" s="65" customFormat="1" ht="14" x14ac:dyDescent="0.35">
      <c r="A2526" s="145"/>
      <c r="B2526" s="152"/>
      <c r="E2526" s="102"/>
      <c r="F2526" s="102"/>
      <c r="G2526" s="102"/>
      <c r="I2526" s="93"/>
      <c r="J2526" s="93"/>
    </row>
    <row r="2527" spans="1:10" s="65" customFormat="1" ht="14" x14ac:dyDescent="0.35">
      <c r="A2527" s="145"/>
      <c r="B2527" s="152"/>
      <c r="E2527" s="102"/>
      <c r="F2527" s="102"/>
      <c r="G2527" s="102"/>
      <c r="I2527" s="93"/>
      <c r="J2527" s="93"/>
    </row>
    <row r="2528" spans="1:10" s="65" customFormat="1" ht="14" x14ac:dyDescent="0.35">
      <c r="A2528" s="145"/>
      <c r="B2528" s="152"/>
      <c r="E2528" s="102"/>
      <c r="F2528" s="102"/>
      <c r="G2528" s="102"/>
      <c r="I2528" s="93"/>
      <c r="J2528" s="93"/>
    </row>
    <row r="2529" spans="1:10" s="65" customFormat="1" ht="14" x14ac:dyDescent="0.35">
      <c r="A2529" s="145"/>
      <c r="B2529" s="152"/>
      <c r="E2529" s="102"/>
      <c r="F2529" s="102"/>
      <c r="G2529" s="102"/>
      <c r="I2529" s="93"/>
      <c r="J2529" s="93"/>
    </row>
    <row r="2530" spans="1:10" s="65" customFormat="1" ht="14" x14ac:dyDescent="0.35">
      <c r="A2530" s="145"/>
      <c r="B2530" s="152"/>
      <c r="E2530" s="102"/>
      <c r="F2530" s="102"/>
      <c r="G2530" s="102"/>
      <c r="I2530" s="93"/>
      <c r="J2530" s="93"/>
    </row>
    <row r="2531" spans="1:10" s="65" customFormat="1" ht="14" x14ac:dyDescent="0.35">
      <c r="A2531" s="145"/>
      <c r="B2531" s="152"/>
      <c r="E2531" s="102"/>
      <c r="F2531" s="102"/>
      <c r="G2531" s="102"/>
      <c r="I2531" s="93"/>
      <c r="J2531" s="93"/>
    </row>
    <row r="2532" spans="1:10" s="65" customFormat="1" ht="14" x14ac:dyDescent="0.35">
      <c r="A2532" s="145"/>
      <c r="B2532" s="152"/>
      <c r="E2532" s="102"/>
      <c r="F2532" s="102"/>
      <c r="G2532" s="102"/>
      <c r="I2532" s="93"/>
      <c r="J2532" s="93"/>
    </row>
    <row r="2533" spans="1:10" s="65" customFormat="1" ht="14" x14ac:dyDescent="0.35">
      <c r="A2533" s="145"/>
      <c r="B2533" s="152"/>
      <c r="E2533" s="102"/>
      <c r="F2533" s="102"/>
      <c r="G2533" s="102"/>
      <c r="I2533" s="93"/>
      <c r="J2533" s="93"/>
    </row>
    <row r="2534" spans="1:10" s="65" customFormat="1" ht="14" x14ac:dyDescent="0.35">
      <c r="A2534" s="145"/>
      <c r="B2534" s="152"/>
      <c r="E2534" s="102"/>
      <c r="F2534" s="102"/>
      <c r="G2534" s="102"/>
      <c r="I2534" s="93"/>
      <c r="J2534" s="93"/>
    </row>
    <row r="2535" spans="1:10" s="65" customFormat="1" ht="14" x14ac:dyDescent="0.35">
      <c r="A2535" s="145"/>
      <c r="B2535" s="152"/>
      <c r="E2535" s="102"/>
      <c r="F2535" s="102"/>
      <c r="G2535" s="102"/>
      <c r="I2535" s="93"/>
      <c r="J2535" s="93"/>
    </row>
    <row r="2536" spans="1:10" s="65" customFormat="1" ht="14" x14ac:dyDescent="0.35">
      <c r="A2536" s="145"/>
      <c r="B2536" s="152"/>
      <c r="E2536" s="102"/>
      <c r="F2536" s="102"/>
      <c r="G2536" s="102"/>
      <c r="I2536" s="93"/>
      <c r="J2536" s="93"/>
    </row>
    <row r="2537" spans="1:10" s="65" customFormat="1" ht="14" x14ac:dyDescent="0.35">
      <c r="A2537" s="145"/>
      <c r="B2537" s="152"/>
      <c r="E2537" s="102"/>
      <c r="F2537" s="102"/>
      <c r="G2537" s="102"/>
      <c r="I2537" s="93"/>
      <c r="J2537" s="93"/>
    </row>
    <row r="2538" spans="1:10" s="65" customFormat="1" ht="14" x14ac:dyDescent="0.35">
      <c r="A2538" s="145"/>
      <c r="B2538" s="152"/>
      <c r="E2538" s="102"/>
      <c r="F2538" s="102"/>
      <c r="G2538" s="102"/>
      <c r="I2538" s="93"/>
      <c r="J2538" s="93"/>
    </row>
    <row r="2539" spans="1:10" s="65" customFormat="1" ht="14" x14ac:dyDescent="0.35">
      <c r="A2539" s="145"/>
      <c r="B2539" s="152"/>
      <c r="E2539" s="102"/>
      <c r="F2539" s="102"/>
      <c r="G2539" s="102"/>
      <c r="I2539" s="93"/>
      <c r="J2539" s="93"/>
    </row>
    <row r="2540" spans="1:10" s="65" customFormat="1" ht="14" x14ac:dyDescent="0.35">
      <c r="A2540" s="145"/>
      <c r="B2540" s="152"/>
      <c r="E2540" s="102"/>
      <c r="F2540" s="102"/>
      <c r="G2540" s="102"/>
      <c r="I2540" s="93"/>
      <c r="J2540" s="93"/>
    </row>
    <row r="2541" spans="1:10" s="65" customFormat="1" ht="14" x14ac:dyDescent="0.35">
      <c r="A2541" s="145"/>
      <c r="B2541" s="152"/>
      <c r="E2541" s="102"/>
      <c r="F2541" s="102"/>
      <c r="G2541" s="102"/>
      <c r="I2541" s="93"/>
      <c r="J2541" s="93"/>
    </row>
    <row r="2542" spans="1:10" s="65" customFormat="1" ht="14" x14ac:dyDescent="0.35">
      <c r="A2542" s="145"/>
      <c r="B2542" s="152"/>
      <c r="E2542" s="102"/>
      <c r="F2542" s="102"/>
      <c r="G2542" s="102"/>
      <c r="I2542" s="93"/>
      <c r="J2542" s="93"/>
    </row>
    <row r="2543" spans="1:10" s="65" customFormat="1" ht="14" x14ac:dyDescent="0.35">
      <c r="A2543" s="145"/>
      <c r="B2543" s="152"/>
      <c r="E2543" s="102"/>
      <c r="F2543" s="102"/>
      <c r="G2543" s="102"/>
      <c r="I2543" s="93"/>
      <c r="J2543" s="93"/>
    </row>
    <row r="2544" spans="1:10" s="65" customFormat="1" ht="14" x14ac:dyDescent="0.35">
      <c r="A2544" s="145"/>
      <c r="B2544" s="152"/>
      <c r="E2544" s="102"/>
      <c r="F2544" s="102"/>
      <c r="G2544" s="102"/>
      <c r="I2544" s="93"/>
      <c r="J2544" s="93"/>
    </row>
    <row r="2545" spans="1:10" s="65" customFormat="1" ht="14" x14ac:dyDescent="0.35">
      <c r="A2545" s="145"/>
      <c r="B2545" s="152"/>
      <c r="E2545" s="102"/>
      <c r="F2545" s="102"/>
      <c r="G2545" s="102"/>
      <c r="I2545" s="93"/>
      <c r="J2545" s="93"/>
    </row>
    <row r="2546" spans="1:10" s="65" customFormat="1" ht="14" x14ac:dyDescent="0.35">
      <c r="A2546" s="145"/>
      <c r="B2546" s="152"/>
      <c r="E2546" s="102"/>
      <c r="F2546" s="102"/>
      <c r="G2546" s="102"/>
      <c r="I2546" s="93"/>
      <c r="J2546" s="93"/>
    </row>
    <row r="2547" spans="1:10" s="65" customFormat="1" ht="14" x14ac:dyDescent="0.35">
      <c r="A2547" s="145"/>
      <c r="B2547" s="152"/>
      <c r="E2547" s="102"/>
      <c r="F2547" s="102"/>
      <c r="G2547" s="102"/>
      <c r="I2547" s="93"/>
      <c r="J2547" s="93"/>
    </row>
    <row r="2548" spans="1:10" s="65" customFormat="1" ht="14" x14ac:dyDescent="0.35">
      <c r="A2548" s="145"/>
      <c r="B2548" s="152"/>
      <c r="E2548" s="102"/>
      <c r="F2548" s="102"/>
      <c r="G2548" s="102"/>
      <c r="I2548" s="93"/>
      <c r="J2548" s="93"/>
    </row>
    <row r="2549" spans="1:10" s="65" customFormat="1" ht="14" x14ac:dyDescent="0.35">
      <c r="A2549" s="145"/>
      <c r="B2549" s="152"/>
      <c r="E2549" s="102"/>
      <c r="F2549" s="102"/>
      <c r="G2549" s="102"/>
      <c r="I2549" s="93"/>
      <c r="J2549" s="93"/>
    </row>
    <row r="2550" spans="1:10" s="65" customFormat="1" ht="14" x14ac:dyDescent="0.35">
      <c r="A2550" s="145"/>
      <c r="B2550" s="152"/>
      <c r="E2550" s="102"/>
      <c r="F2550" s="102"/>
      <c r="G2550" s="102"/>
      <c r="I2550" s="93"/>
      <c r="J2550" s="93"/>
    </row>
    <row r="2551" spans="1:10" s="65" customFormat="1" ht="14" x14ac:dyDescent="0.35">
      <c r="A2551" s="145"/>
      <c r="B2551" s="152"/>
      <c r="E2551" s="102"/>
      <c r="F2551" s="102"/>
      <c r="G2551" s="102"/>
      <c r="I2551" s="93"/>
      <c r="J2551" s="93"/>
    </row>
    <row r="2552" spans="1:10" s="65" customFormat="1" ht="14" x14ac:dyDescent="0.35">
      <c r="A2552" s="145"/>
      <c r="B2552" s="152"/>
      <c r="E2552" s="102"/>
      <c r="F2552" s="102"/>
      <c r="G2552" s="102"/>
      <c r="I2552" s="93"/>
      <c r="J2552" s="93"/>
    </row>
    <row r="2553" spans="1:10" s="65" customFormat="1" ht="14" x14ac:dyDescent="0.35">
      <c r="A2553" s="145"/>
      <c r="B2553" s="152"/>
      <c r="E2553" s="102"/>
      <c r="F2553" s="102"/>
      <c r="G2553" s="102"/>
      <c r="I2553" s="93"/>
      <c r="J2553" s="93"/>
    </row>
    <row r="2554" spans="1:10" s="65" customFormat="1" ht="14" x14ac:dyDescent="0.35">
      <c r="A2554" s="145"/>
      <c r="B2554" s="152"/>
      <c r="E2554" s="102"/>
      <c r="F2554" s="102"/>
      <c r="G2554" s="102"/>
      <c r="I2554" s="93"/>
      <c r="J2554" s="93"/>
    </row>
    <row r="2555" spans="1:10" s="65" customFormat="1" ht="14" x14ac:dyDescent="0.35">
      <c r="A2555" s="145"/>
      <c r="B2555" s="152"/>
      <c r="E2555" s="102"/>
      <c r="F2555" s="102"/>
      <c r="G2555" s="102"/>
      <c r="I2555" s="93"/>
      <c r="J2555" s="93"/>
    </row>
    <row r="2556" spans="1:10" s="65" customFormat="1" ht="14" x14ac:dyDescent="0.35">
      <c r="A2556" s="145"/>
      <c r="B2556" s="152"/>
      <c r="E2556" s="102"/>
      <c r="F2556" s="102"/>
      <c r="G2556" s="102"/>
      <c r="I2556" s="93"/>
      <c r="J2556" s="93"/>
    </row>
    <row r="2557" spans="1:10" s="65" customFormat="1" ht="14" x14ac:dyDescent="0.35">
      <c r="A2557" s="145"/>
      <c r="B2557" s="152"/>
      <c r="E2557" s="102"/>
      <c r="F2557" s="102"/>
      <c r="G2557" s="102"/>
      <c r="I2557" s="93"/>
      <c r="J2557" s="93"/>
    </row>
    <row r="2558" spans="1:10" s="65" customFormat="1" ht="14" x14ac:dyDescent="0.35">
      <c r="A2558" s="145"/>
      <c r="B2558" s="152"/>
      <c r="E2558" s="102"/>
      <c r="F2558" s="102"/>
      <c r="G2558" s="102"/>
      <c r="I2558" s="93"/>
      <c r="J2558" s="93"/>
    </row>
    <row r="2559" spans="1:10" s="65" customFormat="1" ht="14" x14ac:dyDescent="0.35">
      <c r="A2559" s="145"/>
      <c r="B2559" s="152"/>
      <c r="E2559" s="102"/>
      <c r="F2559" s="102"/>
      <c r="G2559" s="102"/>
      <c r="I2559" s="93"/>
      <c r="J2559" s="93"/>
    </row>
    <row r="2560" spans="1:10" s="65" customFormat="1" ht="14" x14ac:dyDescent="0.35">
      <c r="A2560" s="145"/>
      <c r="B2560" s="152"/>
      <c r="E2560" s="102"/>
      <c r="F2560" s="102"/>
      <c r="G2560" s="102"/>
      <c r="I2560" s="93"/>
      <c r="J2560" s="93"/>
    </row>
    <row r="2561" spans="1:10" s="65" customFormat="1" ht="14" x14ac:dyDescent="0.35">
      <c r="A2561" s="145"/>
      <c r="B2561" s="152"/>
      <c r="E2561" s="102"/>
      <c r="F2561" s="102"/>
      <c r="G2561" s="102"/>
      <c r="I2561" s="93"/>
      <c r="J2561" s="93"/>
    </row>
    <row r="2562" spans="1:10" s="65" customFormat="1" ht="14" x14ac:dyDescent="0.35">
      <c r="A2562" s="145"/>
      <c r="B2562" s="152"/>
      <c r="E2562" s="102"/>
      <c r="F2562" s="102"/>
      <c r="G2562" s="102"/>
      <c r="I2562" s="93"/>
      <c r="J2562" s="93"/>
    </row>
    <row r="2563" spans="1:10" s="65" customFormat="1" ht="14" x14ac:dyDescent="0.35">
      <c r="A2563" s="145"/>
      <c r="B2563" s="152"/>
      <c r="E2563" s="102"/>
      <c r="F2563" s="102"/>
      <c r="G2563" s="102"/>
      <c r="I2563" s="93"/>
      <c r="J2563" s="93"/>
    </row>
    <row r="2564" spans="1:10" s="65" customFormat="1" ht="14" x14ac:dyDescent="0.35">
      <c r="A2564" s="145"/>
      <c r="B2564" s="152"/>
      <c r="E2564" s="102"/>
      <c r="F2564" s="102"/>
      <c r="G2564" s="102"/>
      <c r="I2564" s="93"/>
      <c r="J2564" s="93"/>
    </row>
    <row r="2565" spans="1:10" s="65" customFormat="1" ht="14" x14ac:dyDescent="0.35">
      <c r="A2565" s="145"/>
      <c r="B2565" s="152"/>
      <c r="E2565" s="102"/>
      <c r="F2565" s="102"/>
      <c r="G2565" s="102"/>
      <c r="I2565" s="93"/>
      <c r="J2565" s="93"/>
    </row>
    <row r="2566" spans="1:10" s="65" customFormat="1" ht="14" x14ac:dyDescent="0.35">
      <c r="A2566" s="145"/>
      <c r="B2566" s="152"/>
      <c r="E2566" s="102"/>
      <c r="F2566" s="102"/>
      <c r="G2566" s="102"/>
      <c r="I2566" s="93"/>
      <c r="J2566" s="93"/>
    </row>
    <row r="2567" spans="1:10" s="65" customFormat="1" ht="14" x14ac:dyDescent="0.35">
      <c r="A2567" s="145"/>
      <c r="B2567" s="152"/>
      <c r="E2567" s="102"/>
      <c r="F2567" s="102"/>
      <c r="G2567" s="102"/>
      <c r="I2567" s="93"/>
      <c r="J2567" s="93"/>
    </row>
    <row r="2568" spans="1:10" s="65" customFormat="1" ht="14" x14ac:dyDescent="0.35">
      <c r="A2568" s="145"/>
      <c r="B2568" s="152"/>
      <c r="E2568" s="102"/>
      <c r="F2568" s="102"/>
      <c r="G2568" s="102"/>
      <c r="I2568" s="93"/>
      <c r="J2568" s="93"/>
    </row>
    <row r="2569" spans="1:10" s="65" customFormat="1" ht="14" x14ac:dyDescent="0.35">
      <c r="A2569" s="145"/>
      <c r="B2569" s="152"/>
      <c r="E2569" s="102"/>
      <c r="F2569" s="102"/>
      <c r="G2569" s="102"/>
      <c r="I2569" s="93"/>
      <c r="J2569" s="93"/>
    </row>
    <row r="2570" spans="1:10" s="65" customFormat="1" ht="14" x14ac:dyDescent="0.35">
      <c r="A2570" s="145"/>
      <c r="B2570" s="152"/>
      <c r="E2570" s="102"/>
      <c r="F2570" s="102"/>
      <c r="G2570" s="102"/>
      <c r="I2570" s="93"/>
      <c r="J2570" s="93"/>
    </row>
    <row r="2571" spans="1:10" s="65" customFormat="1" ht="14" x14ac:dyDescent="0.35">
      <c r="A2571" s="145"/>
      <c r="B2571" s="152"/>
      <c r="E2571" s="102"/>
      <c r="F2571" s="102"/>
      <c r="G2571" s="102"/>
      <c r="I2571" s="93"/>
      <c r="J2571" s="93"/>
    </row>
    <row r="2572" spans="1:10" s="65" customFormat="1" ht="14" x14ac:dyDescent="0.35">
      <c r="A2572" s="145"/>
      <c r="B2572" s="152"/>
      <c r="E2572" s="102"/>
      <c r="F2572" s="102"/>
      <c r="G2572" s="102"/>
      <c r="I2572" s="93"/>
      <c r="J2572" s="93"/>
    </row>
    <row r="2573" spans="1:10" s="65" customFormat="1" ht="14" x14ac:dyDescent="0.35">
      <c r="A2573" s="145"/>
      <c r="B2573" s="152"/>
      <c r="E2573" s="102"/>
      <c r="F2573" s="102"/>
      <c r="G2573" s="102"/>
      <c r="I2573" s="93"/>
      <c r="J2573" s="93"/>
    </row>
    <row r="2574" spans="1:10" s="65" customFormat="1" ht="14" x14ac:dyDescent="0.35">
      <c r="A2574" s="145"/>
      <c r="B2574" s="152"/>
      <c r="E2574" s="102"/>
      <c r="F2574" s="102"/>
      <c r="G2574" s="102"/>
      <c r="I2574" s="93"/>
      <c r="J2574" s="93"/>
    </row>
    <row r="2575" spans="1:10" s="65" customFormat="1" ht="14" x14ac:dyDescent="0.35">
      <c r="A2575" s="145"/>
      <c r="B2575" s="152"/>
      <c r="E2575" s="102"/>
      <c r="F2575" s="102"/>
      <c r="G2575" s="102"/>
      <c r="I2575" s="93"/>
      <c r="J2575" s="93"/>
    </row>
    <row r="2576" spans="1:10" s="65" customFormat="1" ht="14" x14ac:dyDescent="0.35">
      <c r="A2576" s="145"/>
      <c r="B2576" s="152"/>
      <c r="E2576" s="102"/>
      <c r="F2576" s="102"/>
      <c r="G2576" s="102"/>
      <c r="I2576" s="93"/>
      <c r="J2576" s="93"/>
    </row>
    <row r="2577" spans="1:10" s="65" customFormat="1" ht="14" x14ac:dyDescent="0.35">
      <c r="A2577" s="145"/>
      <c r="B2577" s="152"/>
      <c r="E2577" s="102"/>
      <c r="F2577" s="102"/>
      <c r="G2577" s="102"/>
      <c r="I2577" s="93"/>
      <c r="J2577" s="93"/>
    </row>
    <row r="2578" spans="1:10" s="65" customFormat="1" ht="14" x14ac:dyDescent="0.35">
      <c r="A2578" s="145"/>
      <c r="B2578" s="152"/>
      <c r="E2578" s="102"/>
      <c r="F2578" s="102"/>
      <c r="G2578" s="102"/>
      <c r="I2578" s="93"/>
      <c r="J2578" s="93"/>
    </row>
    <row r="2579" spans="1:10" s="65" customFormat="1" ht="14" x14ac:dyDescent="0.35">
      <c r="A2579" s="145"/>
      <c r="B2579" s="152"/>
      <c r="E2579" s="102"/>
      <c r="F2579" s="102"/>
      <c r="G2579" s="102"/>
      <c r="I2579" s="93"/>
      <c r="J2579" s="93"/>
    </row>
    <row r="2580" spans="1:10" s="65" customFormat="1" ht="14" x14ac:dyDescent="0.35">
      <c r="A2580" s="145"/>
      <c r="B2580" s="152"/>
      <c r="E2580" s="102"/>
      <c r="F2580" s="102"/>
      <c r="G2580" s="102"/>
      <c r="I2580" s="93"/>
      <c r="J2580" s="93"/>
    </row>
    <row r="2581" spans="1:10" s="65" customFormat="1" ht="14" x14ac:dyDescent="0.35">
      <c r="A2581" s="145"/>
      <c r="B2581" s="152"/>
      <c r="E2581" s="102"/>
      <c r="F2581" s="102"/>
      <c r="G2581" s="102"/>
      <c r="I2581" s="93"/>
      <c r="J2581" s="93"/>
    </row>
    <row r="2582" spans="1:10" s="65" customFormat="1" ht="14" x14ac:dyDescent="0.35">
      <c r="A2582" s="145"/>
      <c r="B2582" s="152"/>
      <c r="E2582" s="102"/>
      <c r="F2582" s="102"/>
      <c r="G2582" s="102"/>
      <c r="I2582" s="93"/>
      <c r="J2582" s="93"/>
    </row>
    <row r="2583" spans="1:10" s="65" customFormat="1" ht="14" x14ac:dyDescent="0.35">
      <c r="A2583" s="145"/>
      <c r="B2583" s="152"/>
      <c r="E2583" s="102"/>
      <c r="F2583" s="102"/>
      <c r="G2583" s="102"/>
      <c r="I2583" s="93"/>
      <c r="J2583" s="93"/>
    </row>
    <row r="2584" spans="1:10" s="65" customFormat="1" ht="14" x14ac:dyDescent="0.35">
      <c r="A2584" s="145"/>
      <c r="B2584" s="152"/>
      <c r="E2584" s="102"/>
      <c r="F2584" s="102"/>
      <c r="G2584" s="102"/>
      <c r="I2584" s="93"/>
      <c r="J2584" s="93"/>
    </row>
    <row r="2585" spans="1:10" s="65" customFormat="1" ht="14" x14ac:dyDescent="0.35">
      <c r="A2585" s="145"/>
      <c r="B2585" s="152"/>
      <c r="E2585" s="102"/>
      <c r="F2585" s="102"/>
      <c r="G2585" s="102"/>
      <c r="I2585" s="93"/>
      <c r="J2585" s="93"/>
    </row>
    <row r="2586" spans="1:10" s="65" customFormat="1" ht="14" x14ac:dyDescent="0.35">
      <c r="A2586" s="145"/>
      <c r="B2586" s="152"/>
      <c r="E2586" s="102"/>
      <c r="F2586" s="102"/>
      <c r="G2586" s="102"/>
      <c r="I2586" s="93"/>
      <c r="J2586" s="93"/>
    </row>
    <row r="2587" spans="1:10" s="65" customFormat="1" ht="14" x14ac:dyDescent="0.35">
      <c r="A2587" s="145"/>
      <c r="B2587" s="152"/>
      <c r="E2587" s="102"/>
      <c r="F2587" s="102"/>
      <c r="G2587" s="102"/>
      <c r="I2587" s="93"/>
      <c r="J2587" s="93"/>
    </row>
    <row r="2588" spans="1:10" s="65" customFormat="1" ht="14" x14ac:dyDescent="0.35">
      <c r="A2588" s="145"/>
      <c r="B2588" s="152"/>
      <c r="E2588" s="102"/>
      <c r="F2588" s="102"/>
      <c r="G2588" s="102"/>
      <c r="I2588" s="93"/>
      <c r="J2588" s="93"/>
    </row>
    <row r="2589" spans="1:10" s="65" customFormat="1" ht="14" x14ac:dyDescent="0.35">
      <c r="A2589" s="145"/>
      <c r="B2589" s="152"/>
      <c r="E2589" s="102"/>
      <c r="F2589" s="102"/>
      <c r="G2589" s="102"/>
      <c r="I2589" s="93"/>
      <c r="J2589" s="93"/>
    </row>
    <row r="2590" spans="1:10" s="65" customFormat="1" ht="14" x14ac:dyDescent="0.35">
      <c r="A2590" s="145"/>
      <c r="B2590" s="152"/>
      <c r="E2590" s="102"/>
      <c r="F2590" s="102"/>
      <c r="G2590" s="102"/>
      <c r="I2590" s="93"/>
      <c r="J2590" s="93"/>
    </row>
    <row r="2591" spans="1:10" s="65" customFormat="1" ht="14" x14ac:dyDescent="0.35">
      <c r="A2591" s="145"/>
      <c r="B2591" s="152"/>
      <c r="E2591" s="102"/>
      <c r="F2591" s="102"/>
      <c r="G2591" s="102"/>
      <c r="I2591" s="93"/>
      <c r="J2591" s="93"/>
    </row>
    <row r="2592" spans="1:10" s="65" customFormat="1" ht="14" x14ac:dyDescent="0.35">
      <c r="A2592" s="145"/>
      <c r="B2592" s="152"/>
      <c r="E2592" s="102"/>
      <c r="F2592" s="102"/>
      <c r="G2592" s="102"/>
      <c r="I2592" s="93"/>
      <c r="J2592" s="93"/>
    </row>
    <row r="2593" spans="1:10" s="65" customFormat="1" ht="14" x14ac:dyDescent="0.35">
      <c r="A2593" s="145"/>
      <c r="B2593" s="152"/>
      <c r="E2593" s="102"/>
      <c r="F2593" s="102"/>
      <c r="G2593" s="102"/>
      <c r="I2593" s="93"/>
      <c r="J2593" s="93"/>
    </row>
    <row r="2594" spans="1:10" s="65" customFormat="1" ht="14" x14ac:dyDescent="0.35">
      <c r="A2594" s="145"/>
      <c r="B2594" s="152"/>
      <c r="E2594" s="102"/>
      <c r="F2594" s="102"/>
      <c r="G2594" s="102"/>
      <c r="I2594" s="93"/>
      <c r="J2594" s="93"/>
    </row>
    <row r="2595" spans="1:10" s="65" customFormat="1" ht="14" x14ac:dyDescent="0.35">
      <c r="A2595" s="145"/>
      <c r="B2595" s="152"/>
      <c r="E2595" s="102"/>
      <c r="F2595" s="102"/>
      <c r="G2595" s="102"/>
      <c r="I2595" s="93"/>
      <c r="J2595" s="93"/>
    </row>
    <row r="2596" spans="1:10" s="65" customFormat="1" ht="14" x14ac:dyDescent="0.35">
      <c r="A2596" s="145"/>
      <c r="B2596" s="152"/>
      <c r="E2596" s="102"/>
      <c r="F2596" s="102"/>
      <c r="G2596" s="102"/>
      <c r="I2596" s="93"/>
      <c r="J2596" s="93"/>
    </row>
    <row r="2597" spans="1:10" s="65" customFormat="1" ht="14" x14ac:dyDescent="0.35">
      <c r="A2597" s="145"/>
      <c r="B2597" s="152"/>
      <c r="E2597" s="102"/>
      <c r="F2597" s="102"/>
      <c r="G2597" s="102"/>
      <c r="I2597" s="93"/>
      <c r="J2597" s="93"/>
    </row>
    <row r="2598" spans="1:10" s="65" customFormat="1" ht="14" x14ac:dyDescent="0.35">
      <c r="A2598" s="145"/>
      <c r="B2598" s="152"/>
      <c r="E2598" s="102"/>
      <c r="F2598" s="102"/>
      <c r="G2598" s="102"/>
      <c r="I2598" s="93"/>
      <c r="J2598" s="93"/>
    </row>
    <row r="2599" spans="1:10" s="65" customFormat="1" ht="14" x14ac:dyDescent="0.35">
      <c r="A2599" s="145"/>
      <c r="B2599" s="152"/>
      <c r="E2599" s="102"/>
      <c r="F2599" s="102"/>
      <c r="G2599" s="102"/>
      <c r="I2599" s="93"/>
      <c r="J2599" s="93"/>
    </row>
    <row r="2600" spans="1:10" s="65" customFormat="1" ht="14" x14ac:dyDescent="0.35">
      <c r="A2600" s="145"/>
      <c r="B2600" s="152"/>
      <c r="E2600" s="102"/>
      <c r="F2600" s="102"/>
      <c r="G2600" s="102"/>
      <c r="I2600" s="93"/>
      <c r="J2600" s="93"/>
    </row>
    <row r="2601" spans="1:10" s="65" customFormat="1" ht="14" x14ac:dyDescent="0.35">
      <c r="A2601" s="145"/>
      <c r="B2601" s="152"/>
      <c r="E2601" s="102"/>
      <c r="F2601" s="102"/>
      <c r="G2601" s="102"/>
      <c r="I2601" s="93"/>
      <c r="J2601" s="93"/>
    </row>
    <row r="2602" spans="1:10" s="65" customFormat="1" ht="14" x14ac:dyDescent="0.35">
      <c r="A2602" s="145"/>
      <c r="B2602" s="152"/>
      <c r="E2602" s="102"/>
      <c r="F2602" s="102"/>
      <c r="G2602" s="102"/>
      <c r="I2602" s="93"/>
      <c r="J2602" s="93"/>
    </row>
    <row r="2603" spans="1:10" s="65" customFormat="1" ht="14" x14ac:dyDescent="0.35">
      <c r="A2603" s="145"/>
      <c r="B2603" s="152"/>
      <c r="E2603" s="102"/>
      <c r="F2603" s="102"/>
      <c r="G2603" s="102"/>
      <c r="I2603" s="93"/>
      <c r="J2603" s="93"/>
    </row>
    <row r="2604" spans="1:10" s="65" customFormat="1" ht="14" x14ac:dyDescent="0.35">
      <c r="A2604" s="145"/>
      <c r="B2604" s="152"/>
      <c r="E2604" s="102"/>
      <c r="F2604" s="102"/>
      <c r="G2604" s="102"/>
      <c r="I2604" s="93"/>
      <c r="J2604" s="93"/>
    </row>
    <row r="2605" spans="1:10" s="65" customFormat="1" ht="14" x14ac:dyDescent="0.35">
      <c r="A2605" s="145"/>
      <c r="B2605" s="152"/>
      <c r="E2605" s="102"/>
      <c r="F2605" s="102"/>
      <c r="G2605" s="102"/>
      <c r="I2605" s="93"/>
      <c r="J2605" s="93"/>
    </row>
    <row r="2606" spans="1:10" s="65" customFormat="1" ht="14" x14ac:dyDescent="0.35">
      <c r="A2606" s="145"/>
      <c r="B2606" s="152"/>
      <c r="E2606" s="102"/>
      <c r="F2606" s="102"/>
      <c r="G2606" s="102"/>
      <c r="I2606" s="93"/>
      <c r="J2606" s="93"/>
    </row>
    <row r="2607" spans="1:10" s="65" customFormat="1" ht="14" x14ac:dyDescent="0.35">
      <c r="A2607" s="145"/>
      <c r="B2607" s="152"/>
      <c r="E2607" s="102"/>
      <c r="F2607" s="102"/>
      <c r="G2607" s="102"/>
      <c r="I2607" s="93"/>
      <c r="J2607" s="93"/>
    </row>
    <row r="2608" spans="1:10" s="65" customFormat="1" ht="14" x14ac:dyDescent="0.35">
      <c r="A2608" s="145"/>
      <c r="B2608" s="152"/>
      <c r="E2608" s="102"/>
      <c r="F2608" s="102"/>
      <c r="G2608" s="102"/>
      <c r="I2608" s="93"/>
      <c r="J2608" s="93"/>
    </row>
    <row r="2609" spans="1:10" s="65" customFormat="1" ht="14" x14ac:dyDescent="0.35">
      <c r="A2609" s="145"/>
      <c r="B2609" s="152"/>
      <c r="E2609" s="102"/>
      <c r="F2609" s="102"/>
      <c r="G2609" s="102"/>
      <c r="I2609" s="93"/>
      <c r="J2609" s="93"/>
    </row>
    <row r="2610" spans="1:10" s="65" customFormat="1" ht="14" x14ac:dyDescent="0.35">
      <c r="A2610" s="145"/>
      <c r="B2610" s="152"/>
      <c r="E2610" s="102"/>
      <c r="F2610" s="102"/>
      <c r="G2610" s="102"/>
      <c r="I2610" s="93"/>
      <c r="J2610" s="93"/>
    </row>
    <row r="2611" spans="1:10" s="65" customFormat="1" ht="14" x14ac:dyDescent="0.35">
      <c r="A2611" s="145"/>
      <c r="B2611" s="152"/>
      <c r="E2611" s="102"/>
      <c r="F2611" s="102"/>
      <c r="G2611" s="102"/>
      <c r="I2611" s="93"/>
      <c r="J2611" s="93"/>
    </row>
    <row r="2612" spans="1:10" s="65" customFormat="1" ht="14" x14ac:dyDescent="0.35">
      <c r="A2612" s="145"/>
      <c r="B2612" s="152"/>
      <c r="E2612" s="102"/>
      <c r="F2612" s="102"/>
      <c r="G2612" s="102"/>
      <c r="I2612" s="93"/>
      <c r="J2612" s="93"/>
    </row>
    <row r="2613" spans="1:10" s="65" customFormat="1" ht="14" x14ac:dyDescent="0.35">
      <c r="A2613" s="145"/>
      <c r="B2613" s="152"/>
      <c r="E2613" s="102"/>
      <c r="F2613" s="102"/>
      <c r="G2613" s="102"/>
      <c r="I2613" s="93"/>
      <c r="J2613" s="93"/>
    </row>
    <row r="2614" spans="1:10" s="65" customFormat="1" ht="14" x14ac:dyDescent="0.35">
      <c r="A2614" s="145"/>
      <c r="B2614" s="152"/>
      <c r="E2614" s="102"/>
      <c r="F2614" s="102"/>
      <c r="G2614" s="102"/>
      <c r="I2614" s="93"/>
      <c r="J2614" s="93"/>
    </row>
    <row r="2615" spans="1:10" s="65" customFormat="1" ht="14" x14ac:dyDescent="0.35">
      <c r="A2615" s="145"/>
      <c r="B2615" s="152"/>
      <c r="E2615" s="102"/>
      <c r="F2615" s="102"/>
      <c r="G2615" s="102"/>
      <c r="I2615" s="93"/>
      <c r="J2615" s="93"/>
    </row>
    <row r="2616" spans="1:10" s="65" customFormat="1" ht="14" x14ac:dyDescent="0.35">
      <c r="A2616" s="145"/>
      <c r="B2616" s="152"/>
      <c r="E2616" s="102"/>
      <c r="F2616" s="102"/>
      <c r="G2616" s="102"/>
      <c r="I2616" s="93"/>
      <c r="J2616" s="93"/>
    </row>
    <row r="2617" spans="1:10" s="65" customFormat="1" ht="14" x14ac:dyDescent="0.35">
      <c r="A2617" s="145"/>
      <c r="B2617" s="152"/>
      <c r="E2617" s="102"/>
      <c r="F2617" s="102"/>
      <c r="G2617" s="102"/>
      <c r="I2617" s="93"/>
      <c r="J2617" s="93"/>
    </row>
    <row r="2618" spans="1:10" s="65" customFormat="1" ht="14" x14ac:dyDescent="0.35">
      <c r="A2618" s="145"/>
      <c r="B2618" s="152"/>
      <c r="E2618" s="102"/>
      <c r="F2618" s="102"/>
      <c r="G2618" s="102"/>
      <c r="I2618" s="93"/>
      <c r="J2618" s="93"/>
    </row>
    <row r="2619" spans="1:10" s="65" customFormat="1" ht="14" x14ac:dyDescent="0.35">
      <c r="A2619" s="145"/>
      <c r="B2619" s="152"/>
      <c r="E2619" s="102"/>
      <c r="F2619" s="102"/>
      <c r="G2619" s="102"/>
      <c r="I2619" s="93"/>
      <c r="J2619" s="93"/>
    </row>
    <row r="2620" spans="1:10" s="65" customFormat="1" ht="14" x14ac:dyDescent="0.35">
      <c r="A2620" s="145"/>
      <c r="B2620" s="152"/>
      <c r="E2620" s="102"/>
      <c r="F2620" s="102"/>
      <c r="G2620" s="102"/>
      <c r="I2620" s="93"/>
      <c r="J2620" s="93"/>
    </row>
    <row r="2621" spans="1:10" s="65" customFormat="1" ht="14" x14ac:dyDescent="0.35">
      <c r="A2621" s="145"/>
      <c r="B2621" s="152"/>
      <c r="E2621" s="102"/>
      <c r="F2621" s="102"/>
      <c r="G2621" s="102"/>
      <c r="I2621" s="93"/>
      <c r="J2621" s="93"/>
    </row>
    <row r="2622" spans="1:10" s="65" customFormat="1" ht="14" x14ac:dyDescent="0.35">
      <c r="A2622" s="145"/>
      <c r="B2622" s="152"/>
      <c r="E2622" s="102"/>
      <c r="F2622" s="102"/>
      <c r="G2622" s="102"/>
      <c r="I2622" s="93"/>
      <c r="J2622" s="93"/>
    </row>
    <row r="2623" spans="1:10" s="65" customFormat="1" ht="14" x14ac:dyDescent="0.35">
      <c r="A2623" s="145"/>
      <c r="B2623" s="152"/>
      <c r="E2623" s="102"/>
      <c r="F2623" s="102"/>
      <c r="G2623" s="102"/>
      <c r="I2623" s="93"/>
      <c r="J2623" s="93"/>
    </row>
    <row r="2624" spans="1:10" s="65" customFormat="1" ht="14" x14ac:dyDescent="0.35">
      <c r="A2624" s="145"/>
      <c r="B2624" s="152"/>
      <c r="E2624" s="102"/>
      <c r="F2624" s="102"/>
      <c r="G2624" s="102"/>
      <c r="I2624" s="93"/>
      <c r="J2624" s="93"/>
    </row>
    <row r="2625" spans="1:10" s="65" customFormat="1" ht="14" x14ac:dyDescent="0.35">
      <c r="A2625" s="145"/>
      <c r="B2625" s="152"/>
      <c r="E2625" s="102"/>
      <c r="F2625" s="102"/>
      <c r="G2625" s="102"/>
      <c r="I2625" s="93"/>
      <c r="J2625" s="93"/>
    </row>
    <row r="2626" spans="1:10" s="65" customFormat="1" ht="14" x14ac:dyDescent="0.35">
      <c r="A2626" s="145"/>
      <c r="B2626" s="152"/>
      <c r="E2626" s="102"/>
      <c r="F2626" s="102"/>
      <c r="G2626" s="102"/>
      <c r="I2626" s="93"/>
      <c r="J2626" s="93"/>
    </row>
    <row r="2627" spans="1:10" s="65" customFormat="1" ht="14" x14ac:dyDescent="0.35">
      <c r="A2627" s="145"/>
      <c r="B2627" s="152"/>
      <c r="E2627" s="102"/>
      <c r="F2627" s="102"/>
      <c r="G2627" s="102"/>
      <c r="I2627" s="93"/>
      <c r="J2627" s="93"/>
    </row>
    <row r="2628" spans="1:10" s="65" customFormat="1" ht="14" x14ac:dyDescent="0.35">
      <c r="A2628" s="145"/>
      <c r="B2628" s="152"/>
      <c r="E2628" s="102"/>
      <c r="F2628" s="102"/>
      <c r="G2628" s="102"/>
      <c r="I2628" s="93"/>
      <c r="J2628" s="93"/>
    </row>
    <row r="2629" spans="1:10" s="65" customFormat="1" ht="14" x14ac:dyDescent="0.35">
      <c r="A2629" s="145"/>
      <c r="B2629" s="152"/>
      <c r="E2629" s="102"/>
      <c r="F2629" s="102"/>
      <c r="G2629" s="102"/>
      <c r="I2629" s="93"/>
      <c r="J2629" s="93"/>
    </row>
    <row r="2630" spans="1:10" s="65" customFormat="1" ht="14" x14ac:dyDescent="0.35">
      <c r="A2630" s="145"/>
      <c r="B2630" s="152"/>
      <c r="E2630" s="102"/>
      <c r="F2630" s="102"/>
      <c r="G2630" s="102"/>
      <c r="I2630" s="93"/>
      <c r="J2630" s="93"/>
    </row>
    <row r="2631" spans="1:10" s="65" customFormat="1" ht="14" x14ac:dyDescent="0.35">
      <c r="A2631" s="145"/>
      <c r="B2631" s="152"/>
      <c r="E2631" s="102"/>
      <c r="F2631" s="102"/>
      <c r="G2631" s="102"/>
      <c r="I2631" s="93"/>
      <c r="J2631" s="93"/>
    </row>
    <row r="2632" spans="1:10" s="65" customFormat="1" ht="14" x14ac:dyDescent="0.35">
      <c r="A2632" s="145"/>
      <c r="B2632" s="152"/>
      <c r="E2632" s="102"/>
      <c r="F2632" s="102"/>
      <c r="G2632" s="102"/>
      <c r="I2632" s="93"/>
      <c r="J2632" s="93"/>
    </row>
    <row r="2633" spans="1:10" s="65" customFormat="1" ht="14" x14ac:dyDescent="0.35">
      <c r="A2633" s="145"/>
      <c r="B2633" s="152"/>
      <c r="E2633" s="102"/>
      <c r="F2633" s="102"/>
      <c r="G2633" s="102"/>
      <c r="I2633" s="93"/>
      <c r="J2633" s="93"/>
    </row>
    <row r="2634" spans="1:10" s="65" customFormat="1" ht="14" x14ac:dyDescent="0.35">
      <c r="A2634" s="145"/>
      <c r="B2634" s="152"/>
      <c r="E2634" s="102"/>
      <c r="F2634" s="102"/>
      <c r="G2634" s="102"/>
      <c r="I2634" s="93"/>
      <c r="J2634" s="93"/>
    </row>
    <row r="2635" spans="1:10" s="65" customFormat="1" ht="14" x14ac:dyDescent="0.35">
      <c r="A2635" s="145"/>
      <c r="B2635" s="152"/>
      <c r="E2635" s="102"/>
      <c r="F2635" s="102"/>
      <c r="G2635" s="102"/>
      <c r="I2635" s="93"/>
      <c r="J2635" s="93"/>
    </row>
    <row r="2636" spans="1:10" s="65" customFormat="1" ht="14" x14ac:dyDescent="0.35">
      <c r="A2636" s="145"/>
      <c r="B2636" s="152"/>
      <c r="E2636" s="102"/>
      <c r="F2636" s="102"/>
      <c r="G2636" s="102"/>
      <c r="I2636" s="93"/>
      <c r="J2636" s="93"/>
    </row>
    <row r="2637" spans="1:10" s="65" customFormat="1" ht="14" x14ac:dyDescent="0.35">
      <c r="A2637" s="145"/>
      <c r="B2637" s="152"/>
      <c r="E2637" s="102"/>
      <c r="F2637" s="102"/>
      <c r="G2637" s="102"/>
      <c r="I2637" s="93"/>
      <c r="J2637" s="93"/>
    </row>
    <row r="2638" spans="1:10" s="65" customFormat="1" ht="14" x14ac:dyDescent="0.35">
      <c r="A2638" s="145"/>
      <c r="B2638" s="152"/>
      <c r="E2638" s="102"/>
      <c r="F2638" s="102"/>
      <c r="G2638" s="102"/>
      <c r="I2638" s="93"/>
      <c r="J2638" s="93"/>
    </row>
    <row r="2639" spans="1:10" s="65" customFormat="1" ht="14" x14ac:dyDescent="0.35">
      <c r="A2639" s="145"/>
      <c r="B2639" s="152"/>
      <c r="E2639" s="102"/>
      <c r="F2639" s="102"/>
      <c r="G2639" s="102"/>
      <c r="I2639" s="93"/>
      <c r="J2639" s="93"/>
    </row>
    <row r="2640" spans="1:10" s="65" customFormat="1" ht="14" x14ac:dyDescent="0.35">
      <c r="A2640" s="145"/>
      <c r="B2640" s="152"/>
      <c r="E2640" s="102"/>
      <c r="F2640" s="102"/>
      <c r="G2640" s="102"/>
      <c r="I2640" s="93"/>
      <c r="J2640" s="93"/>
    </row>
    <row r="2641" spans="1:10" s="65" customFormat="1" ht="14" x14ac:dyDescent="0.35">
      <c r="A2641" s="145"/>
      <c r="B2641" s="152"/>
      <c r="E2641" s="102"/>
      <c r="F2641" s="102"/>
      <c r="G2641" s="102"/>
      <c r="I2641" s="93"/>
      <c r="J2641" s="93"/>
    </row>
    <row r="2642" spans="1:10" s="65" customFormat="1" ht="14" x14ac:dyDescent="0.35">
      <c r="A2642" s="145"/>
      <c r="B2642" s="152"/>
      <c r="E2642" s="102"/>
      <c r="F2642" s="102"/>
      <c r="G2642" s="102"/>
      <c r="I2642" s="93"/>
      <c r="J2642" s="93"/>
    </row>
    <row r="2643" spans="1:10" s="65" customFormat="1" ht="14" x14ac:dyDescent="0.35">
      <c r="A2643" s="145"/>
      <c r="B2643" s="152"/>
      <c r="E2643" s="102"/>
      <c r="F2643" s="102"/>
      <c r="G2643" s="102"/>
      <c r="I2643" s="93"/>
      <c r="J2643" s="93"/>
    </row>
    <row r="2644" spans="1:10" s="65" customFormat="1" ht="14" x14ac:dyDescent="0.35">
      <c r="A2644" s="145"/>
      <c r="B2644" s="152"/>
      <c r="E2644" s="102"/>
      <c r="F2644" s="102"/>
      <c r="G2644" s="102"/>
      <c r="I2644" s="93"/>
      <c r="J2644" s="93"/>
    </row>
    <row r="2645" spans="1:10" s="65" customFormat="1" ht="14" x14ac:dyDescent="0.35">
      <c r="A2645" s="145"/>
      <c r="B2645" s="152"/>
      <c r="E2645" s="102"/>
      <c r="F2645" s="102"/>
      <c r="G2645" s="102"/>
      <c r="I2645" s="93"/>
      <c r="J2645" s="93"/>
    </row>
    <row r="2646" spans="1:10" s="65" customFormat="1" ht="14" x14ac:dyDescent="0.35">
      <c r="A2646" s="145"/>
      <c r="B2646" s="152"/>
      <c r="E2646" s="102"/>
      <c r="F2646" s="102"/>
      <c r="G2646" s="102"/>
      <c r="I2646" s="93"/>
      <c r="J2646" s="93"/>
    </row>
    <row r="2647" spans="1:10" s="65" customFormat="1" ht="14" x14ac:dyDescent="0.35">
      <c r="A2647" s="145"/>
      <c r="B2647" s="152"/>
      <c r="E2647" s="102"/>
      <c r="F2647" s="102"/>
      <c r="G2647" s="102"/>
      <c r="I2647" s="93"/>
      <c r="J2647" s="93"/>
    </row>
    <row r="2648" spans="1:10" s="65" customFormat="1" ht="14" x14ac:dyDescent="0.35">
      <c r="A2648" s="145"/>
      <c r="B2648" s="152"/>
      <c r="E2648" s="102"/>
      <c r="F2648" s="102"/>
      <c r="G2648" s="102"/>
      <c r="I2648" s="93"/>
      <c r="J2648" s="93"/>
    </row>
    <row r="2649" spans="1:10" s="65" customFormat="1" ht="14" x14ac:dyDescent="0.35">
      <c r="A2649" s="145"/>
      <c r="B2649" s="152"/>
      <c r="E2649" s="102"/>
      <c r="F2649" s="102"/>
      <c r="G2649" s="102"/>
      <c r="I2649" s="93"/>
      <c r="J2649" s="93"/>
    </row>
    <row r="2650" spans="1:10" s="65" customFormat="1" ht="14" x14ac:dyDescent="0.35">
      <c r="A2650" s="145"/>
      <c r="B2650" s="152"/>
      <c r="E2650" s="102"/>
      <c r="F2650" s="102"/>
      <c r="G2650" s="102"/>
      <c r="I2650" s="93"/>
      <c r="J2650" s="93"/>
    </row>
    <row r="2651" spans="1:10" s="65" customFormat="1" ht="14" x14ac:dyDescent="0.35">
      <c r="A2651" s="145"/>
      <c r="B2651" s="152"/>
      <c r="E2651" s="102"/>
      <c r="F2651" s="102"/>
      <c r="G2651" s="102"/>
      <c r="I2651" s="93"/>
      <c r="J2651" s="93"/>
    </row>
    <row r="2652" spans="1:10" s="65" customFormat="1" ht="14" x14ac:dyDescent="0.35">
      <c r="A2652" s="145"/>
      <c r="B2652" s="152"/>
      <c r="E2652" s="102"/>
      <c r="F2652" s="102"/>
      <c r="G2652" s="102"/>
      <c r="I2652" s="93"/>
      <c r="J2652" s="93"/>
    </row>
    <row r="2653" spans="1:10" s="65" customFormat="1" ht="14" x14ac:dyDescent="0.35">
      <c r="A2653" s="145"/>
      <c r="B2653" s="152"/>
      <c r="E2653" s="102"/>
      <c r="F2653" s="102"/>
      <c r="G2653" s="102"/>
      <c r="I2653" s="93"/>
      <c r="J2653" s="93"/>
    </row>
    <row r="2654" spans="1:10" s="65" customFormat="1" ht="14" x14ac:dyDescent="0.35">
      <c r="A2654" s="145"/>
      <c r="B2654" s="152"/>
      <c r="E2654" s="102"/>
      <c r="F2654" s="102"/>
      <c r="G2654" s="102"/>
      <c r="I2654" s="93"/>
      <c r="J2654" s="93"/>
    </row>
    <row r="2655" spans="1:10" s="65" customFormat="1" ht="14" x14ac:dyDescent="0.35">
      <c r="A2655" s="145"/>
      <c r="B2655" s="152"/>
      <c r="E2655" s="102"/>
      <c r="F2655" s="102"/>
      <c r="G2655" s="102"/>
      <c r="I2655" s="93"/>
      <c r="J2655" s="93"/>
    </row>
    <row r="2656" spans="1:10" s="65" customFormat="1" ht="14" x14ac:dyDescent="0.35">
      <c r="A2656" s="145"/>
      <c r="B2656" s="152"/>
      <c r="E2656" s="102"/>
      <c r="F2656" s="102"/>
      <c r="G2656" s="102"/>
      <c r="I2656" s="93"/>
      <c r="J2656" s="93"/>
    </row>
    <row r="2657" spans="1:10" s="65" customFormat="1" ht="14" x14ac:dyDescent="0.35">
      <c r="A2657" s="145"/>
      <c r="B2657" s="152"/>
      <c r="E2657" s="102"/>
      <c r="F2657" s="102"/>
      <c r="G2657" s="102"/>
      <c r="I2657" s="93"/>
      <c r="J2657" s="93"/>
    </row>
    <row r="2658" spans="1:10" s="65" customFormat="1" ht="14" x14ac:dyDescent="0.35">
      <c r="A2658" s="145"/>
      <c r="B2658" s="152"/>
      <c r="E2658" s="102"/>
      <c r="F2658" s="102"/>
      <c r="G2658" s="102"/>
      <c r="I2658" s="93"/>
      <c r="J2658" s="93"/>
    </row>
    <row r="2659" spans="1:10" s="65" customFormat="1" ht="14" x14ac:dyDescent="0.35">
      <c r="A2659" s="145"/>
      <c r="B2659" s="152"/>
      <c r="E2659" s="102"/>
      <c r="F2659" s="102"/>
      <c r="G2659" s="102"/>
      <c r="I2659" s="93"/>
      <c r="J2659" s="93"/>
    </row>
    <row r="2660" spans="1:10" s="65" customFormat="1" ht="14" x14ac:dyDescent="0.35">
      <c r="A2660" s="145"/>
      <c r="B2660" s="152"/>
      <c r="E2660" s="102"/>
      <c r="F2660" s="102"/>
      <c r="G2660" s="102"/>
      <c r="I2660" s="93"/>
      <c r="J2660" s="93"/>
    </row>
    <row r="2661" spans="1:10" s="65" customFormat="1" ht="14" x14ac:dyDescent="0.35">
      <c r="A2661" s="145"/>
      <c r="B2661" s="152"/>
      <c r="E2661" s="102"/>
      <c r="F2661" s="102"/>
      <c r="G2661" s="102"/>
      <c r="I2661" s="93"/>
      <c r="J2661" s="93"/>
    </row>
    <row r="2662" spans="1:10" s="65" customFormat="1" ht="14" x14ac:dyDescent="0.35">
      <c r="A2662" s="145"/>
      <c r="B2662" s="152"/>
      <c r="E2662" s="102"/>
      <c r="F2662" s="102"/>
      <c r="G2662" s="102"/>
      <c r="I2662" s="93"/>
      <c r="J2662" s="93"/>
    </row>
    <row r="2663" spans="1:10" s="65" customFormat="1" ht="14" x14ac:dyDescent="0.35">
      <c r="A2663" s="145"/>
      <c r="B2663" s="152"/>
      <c r="E2663" s="102"/>
      <c r="F2663" s="102"/>
      <c r="G2663" s="102"/>
      <c r="I2663" s="93"/>
      <c r="J2663" s="93"/>
    </row>
    <row r="2664" spans="1:10" s="65" customFormat="1" ht="14" x14ac:dyDescent="0.35">
      <c r="A2664" s="145"/>
      <c r="B2664" s="152"/>
      <c r="E2664" s="102"/>
      <c r="F2664" s="102"/>
      <c r="G2664" s="102"/>
      <c r="I2664" s="93"/>
      <c r="J2664" s="93"/>
    </row>
    <row r="2665" spans="1:10" s="65" customFormat="1" ht="14" x14ac:dyDescent="0.35">
      <c r="A2665" s="145"/>
      <c r="B2665" s="152"/>
      <c r="E2665" s="102"/>
      <c r="F2665" s="102"/>
      <c r="G2665" s="102"/>
      <c r="I2665" s="93"/>
      <c r="J2665" s="93"/>
    </row>
    <row r="2666" spans="1:10" s="65" customFormat="1" ht="14" x14ac:dyDescent="0.35">
      <c r="A2666" s="145"/>
      <c r="B2666" s="152"/>
      <c r="E2666" s="102"/>
      <c r="F2666" s="102"/>
      <c r="G2666" s="102"/>
      <c r="I2666" s="93"/>
      <c r="J2666" s="93"/>
    </row>
    <row r="2667" spans="1:10" s="65" customFormat="1" ht="14" x14ac:dyDescent="0.35">
      <c r="A2667" s="145"/>
      <c r="B2667" s="152"/>
      <c r="E2667" s="102"/>
      <c r="F2667" s="102"/>
      <c r="G2667" s="102"/>
      <c r="I2667" s="93"/>
      <c r="J2667" s="93"/>
    </row>
    <row r="2668" spans="1:10" s="65" customFormat="1" ht="14" x14ac:dyDescent="0.35">
      <c r="A2668" s="145"/>
      <c r="B2668" s="152"/>
      <c r="E2668" s="102"/>
      <c r="F2668" s="102"/>
      <c r="G2668" s="102"/>
      <c r="I2668" s="93"/>
      <c r="J2668" s="93"/>
    </row>
    <row r="2669" spans="1:10" s="65" customFormat="1" ht="14" x14ac:dyDescent="0.35">
      <c r="A2669" s="145"/>
      <c r="B2669" s="152"/>
      <c r="E2669" s="102"/>
      <c r="F2669" s="102"/>
      <c r="G2669" s="102"/>
      <c r="I2669" s="93"/>
      <c r="J2669" s="93"/>
    </row>
    <row r="2670" spans="1:10" s="65" customFormat="1" ht="14" x14ac:dyDescent="0.35">
      <c r="A2670" s="145"/>
      <c r="B2670" s="152"/>
      <c r="E2670" s="102"/>
      <c r="F2670" s="102"/>
      <c r="G2670" s="102"/>
      <c r="I2670" s="93"/>
      <c r="J2670" s="93"/>
    </row>
    <row r="2671" spans="1:10" s="65" customFormat="1" ht="14" x14ac:dyDescent="0.35">
      <c r="A2671" s="145"/>
      <c r="B2671" s="152"/>
      <c r="E2671" s="102"/>
      <c r="F2671" s="102"/>
      <c r="G2671" s="102"/>
      <c r="I2671" s="93"/>
      <c r="J2671" s="93"/>
    </row>
    <row r="2672" spans="1:10" s="65" customFormat="1" ht="14" x14ac:dyDescent="0.35">
      <c r="A2672" s="145"/>
      <c r="B2672" s="152"/>
      <c r="E2672" s="102"/>
      <c r="F2672" s="102"/>
      <c r="G2672" s="102"/>
      <c r="I2672" s="93"/>
      <c r="J2672" s="93"/>
    </row>
    <row r="2673" spans="1:10" s="65" customFormat="1" ht="14" x14ac:dyDescent="0.35">
      <c r="A2673" s="145"/>
      <c r="B2673" s="152"/>
      <c r="E2673" s="102"/>
      <c r="F2673" s="102"/>
      <c r="G2673" s="102"/>
      <c r="I2673" s="93"/>
      <c r="J2673" s="93"/>
    </row>
    <row r="2674" spans="1:10" s="65" customFormat="1" ht="14" x14ac:dyDescent="0.35">
      <c r="A2674" s="145"/>
      <c r="B2674" s="152"/>
      <c r="E2674" s="102"/>
      <c r="F2674" s="102"/>
      <c r="G2674" s="102"/>
      <c r="I2674" s="93"/>
      <c r="J2674" s="93"/>
    </row>
    <row r="2675" spans="1:10" s="65" customFormat="1" ht="14" x14ac:dyDescent="0.35">
      <c r="A2675" s="145"/>
      <c r="B2675" s="152"/>
      <c r="E2675" s="102"/>
      <c r="F2675" s="102"/>
      <c r="G2675" s="102"/>
      <c r="I2675" s="93"/>
      <c r="J2675" s="93"/>
    </row>
    <row r="2676" spans="1:10" s="65" customFormat="1" ht="14" x14ac:dyDescent="0.35">
      <c r="A2676" s="145"/>
      <c r="B2676" s="152"/>
      <c r="E2676" s="102"/>
      <c r="F2676" s="102"/>
      <c r="G2676" s="102"/>
      <c r="I2676" s="93"/>
      <c r="J2676" s="93"/>
    </row>
    <row r="2677" spans="1:10" s="65" customFormat="1" ht="14" x14ac:dyDescent="0.35">
      <c r="A2677" s="145"/>
      <c r="B2677" s="152"/>
      <c r="E2677" s="102"/>
      <c r="F2677" s="102"/>
      <c r="G2677" s="102"/>
      <c r="I2677" s="93"/>
      <c r="J2677" s="93"/>
    </row>
    <row r="2678" spans="1:10" s="65" customFormat="1" ht="14" x14ac:dyDescent="0.35">
      <c r="A2678" s="145"/>
      <c r="B2678" s="152"/>
      <c r="E2678" s="102"/>
      <c r="F2678" s="102"/>
      <c r="G2678" s="102"/>
      <c r="I2678" s="93"/>
      <c r="J2678" s="93"/>
    </row>
    <row r="2679" spans="1:10" s="65" customFormat="1" ht="14" x14ac:dyDescent="0.35">
      <c r="A2679" s="145"/>
      <c r="B2679" s="152"/>
      <c r="E2679" s="102"/>
      <c r="F2679" s="102"/>
      <c r="G2679" s="102"/>
      <c r="I2679" s="93"/>
      <c r="J2679" s="93"/>
    </row>
    <row r="2680" spans="1:10" s="65" customFormat="1" ht="14" x14ac:dyDescent="0.35">
      <c r="A2680" s="145"/>
      <c r="B2680" s="152"/>
      <c r="E2680" s="102"/>
      <c r="F2680" s="102"/>
      <c r="G2680" s="102"/>
      <c r="I2680" s="93"/>
      <c r="J2680" s="93"/>
    </row>
    <row r="2681" spans="1:10" s="65" customFormat="1" ht="14" x14ac:dyDescent="0.35">
      <c r="A2681" s="145"/>
      <c r="B2681" s="152"/>
      <c r="E2681" s="102"/>
      <c r="F2681" s="102"/>
      <c r="G2681" s="102"/>
      <c r="I2681" s="93"/>
      <c r="J2681" s="93"/>
    </row>
    <row r="2682" spans="1:10" s="65" customFormat="1" ht="14" x14ac:dyDescent="0.35">
      <c r="A2682" s="145"/>
      <c r="B2682" s="152"/>
      <c r="E2682" s="102"/>
      <c r="F2682" s="102"/>
      <c r="G2682" s="102"/>
      <c r="I2682" s="93"/>
      <c r="J2682" s="93"/>
    </row>
    <row r="2683" spans="1:10" s="65" customFormat="1" ht="14" x14ac:dyDescent="0.35">
      <c r="A2683" s="145"/>
      <c r="B2683" s="152"/>
      <c r="E2683" s="102"/>
      <c r="F2683" s="102"/>
      <c r="G2683" s="102"/>
      <c r="I2683" s="93"/>
      <c r="J2683" s="93"/>
    </row>
    <row r="2684" spans="1:10" s="65" customFormat="1" ht="14" x14ac:dyDescent="0.35">
      <c r="A2684" s="145"/>
      <c r="B2684" s="152"/>
      <c r="E2684" s="102"/>
      <c r="F2684" s="102"/>
      <c r="G2684" s="102"/>
      <c r="I2684" s="93"/>
      <c r="J2684" s="93"/>
    </row>
    <row r="2685" spans="1:10" s="65" customFormat="1" ht="14" x14ac:dyDescent="0.35">
      <c r="A2685" s="145"/>
      <c r="B2685" s="152"/>
      <c r="E2685" s="102"/>
      <c r="F2685" s="102"/>
      <c r="G2685" s="102"/>
      <c r="I2685" s="93"/>
      <c r="J2685" s="93"/>
    </row>
    <row r="2686" spans="1:10" s="65" customFormat="1" ht="14" x14ac:dyDescent="0.35">
      <c r="A2686" s="145"/>
      <c r="B2686" s="152"/>
      <c r="E2686" s="102"/>
      <c r="F2686" s="102"/>
      <c r="G2686" s="102"/>
      <c r="I2686" s="93"/>
      <c r="J2686" s="93"/>
    </row>
    <row r="2687" spans="1:10" s="65" customFormat="1" ht="14" x14ac:dyDescent="0.35">
      <c r="A2687" s="145"/>
      <c r="B2687" s="152"/>
      <c r="E2687" s="102"/>
      <c r="F2687" s="102"/>
      <c r="G2687" s="102"/>
      <c r="I2687" s="93"/>
      <c r="J2687" s="93"/>
    </row>
    <row r="2688" spans="1:10" s="65" customFormat="1" ht="14" x14ac:dyDescent="0.35">
      <c r="A2688" s="145"/>
      <c r="B2688" s="152"/>
      <c r="E2688" s="102"/>
      <c r="F2688" s="102"/>
      <c r="G2688" s="102"/>
      <c r="I2688" s="93"/>
      <c r="J2688" s="93"/>
    </row>
    <row r="2689" spans="1:10" s="65" customFormat="1" ht="14" x14ac:dyDescent="0.35">
      <c r="A2689" s="145"/>
      <c r="B2689" s="152"/>
      <c r="E2689" s="102"/>
      <c r="F2689" s="102"/>
      <c r="G2689" s="102"/>
      <c r="I2689" s="93"/>
      <c r="J2689" s="93"/>
    </row>
    <row r="2690" spans="1:10" s="65" customFormat="1" ht="14" x14ac:dyDescent="0.35">
      <c r="A2690" s="145"/>
      <c r="B2690" s="152"/>
      <c r="E2690" s="102"/>
      <c r="F2690" s="102"/>
      <c r="G2690" s="102"/>
      <c r="I2690" s="93"/>
      <c r="J2690" s="93"/>
    </row>
    <row r="2691" spans="1:10" s="65" customFormat="1" ht="14" x14ac:dyDescent="0.35">
      <c r="A2691" s="145"/>
      <c r="B2691" s="152"/>
      <c r="E2691" s="102"/>
      <c r="F2691" s="102"/>
      <c r="G2691" s="102"/>
      <c r="I2691" s="93"/>
      <c r="J2691" s="93"/>
    </row>
    <row r="2692" spans="1:10" s="65" customFormat="1" ht="14" x14ac:dyDescent="0.35">
      <c r="A2692" s="145"/>
      <c r="B2692" s="152"/>
      <c r="E2692" s="102"/>
      <c r="F2692" s="102"/>
      <c r="G2692" s="102"/>
      <c r="I2692" s="93"/>
      <c r="J2692" s="93"/>
    </row>
    <row r="2693" spans="1:10" s="65" customFormat="1" ht="14" x14ac:dyDescent="0.35">
      <c r="A2693" s="145"/>
      <c r="B2693" s="152"/>
      <c r="E2693" s="102"/>
      <c r="F2693" s="102"/>
      <c r="G2693" s="102"/>
      <c r="I2693" s="93"/>
      <c r="J2693" s="93"/>
    </row>
    <row r="2694" spans="1:10" s="65" customFormat="1" ht="14" x14ac:dyDescent="0.35">
      <c r="A2694" s="145"/>
      <c r="B2694" s="152"/>
      <c r="E2694" s="102"/>
      <c r="F2694" s="102"/>
      <c r="G2694" s="102"/>
      <c r="I2694" s="93"/>
      <c r="J2694" s="93"/>
    </row>
    <row r="2695" spans="1:10" s="65" customFormat="1" ht="14" x14ac:dyDescent="0.35">
      <c r="A2695" s="145"/>
      <c r="B2695" s="152"/>
      <c r="E2695" s="102"/>
      <c r="F2695" s="102"/>
      <c r="G2695" s="102"/>
      <c r="I2695" s="93"/>
      <c r="J2695" s="93"/>
    </row>
    <row r="2696" spans="1:10" s="65" customFormat="1" ht="14" x14ac:dyDescent="0.35">
      <c r="A2696" s="145"/>
      <c r="B2696" s="152"/>
      <c r="E2696" s="102"/>
      <c r="F2696" s="102"/>
      <c r="G2696" s="102"/>
      <c r="I2696" s="93"/>
      <c r="J2696" s="93"/>
    </row>
    <row r="2697" spans="1:10" s="65" customFormat="1" ht="14" x14ac:dyDescent="0.35">
      <c r="A2697" s="145"/>
      <c r="B2697" s="152"/>
      <c r="E2697" s="102"/>
      <c r="F2697" s="102"/>
      <c r="G2697" s="102"/>
      <c r="I2697" s="93"/>
      <c r="J2697" s="93"/>
    </row>
    <row r="2698" spans="1:10" s="65" customFormat="1" ht="14" x14ac:dyDescent="0.35">
      <c r="A2698" s="145"/>
      <c r="B2698" s="152"/>
      <c r="E2698" s="102"/>
      <c r="F2698" s="102"/>
      <c r="G2698" s="102"/>
      <c r="I2698" s="93"/>
      <c r="J2698" s="93"/>
    </row>
    <row r="2699" spans="1:10" s="65" customFormat="1" ht="14" x14ac:dyDescent="0.35">
      <c r="A2699" s="145"/>
      <c r="B2699" s="152"/>
      <c r="E2699" s="102"/>
      <c r="F2699" s="102"/>
      <c r="G2699" s="102"/>
      <c r="I2699" s="93"/>
      <c r="J2699" s="93"/>
    </row>
    <row r="2700" spans="1:10" s="65" customFormat="1" ht="14" x14ac:dyDescent="0.35">
      <c r="A2700" s="145"/>
      <c r="B2700" s="152"/>
      <c r="E2700" s="102"/>
      <c r="F2700" s="102"/>
      <c r="G2700" s="102"/>
      <c r="I2700" s="93"/>
      <c r="J2700" s="93"/>
    </row>
    <row r="2701" spans="1:10" s="65" customFormat="1" ht="14" x14ac:dyDescent="0.35">
      <c r="A2701" s="145"/>
      <c r="B2701" s="152"/>
      <c r="E2701" s="102"/>
      <c r="F2701" s="102"/>
      <c r="G2701" s="102"/>
      <c r="I2701" s="93"/>
      <c r="J2701" s="93"/>
    </row>
    <row r="2702" spans="1:10" s="65" customFormat="1" ht="14" x14ac:dyDescent="0.35">
      <c r="A2702" s="145"/>
      <c r="B2702" s="152"/>
      <c r="E2702" s="102"/>
      <c r="F2702" s="102"/>
      <c r="G2702" s="102"/>
      <c r="I2702" s="93"/>
      <c r="J2702" s="93"/>
    </row>
    <row r="2703" spans="1:10" s="65" customFormat="1" ht="14" x14ac:dyDescent="0.35">
      <c r="A2703" s="145"/>
      <c r="B2703" s="152"/>
      <c r="E2703" s="102"/>
      <c r="F2703" s="102"/>
      <c r="G2703" s="102"/>
      <c r="I2703" s="93"/>
      <c r="J2703" s="93"/>
    </row>
    <row r="2704" spans="1:10" s="65" customFormat="1" ht="14" x14ac:dyDescent="0.35">
      <c r="A2704" s="145"/>
      <c r="B2704" s="152"/>
      <c r="E2704" s="102"/>
      <c r="F2704" s="102"/>
      <c r="G2704" s="102"/>
      <c r="I2704" s="93"/>
      <c r="J2704" s="93"/>
    </row>
    <row r="2705" spans="1:10" s="65" customFormat="1" ht="14" x14ac:dyDescent="0.35">
      <c r="A2705" s="145"/>
      <c r="B2705" s="152"/>
      <c r="E2705" s="102"/>
      <c r="F2705" s="102"/>
      <c r="G2705" s="102"/>
      <c r="I2705" s="93"/>
      <c r="J2705" s="93"/>
    </row>
    <row r="2706" spans="1:10" s="65" customFormat="1" ht="14" x14ac:dyDescent="0.35">
      <c r="A2706" s="145"/>
      <c r="B2706" s="152"/>
      <c r="E2706" s="102"/>
      <c r="F2706" s="102"/>
      <c r="G2706" s="102"/>
      <c r="I2706" s="93"/>
      <c r="J2706" s="93"/>
    </row>
    <row r="2707" spans="1:10" s="65" customFormat="1" ht="14" x14ac:dyDescent="0.35">
      <c r="A2707" s="145"/>
      <c r="B2707" s="152"/>
      <c r="E2707" s="102"/>
      <c r="F2707" s="102"/>
      <c r="G2707" s="102"/>
      <c r="I2707" s="93"/>
      <c r="J2707" s="93"/>
    </row>
    <row r="2708" spans="1:10" s="65" customFormat="1" ht="14" x14ac:dyDescent="0.35">
      <c r="A2708" s="145"/>
      <c r="B2708" s="152"/>
      <c r="E2708" s="102"/>
      <c r="F2708" s="102"/>
      <c r="G2708" s="102"/>
      <c r="I2708" s="93"/>
      <c r="J2708" s="93"/>
    </row>
    <row r="2709" spans="1:10" s="65" customFormat="1" ht="14" x14ac:dyDescent="0.35">
      <c r="A2709" s="145"/>
      <c r="B2709" s="152"/>
      <c r="E2709" s="102"/>
      <c r="F2709" s="102"/>
      <c r="G2709" s="102"/>
      <c r="I2709" s="93"/>
      <c r="J2709" s="93"/>
    </row>
    <row r="2710" spans="1:10" s="65" customFormat="1" ht="14" x14ac:dyDescent="0.35">
      <c r="A2710" s="145"/>
      <c r="B2710" s="152"/>
      <c r="E2710" s="102"/>
      <c r="F2710" s="102"/>
      <c r="G2710" s="102"/>
      <c r="I2710" s="93"/>
      <c r="J2710" s="93"/>
    </row>
    <row r="2711" spans="1:10" s="65" customFormat="1" ht="14" x14ac:dyDescent="0.35">
      <c r="A2711" s="145"/>
      <c r="B2711" s="152"/>
      <c r="E2711" s="102"/>
      <c r="F2711" s="102"/>
      <c r="G2711" s="102"/>
      <c r="I2711" s="93"/>
      <c r="J2711" s="93"/>
    </row>
    <row r="2712" spans="1:10" s="65" customFormat="1" ht="14" x14ac:dyDescent="0.35">
      <c r="A2712" s="145"/>
      <c r="B2712" s="152"/>
      <c r="E2712" s="102"/>
      <c r="F2712" s="102"/>
      <c r="G2712" s="102"/>
      <c r="I2712" s="93"/>
      <c r="J2712" s="93"/>
    </row>
    <row r="2713" spans="1:10" s="65" customFormat="1" ht="14" x14ac:dyDescent="0.35">
      <c r="A2713" s="145"/>
      <c r="B2713" s="152"/>
      <c r="E2713" s="102"/>
      <c r="F2713" s="102"/>
      <c r="G2713" s="102"/>
      <c r="I2713" s="93"/>
      <c r="J2713" s="93"/>
    </row>
    <row r="2714" spans="1:10" s="65" customFormat="1" ht="14" x14ac:dyDescent="0.35">
      <c r="A2714" s="145"/>
      <c r="B2714" s="152"/>
      <c r="E2714" s="102"/>
      <c r="F2714" s="102"/>
      <c r="G2714" s="102"/>
      <c r="I2714" s="93"/>
      <c r="J2714" s="93"/>
    </row>
    <row r="2715" spans="1:10" s="65" customFormat="1" ht="14" x14ac:dyDescent="0.35">
      <c r="A2715" s="145"/>
      <c r="B2715" s="152"/>
      <c r="E2715" s="102"/>
      <c r="F2715" s="102"/>
      <c r="G2715" s="102"/>
      <c r="I2715" s="93"/>
      <c r="J2715" s="93"/>
    </row>
    <row r="2716" spans="1:10" s="65" customFormat="1" ht="14" x14ac:dyDescent="0.35">
      <c r="A2716" s="145"/>
      <c r="B2716" s="152"/>
      <c r="E2716" s="102"/>
      <c r="F2716" s="102"/>
      <c r="G2716" s="102"/>
      <c r="I2716" s="93"/>
      <c r="J2716" s="93"/>
    </row>
    <row r="2717" spans="1:10" s="65" customFormat="1" ht="14" x14ac:dyDescent="0.35">
      <c r="A2717" s="145"/>
      <c r="B2717" s="152"/>
      <c r="E2717" s="102"/>
      <c r="F2717" s="102"/>
      <c r="G2717" s="102"/>
      <c r="I2717" s="93"/>
      <c r="J2717" s="93"/>
    </row>
    <row r="2718" spans="1:10" s="65" customFormat="1" ht="14" x14ac:dyDescent="0.35">
      <c r="A2718" s="145"/>
      <c r="B2718" s="152"/>
      <c r="E2718" s="102"/>
      <c r="F2718" s="102"/>
      <c r="G2718" s="102"/>
      <c r="I2718" s="93"/>
      <c r="J2718" s="93"/>
    </row>
    <row r="2719" spans="1:10" s="65" customFormat="1" ht="14" x14ac:dyDescent="0.35">
      <c r="A2719" s="145"/>
      <c r="B2719" s="152"/>
      <c r="E2719" s="102"/>
      <c r="F2719" s="102"/>
      <c r="G2719" s="102"/>
      <c r="I2719" s="93"/>
      <c r="J2719" s="93"/>
    </row>
    <row r="2720" spans="1:10" s="65" customFormat="1" ht="14" x14ac:dyDescent="0.35">
      <c r="A2720" s="145"/>
      <c r="B2720" s="152"/>
      <c r="E2720" s="102"/>
      <c r="F2720" s="102"/>
      <c r="G2720" s="102"/>
      <c r="I2720" s="93"/>
      <c r="J2720" s="93"/>
    </row>
    <row r="2721" spans="1:10" s="65" customFormat="1" ht="14" x14ac:dyDescent="0.35">
      <c r="A2721" s="145"/>
      <c r="B2721" s="152"/>
      <c r="E2721" s="102"/>
      <c r="F2721" s="102"/>
      <c r="G2721" s="102"/>
      <c r="I2721" s="93"/>
      <c r="J2721" s="93"/>
    </row>
    <row r="2722" spans="1:10" s="65" customFormat="1" ht="14" x14ac:dyDescent="0.35">
      <c r="A2722" s="145"/>
      <c r="B2722" s="152"/>
      <c r="E2722" s="102"/>
      <c r="F2722" s="102"/>
      <c r="G2722" s="102"/>
      <c r="I2722" s="93"/>
      <c r="J2722" s="93"/>
    </row>
    <row r="2723" spans="1:10" s="65" customFormat="1" ht="14" x14ac:dyDescent="0.35">
      <c r="A2723" s="145"/>
      <c r="B2723" s="152"/>
      <c r="E2723" s="102"/>
      <c r="F2723" s="102"/>
      <c r="G2723" s="102"/>
      <c r="I2723" s="93"/>
      <c r="J2723" s="93"/>
    </row>
    <row r="2724" spans="1:10" s="65" customFormat="1" ht="14" x14ac:dyDescent="0.35">
      <c r="A2724" s="145"/>
      <c r="B2724" s="152"/>
      <c r="E2724" s="102"/>
      <c r="F2724" s="102"/>
      <c r="G2724" s="102"/>
      <c r="I2724" s="93"/>
      <c r="J2724" s="93"/>
    </row>
    <row r="2725" spans="1:10" s="65" customFormat="1" ht="14" x14ac:dyDescent="0.35">
      <c r="A2725" s="145"/>
      <c r="B2725" s="152"/>
      <c r="E2725" s="102"/>
      <c r="F2725" s="102"/>
      <c r="G2725" s="102"/>
      <c r="I2725" s="93"/>
      <c r="J2725" s="93"/>
    </row>
    <row r="2726" spans="1:10" s="65" customFormat="1" ht="14" x14ac:dyDescent="0.35">
      <c r="A2726" s="145"/>
      <c r="B2726" s="152"/>
      <c r="E2726" s="102"/>
      <c r="F2726" s="102"/>
      <c r="G2726" s="102"/>
      <c r="I2726" s="93"/>
      <c r="J2726" s="93"/>
    </row>
    <row r="2727" spans="1:10" s="65" customFormat="1" ht="14" x14ac:dyDescent="0.35">
      <c r="A2727" s="145"/>
      <c r="B2727" s="152"/>
      <c r="E2727" s="102"/>
      <c r="F2727" s="102"/>
      <c r="G2727" s="102"/>
      <c r="I2727" s="93"/>
      <c r="J2727" s="93"/>
    </row>
    <row r="2728" spans="1:10" s="65" customFormat="1" ht="14" x14ac:dyDescent="0.35">
      <c r="A2728" s="145"/>
      <c r="B2728" s="152"/>
      <c r="E2728" s="102"/>
      <c r="F2728" s="102"/>
      <c r="G2728" s="102"/>
      <c r="I2728" s="93"/>
      <c r="J2728" s="93"/>
    </row>
    <row r="2729" spans="1:10" s="65" customFormat="1" ht="14" x14ac:dyDescent="0.35">
      <c r="A2729" s="145"/>
      <c r="B2729" s="152"/>
      <c r="E2729" s="102"/>
      <c r="F2729" s="102"/>
      <c r="G2729" s="102"/>
      <c r="I2729" s="93"/>
      <c r="J2729" s="93"/>
    </row>
    <row r="2730" spans="1:10" s="65" customFormat="1" ht="14" x14ac:dyDescent="0.35">
      <c r="A2730" s="145"/>
      <c r="B2730" s="152"/>
      <c r="E2730" s="102"/>
      <c r="F2730" s="102"/>
      <c r="G2730" s="102"/>
      <c r="I2730" s="93"/>
      <c r="J2730" s="93"/>
    </row>
    <row r="2731" spans="1:10" s="65" customFormat="1" ht="14" x14ac:dyDescent="0.35">
      <c r="A2731" s="145"/>
      <c r="B2731" s="152"/>
      <c r="E2731" s="102"/>
      <c r="F2731" s="102"/>
      <c r="G2731" s="102"/>
      <c r="I2731" s="93"/>
      <c r="J2731" s="93"/>
    </row>
    <row r="2732" spans="1:10" s="65" customFormat="1" ht="14" x14ac:dyDescent="0.35">
      <c r="A2732" s="145"/>
      <c r="B2732" s="152"/>
      <c r="E2732" s="102"/>
      <c r="F2732" s="102"/>
      <c r="G2732" s="102"/>
      <c r="I2732" s="93"/>
      <c r="J2732" s="93"/>
    </row>
    <row r="2733" spans="1:10" s="65" customFormat="1" ht="14" x14ac:dyDescent="0.35">
      <c r="A2733" s="145"/>
      <c r="B2733" s="152"/>
      <c r="E2733" s="102"/>
      <c r="F2733" s="102"/>
      <c r="G2733" s="102"/>
      <c r="I2733" s="93"/>
      <c r="J2733" s="93"/>
    </row>
    <row r="2734" spans="1:10" s="65" customFormat="1" ht="14" x14ac:dyDescent="0.35">
      <c r="A2734" s="145"/>
      <c r="B2734" s="152"/>
      <c r="E2734" s="102"/>
      <c r="F2734" s="102"/>
      <c r="G2734" s="102"/>
      <c r="I2734" s="93"/>
      <c r="J2734" s="93"/>
    </row>
    <row r="2735" spans="1:10" s="65" customFormat="1" ht="14" x14ac:dyDescent="0.35">
      <c r="A2735" s="145"/>
      <c r="B2735" s="152"/>
      <c r="E2735" s="102"/>
      <c r="F2735" s="102"/>
      <c r="G2735" s="102"/>
      <c r="I2735" s="93"/>
      <c r="J2735" s="93"/>
    </row>
    <row r="2736" spans="1:10" s="65" customFormat="1" ht="14" x14ac:dyDescent="0.35">
      <c r="A2736" s="145"/>
      <c r="B2736" s="152"/>
      <c r="E2736" s="102"/>
      <c r="F2736" s="102"/>
      <c r="G2736" s="102"/>
      <c r="I2736" s="93"/>
      <c r="J2736" s="93"/>
    </row>
    <row r="2737" spans="1:10" s="65" customFormat="1" ht="14" x14ac:dyDescent="0.35">
      <c r="A2737" s="145"/>
      <c r="B2737" s="152"/>
      <c r="E2737" s="102"/>
      <c r="F2737" s="102"/>
      <c r="G2737" s="102"/>
      <c r="I2737" s="93"/>
      <c r="J2737" s="93"/>
    </row>
    <row r="2738" spans="1:10" s="65" customFormat="1" ht="14" x14ac:dyDescent="0.35">
      <c r="A2738" s="145"/>
      <c r="B2738" s="152"/>
      <c r="E2738" s="102"/>
      <c r="F2738" s="102"/>
      <c r="G2738" s="102"/>
      <c r="I2738" s="93"/>
      <c r="J2738" s="93"/>
    </row>
    <row r="2739" spans="1:10" s="65" customFormat="1" ht="14" x14ac:dyDescent="0.35">
      <c r="A2739" s="145"/>
      <c r="B2739" s="152"/>
      <c r="E2739" s="102"/>
      <c r="F2739" s="102"/>
      <c r="G2739" s="102"/>
      <c r="I2739" s="93"/>
      <c r="J2739" s="93"/>
    </row>
    <row r="2740" spans="1:10" s="65" customFormat="1" ht="14" x14ac:dyDescent="0.35">
      <c r="A2740" s="145"/>
      <c r="B2740" s="152"/>
      <c r="E2740" s="102"/>
      <c r="F2740" s="102"/>
      <c r="G2740" s="102"/>
      <c r="I2740" s="93"/>
      <c r="J2740" s="93"/>
    </row>
    <row r="2741" spans="1:10" s="65" customFormat="1" ht="14" x14ac:dyDescent="0.35">
      <c r="A2741" s="145"/>
      <c r="B2741" s="152"/>
      <c r="E2741" s="102"/>
      <c r="F2741" s="102"/>
      <c r="G2741" s="102"/>
      <c r="I2741" s="93"/>
      <c r="J2741" s="93"/>
    </row>
    <row r="2742" spans="1:10" s="65" customFormat="1" ht="14" x14ac:dyDescent="0.35">
      <c r="A2742" s="145"/>
      <c r="B2742" s="152"/>
      <c r="E2742" s="102"/>
      <c r="F2742" s="102"/>
      <c r="G2742" s="102"/>
      <c r="I2742" s="93"/>
      <c r="J2742" s="93"/>
    </row>
    <row r="2743" spans="1:10" s="65" customFormat="1" ht="14" x14ac:dyDescent="0.35">
      <c r="A2743" s="145"/>
      <c r="B2743" s="152"/>
      <c r="E2743" s="102"/>
      <c r="F2743" s="102"/>
      <c r="G2743" s="102"/>
      <c r="I2743" s="93"/>
      <c r="J2743" s="93"/>
    </row>
    <row r="2744" spans="1:10" s="65" customFormat="1" ht="14" x14ac:dyDescent="0.35">
      <c r="A2744" s="145"/>
      <c r="B2744" s="152"/>
      <c r="E2744" s="102"/>
      <c r="F2744" s="102"/>
      <c r="G2744" s="102"/>
      <c r="I2744" s="93"/>
      <c r="J2744" s="93"/>
    </row>
    <row r="2745" spans="1:10" s="65" customFormat="1" ht="14" x14ac:dyDescent="0.35">
      <c r="A2745" s="145"/>
      <c r="B2745" s="152"/>
      <c r="E2745" s="102"/>
      <c r="F2745" s="102"/>
      <c r="G2745" s="102"/>
      <c r="I2745" s="93"/>
      <c r="J2745" s="93"/>
    </row>
    <row r="2746" spans="1:10" s="65" customFormat="1" ht="14" x14ac:dyDescent="0.35">
      <c r="A2746" s="145"/>
      <c r="B2746" s="152"/>
      <c r="E2746" s="102"/>
      <c r="F2746" s="102"/>
      <c r="G2746" s="102"/>
      <c r="I2746" s="93"/>
      <c r="J2746" s="93"/>
    </row>
    <row r="2747" spans="1:10" s="65" customFormat="1" ht="14" x14ac:dyDescent="0.35">
      <c r="A2747" s="145"/>
      <c r="B2747" s="152"/>
      <c r="E2747" s="102"/>
      <c r="F2747" s="102"/>
      <c r="G2747" s="102"/>
      <c r="I2747" s="93"/>
      <c r="J2747" s="93"/>
    </row>
    <row r="2748" spans="1:10" s="65" customFormat="1" ht="14" x14ac:dyDescent="0.35">
      <c r="A2748" s="145"/>
      <c r="B2748" s="152"/>
      <c r="E2748" s="102"/>
      <c r="F2748" s="102"/>
      <c r="G2748" s="102"/>
      <c r="I2748" s="93"/>
      <c r="J2748" s="93"/>
    </row>
    <row r="2749" spans="1:10" s="65" customFormat="1" ht="14" x14ac:dyDescent="0.35">
      <c r="A2749" s="145"/>
      <c r="B2749" s="152"/>
      <c r="E2749" s="102"/>
      <c r="F2749" s="102"/>
      <c r="G2749" s="102"/>
      <c r="I2749" s="93"/>
      <c r="J2749" s="93"/>
    </row>
    <row r="2750" spans="1:10" s="65" customFormat="1" ht="14" x14ac:dyDescent="0.35">
      <c r="A2750" s="145"/>
      <c r="B2750" s="152"/>
      <c r="E2750" s="102"/>
      <c r="F2750" s="102"/>
      <c r="G2750" s="102"/>
      <c r="I2750" s="93"/>
      <c r="J2750" s="93"/>
    </row>
    <row r="2751" spans="1:10" s="65" customFormat="1" ht="14" x14ac:dyDescent="0.35">
      <c r="A2751" s="145"/>
      <c r="B2751" s="152"/>
      <c r="E2751" s="102"/>
      <c r="F2751" s="102"/>
      <c r="G2751" s="102"/>
      <c r="I2751" s="93"/>
      <c r="J2751" s="93"/>
    </row>
    <row r="2752" spans="1:10" s="65" customFormat="1" ht="14" x14ac:dyDescent="0.35">
      <c r="A2752" s="145"/>
      <c r="B2752" s="152"/>
      <c r="E2752" s="102"/>
      <c r="F2752" s="102"/>
      <c r="G2752" s="102"/>
      <c r="I2752" s="93"/>
      <c r="J2752" s="93"/>
    </row>
    <row r="2753" spans="1:10" s="65" customFormat="1" ht="14" x14ac:dyDescent="0.35">
      <c r="A2753" s="145"/>
      <c r="B2753" s="152"/>
      <c r="E2753" s="102"/>
      <c r="F2753" s="102"/>
      <c r="G2753" s="102"/>
      <c r="I2753" s="93"/>
      <c r="J2753" s="93"/>
    </row>
    <row r="2754" spans="1:10" s="65" customFormat="1" ht="14" x14ac:dyDescent="0.35">
      <c r="A2754" s="145"/>
      <c r="B2754" s="152"/>
      <c r="E2754" s="102"/>
      <c r="F2754" s="102"/>
      <c r="G2754" s="102"/>
      <c r="I2754" s="93"/>
      <c r="J2754" s="93"/>
    </row>
    <row r="2755" spans="1:10" s="65" customFormat="1" ht="14" x14ac:dyDescent="0.35">
      <c r="A2755" s="145"/>
      <c r="B2755" s="152"/>
      <c r="E2755" s="102"/>
      <c r="F2755" s="102"/>
      <c r="G2755" s="102"/>
      <c r="I2755" s="93"/>
      <c r="J2755" s="93"/>
    </row>
    <row r="2756" spans="1:10" s="65" customFormat="1" ht="14" x14ac:dyDescent="0.35">
      <c r="A2756" s="145"/>
      <c r="B2756" s="152"/>
      <c r="E2756" s="102"/>
      <c r="F2756" s="102"/>
      <c r="G2756" s="102"/>
      <c r="I2756" s="93"/>
      <c r="J2756" s="93"/>
    </row>
    <row r="2757" spans="1:10" s="65" customFormat="1" ht="14" x14ac:dyDescent="0.35">
      <c r="A2757" s="145"/>
      <c r="B2757" s="152"/>
      <c r="E2757" s="102"/>
      <c r="F2757" s="102"/>
      <c r="G2757" s="102"/>
      <c r="I2757" s="93"/>
      <c r="J2757" s="93"/>
    </row>
    <row r="2758" spans="1:10" s="65" customFormat="1" ht="14" x14ac:dyDescent="0.35">
      <c r="A2758" s="145"/>
      <c r="B2758" s="152"/>
      <c r="E2758" s="102"/>
      <c r="F2758" s="102"/>
      <c r="G2758" s="102"/>
      <c r="I2758" s="93"/>
      <c r="J2758" s="93"/>
    </row>
    <row r="2759" spans="1:10" s="65" customFormat="1" ht="14" x14ac:dyDescent="0.35">
      <c r="A2759" s="145"/>
      <c r="B2759" s="152"/>
      <c r="E2759" s="102"/>
      <c r="F2759" s="102"/>
      <c r="G2759" s="102"/>
      <c r="I2759" s="93"/>
      <c r="J2759" s="93"/>
    </row>
    <row r="2760" spans="1:10" s="65" customFormat="1" ht="14" x14ac:dyDescent="0.35">
      <c r="A2760" s="145"/>
      <c r="B2760" s="152"/>
      <c r="E2760" s="102"/>
      <c r="F2760" s="102"/>
      <c r="G2760" s="102"/>
      <c r="I2760" s="93"/>
      <c r="J2760" s="93"/>
    </row>
    <row r="2761" spans="1:10" s="65" customFormat="1" ht="14" x14ac:dyDescent="0.35">
      <c r="A2761" s="145"/>
      <c r="B2761" s="152"/>
      <c r="E2761" s="102"/>
      <c r="F2761" s="102"/>
      <c r="G2761" s="102"/>
      <c r="I2761" s="93"/>
      <c r="J2761" s="93"/>
    </row>
    <row r="2762" spans="1:10" s="65" customFormat="1" ht="14" x14ac:dyDescent="0.35">
      <c r="A2762" s="145"/>
      <c r="B2762" s="152"/>
      <c r="E2762" s="102"/>
      <c r="F2762" s="102"/>
      <c r="G2762" s="102"/>
      <c r="I2762" s="93"/>
      <c r="J2762" s="93"/>
    </row>
    <row r="2763" spans="1:10" s="65" customFormat="1" ht="14" x14ac:dyDescent="0.35">
      <c r="A2763" s="145"/>
      <c r="B2763" s="152"/>
      <c r="E2763" s="102"/>
      <c r="F2763" s="102"/>
      <c r="G2763" s="102"/>
      <c r="I2763" s="93"/>
      <c r="J2763" s="93"/>
    </row>
    <row r="2764" spans="1:10" s="65" customFormat="1" ht="14" x14ac:dyDescent="0.35">
      <c r="A2764" s="145"/>
      <c r="B2764" s="152"/>
      <c r="E2764" s="102"/>
      <c r="F2764" s="102"/>
      <c r="G2764" s="102"/>
      <c r="I2764" s="93"/>
      <c r="J2764" s="93"/>
    </row>
    <row r="2765" spans="1:10" s="65" customFormat="1" ht="14" x14ac:dyDescent="0.35">
      <c r="A2765" s="145"/>
      <c r="B2765" s="152"/>
      <c r="E2765" s="102"/>
      <c r="F2765" s="102"/>
      <c r="G2765" s="102"/>
      <c r="I2765" s="93"/>
      <c r="J2765" s="93"/>
    </row>
    <row r="2766" spans="1:10" s="65" customFormat="1" ht="14" x14ac:dyDescent="0.35">
      <c r="A2766" s="145"/>
      <c r="B2766" s="152"/>
      <c r="E2766" s="102"/>
      <c r="F2766" s="102"/>
      <c r="G2766" s="102"/>
      <c r="I2766" s="93"/>
      <c r="J2766" s="93"/>
    </row>
    <row r="2767" spans="1:10" s="65" customFormat="1" ht="14" x14ac:dyDescent="0.35">
      <c r="A2767" s="145"/>
      <c r="B2767" s="152"/>
      <c r="E2767" s="102"/>
      <c r="F2767" s="102"/>
      <c r="G2767" s="102"/>
      <c r="I2767" s="93"/>
      <c r="J2767" s="93"/>
    </row>
    <row r="2768" spans="1:10" s="65" customFormat="1" ht="14" x14ac:dyDescent="0.35">
      <c r="A2768" s="145"/>
      <c r="B2768" s="152"/>
      <c r="E2768" s="102"/>
      <c r="F2768" s="102"/>
      <c r="G2768" s="102"/>
      <c r="I2768" s="93"/>
      <c r="J2768" s="93"/>
    </row>
    <row r="2769" spans="1:10" s="65" customFormat="1" ht="14" x14ac:dyDescent="0.35">
      <c r="A2769" s="145"/>
      <c r="B2769" s="152"/>
      <c r="E2769" s="102"/>
      <c r="F2769" s="102"/>
      <c r="G2769" s="102"/>
      <c r="I2769" s="93"/>
      <c r="J2769" s="93"/>
    </row>
    <row r="2770" spans="1:10" s="65" customFormat="1" ht="14" x14ac:dyDescent="0.35">
      <c r="A2770" s="145"/>
      <c r="B2770" s="152"/>
      <c r="E2770" s="102"/>
      <c r="F2770" s="102"/>
      <c r="G2770" s="102"/>
      <c r="I2770" s="93"/>
      <c r="J2770" s="93"/>
    </row>
    <row r="2771" spans="1:10" s="65" customFormat="1" ht="14" x14ac:dyDescent="0.35">
      <c r="A2771" s="145"/>
      <c r="B2771" s="152"/>
      <c r="E2771" s="102"/>
      <c r="F2771" s="102"/>
      <c r="G2771" s="102"/>
      <c r="I2771" s="93"/>
      <c r="J2771" s="93"/>
    </row>
    <row r="2772" spans="1:10" s="65" customFormat="1" ht="14" x14ac:dyDescent="0.35">
      <c r="A2772" s="145"/>
      <c r="B2772" s="152"/>
      <c r="E2772" s="102"/>
      <c r="F2772" s="102"/>
      <c r="G2772" s="102"/>
      <c r="I2772" s="93"/>
      <c r="J2772" s="93"/>
    </row>
    <row r="2773" spans="1:10" s="65" customFormat="1" ht="14" x14ac:dyDescent="0.35">
      <c r="A2773" s="145"/>
      <c r="B2773" s="152"/>
      <c r="E2773" s="102"/>
      <c r="F2773" s="102"/>
      <c r="G2773" s="102"/>
      <c r="I2773" s="93"/>
      <c r="J2773" s="93"/>
    </row>
    <row r="2774" spans="1:10" s="65" customFormat="1" ht="14" x14ac:dyDescent="0.35">
      <c r="A2774" s="145"/>
      <c r="B2774" s="152"/>
      <c r="E2774" s="102"/>
      <c r="F2774" s="102"/>
      <c r="G2774" s="102"/>
      <c r="I2774" s="93"/>
      <c r="J2774" s="93"/>
    </row>
    <row r="2775" spans="1:10" s="65" customFormat="1" ht="14" x14ac:dyDescent="0.35">
      <c r="A2775" s="145"/>
      <c r="B2775" s="152"/>
      <c r="E2775" s="102"/>
      <c r="F2775" s="102"/>
      <c r="G2775" s="102"/>
      <c r="I2775" s="93"/>
      <c r="J2775" s="93"/>
    </row>
    <row r="2776" spans="1:10" s="65" customFormat="1" ht="14" x14ac:dyDescent="0.35">
      <c r="A2776" s="145"/>
      <c r="B2776" s="152"/>
      <c r="E2776" s="102"/>
      <c r="F2776" s="102"/>
      <c r="G2776" s="102"/>
      <c r="I2776" s="93"/>
      <c r="J2776" s="93"/>
    </row>
    <row r="2777" spans="1:10" s="65" customFormat="1" ht="14" x14ac:dyDescent="0.35">
      <c r="A2777" s="145"/>
      <c r="B2777" s="152"/>
      <c r="E2777" s="102"/>
      <c r="F2777" s="102"/>
      <c r="G2777" s="102"/>
      <c r="I2777" s="93"/>
      <c r="J2777" s="93"/>
    </row>
    <row r="2778" spans="1:10" s="65" customFormat="1" ht="14" x14ac:dyDescent="0.35">
      <c r="A2778" s="145"/>
      <c r="B2778" s="152"/>
      <c r="E2778" s="102"/>
      <c r="F2778" s="102"/>
      <c r="G2778" s="102"/>
      <c r="I2778" s="93"/>
      <c r="J2778" s="93"/>
    </row>
    <row r="2779" spans="1:10" s="65" customFormat="1" ht="14" x14ac:dyDescent="0.35">
      <c r="A2779" s="145"/>
      <c r="B2779" s="152"/>
      <c r="E2779" s="102"/>
      <c r="F2779" s="102"/>
      <c r="G2779" s="102"/>
      <c r="I2779" s="93"/>
      <c r="J2779" s="93"/>
    </row>
    <row r="2780" spans="1:10" s="65" customFormat="1" ht="14" x14ac:dyDescent="0.35">
      <c r="A2780" s="145"/>
      <c r="B2780" s="152"/>
      <c r="E2780" s="102"/>
      <c r="F2780" s="102"/>
      <c r="G2780" s="102"/>
      <c r="I2780" s="93"/>
      <c r="J2780" s="93"/>
    </row>
    <row r="2781" spans="1:10" s="65" customFormat="1" ht="14" x14ac:dyDescent="0.35">
      <c r="A2781" s="145"/>
      <c r="B2781" s="152"/>
      <c r="E2781" s="102"/>
      <c r="F2781" s="102"/>
      <c r="G2781" s="102"/>
      <c r="I2781" s="93"/>
      <c r="J2781" s="93"/>
    </row>
    <row r="2782" spans="1:10" s="65" customFormat="1" ht="14" x14ac:dyDescent="0.35">
      <c r="A2782" s="145"/>
      <c r="B2782" s="152"/>
      <c r="E2782" s="102"/>
      <c r="F2782" s="102"/>
      <c r="G2782" s="102"/>
      <c r="I2782" s="93"/>
      <c r="J2782" s="93"/>
    </row>
    <row r="2783" spans="1:10" s="65" customFormat="1" ht="14" x14ac:dyDescent="0.35">
      <c r="A2783" s="145"/>
      <c r="B2783" s="152"/>
      <c r="E2783" s="102"/>
      <c r="F2783" s="102"/>
      <c r="G2783" s="102"/>
      <c r="I2783" s="93"/>
      <c r="J2783" s="93"/>
    </row>
    <row r="2784" spans="1:10" s="65" customFormat="1" ht="14" x14ac:dyDescent="0.35">
      <c r="A2784" s="145"/>
      <c r="B2784" s="152"/>
      <c r="E2784" s="102"/>
      <c r="F2784" s="102"/>
      <c r="G2784" s="102"/>
      <c r="I2784" s="93"/>
      <c r="J2784" s="93"/>
    </row>
    <row r="2785" spans="1:10" s="65" customFormat="1" ht="14" x14ac:dyDescent="0.35">
      <c r="A2785" s="145"/>
      <c r="B2785" s="152"/>
      <c r="E2785" s="102"/>
      <c r="F2785" s="102"/>
      <c r="G2785" s="102"/>
      <c r="I2785" s="93"/>
      <c r="J2785" s="93"/>
    </row>
    <row r="2786" spans="1:10" s="65" customFormat="1" ht="14" x14ac:dyDescent="0.35">
      <c r="A2786" s="145"/>
      <c r="B2786" s="152"/>
      <c r="E2786" s="102"/>
      <c r="F2786" s="102"/>
      <c r="G2786" s="102"/>
      <c r="I2786" s="93"/>
      <c r="J2786" s="93"/>
    </row>
    <row r="2787" spans="1:10" s="65" customFormat="1" ht="14" x14ac:dyDescent="0.35">
      <c r="A2787" s="145"/>
      <c r="B2787" s="152"/>
      <c r="E2787" s="102"/>
      <c r="F2787" s="102"/>
      <c r="G2787" s="102"/>
      <c r="I2787" s="93"/>
      <c r="J2787" s="93"/>
    </row>
    <row r="2788" spans="1:10" s="65" customFormat="1" ht="14" x14ac:dyDescent="0.35">
      <c r="A2788" s="145"/>
      <c r="B2788" s="152"/>
      <c r="E2788" s="102"/>
      <c r="F2788" s="102"/>
      <c r="G2788" s="102"/>
      <c r="I2788" s="93"/>
      <c r="J2788" s="93"/>
    </row>
    <row r="2789" spans="1:10" s="65" customFormat="1" ht="14" x14ac:dyDescent="0.35">
      <c r="A2789" s="145"/>
      <c r="B2789" s="152"/>
      <c r="E2789" s="102"/>
      <c r="F2789" s="102"/>
      <c r="G2789" s="102"/>
      <c r="I2789" s="93"/>
      <c r="J2789" s="93"/>
    </row>
    <row r="2790" spans="1:10" s="65" customFormat="1" ht="14" x14ac:dyDescent="0.35">
      <c r="A2790" s="145"/>
      <c r="B2790" s="152"/>
      <c r="E2790" s="102"/>
      <c r="F2790" s="102"/>
      <c r="G2790" s="102"/>
      <c r="I2790" s="93"/>
      <c r="J2790" s="93"/>
    </row>
    <row r="2791" spans="1:10" s="65" customFormat="1" ht="14" x14ac:dyDescent="0.35">
      <c r="A2791" s="145"/>
      <c r="B2791" s="152"/>
      <c r="E2791" s="102"/>
      <c r="F2791" s="102"/>
      <c r="G2791" s="102"/>
      <c r="I2791" s="93"/>
      <c r="J2791" s="93"/>
    </row>
    <row r="2792" spans="1:10" s="65" customFormat="1" ht="14" x14ac:dyDescent="0.35">
      <c r="A2792" s="145"/>
      <c r="B2792" s="152"/>
      <c r="E2792" s="102"/>
      <c r="F2792" s="102"/>
      <c r="G2792" s="102"/>
      <c r="I2792" s="93"/>
      <c r="J2792" s="93"/>
    </row>
    <row r="2793" spans="1:10" s="65" customFormat="1" ht="14" x14ac:dyDescent="0.35">
      <c r="A2793" s="145"/>
      <c r="B2793" s="152"/>
      <c r="E2793" s="102"/>
      <c r="F2793" s="102"/>
      <c r="G2793" s="102"/>
      <c r="I2793" s="93"/>
      <c r="J2793" s="93"/>
    </row>
    <row r="2794" spans="1:10" s="65" customFormat="1" ht="14" x14ac:dyDescent="0.35">
      <c r="A2794" s="145"/>
      <c r="B2794" s="152"/>
      <c r="E2794" s="102"/>
      <c r="F2794" s="102"/>
      <c r="G2794" s="102"/>
      <c r="I2794" s="93"/>
      <c r="J2794" s="93"/>
    </row>
    <row r="2795" spans="1:10" s="65" customFormat="1" ht="14" x14ac:dyDescent="0.35">
      <c r="A2795" s="145"/>
      <c r="B2795" s="152"/>
      <c r="E2795" s="102"/>
      <c r="F2795" s="102"/>
      <c r="G2795" s="102"/>
      <c r="I2795" s="93"/>
      <c r="J2795" s="93"/>
    </row>
    <row r="2796" spans="1:10" s="65" customFormat="1" ht="14" x14ac:dyDescent="0.35">
      <c r="A2796" s="145"/>
      <c r="B2796" s="152"/>
      <c r="E2796" s="102"/>
      <c r="F2796" s="102"/>
      <c r="G2796" s="102"/>
      <c r="I2796" s="93"/>
      <c r="J2796" s="93"/>
    </row>
    <row r="2797" spans="1:10" s="65" customFormat="1" ht="14" x14ac:dyDescent="0.35">
      <c r="A2797" s="145"/>
      <c r="B2797" s="152"/>
      <c r="E2797" s="102"/>
      <c r="F2797" s="102"/>
      <c r="G2797" s="102"/>
      <c r="I2797" s="93"/>
      <c r="J2797" s="93"/>
    </row>
    <row r="2798" spans="1:10" s="65" customFormat="1" ht="14" x14ac:dyDescent="0.35">
      <c r="A2798" s="145"/>
      <c r="B2798" s="152"/>
      <c r="E2798" s="102"/>
      <c r="F2798" s="102"/>
      <c r="G2798" s="102"/>
      <c r="I2798" s="93"/>
      <c r="J2798" s="93"/>
    </row>
    <row r="2799" spans="1:10" s="65" customFormat="1" ht="14" x14ac:dyDescent="0.35">
      <c r="A2799" s="145"/>
      <c r="B2799" s="152"/>
      <c r="E2799" s="102"/>
      <c r="F2799" s="102"/>
      <c r="G2799" s="102"/>
      <c r="I2799" s="93"/>
      <c r="J2799" s="93"/>
    </row>
    <row r="2800" spans="1:10" s="65" customFormat="1" ht="14" x14ac:dyDescent="0.35">
      <c r="A2800" s="145"/>
      <c r="B2800" s="152"/>
      <c r="E2800" s="102"/>
      <c r="F2800" s="102"/>
      <c r="G2800" s="102"/>
      <c r="I2800" s="93"/>
      <c r="J2800" s="93"/>
    </row>
    <row r="2801" spans="1:10" s="65" customFormat="1" ht="14" x14ac:dyDescent="0.35">
      <c r="A2801" s="145"/>
      <c r="B2801" s="152"/>
      <c r="E2801" s="102"/>
      <c r="F2801" s="102"/>
      <c r="G2801" s="102"/>
      <c r="I2801" s="93"/>
      <c r="J2801" s="93"/>
    </row>
    <row r="2802" spans="1:10" s="65" customFormat="1" ht="14" x14ac:dyDescent="0.35">
      <c r="A2802" s="145"/>
      <c r="B2802" s="152"/>
      <c r="E2802" s="102"/>
      <c r="F2802" s="102"/>
      <c r="G2802" s="102"/>
      <c r="I2802" s="93"/>
      <c r="J2802" s="93"/>
    </row>
    <row r="2803" spans="1:10" s="65" customFormat="1" ht="14" x14ac:dyDescent="0.35">
      <c r="A2803" s="145"/>
      <c r="B2803" s="152"/>
      <c r="E2803" s="102"/>
      <c r="F2803" s="102"/>
      <c r="G2803" s="102"/>
      <c r="I2803" s="93"/>
      <c r="J2803" s="93"/>
    </row>
    <row r="2804" spans="1:10" s="65" customFormat="1" ht="14" x14ac:dyDescent="0.35">
      <c r="A2804" s="145"/>
      <c r="B2804" s="152"/>
      <c r="E2804" s="102"/>
      <c r="F2804" s="102"/>
      <c r="G2804" s="102"/>
      <c r="I2804" s="93"/>
      <c r="J2804" s="93"/>
    </row>
    <row r="2805" spans="1:10" s="65" customFormat="1" ht="14" x14ac:dyDescent="0.35">
      <c r="A2805" s="145"/>
      <c r="B2805" s="152"/>
      <c r="E2805" s="102"/>
      <c r="F2805" s="102"/>
      <c r="G2805" s="102"/>
      <c r="I2805" s="93"/>
      <c r="J2805" s="93"/>
    </row>
    <row r="2806" spans="1:10" s="65" customFormat="1" ht="14" x14ac:dyDescent="0.35">
      <c r="A2806" s="145"/>
      <c r="B2806" s="152"/>
      <c r="E2806" s="102"/>
      <c r="F2806" s="102"/>
      <c r="G2806" s="102"/>
      <c r="I2806" s="93"/>
      <c r="J2806" s="93"/>
    </row>
    <row r="2807" spans="1:10" s="65" customFormat="1" ht="14" x14ac:dyDescent="0.35">
      <c r="A2807" s="145"/>
      <c r="B2807" s="152"/>
      <c r="E2807" s="102"/>
      <c r="F2807" s="102"/>
      <c r="G2807" s="102"/>
      <c r="I2807" s="93"/>
      <c r="J2807" s="93"/>
    </row>
    <row r="2808" spans="1:10" s="65" customFormat="1" ht="14" x14ac:dyDescent="0.35">
      <c r="A2808" s="145"/>
      <c r="B2808" s="152"/>
      <c r="E2808" s="102"/>
      <c r="F2808" s="102"/>
      <c r="G2808" s="102"/>
      <c r="I2808" s="93"/>
      <c r="J2808" s="93"/>
    </row>
    <row r="2809" spans="1:10" s="65" customFormat="1" ht="14" x14ac:dyDescent="0.35">
      <c r="A2809" s="145"/>
      <c r="B2809" s="152"/>
      <c r="E2809" s="102"/>
      <c r="F2809" s="102"/>
      <c r="G2809" s="102"/>
      <c r="I2809" s="93"/>
      <c r="J2809" s="93"/>
    </row>
    <row r="2810" spans="1:10" s="65" customFormat="1" ht="14" x14ac:dyDescent="0.35">
      <c r="A2810" s="145"/>
      <c r="B2810" s="152"/>
      <c r="E2810" s="102"/>
      <c r="F2810" s="102"/>
      <c r="G2810" s="102"/>
      <c r="I2810" s="93"/>
      <c r="J2810" s="93"/>
    </row>
    <row r="2811" spans="1:10" s="65" customFormat="1" ht="14" x14ac:dyDescent="0.35">
      <c r="A2811" s="145"/>
      <c r="B2811" s="152"/>
      <c r="E2811" s="102"/>
      <c r="F2811" s="102"/>
      <c r="G2811" s="102"/>
      <c r="I2811" s="93"/>
      <c r="J2811" s="93"/>
    </row>
    <row r="2812" spans="1:10" s="65" customFormat="1" ht="14" x14ac:dyDescent="0.35">
      <c r="A2812" s="145"/>
      <c r="B2812" s="152"/>
      <c r="E2812" s="102"/>
      <c r="F2812" s="102"/>
      <c r="G2812" s="102"/>
      <c r="I2812" s="93"/>
      <c r="J2812" s="93"/>
    </row>
    <row r="2813" spans="1:10" s="65" customFormat="1" ht="14" x14ac:dyDescent="0.35">
      <c r="A2813" s="145"/>
      <c r="B2813" s="152"/>
      <c r="E2813" s="102"/>
      <c r="F2813" s="102"/>
      <c r="G2813" s="102"/>
      <c r="I2813" s="93"/>
      <c r="J2813" s="93"/>
    </row>
    <row r="2814" spans="1:10" s="65" customFormat="1" ht="14" x14ac:dyDescent="0.35">
      <c r="A2814" s="145"/>
      <c r="B2814" s="152"/>
      <c r="E2814" s="102"/>
      <c r="F2814" s="102"/>
      <c r="G2814" s="102"/>
      <c r="I2814" s="93"/>
      <c r="J2814" s="93"/>
    </row>
    <row r="2815" spans="1:10" s="65" customFormat="1" ht="14" x14ac:dyDescent="0.35">
      <c r="A2815" s="145"/>
      <c r="B2815" s="152"/>
      <c r="E2815" s="102"/>
      <c r="F2815" s="102"/>
      <c r="G2815" s="102"/>
      <c r="I2815" s="93"/>
      <c r="J2815" s="93"/>
    </row>
    <row r="2816" spans="1:10" s="65" customFormat="1" ht="14" x14ac:dyDescent="0.35">
      <c r="A2816" s="145"/>
      <c r="B2816" s="152"/>
      <c r="E2816" s="102"/>
      <c r="F2816" s="102"/>
      <c r="G2816" s="102"/>
      <c r="I2816" s="93"/>
      <c r="J2816" s="93"/>
    </row>
    <row r="2817" spans="1:10" s="65" customFormat="1" ht="14" x14ac:dyDescent="0.35">
      <c r="A2817" s="145"/>
      <c r="B2817" s="152"/>
      <c r="E2817" s="102"/>
      <c r="F2817" s="102"/>
      <c r="G2817" s="102"/>
      <c r="I2817" s="93"/>
      <c r="J2817" s="93"/>
    </row>
    <row r="2818" spans="1:10" s="65" customFormat="1" ht="14" x14ac:dyDescent="0.35">
      <c r="A2818" s="145"/>
      <c r="B2818" s="152"/>
      <c r="E2818" s="102"/>
      <c r="F2818" s="102"/>
      <c r="G2818" s="102"/>
      <c r="I2818" s="93"/>
      <c r="J2818" s="93"/>
    </row>
    <row r="2819" spans="1:10" s="65" customFormat="1" ht="14" x14ac:dyDescent="0.35">
      <c r="A2819" s="145"/>
      <c r="B2819" s="152"/>
      <c r="E2819" s="102"/>
      <c r="F2819" s="102"/>
      <c r="G2819" s="102"/>
      <c r="I2819" s="93"/>
      <c r="J2819" s="93"/>
    </row>
    <row r="2820" spans="1:10" s="65" customFormat="1" ht="14" x14ac:dyDescent="0.35">
      <c r="A2820" s="145"/>
      <c r="B2820" s="152"/>
      <c r="E2820" s="102"/>
      <c r="F2820" s="102"/>
      <c r="G2820" s="102"/>
      <c r="I2820" s="93"/>
      <c r="J2820" s="93"/>
    </row>
    <row r="2821" spans="1:10" s="65" customFormat="1" ht="14" x14ac:dyDescent="0.35">
      <c r="A2821" s="145"/>
      <c r="B2821" s="152"/>
      <c r="E2821" s="102"/>
      <c r="F2821" s="102"/>
      <c r="G2821" s="102"/>
      <c r="I2821" s="93"/>
      <c r="J2821" s="93"/>
    </row>
    <row r="2822" spans="1:10" s="65" customFormat="1" ht="14" x14ac:dyDescent="0.35">
      <c r="A2822" s="145"/>
      <c r="B2822" s="152"/>
      <c r="E2822" s="102"/>
      <c r="F2822" s="102"/>
      <c r="G2822" s="102"/>
      <c r="I2822" s="93"/>
      <c r="J2822" s="93"/>
    </row>
    <row r="2823" spans="1:10" s="65" customFormat="1" ht="14" x14ac:dyDescent="0.35">
      <c r="A2823" s="145"/>
      <c r="B2823" s="152"/>
      <c r="E2823" s="102"/>
      <c r="F2823" s="102"/>
      <c r="G2823" s="102"/>
      <c r="I2823" s="93"/>
      <c r="J2823" s="93"/>
    </row>
    <row r="2824" spans="1:10" s="65" customFormat="1" ht="14" x14ac:dyDescent="0.35">
      <c r="A2824" s="145"/>
      <c r="B2824" s="152"/>
      <c r="E2824" s="102"/>
      <c r="F2824" s="102"/>
      <c r="G2824" s="102"/>
      <c r="I2824" s="93"/>
      <c r="J2824" s="93"/>
    </row>
    <row r="2825" spans="1:10" s="65" customFormat="1" ht="14" x14ac:dyDescent="0.35">
      <c r="A2825" s="145"/>
      <c r="B2825" s="152"/>
      <c r="E2825" s="102"/>
      <c r="F2825" s="102"/>
      <c r="G2825" s="102"/>
      <c r="I2825" s="93"/>
      <c r="J2825" s="93"/>
    </row>
    <row r="2826" spans="1:10" s="65" customFormat="1" ht="14" x14ac:dyDescent="0.35">
      <c r="A2826" s="145"/>
      <c r="B2826" s="152"/>
      <c r="E2826" s="102"/>
      <c r="F2826" s="102"/>
      <c r="G2826" s="102"/>
      <c r="I2826" s="93"/>
      <c r="J2826" s="93"/>
    </row>
    <row r="2827" spans="1:10" s="65" customFormat="1" ht="14" x14ac:dyDescent="0.35">
      <c r="A2827" s="145"/>
      <c r="B2827" s="152"/>
      <c r="E2827" s="102"/>
      <c r="F2827" s="102"/>
      <c r="G2827" s="102"/>
      <c r="I2827" s="93"/>
      <c r="J2827" s="93"/>
    </row>
    <row r="2828" spans="1:10" s="65" customFormat="1" ht="14" x14ac:dyDescent="0.35">
      <c r="A2828" s="145"/>
      <c r="B2828" s="152"/>
      <c r="E2828" s="102"/>
      <c r="F2828" s="102"/>
      <c r="G2828" s="102"/>
      <c r="I2828" s="93"/>
      <c r="J2828" s="93"/>
    </row>
    <row r="2829" spans="1:10" s="65" customFormat="1" ht="14" x14ac:dyDescent="0.35">
      <c r="A2829" s="145"/>
      <c r="B2829" s="152"/>
      <c r="E2829" s="102"/>
      <c r="F2829" s="102"/>
      <c r="G2829" s="102"/>
      <c r="I2829" s="93"/>
      <c r="J2829" s="93"/>
    </row>
    <row r="2830" spans="1:10" s="65" customFormat="1" ht="14" x14ac:dyDescent="0.35">
      <c r="A2830" s="145"/>
      <c r="B2830" s="152"/>
      <c r="E2830" s="102"/>
      <c r="F2830" s="102"/>
      <c r="G2830" s="102"/>
      <c r="I2830" s="93"/>
      <c r="J2830" s="93"/>
    </row>
    <row r="2831" spans="1:10" s="65" customFormat="1" ht="14" x14ac:dyDescent="0.35">
      <c r="A2831" s="145"/>
      <c r="B2831" s="152"/>
      <c r="E2831" s="102"/>
      <c r="F2831" s="102"/>
      <c r="G2831" s="102"/>
      <c r="I2831" s="93"/>
      <c r="J2831" s="93"/>
    </row>
    <row r="2832" spans="1:10" s="65" customFormat="1" ht="14" x14ac:dyDescent="0.35">
      <c r="A2832" s="145"/>
      <c r="B2832" s="152"/>
      <c r="E2832" s="102"/>
      <c r="F2832" s="102"/>
      <c r="G2832" s="102"/>
      <c r="I2832" s="93"/>
      <c r="J2832" s="93"/>
    </row>
    <row r="2833" spans="1:10" s="65" customFormat="1" ht="14" x14ac:dyDescent="0.35">
      <c r="A2833" s="145"/>
      <c r="B2833" s="152"/>
      <c r="E2833" s="102"/>
      <c r="F2833" s="102"/>
      <c r="G2833" s="102"/>
      <c r="I2833" s="93"/>
      <c r="J2833" s="93"/>
    </row>
    <row r="2834" spans="1:10" s="65" customFormat="1" ht="14" x14ac:dyDescent="0.35">
      <c r="A2834" s="145"/>
      <c r="B2834" s="152"/>
      <c r="E2834" s="102"/>
      <c r="F2834" s="102"/>
      <c r="G2834" s="102"/>
      <c r="I2834" s="93"/>
      <c r="J2834" s="93"/>
    </row>
    <row r="2835" spans="1:10" s="65" customFormat="1" ht="14" x14ac:dyDescent="0.35">
      <c r="A2835" s="145"/>
      <c r="B2835" s="152"/>
      <c r="E2835" s="102"/>
      <c r="F2835" s="102"/>
      <c r="G2835" s="102"/>
      <c r="I2835" s="93"/>
      <c r="J2835" s="93"/>
    </row>
    <row r="2836" spans="1:10" s="65" customFormat="1" ht="14" x14ac:dyDescent="0.35">
      <c r="A2836" s="145"/>
      <c r="B2836" s="152"/>
      <c r="E2836" s="102"/>
      <c r="F2836" s="102"/>
      <c r="G2836" s="102"/>
      <c r="I2836" s="93"/>
      <c r="J2836" s="93"/>
    </row>
    <row r="2837" spans="1:10" s="65" customFormat="1" ht="14" x14ac:dyDescent="0.35">
      <c r="A2837" s="145"/>
      <c r="B2837" s="152"/>
      <c r="E2837" s="102"/>
      <c r="F2837" s="102"/>
      <c r="G2837" s="102"/>
      <c r="I2837" s="93"/>
      <c r="J2837" s="93"/>
    </row>
    <row r="2838" spans="1:10" s="65" customFormat="1" ht="14" x14ac:dyDescent="0.35">
      <c r="A2838" s="145"/>
      <c r="B2838" s="152"/>
      <c r="E2838" s="102"/>
      <c r="F2838" s="102"/>
      <c r="G2838" s="102"/>
      <c r="I2838" s="93"/>
      <c r="J2838" s="93"/>
    </row>
    <row r="2839" spans="1:10" s="65" customFormat="1" ht="14" x14ac:dyDescent="0.35">
      <c r="A2839" s="145"/>
      <c r="B2839" s="152"/>
      <c r="E2839" s="102"/>
      <c r="F2839" s="102"/>
      <c r="G2839" s="102"/>
      <c r="I2839" s="93"/>
      <c r="J2839" s="93"/>
    </row>
    <row r="2840" spans="1:10" s="65" customFormat="1" ht="14" x14ac:dyDescent="0.35">
      <c r="A2840" s="145"/>
      <c r="B2840" s="152"/>
      <c r="E2840" s="102"/>
      <c r="F2840" s="102"/>
      <c r="G2840" s="102"/>
      <c r="I2840" s="93"/>
      <c r="J2840" s="93"/>
    </row>
    <row r="2841" spans="1:10" s="65" customFormat="1" ht="14" x14ac:dyDescent="0.35">
      <c r="A2841" s="145"/>
      <c r="B2841" s="152"/>
      <c r="E2841" s="102"/>
      <c r="F2841" s="102"/>
      <c r="G2841" s="102"/>
      <c r="I2841" s="93"/>
      <c r="J2841" s="93"/>
    </row>
    <row r="2842" spans="1:10" s="65" customFormat="1" ht="14" x14ac:dyDescent="0.35">
      <c r="A2842" s="145"/>
      <c r="B2842" s="152"/>
      <c r="E2842" s="102"/>
      <c r="F2842" s="102"/>
      <c r="G2842" s="102"/>
      <c r="I2842" s="93"/>
      <c r="J2842" s="93"/>
    </row>
    <row r="2843" spans="1:10" s="65" customFormat="1" ht="14" x14ac:dyDescent="0.35">
      <c r="A2843" s="145"/>
      <c r="B2843" s="152"/>
      <c r="E2843" s="102"/>
      <c r="F2843" s="102"/>
      <c r="G2843" s="102"/>
      <c r="I2843" s="93"/>
      <c r="J2843" s="93"/>
    </row>
    <row r="2844" spans="1:10" s="65" customFormat="1" ht="14" x14ac:dyDescent="0.35">
      <c r="A2844" s="145"/>
      <c r="B2844" s="152"/>
      <c r="E2844" s="102"/>
      <c r="F2844" s="102"/>
      <c r="G2844" s="102"/>
      <c r="I2844" s="93"/>
      <c r="J2844" s="93"/>
    </row>
    <row r="2845" spans="1:10" s="65" customFormat="1" ht="14" x14ac:dyDescent="0.35">
      <c r="A2845" s="145"/>
      <c r="B2845" s="152"/>
      <c r="E2845" s="102"/>
      <c r="F2845" s="102"/>
      <c r="G2845" s="102"/>
      <c r="I2845" s="93"/>
      <c r="J2845" s="93"/>
    </row>
    <row r="2846" spans="1:10" s="65" customFormat="1" ht="14" x14ac:dyDescent="0.35">
      <c r="A2846" s="145"/>
      <c r="B2846" s="152"/>
      <c r="E2846" s="102"/>
      <c r="F2846" s="102"/>
      <c r="G2846" s="102"/>
      <c r="I2846" s="93"/>
      <c r="J2846" s="93"/>
    </row>
    <row r="2847" spans="1:10" s="65" customFormat="1" ht="14" x14ac:dyDescent="0.35">
      <c r="A2847" s="145"/>
      <c r="B2847" s="152"/>
      <c r="E2847" s="102"/>
      <c r="F2847" s="102"/>
      <c r="G2847" s="102"/>
      <c r="I2847" s="93"/>
      <c r="J2847" s="93"/>
    </row>
    <row r="2848" spans="1:10" s="65" customFormat="1" ht="14" x14ac:dyDescent="0.35">
      <c r="A2848" s="145"/>
      <c r="B2848" s="152"/>
      <c r="E2848" s="102"/>
      <c r="F2848" s="102"/>
      <c r="G2848" s="102"/>
      <c r="I2848" s="93"/>
      <c r="J2848" s="93"/>
    </row>
    <row r="2849" spans="1:10" s="65" customFormat="1" ht="14" x14ac:dyDescent="0.35">
      <c r="A2849" s="145"/>
      <c r="B2849" s="152"/>
      <c r="E2849" s="102"/>
      <c r="F2849" s="102"/>
      <c r="G2849" s="102"/>
      <c r="I2849" s="93"/>
      <c r="J2849" s="93"/>
    </row>
    <row r="2850" spans="1:10" s="65" customFormat="1" ht="14" x14ac:dyDescent="0.35">
      <c r="A2850" s="145"/>
      <c r="B2850" s="152"/>
      <c r="E2850" s="102"/>
      <c r="F2850" s="102"/>
      <c r="G2850" s="102"/>
      <c r="I2850" s="93"/>
      <c r="J2850" s="93"/>
    </row>
    <row r="2851" spans="1:10" s="65" customFormat="1" ht="14" x14ac:dyDescent="0.35">
      <c r="A2851" s="145"/>
      <c r="B2851" s="152"/>
      <c r="E2851" s="102"/>
      <c r="F2851" s="102"/>
      <c r="G2851" s="102"/>
      <c r="I2851" s="93"/>
      <c r="J2851" s="93"/>
    </row>
    <row r="2852" spans="1:10" s="65" customFormat="1" ht="14" x14ac:dyDescent="0.35">
      <c r="A2852" s="145"/>
      <c r="B2852" s="152"/>
      <c r="E2852" s="102"/>
      <c r="F2852" s="102"/>
      <c r="G2852" s="102"/>
      <c r="I2852" s="93"/>
      <c r="J2852" s="93"/>
    </row>
    <row r="2853" spans="1:10" s="65" customFormat="1" ht="14" x14ac:dyDescent="0.35">
      <c r="A2853" s="145"/>
      <c r="B2853" s="152"/>
      <c r="E2853" s="102"/>
      <c r="F2853" s="102"/>
      <c r="G2853" s="102"/>
      <c r="I2853" s="93"/>
      <c r="J2853" s="93"/>
    </row>
    <row r="2854" spans="1:10" s="65" customFormat="1" ht="14" x14ac:dyDescent="0.35">
      <c r="A2854" s="145"/>
      <c r="B2854" s="152"/>
      <c r="E2854" s="102"/>
      <c r="F2854" s="102"/>
      <c r="G2854" s="102"/>
      <c r="I2854" s="93"/>
      <c r="J2854" s="93"/>
    </row>
    <row r="2855" spans="1:10" s="65" customFormat="1" ht="14" x14ac:dyDescent="0.35">
      <c r="A2855" s="145"/>
      <c r="B2855" s="152"/>
      <c r="E2855" s="102"/>
      <c r="F2855" s="102"/>
      <c r="G2855" s="102"/>
      <c r="I2855" s="93"/>
      <c r="J2855" s="93"/>
    </row>
    <row r="2856" spans="1:10" s="65" customFormat="1" ht="14" x14ac:dyDescent="0.35">
      <c r="A2856" s="145"/>
      <c r="B2856" s="152"/>
      <c r="E2856" s="102"/>
      <c r="F2856" s="102"/>
      <c r="G2856" s="102"/>
      <c r="I2856" s="93"/>
      <c r="J2856" s="93"/>
    </row>
    <row r="2857" spans="1:10" s="65" customFormat="1" ht="14" x14ac:dyDescent="0.35">
      <c r="A2857" s="145"/>
      <c r="B2857" s="152"/>
      <c r="E2857" s="102"/>
      <c r="F2857" s="102"/>
      <c r="G2857" s="102"/>
      <c r="I2857" s="93"/>
      <c r="J2857" s="93"/>
    </row>
    <row r="2858" spans="1:10" s="65" customFormat="1" ht="14" x14ac:dyDescent="0.35">
      <c r="A2858" s="145"/>
      <c r="B2858" s="152"/>
      <c r="E2858" s="102"/>
      <c r="F2858" s="102"/>
      <c r="G2858" s="102"/>
      <c r="I2858" s="93"/>
      <c r="J2858" s="93"/>
    </row>
    <row r="2859" spans="1:10" s="65" customFormat="1" ht="14" x14ac:dyDescent="0.35">
      <c r="A2859" s="145"/>
      <c r="B2859" s="152"/>
      <c r="E2859" s="102"/>
      <c r="F2859" s="102"/>
      <c r="G2859" s="102"/>
      <c r="I2859" s="93"/>
      <c r="J2859" s="93"/>
    </row>
    <row r="2860" spans="1:10" s="65" customFormat="1" ht="14" x14ac:dyDescent="0.35">
      <c r="A2860" s="145"/>
      <c r="B2860" s="152"/>
      <c r="E2860" s="102"/>
      <c r="F2860" s="102"/>
      <c r="G2860" s="102"/>
      <c r="I2860" s="93"/>
      <c r="J2860" s="93"/>
    </row>
    <row r="2861" spans="1:10" s="65" customFormat="1" ht="14" x14ac:dyDescent="0.35">
      <c r="A2861" s="145"/>
      <c r="B2861" s="152"/>
      <c r="E2861" s="102"/>
      <c r="F2861" s="102"/>
      <c r="G2861" s="102"/>
      <c r="I2861" s="93"/>
      <c r="J2861" s="93"/>
    </row>
    <row r="2862" spans="1:10" s="65" customFormat="1" ht="14" x14ac:dyDescent="0.35">
      <c r="A2862" s="145"/>
      <c r="B2862" s="152"/>
      <c r="E2862" s="102"/>
      <c r="F2862" s="102"/>
      <c r="G2862" s="102"/>
      <c r="I2862" s="93"/>
      <c r="J2862" s="93"/>
    </row>
    <row r="2863" spans="1:10" s="65" customFormat="1" ht="14" x14ac:dyDescent="0.35">
      <c r="A2863" s="145"/>
      <c r="B2863" s="152"/>
      <c r="E2863" s="102"/>
      <c r="F2863" s="102"/>
      <c r="G2863" s="102"/>
      <c r="I2863" s="93"/>
      <c r="J2863" s="93"/>
    </row>
    <row r="2864" spans="1:10" s="65" customFormat="1" ht="14" x14ac:dyDescent="0.35">
      <c r="A2864" s="145"/>
      <c r="B2864" s="152"/>
      <c r="E2864" s="102"/>
      <c r="F2864" s="102"/>
      <c r="G2864" s="102"/>
      <c r="I2864" s="93"/>
      <c r="J2864" s="93"/>
    </row>
    <row r="2865" spans="1:10" s="65" customFormat="1" ht="14" x14ac:dyDescent="0.35">
      <c r="A2865" s="145"/>
      <c r="B2865" s="152"/>
      <c r="E2865" s="102"/>
      <c r="F2865" s="102"/>
      <c r="G2865" s="102"/>
      <c r="I2865" s="93"/>
      <c r="J2865" s="93"/>
    </row>
    <row r="2866" spans="1:10" s="65" customFormat="1" ht="14" x14ac:dyDescent="0.35">
      <c r="A2866" s="145"/>
      <c r="B2866" s="152"/>
      <c r="E2866" s="102"/>
      <c r="F2866" s="102"/>
      <c r="G2866" s="102"/>
      <c r="I2866" s="93"/>
      <c r="J2866" s="93"/>
    </row>
    <row r="2867" spans="1:10" s="65" customFormat="1" ht="14" x14ac:dyDescent="0.35">
      <c r="A2867" s="145"/>
      <c r="B2867" s="152"/>
      <c r="E2867" s="102"/>
      <c r="F2867" s="102"/>
      <c r="G2867" s="102"/>
      <c r="I2867" s="93"/>
      <c r="J2867" s="93"/>
    </row>
    <row r="2868" spans="1:10" s="65" customFormat="1" ht="14" x14ac:dyDescent="0.35">
      <c r="A2868" s="145"/>
      <c r="B2868" s="152"/>
      <c r="E2868" s="102"/>
      <c r="F2868" s="102"/>
      <c r="G2868" s="102"/>
      <c r="I2868" s="93"/>
      <c r="J2868" s="93"/>
    </row>
    <row r="2869" spans="1:10" s="65" customFormat="1" ht="14" x14ac:dyDescent="0.35">
      <c r="A2869" s="145"/>
      <c r="B2869" s="152"/>
      <c r="E2869" s="102"/>
      <c r="F2869" s="102"/>
      <c r="G2869" s="102"/>
      <c r="I2869" s="93"/>
      <c r="J2869" s="93"/>
    </row>
    <row r="2870" spans="1:10" s="65" customFormat="1" ht="14" x14ac:dyDescent="0.35">
      <c r="A2870" s="145"/>
      <c r="B2870" s="152"/>
      <c r="E2870" s="102"/>
      <c r="F2870" s="102"/>
      <c r="G2870" s="102"/>
      <c r="I2870" s="93"/>
      <c r="J2870" s="93"/>
    </row>
    <row r="2871" spans="1:10" s="65" customFormat="1" ht="14" x14ac:dyDescent="0.35">
      <c r="A2871" s="145"/>
      <c r="B2871" s="152"/>
      <c r="E2871" s="102"/>
      <c r="F2871" s="102"/>
      <c r="G2871" s="102"/>
      <c r="I2871" s="93"/>
      <c r="J2871" s="93"/>
    </row>
    <row r="2872" spans="1:10" s="65" customFormat="1" ht="14" x14ac:dyDescent="0.35">
      <c r="A2872" s="145"/>
      <c r="B2872" s="152"/>
      <c r="E2872" s="102"/>
      <c r="F2872" s="102"/>
      <c r="G2872" s="102"/>
      <c r="I2872" s="93"/>
      <c r="J2872" s="93"/>
    </row>
    <row r="2873" spans="1:10" s="65" customFormat="1" ht="14" x14ac:dyDescent="0.35">
      <c r="A2873" s="145"/>
      <c r="B2873" s="152"/>
      <c r="E2873" s="102"/>
      <c r="F2873" s="102"/>
      <c r="G2873" s="102"/>
      <c r="I2873" s="93"/>
      <c r="J2873" s="93"/>
    </row>
    <row r="2874" spans="1:10" s="65" customFormat="1" ht="14" x14ac:dyDescent="0.35">
      <c r="A2874" s="145"/>
      <c r="B2874" s="152"/>
      <c r="E2874" s="102"/>
      <c r="F2874" s="102"/>
      <c r="G2874" s="102"/>
      <c r="I2874" s="93"/>
      <c r="J2874" s="93"/>
    </row>
    <row r="2875" spans="1:10" s="65" customFormat="1" ht="14" x14ac:dyDescent="0.35">
      <c r="A2875" s="145"/>
      <c r="B2875" s="152"/>
      <c r="E2875" s="102"/>
      <c r="F2875" s="102"/>
      <c r="G2875" s="102"/>
      <c r="I2875" s="93"/>
      <c r="J2875" s="93"/>
    </row>
    <row r="2876" spans="1:10" s="65" customFormat="1" ht="14" x14ac:dyDescent="0.35">
      <c r="A2876" s="145"/>
      <c r="B2876" s="152"/>
      <c r="E2876" s="102"/>
      <c r="F2876" s="102"/>
      <c r="G2876" s="102"/>
      <c r="I2876" s="93"/>
      <c r="J2876" s="93"/>
    </row>
    <row r="2877" spans="1:10" s="65" customFormat="1" ht="14" x14ac:dyDescent="0.35">
      <c r="A2877" s="145"/>
      <c r="B2877" s="152"/>
      <c r="E2877" s="102"/>
      <c r="F2877" s="102"/>
      <c r="G2877" s="102"/>
      <c r="I2877" s="93"/>
      <c r="J2877" s="93"/>
    </row>
    <row r="2878" spans="1:10" s="65" customFormat="1" ht="14" x14ac:dyDescent="0.35">
      <c r="A2878" s="145"/>
      <c r="B2878" s="152"/>
      <c r="E2878" s="102"/>
      <c r="F2878" s="102"/>
      <c r="G2878" s="102"/>
      <c r="I2878" s="93"/>
      <c r="J2878" s="93"/>
    </row>
    <row r="2879" spans="1:10" s="65" customFormat="1" ht="14" x14ac:dyDescent="0.35">
      <c r="A2879" s="145"/>
      <c r="B2879" s="152"/>
      <c r="E2879" s="102"/>
      <c r="F2879" s="102"/>
      <c r="G2879" s="102"/>
      <c r="I2879" s="93"/>
      <c r="J2879" s="93"/>
    </row>
    <row r="2880" spans="1:10" s="65" customFormat="1" ht="14" x14ac:dyDescent="0.35">
      <c r="A2880" s="145"/>
      <c r="B2880" s="152"/>
      <c r="E2880" s="102"/>
      <c r="F2880" s="102"/>
      <c r="G2880" s="102"/>
      <c r="I2880" s="93"/>
      <c r="J2880" s="93"/>
    </row>
    <row r="2881" spans="1:10" s="65" customFormat="1" ht="14" x14ac:dyDescent="0.35">
      <c r="A2881" s="145"/>
      <c r="B2881" s="152"/>
      <c r="E2881" s="102"/>
      <c r="F2881" s="102"/>
      <c r="G2881" s="102"/>
      <c r="I2881" s="93"/>
      <c r="J2881" s="93"/>
    </row>
    <row r="2882" spans="1:10" s="65" customFormat="1" ht="14" x14ac:dyDescent="0.35">
      <c r="A2882" s="145"/>
      <c r="B2882" s="152"/>
      <c r="E2882" s="102"/>
      <c r="F2882" s="102"/>
      <c r="G2882" s="102"/>
      <c r="I2882" s="93"/>
      <c r="J2882" s="93"/>
    </row>
    <row r="2883" spans="1:10" s="65" customFormat="1" ht="14" x14ac:dyDescent="0.35">
      <c r="A2883" s="145"/>
      <c r="B2883" s="152"/>
      <c r="E2883" s="102"/>
      <c r="F2883" s="102"/>
      <c r="G2883" s="102"/>
      <c r="I2883" s="93"/>
      <c r="J2883" s="93"/>
    </row>
    <row r="2884" spans="1:10" s="65" customFormat="1" ht="14" x14ac:dyDescent="0.35">
      <c r="A2884" s="145"/>
      <c r="B2884" s="152"/>
      <c r="E2884" s="102"/>
      <c r="F2884" s="102"/>
      <c r="G2884" s="102"/>
      <c r="I2884" s="93"/>
      <c r="J2884" s="93"/>
    </row>
    <row r="2885" spans="1:10" s="65" customFormat="1" ht="14" x14ac:dyDescent="0.35">
      <c r="A2885" s="145"/>
      <c r="B2885" s="152"/>
      <c r="E2885" s="102"/>
      <c r="F2885" s="102"/>
      <c r="G2885" s="102"/>
      <c r="I2885" s="93"/>
      <c r="J2885" s="93"/>
    </row>
    <row r="2886" spans="1:10" s="65" customFormat="1" ht="14" x14ac:dyDescent="0.35">
      <c r="A2886" s="145"/>
      <c r="B2886" s="152"/>
      <c r="E2886" s="102"/>
      <c r="F2886" s="102"/>
      <c r="G2886" s="102"/>
      <c r="I2886" s="93"/>
      <c r="J2886" s="93"/>
    </row>
    <row r="2887" spans="1:10" s="65" customFormat="1" ht="14" x14ac:dyDescent="0.35">
      <c r="A2887" s="145"/>
      <c r="B2887" s="152"/>
      <c r="E2887" s="102"/>
      <c r="F2887" s="102"/>
      <c r="G2887" s="102"/>
      <c r="I2887" s="93"/>
      <c r="J2887" s="93"/>
    </row>
    <row r="2888" spans="1:10" s="65" customFormat="1" ht="14" x14ac:dyDescent="0.35">
      <c r="A2888" s="145"/>
      <c r="B2888" s="152"/>
      <c r="E2888" s="102"/>
      <c r="F2888" s="102"/>
      <c r="G2888" s="102"/>
      <c r="I2888" s="93"/>
      <c r="J2888" s="93"/>
    </row>
    <row r="2889" spans="1:10" s="65" customFormat="1" ht="14" x14ac:dyDescent="0.35">
      <c r="A2889" s="145"/>
      <c r="B2889" s="152"/>
      <c r="E2889" s="102"/>
      <c r="F2889" s="102"/>
      <c r="G2889" s="102"/>
      <c r="I2889" s="93"/>
      <c r="J2889" s="93"/>
    </row>
    <row r="2890" spans="1:10" s="65" customFormat="1" ht="14" x14ac:dyDescent="0.35">
      <c r="A2890" s="145"/>
      <c r="B2890" s="152"/>
      <c r="E2890" s="102"/>
      <c r="F2890" s="102"/>
      <c r="G2890" s="102"/>
      <c r="I2890" s="93"/>
      <c r="J2890" s="93"/>
    </row>
    <row r="2891" spans="1:10" s="65" customFormat="1" ht="14" x14ac:dyDescent="0.35">
      <c r="A2891" s="145"/>
      <c r="B2891" s="152"/>
      <c r="E2891" s="102"/>
      <c r="F2891" s="102"/>
      <c r="G2891" s="102"/>
      <c r="I2891" s="93"/>
      <c r="J2891" s="93"/>
    </row>
    <row r="2892" spans="1:10" s="65" customFormat="1" ht="14" x14ac:dyDescent="0.35">
      <c r="A2892" s="145"/>
      <c r="B2892" s="152"/>
      <c r="E2892" s="102"/>
      <c r="F2892" s="102"/>
      <c r="G2892" s="102"/>
      <c r="I2892" s="93"/>
      <c r="J2892" s="93"/>
    </row>
    <row r="2893" spans="1:10" s="65" customFormat="1" ht="14" x14ac:dyDescent="0.35">
      <c r="A2893" s="145"/>
      <c r="B2893" s="152"/>
      <c r="E2893" s="102"/>
      <c r="F2893" s="102"/>
      <c r="G2893" s="102"/>
      <c r="I2893" s="93"/>
      <c r="J2893" s="93"/>
    </row>
    <row r="2894" spans="1:10" s="65" customFormat="1" ht="14" x14ac:dyDescent="0.35">
      <c r="A2894" s="145"/>
      <c r="B2894" s="152"/>
      <c r="E2894" s="102"/>
      <c r="F2894" s="102"/>
      <c r="G2894" s="102"/>
      <c r="I2894" s="93"/>
      <c r="J2894" s="93"/>
    </row>
    <row r="2895" spans="1:10" s="65" customFormat="1" ht="14" x14ac:dyDescent="0.35">
      <c r="A2895" s="145"/>
      <c r="B2895" s="152"/>
      <c r="E2895" s="102"/>
      <c r="F2895" s="102"/>
      <c r="G2895" s="102"/>
      <c r="I2895" s="93"/>
      <c r="J2895" s="93"/>
    </row>
    <row r="2896" spans="1:10" s="65" customFormat="1" ht="14" x14ac:dyDescent="0.35">
      <c r="A2896" s="145"/>
      <c r="B2896" s="152"/>
      <c r="E2896" s="102"/>
      <c r="F2896" s="102"/>
      <c r="G2896" s="102"/>
      <c r="I2896" s="93"/>
      <c r="J2896" s="93"/>
    </row>
    <row r="2897" spans="1:10" s="65" customFormat="1" ht="14" x14ac:dyDescent="0.35">
      <c r="A2897" s="145"/>
      <c r="B2897" s="152"/>
      <c r="E2897" s="102"/>
      <c r="F2897" s="102"/>
      <c r="G2897" s="102"/>
      <c r="I2897" s="93"/>
      <c r="J2897" s="93"/>
    </row>
    <row r="2898" spans="1:10" s="65" customFormat="1" ht="14" x14ac:dyDescent="0.35">
      <c r="A2898" s="145"/>
      <c r="B2898" s="152"/>
      <c r="E2898" s="102"/>
      <c r="F2898" s="102"/>
      <c r="G2898" s="102"/>
      <c r="I2898" s="93"/>
      <c r="J2898" s="93"/>
    </row>
    <row r="2899" spans="1:10" s="65" customFormat="1" ht="14" x14ac:dyDescent="0.35">
      <c r="A2899" s="145"/>
      <c r="B2899" s="152"/>
      <c r="E2899" s="102"/>
      <c r="F2899" s="102"/>
      <c r="G2899" s="102"/>
      <c r="I2899" s="93"/>
      <c r="J2899" s="93"/>
    </row>
    <row r="2900" spans="1:10" s="65" customFormat="1" ht="14" x14ac:dyDescent="0.35">
      <c r="A2900" s="145"/>
      <c r="B2900" s="152"/>
      <c r="E2900" s="102"/>
      <c r="F2900" s="102"/>
      <c r="G2900" s="102"/>
      <c r="I2900" s="93"/>
      <c r="J2900" s="93"/>
    </row>
    <row r="2901" spans="1:10" s="65" customFormat="1" ht="14" x14ac:dyDescent="0.35">
      <c r="A2901" s="145"/>
      <c r="B2901" s="152"/>
      <c r="E2901" s="102"/>
      <c r="F2901" s="102"/>
      <c r="G2901" s="102"/>
      <c r="I2901" s="93"/>
      <c r="J2901" s="93"/>
    </row>
    <row r="2902" spans="1:10" s="65" customFormat="1" ht="14" x14ac:dyDescent="0.35">
      <c r="A2902" s="145"/>
      <c r="B2902" s="152"/>
      <c r="E2902" s="102"/>
      <c r="F2902" s="102"/>
      <c r="G2902" s="102"/>
      <c r="I2902" s="93"/>
      <c r="J2902" s="93"/>
    </row>
    <row r="2903" spans="1:10" s="65" customFormat="1" ht="14" x14ac:dyDescent="0.35">
      <c r="A2903" s="145"/>
      <c r="B2903" s="152"/>
      <c r="E2903" s="102"/>
      <c r="F2903" s="102"/>
      <c r="G2903" s="102"/>
      <c r="I2903" s="93"/>
      <c r="J2903" s="93"/>
    </row>
    <row r="2904" spans="1:10" s="65" customFormat="1" ht="14" x14ac:dyDescent="0.35">
      <c r="A2904" s="145"/>
      <c r="B2904" s="152"/>
      <c r="E2904" s="102"/>
      <c r="F2904" s="102"/>
      <c r="G2904" s="102"/>
      <c r="I2904" s="93"/>
      <c r="J2904" s="93"/>
    </row>
    <row r="2905" spans="1:10" s="65" customFormat="1" ht="14" x14ac:dyDescent="0.35">
      <c r="A2905" s="145"/>
      <c r="B2905" s="152"/>
      <c r="E2905" s="102"/>
      <c r="F2905" s="102"/>
      <c r="G2905" s="102"/>
      <c r="I2905" s="93"/>
      <c r="J2905" s="93"/>
    </row>
    <row r="2906" spans="1:10" s="65" customFormat="1" ht="14" x14ac:dyDescent="0.35">
      <c r="A2906" s="145"/>
      <c r="B2906" s="152"/>
      <c r="E2906" s="102"/>
      <c r="F2906" s="102"/>
      <c r="G2906" s="102"/>
      <c r="I2906" s="93"/>
      <c r="J2906" s="93"/>
    </row>
    <row r="2907" spans="1:10" s="65" customFormat="1" ht="14" x14ac:dyDescent="0.35">
      <c r="A2907" s="145"/>
      <c r="B2907" s="152"/>
      <c r="E2907" s="102"/>
      <c r="F2907" s="102"/>
      <c r="G2907" s="102"/>
      <c r="I2907" s="93"/>
      <c r="J2907" s="93"/>
    </row>
    <row r="2908" spans="1:10" s="65" customFormat="1" ht="14" x14ac:dyDescent="0.35">
      <c r="A2908" s="145"/>
      <c r="B2908" s="152"/>
      <c r="E2908" s="102"/>
      <c r="F2908" s="102"/>
      <c r="G2908" s="102"/>
      <c r="I2908" s="93"/>
      <c r="J2908" s="93"/>
    </row>
    <row r="2909" spans="1:10" s="65" customFormat="1" ht="14" x14ac:dyDescent="0.35">
      <c r="A2909" s="145"/>
      <c r="B2909" s="152"/>
      <c r="E2909" s="102"/>
      <c r="F2909" s="102"/>
      <c r="G2909" s="102"/>
      <c r="I2909" s="93"/>
      <c r="J2909" s="93"/>
    </row>
    <row r="2910" spans="1:10" s="65" customFormat="1" ht="14" x14ac:dyDescent="0.35">
      <c r="A2910" s="145"/>
      <c r="B2910" s="152"/>
      <c r="E2910" s="102"/>
      <c r="F2910" s="102"/>
      <c r="G2910" s="102"/>
      <c r="I2910" s="93"/>
      <c r="J2910" s="93"/>
    </row>
    <row r="2911" spans="1:10" s="65" customFormat="1" ht="14" x14ac:dyDescent="0.35">
      <c r="A2911" s="145"/>
      <c r="B2911" s="152"/>
      <c r="E2911" s="102"/>
      <c r="F2911" s="102"/>
      <c r="G2911" s="102"/>
      <c r="I2911" s="93"/>
      <c r="J2911" s="93"/>
    </row>
    <row r="2912" spans="1:10" s="65" customFormat="1" ht="14" x14ac:dyDescent="0.35">
      <c r="A2912" s="145"/>
      <c r="B2912" s="152"/>
      <c r="E2912" s="102"/>
      <c r="F2912" s="102"/>
      <c r="G2912" s="102"/>
      <c r="I2912" s="93"/>
      <c r="J2912" s="93"/>
    </row>
    <row r="2913" spans="1:10" s="65" customFormat="1" ht="14" x14ac:dyDescent="0.35">
      <c r="A2913" s="145"/>
      <c r="B2913" s="152"/>
      <c r="E2913" s="102"/>
      <c r="F2913" s="102"/>
      <c r="G2913" s="102"/>
      <c r="I2913" s="93"/>
      <c r="J2913" s="93"/>
    </row>
    <row r="2914" spans="1:10" s="65" customFormat="1" ht="14" x14ac:dyDescent="0.35">
      <c r="A2914" s="145"/>
      <c r="B2914" s="152"/>
      <c r="E2914" s="102"/>
      <c r="F2914" s="102"/>
      <c r="G2914" s="102"/>
      <c r="I2914" s="93"/>
      <c r="J2914" s="93"/>
    </row>
    <row r="2915" spans="1:10" s="65" customFormat="1" ht="14" x14ac:dyDescent="0.35">
      <c r="A2915" s="145"/>
      <c r="B2915" s="152"/>
      <c r="E2915" s="102"/>
      <c r="F2915" s="102"/>
      <c r="G2915" s="102"/>
      <c r="I2915" s="93"/>
      <c r="J2915" s="93"/>
    </row>
    <row r="2916" spans="1:10" s="65" customFormat="1" ht="14" x14ac:dyDescent="0.35">
      <c r="A2916" s="145"/>
      <c r="B2916" s="152"/>
      <c r="E2916" s="102"/>
      <c r="F2916" s="102"/>
      <c r="G2916" s="102"/>
      <c r="I2916" s="93"/>
      <c r="J2916" s="93"/>
    </row>
    <row r="2917" spans="1:10" s="65" customFormat="1" ht="14" x14ac:dyDescent="0.35">
      <c r="A2917" s="145"/>
      <c r="B2917" s="152"/>
      <c r="E2917" s="102"/>
      <c r="F2917" s="102"/>
      <c r="G2917" s="102"/>
      <c r="I2917" s="93"/>
      <c r="J2917" s="93"/>
    </row>
    <row r="2918" spans="1:10" s="65" customFormat="1" ht="14" x14ac:dyDescent="0.35">
      <c r="A2918" s="145"/>
      <c r="B2918" s="152"/>
      <c r="E2918" s="102"/>
      <c r="F2918" s="102"/>
      <c r="G2918" s="102"/>
      <c r="I2918" s="93"/>
      <c r="J2918" s="93"/>
    </row>
    <row r="2919" spans="1:10" s="65" customFormat="1" ht="14" x14ac:dyDescent="0.35">
      <c r="A2919" s="145"/>
      <c r="B2919" s="152"/>
      <c r="E2919" s="102"/>
      <c r="F2919" s="102"/>
      <c r="G2919" s="102"/>
      <c r="I2919" s="93"/>
      <c r="J2919" s="93"/>
    </row>
    <row r="2920" spans="1:10" s="65" customFormat="1" ht="14" x14ac:dyDescent="0.35">
      <c r="A2920" s="145"/>
      <c r="B2920" s="152"/>
      <c r="E2920" s="102"/>
      <c r="F2920" s="102"/>
      <c r="G2920" s="102"/>
      <c r="I2920" s="93"/>
      <c r="J2920" s="93"/>
    </row>
    <row r="2921" spans="1:10" s="65" customFormat="1" ht="14" x14ac:dyDescent="0.35">
      <c r="A2921" s="145"/>
      <c r="B2921" s="152"/>
      <c r="E2921" s="102"/>
      <c r="F2921" s="102"/>
      <c r="G2921" s="102"/>
      <c r="I2921" s="93"/>
      <c r="J2921" s="93"/>
    </row>
    <row r="2922" spans="1:10" s="65" customFormat="1" ht="14" x14ac:dyDescent="0.35">
      <c r="A2922" s="145"/>
      <c r="B2922" s="152"/>
      <c r="E2922" s="102"/>
      <c r="F2922" s="102"/>
      <c r="G2922" s="102"/>
      <c r="I2922" s="93"/>
      <c r="J2922" s="93"/>
    </row>
    <row r="2923" spans="1:10" s="65" customFormat="1" ht="14" x14ac:dyDescent="0.35">
      <c r="A2923" s="145"/>
      <c r="B2923" s="152"/>
      <c r="E2923" s="102"/>
      <c r="F2923" s="102"/>
      <c r="G2923" s="102"/>
      <c r="I2923" s="93"/>
      <c r="J2923" s="93"/>
    </row>
    <row r="2924" spans="1:10" s="65" customFormat="1" ht="14" x14ac:dyDescent="0.35">
      <c r="A2924" s="145"/>
      <c r="B2924" s="152"/>
      <c r="E2924" s="102"/>
      <c r="F2924" s="102"/>
      <c r="G2924" s="102"/>
      <c r="I2924" s="93"/>
      <c r="J2924" s="93"/>
    </row>
    <row r="2925" spans="1:10" s="65" customFormat="1" ht="14" x14ac:dyDescent="0.35">
      <c r="A2925" s="145"/>
      <c r="B2925" s="152"/>
      <c r="E2925" s="102"/>
      <c r="F2925" s="102"/>
      <c r="G2925" s="102"/>
      <c r="I2925" s="93"/>
      <c r="J2925" s="93"/>
    </row>
    <row r="2926" spans="1:10" s="65" customFormat="1" ht="14" x14ac:dyDescent="0.35">
      <c r="A2926" s="145"/>
      <c r="B2926" s="152"/>
      <c r="E2926" s="102"/>
      <c r="F2926" s="102"/>
      <c r="G2926" s="102"/>
      <c r="I2926" s="93"/>
      <c r="J2926" s="93"/>
    </row>
    <row r="2927" spans="1:10" s="65" customFormat="1" ht="14" x14ac:dyDescent="0.35">
      <c r="A2927" s="145"/>
      <c r="B2927" s="152"/>
      <c r="E2927" s="102"/>
      <c r="F2927" s="102"/>
      <c r="G2927" s="102"/>
      <c r="I2927" s="93"/>
      <c r="J2927" s="93"/>
    </row>
    <row r="2928" spans="1:10" s="65" customFormat="1" ht="14" x14ac:dyDescent="0.35">
      <c r="A2928" s="145"/>
      <c r="B2928" s="152"/>
      <c r="E2928" s="102"/>
      <c r="F2928" s="102"/>
      <c r="G2928" s="102"/>
      <c r="I2928" s="93"/>
      <c r="J2928" s="93"/>
    </row>
    <row r="2929" spans="1:10" s="65" customFormat="1" ht="14" x14ac:dyDescent="0.35">
      <c r="A2929" s="145"/>
      <c r="B2929" s="152"/>
      <c r="E2929" s="102"/>
      <c r="F2929" s="102"/>
      <c r="G2929" s="102"/>
      <c r="I2929" s="93"/>
      <c r="J2929" s="93"/>
    </row>
    <row r="2930" spans="1:10" s="65" customFormat="1" ht="14" x14ac:dyDescent="0.35">
      <c r="A2930" s="145"/>
      <c r="B2930" s="152"/>
      <c r="E2930" s="102"/>
      <c r="F2930" s="102"/>
      <c r="G2930" s="102"/>
      <c r="I2930" s="93"/>
      <c r="J2930" s="93"/>
    </row>
    <row r="2931" spans="1:10" s="65" customFormat="1" ht="14" x14ac:dyDescent="0.35">
      <c r="A2931" s="145"/>
      <c r="B2931" s="152"/>
      <c r="E2931" s="102"/>
      <c r="F2931" s="102"/>
      <c r="G2931" s="102"/>
      <c r="I2931" s="93"/>
      <c r="J2931" s="93"/>
    </row>
    <row r="2932" spans="1:10" s="65" customFormat="1" ht="14" x14ac:dyDescent="0.35">
      <c r="A2932" s="145"/>
      <c r="B2932" s="152"/>
      <c r="E2932" s="102"/>
      <c r="F2932" s="102"/>
      <c r="G2932" s="102"/>
      <c r="I2932" s="93"/>
      <c r="J2932" s="93"/>
    </row>
    <row r="2933" spans="1:10" s="65" customFormat="1" ht="14" x14ac:dyDescent="0.35">
      <c r="A2933" s="145"/>
      <c r="B2933" s="152"/>
      <c r="E2933" s="102"/>
      <c r="F2933" s="102"/>
      <c r="G2933" s="102"/>
      <c r="I2933" s="93"/>
      <c r="J2933" s="93"/>
    </row>
    <row r="2934" spans="1:10" s="65" customFormat="1" ht="14" x14ac:dyDescent="0.35">
      <c r="A2934" s="145"/>
      <c r="B2934" s="152"/>
      <c r="E2934" s="102"/>
      <c r="F2934" s="102"/>
      <c r="G2934" s="102"/>
      <c r="I2934" s="93"/>
      <c r="J2934" s="93"/>
    </row>
    <row r="2935" spans="1:10" s="65" customFormat="1" ht="14" x14ac:dyDescent="0.35">
      <c r="A2935" s="145"/>
      <c r="B2935" s="152"/>
      <c r="E2935" s="102"/>
      <c r="F2935" s="102"/>
      <c r="G2935" s="102"/>
      <c r="I2935" s="93"/>
      <c r="J2935" s="93"/>
    </row>
    <row r="2936" spans="1:10" s="65" customFormat="1" ht="14" x14ac:dyDescent="0.35">
      <c r="A2936" s="145"/>
      <c r="B2936" s="152"/>
      <c r="E2936" s="102"/>
      <c r="F2936" s="102"/>
      <c r="G2936" s="102"/>
      <c r="I2936" s="93"/>
      <c r="J2936" s="93"/>
    </row>
    <row r="2937" spans="1:10" s="65" customFormat="1" ht="14" x14ac:dyDescent="0.35">
      <c r="A2937" s="145"/>
      <c r="B2937" s="152"/>
      <c r="E2937" s="102"/>
      <c r="F2937" s="102"/>
      <c r="G2937" s="102"/>
      <c r="I2937" s="93"/>
      <c r="J2937" s="93"/>
    </row>
    <row r="2938" spans="1:10" s="65" customFormat="1" ht="14" x14ac:dyDescent="0.35">
      <c r="A2938" s="145"/>
      <c r="B2938" s="152"/>
      <c r="E2938" s="102"/>
      <c r="F2938" s="102"/>
      <c r="G2938" s="102"/>
      <c r="I2938" s="93"/>
      <c r="J2938" s="93"/>
    </row>
    <row r="2939" spans="1:10" s="65" customFormat="1" ht="14" x14ac:dyDescent="0.35">
      <c r="A2939" s="145"/>
      <c r="B2939" s="152"/>
      <c r="E2939" s="102"/>
      <c r="F2939" s="102"/>
      <c r="G2939" s="102"/>
      <c r="I2939" s="93"/>
      <c r="J2939" s="93"/>
    </row>
    <row r="2940" spans="1:10" s="65" customFormat="1" ht="14" x14ac:dyDescent="0.35">
      <c r="A2940" s="145"/>
      <c r="B2940" s="152"/>
      <c r="E2940" s="102"/>
      <c r="F2940" s="102"/>
      <c r="G2940" s="102"/>
      <c r="I2940" s="93"/>
      <c r="J2940" s="93"/>
    </row>
    <row r="2941" spans="1:10" s="65" customFormat="1" ht="14" x14ac:dyDescent="0.35">
      <c r="A2941" s="145"/>
      <c r="B2941" s="152"/>
      <c r="E2941" s="102"/>
      <c r="F2941" s="102"/>
      <c r="G2941" s="102"/>
      <c r="I2941" s="93"/>
      <c r="J2941" s="93"/>
    </row>
    <row r="2942" spans="1:10" s="65" customFormat="1" ht="14" x14ac:dyDescent="0.35">
      <c r="A2942" s="145"/>
      <c r="B2942" s="152"/>
      <c r="E2942" s="102"/>
      <c r="F2942" s="102"/>
      <c r="G2942" s="102"/>
      <c r="I2942" s="93"/>
      <c r="J2942" s="93"/>
    </row>
    <row r="2943" spans="1:10" s="65" customFormat="1" ht="14" x14ac:dyDescent="0.35">
      <c r="A2943" s="145"/>
      <c r="B2943" s="152"/>
      <c r="E2943" s="102"/>
      <c r="F2943" s="102"/>
      <c r="G2943" s="102"/>
      <c r="I2943" s="93"/>
      <c r="J2943" s="93"/>
    </row>
    <row r="2944" spans="1:10" s="65" customFormat="1" ht="14" x14ac:dyDescent="0.35">
      <c r="A2944" s="145"/>
      <c r="B2944" s="152"/>
      <c r="E2944" s="102"/>
      <c r="F2944" s="102"/>
      <c r="G2944" s="102"/>
      <c r="I2944" s="93"/>
      <c r="J2944" s="93"/>
    </row>
    <row r="2945" spans="1:10" s="65" customFormat="1" ht="14" x14ac:dyDescent="0.35">
      <c r="A2945" s="145"/>
      <c r="B2945" s="152"/>
      <c r="E2945" s="102"/>
      <c r="F2945" s="102"/>
      <c r="G2945" s="102"/>
      <c r="I2945" s="93"/>
      <c r="J2945" s="93"/>
    </row>
    <row r="2946" spans="1:10" s="65" customFormat="1" ht="14" x14ac:dyDescent="0.35">
      <c r="A2946" s="145"/>
      <c r="B2946" s="152"/>
      <c r="E2946" s="102"/>
      <c r="F2946" s="102"/>
      <c r="G2946" s="102"/>
      <c r="I2946" s="93"/>
      <c r="J2946" s="93"/>
    </row>
    <row r="2947" spans="1:10" s="65" customFormat="1" ht="14" x14ac:dyDescent="0.35">
      <c r="A2947" s="145"/>
      <c r="B2947" s="152"/>
      <c r="E2947" s="102"/>
      <c r="F2947" s="102"/>
      <c r="G2947" s="102"/>
      <c r="I2947" s="93"/>
      <c r="J2947" s="93"/>
    </row>
    <row r="2948" spans="1:10" s="65" customFormat="1" ht="14" x14ac:dyDescent="0.35">
      <c r="A2948" s="145"/>
      <c r="B2948" s="152"/>
      <c r="E2948" s="102"/>
      <c r="F2948" s="102"/>
      <c r="G2948" s="102"/>
      <c r="I2948" s="93"/>
      <c r="J2948" s="93"/>
    </row>
    <row r="2949" spans="1:10" s="65" customFormat="1" ht="14" x14ac:dyDescent="0.35">
      <c r="A2949" s="145"/>
      <c r="B2949" s="152"/>
      <c r="E2949" s="102"/>
      <c r="F2949" s="102"/>
      <c r="G2949" s="102"/>
      <c r="I2949" s="93"/>
      <c r="J2949" s="93"/>
    </row>
    <row r="2950" spans="1:10" s="65" customFormat="1" ht="14" x14ac:dyDescent="0.35">
      <c r="A2950" s="145"/>
      <c r="B2950" s="152"/>
      <c r="E2950" s="102"/>
      <c r="F2950" s="102"/>
      <c r="G2950" s="102"/>
      <c r="I2950" s="93"/>
      <c r="J2950" s="93"/>
    </row>
    <row r="2951" spans="1:10" s="65" customFormat="1" ht="14" x14ac:dyDescent="0.35">
      <c r="A2951" s="145"/>
      <c r="B2951" s="152"/>
      <c r="E2951" s="102"/>
      <c r="F2951" s="102"/>
      <c r="G2951" s="102"/>
      <c r="I2951" s="93"/>
      <c r="J2951" s="93"/>
    </row>
    <row r="2952" spans="1:10" s="65" customFormat="1" ht="14" x14ac:dyDescent="0.35">
      <c r="A2952" s="145"/>
      <c r="B2952" s="152"/>
      <c r="E2952" s="102"/>
      <c r="F2952" s="102"/>
      <c r="G2952" s="102"/>
      <c r="I2952" s="93"/>
      <c r="J2952" s="93"/>
    </row>
    <row r="2953" spans="1:10" s="65" customFormat="1" ht="14" x14ac:dyDescent="0.35">
      <c r="A2953" s="145"/>
      <c r="B2953" s="152"/>
      <c r="E2953" s="102"/>
      <c r="F2953" s="102"/>
      <c r="G2953" s="102"/>
      <c r="I2953" s="93"/>
      <c r="J2953" s="93"/>
    </row>
    <row r="2954" spans="1:10" s="65" customFormat="1" ht="14" x14ac:dyDescent="0.35">
      <c r="A2954" s="145"/>
      <c r="B2954" s="152"/>
      <c r="E2954" s="102"/>
      <c r="F2954" s="102"/>
      <c r="G2954" s="102"/>
      <c r="I2954" s="93"/>
      <c r="J2954" s="93"/>
    </row>
    <row r="2955" spans="1:10" s="65" customFormat="1" ht="14" x14ac:dyDescent="0.35">
      <c r="A2955" s="145"/>
      <c r="B2955" s="152"/>
      <c r="E2955" s="102"/>
      <c r="F2955" s="102"/>
      <c r="G2955" s="102"/>
      <c r="I2955" s="93"/>
      <c r="J2955" s="93"/>
    </row>
    <row r="2956" spans="1:10" s="65" customFormat="1" ht="14" x14ac:dyDescent="0.35">
      <c r="A2956" s="145"/>
      <c r="B2956" s="152"/>
      <c r="E2956" s="102"/>
      <c r="F2956" s="102"/>
      <c r="G2956" s="102"/>
      <c r="I2956" s="93"/>
      <c r="J2956" s="93"/>
    </row>
    <row r="2957" spans="1:10" s="65" customFormat="1" ht="14" x14ac:dyDescent="0.35">
      <c r="A2957" s="145"/>
      <c r="B2957" s="152"/>
      <c r="E2957" s="102"/>
      <c r="F2957" s="102"/>
      <c r="G2957" s="102"/>
      <c r="I2957" s="93"/>
      <c r="J2957" s="93"/>
    </row>
    <row r="2958" spans="1:10" s="65" customFormat="1" ht="14" x14ac:dyDescent="0.35">
      <c r="A2958" s="145"/>
      <c r="B2958" s="152"/>
      <c r="E2958" s="102"/>
      <c r="F2958" s="102"/>
      <c r="G2958" s="102"/>
      <c r="I2958" s="93"/>
      <c r="J2958" s="93"/>
    </row>
    <row r="2959" spans="1:10" s="65" customFormat="1" ht="14" x14ac:dyDescent="0.35">
      <c r="A2959" s="145"/>
      <c r="B2959" s="152"/>
      <c r="E2959" s="102"/>
      <c r="F2959" s="102"/>
      <c r="G2959" s="102"/>
      <c r="I2959" s="93"/>
      <c r="J2959" s="93"/>
    </row>
    <row r="2960" spans="1:10" s="65" customFormat="1" ht="14" x14ac:dyDescent="0.35">
      <c r="A2960" s="145"/>
      <c r="B2960" s="152"/>
      <c r="E2960" s="102"/>
      <c r="F2960" s="102"/>
      <c r="G2960" s="102"/>
      <c r="I2960" s="93"/>
      <c r="J2960" s="93"/>
    </row>
    <row r="2961" spans="1:10" s="65" customFormat="1" ht="14" x14ac:dyDescent="0.35">
      <c r="A2961" s="145"/>
      <c r="B2961" s="152"/>
      <c r="E2961" s="102"/>
      <c r="F2961" s="102"/>
      <c r="G2961" s="102"/>
      <c r="I2961" s="93"/>
      <c r="J2961" s="93"/>
    </row>
    <row r="2962" spans="1:10" s="65" customFormat="1" ht="14" x14ac:dyDescent="0.35">
      <c r="A2962" s="145"/>
      <c r="B2962" s="152"/>
      <c r="E2962" s="102"/>
      <c r="F2962" s="102"/>
      <c r="G2962" s="102"/>
      <c r="I2962" s="93"/>
      <c r="J2962" s="93"/>
    </row>
    <row r="2963" spans="1:10" s="65" customFormat="1" ht="14" x14ac:dyDescent="0.35">
      <c r="A2963" s="145"/>
      <c r="B2963" s="152"/>
      <c r="E2963" s="102"/>
      <c r="F2963" s="102"/>
      <c r="G2963" s="102"/>
      <c r="I2963" s="93"/>
      <c r="J2963" s="93"/>
    </row>
    <row r="2964" spans="1:10" s="65" customFormat="1" ht="14" x14ac:dyDescent="0.35">
      <c r="A2964" s="145"/>
      <c r="B2964" s="152"/>
      <c r="E2964" s="102"/>
      <c r="F2964" s="102"/>
      <c r="G2964" s="102"/>
      <c r="I2964" s="93"/>
      <c r="J2964" s="93"/>
    </row>
    <row r="2965" spans="1:10" s="65" customFormat="1" ht="14" x14ac:dyDescent="0.35">
      <c r="A2965" s="145"/>
      <c r="B2965" s="152"/>
      <c r="E2965" s="102"/>
      <c r="F2965" s="102"/>
      <c r="G2965" s="102"/>
      <c r="I2965" s="93"/>
      <c r="J2965" s="93"/>
    </row>
    <row r="2966" spans="1:10" s="65" customFormat="1" ht="14" x14ac:dyDescent="0.35">
      <c r="A2966" s="145"/>
      <c r="B2966" s="152"/>
      <c r="E2966" s="102"/>
      <c r="F2966" s="102"/>
      <c r="G2966" s="102"/>
      <c r="I2966" s="93"/>
      <c r="J2966" s="93"/>
    </row>
    <row r="2967" spans="1:10" s="65" customFormat="1" ht="14" x14ac:dyDescent="0.35">
      <c r="A2967" s="145"/>
      <c r="B2967" s="152"/>
      <c r="E2967" s="102"/>
      <c r="F2967" s="102"/>
      <c r="G2967" s="102"/>
      <c r="I2967" s="93"/>
      <c r="J2967" s="93"/>
    </row>
    <row r="2968" spans="1:10" s="65" customFormat="1" ht="14" x14ac:dyDescent="0.35">
      <c r="A2968" s="145"/>
      <c r="B2968" s="152"/>
      <c r="E2968" s="102"/>
      <c r="F2968" s="102"/>
      <c r="G2968" s="102"/>
      <c r="I2968" s="93"/>
      <c r="J2968" s="93"/>
    </row>
    <row r="2969" spans="1:10" s="65" customFormat="1" ht="14" x14ac:dyDescent="0.35">
      <c r="A2969" s="145"/>
      <c r="B2969" s="152"/>
      <c r="E2969" s="102"/>
      <c r="F2969" s="102"/>
      <c r="G2969" s="102"/>
      <c r="I2969" s="93"/>
      <c r="J2969" s="93"/>
    </row>
    <row r="2970" spans="1:10" s="65" customFormat="1" ht="14" x14ac:dyDescent="0.35">
      <c r="A2970" s="145"/>
      <c r="B2970" s="152"/>
      <c r="E2970" s="102"/>
      <c r="F2970" s="102"/>
      <c r="G2970" s="102"/>
      <c r="I2970" s="93"/>
      <c r="J2970" s="93"/>
    </row>
    <row r="2971" spans="1:10" s="65" customFormat="1" ht="14" x14ac:dyDescent="0.35">
      <c r="A2971" s="145"/>
      <c r="B2971" s="152"/>
      <c r="E2971" s="102"/>
      <c r="F2971" s="102"/>
      <c r="G2971" s="102"/>
      <c r="I2971" s="93"/>
      <c r="J2971" s="93"/>
    </row>
    <row r="2972" spans="1:10" s="65" customFormat="1" ht="14" x14ac:dyDescent="0.35">
      <c r="A2972" s="145"/>
      <c r="B2972" s="152"/>
      <c r="E2972" s="102"/>
      <c r="F2972" s="102"/>
      <c r="G2972" s="102"/>
      <c r="I2972" s="93"/>
      <c r="J2972" s="93"/>
    </row>
    <row r="2973" spans="1:10" s="65" customFormat="1" ht="14" x14ac:dyDescent="0.35">
      <c r="A2973" s="145"/>
      <c r="B2973" s="152"/>
      <c r="E2973" s="102"/>
      <c r="F2973" s="102"/>
      <c r="G2973" s="102"/>
      <c r="I2973" s="93"/>
      <c r="J2973" s="93"/>
    </row>
    <row r="2974" spans="1:10" s="65" customFormat="1" ht="14" x14ac:dyDescent="0.35">
      <c r="A2974" s="145"/>
      <c r="B2974" s="152"/>
      <c r="E2974" s="102"/>
      <c r="F2974" s="102"/>
      <c r="G2974" s="102"/>
      <c r="I2974" s="93"/>
      <c r="J2974" s="93"/>
    </row>
    <row r="2975" spans="1:10" s="65" customFormat="1" ht="14" x14ac:dyDescent="0.35">
      <c r="A2975" s="145"/>
      <c r="B2975" s="152"/>
      <c r="E2975" s="102"/>
      <c r="F2975" s="102"/>
      <c r="G2975" s="102"/>
      <c r="I2975" s="93"/>
      <c r="J2975" s="93"/>
    </row>
    <row r="2976" spans="1:10" s="65" customFormat="1" ht="14" x14ac:dyDescent="0.35">
      <c r="A2976" s="145"/>
      <c r="B2976" s="152"/>
      <c r="E2976" s="102"/>
      <c r="F2976" s="102"/>
      <c r="G2976" s="102"/>
      <c r="I2976" s="93"/>
      <c r="J2976" s="93"/>
    </row>
    <row r="2977" spans="1:10" s="65" customFormat="1" ht="14" x14ac:dyDescent="0.35">
      <c r="A2977" s="145"/>
      <c r="B2977" s="152"/>
      <c r="E2977" s="102"/>
      <c r="F2977" s="102"/>
      <c r="G2977" s="102"/>
      <c r="I2977" s="93"/>
      <c r="J2977" s="93"/>
    </row>
    <row r="2978" spans="1:10" s="65" customFormat="1" ht="14" x14ac:dyDescent="0.35">
      <c r="A2978" s="145"/>
      <c r="B2978" s="152"/>
      <c r="E2978" s="102"/>
      <c r="F2978" s="102"/>
      <c r="G2978" s="102"/>
      <c r="I2978" s="93"/>
      <c r="J2978" s="93"/>
    </row>
    <row r="2979" spans="1:10" s="65" customFormat="1" ht="14" x14ac:dyDescent="0.35">
      <c r="A2979" s="145"/>
      <c r="B2979" s="152"/>
      <c r="E2979" s="102"/>
      <c r="F2979" s="102"/>
      <c r="G2979" s="102"/>
      <c r="I2979" s="93"/>
      <c r="J2979" s="93"/>
    </row>
    <row r="2980" spans="1:10" s="65" customFormat="1" ht="14" x14ac:dyDescent="0.35">
      <c r="A2980" s="145"/>
      <c r="B2980" s="152"/>
      <c r="E2980" s="102"/>
      <c r="F2980" s="102"/>
      <c r="G2980" s="102"/>
      <c r="I2980" s="93"/>
      <c r="J2980" s="93"/>
    </row>
    <row r="2981" spans="1:10" s="65" customFormat="1" ht="14" x14ac:dyDescent="0.35">
      <c r="A2981" s="145"/>
      <c r="B2981" s="152"/>
      <c r="E2981" s="102"/>
      <c r="F2981" s="102"/>
      <c r="G2981" s="102"/>
      <c r="I2981" s="93"/>
      <c r="J2981" s="93"/>
    </row>
    <row r="2982" spans="1:10" s="65" customFormat="1" ht="14" x14ac:dyDescent="0.35">
      <c r="A2982" s="145"/>
      <c r="B2982" s="152"/>
      <c r="E2982" s="102"/>
      <c r="F2982" s="102"/>
      <c r="G2982" s="102"/>
      <c r="I2982" s="93"/>
      <c r="J2982" s="93"/>
    </row>
    <row r="2983" spans="1:10" s="65" customFormat="1" ht="14" x14ac:dyDescent="0.35">
      <c r="A2983" s="145"/>
      <c r="B2983" s="152"/>
      <c r="E2983" s="102"/>
      <c r="F2983" s="102"/>
      <c r="G2983" s="102"/>
      <c r="I2983" s="93"/>
      <c r="J2983" s="93"/>
    </row>
    <row r="2984" spans="1:10" s="65" customFormat="1" ht="14" x14ac:dyDescent="0.35">
      <c r="A2984" s="145"/>
      <c r="B2984" s="152"/>
      <c r="E2984" s="102"/>
      <c r="F2984" s="102"/>
      <c r="G2984" s="102"/>
      <c r="I2984" s="93"/>
      <c r="J2984" s="93"/>
    </row>
    <row r="2985" spans="1:10" s="65" customFormat="1" ht="14" x14ac:dyDescent="0.35">
      <c r="A2985" s="145"/>
      <c r="B2985" s="152"/>
      <c r="E2985" s="102"/>
      <c r="F2985" s="102"/>
      <c r="G2985" s="102"/>
      <c r="I2985" s="93"/>
      <c r="J2985" s="93"/>
    </row>
    <row r="2986" spans="1:10" s="65" customFormat="1" ht="14" x14ac:dyDescent="0.35">
      <c r="A2986" s="145"/>
      <c r="B2986" s="152"/>
      <c r="E2986" s="102"/>
      <c r="F2986" s="102"/>
      <c r="G2986" s="102"/>
      <c r="I2986" s="93"/>
      <c r="J2986" s="93"/>
    </row>
    <row r="2987" spans="1:10" s="65" customFormat="1" ht="14" x14ac:dyDescent="0.35">
      <c r="A2987" s="145"/>
      <c r="B2987" s="152"/>
      <c r="E2987" s="102"/>
      <c r="F2987" s="102"/>
      <c r="G2987" s="102"/>
      <c r="I2987" s="93"/>
      <c r="J2987" s="93"/>
    </row>
    <row r="2988" spans="1:10" s="65" customFormat="1" ht="14" x14ac:dyDescent="0.35">
      <c r="A2988" s="145"/>
      <c r="B2988" s="152"/>
      <c r="E2988" s="102"/>
      <c r="F2988" s="102"/>
      <c r="G2988" s="102"/>
      <c r="I2988" s="93"/>
      <c r="J2988" s="93"/>
    </row>
    <row r="2989" spans="1:10" s="65" customFormat="1" ht="14" x14ac:dyDescent="0.35">
      <c r="A2989" s="145"/>
      <c r="B2989" s="152"/>
      <c r="E2989" s="102"/>
      <c r="F2989" s="102"/>
      <c r="G2989" s="102"/>
      <c r="I2989" s="93"/>
      <c r="J2989" s="93"/>
    </row>
    <row r="2990" spans="1:10" s="65" customFormat="1" ht="14" x14ac:dyDescent="0.35">
      <c r="A2990" s="145"/>
      <c r="B2990" s="152"/>
      <c r="E2990" s="102"/>
      <c r="F2990" s="102"/>
      <c r="G2990" s="102"/>
      <c r="I2990" s="93"/>
      <c r="J2990" s="93"/>
    </row>
    <row r="2991" spans="1:10" s="65" customFormat="1" ht="14" x14ac:dyDescent="0.35">
      <c r="A2991" s="145"/>
      <c r="B2991" s="152"/>
      <c r="E2991" s="102"/>
      <c r="F2991" s="102"/>
      <c r="G2991" s="102"/>
      <c r="I2991" s="93"/>
      <c r="J2991" s="93"/>
    </row>
    <row r="2992" spans="1:10" s="65" customFormat="1" ht="14" x14ac:dyDescent="0.35">
      <c r="A2992" s="145"/>
      <c r="B2992" s="152"/>
      <c r="E2992" s="102"/>
      <c r="F2992" s="102"/>
      <c r="G2992" s="102"/>
      <c r="I2992" s="93"/>
      <c r="J2992" s="93"/>
    </row>
    <row r="2993" spans="1:10" s="65" customFormat="1" ht="14" x14ac:dyDescent="0.35">
      <c r="A2993" s="145"/>
      <c r="B2993" s="152"/>
      <c r="E2993" s="102"/>
      <c r="F2993" s="102"/>
      <c r="G2993" s="102"/>
      <c r="I2993" s="93"/>
      <c r="J2993" s="93"/>
    </row>
    <row r="2994" spans="1:10" s="65" customFormat="1" ht="14" x14ac:dyDescent="0.35">
      <c r="A2994" s="145"/>
      <c r="B2994" s="152"/>
      <c r="E2994" s="102"/>
      <c r="F2994" s="102"/>
      <c r="G2994" s="102"/>
      <c r="I2994" s="93"/>
      <c r="J2994" s="93"/>
    </row>
    <row r="2995" spans="1:10" s="65" customFormat="1" ht="14" x14ac:dyDescent="0.35">
      <c r="A2995" s="145"/>
      <c r="B2995" s="152"/>
      <c r="E2995" s="102"/>
      <c r="F2995" s="102"/>
      <c r="G2995" s="102"/>
      <c r="I2995" s="93"/>
      <c r="J2995" s="93"/>
    </row>
    <row r="2996" spans="1:10" s="65" customFormat="1" ht="14" x14ac:dyDescent="0.35">
      <c r="A2996" s="145"/>
      <c r="B2996" s="152"/>
      <c r="E2996" s="102"/>
      <c r="F2996" s="102"/>
      <c r="G2996" s="102"/>
      <c r="I2996" s="93"/>
      <c r="J2996" s="93"/>
    </row>
    <row r="2997" spans="1:10" s="65" customFormat="1" ht="14" x14ac:dyDescent="0.35">
      <c r="A2997" s="145"/>
      <c r="B2997" s="152"/>
      <c r="E2997" s="102"/>
      <c r="F2997" s="102"/>
      <c r="G2997" s="102"/>
      <c r="I2997" s="93"/>
      <c r="J2997" s="93"/>
    </row>
    <row r="2998" spans="1:10" s="65" customFormat="1" ht="14" x14ac:dyDescent="0.35">
      <c r="A2998" s="145"/>
      <c r="B2998" s="152"/>
      <c r="E2998" s="102"/>
      <c r="F2998" s="102"/>
      <c r="G2998" s="102"/>
      <c r="I2998" s="93"/>
      <c r="J2998" s="93"/>
    </row>
    <row r="2999" spans="1:10" s="65" customFormat="1" ht="14" x14ac:dyDescent="0.35">
      <c r="A2999" s="145"/>
      <c r="B2999" s="152"/>
      <c r="E2999" s="102"/>
      <c r="F2999" s="102"/>
      <c r="G2999" s="102"/>
      <c r="I2999" s="93"/>
      <c r="J2999" s="93"/>
    </row>
    <row r="3000" spans="1:10" s="65" customFormat="1" ht="14" x14ac:dyDescent="0.35">
      <c r="A3000" s="145"/>
      <c r="B3000" s="152"/>
      <c r="E3000" s="102"/>
      <c r="F3000" s="102"/>
      <c r="G3000" s="102"/>
      <c r="I3000" s="93"/>
      <c r="J3000" s="93"/>
    </row>
    <row r="3001" spans="1:10" s="65" customFormat="1" ht="14" x14ac:dyDescent="0.35">
      <c r="A3001" s="145"/>
      <c r="B3001" s="152"/>
      <c r="E3001" s="102"/>
      <c r="F3001" s="102"/>
      <c r="G3001" s="102"/>
      <c r="I3001" s="93"/>
      <c r="J3001" s="93"/>
    </row>
    <row r="3002" spans="1:10" s="65" customFormat="1" ht="14" x14ac:dyDescent="0.35">
      <c r="A3002" s="145"/>
      <c r="B3002" s="152"/>
      <c r="E3002" s="102"/>
      <c r="F3002" s="102"/>
      <c r="G3002" s="102"/>
      <c r="I3002" s="93"/>
      <c r="J3002" s="93"/>
    </row>
    <row r="3003" spans="1:10" s="65" customFormat="1" ht="14" x14ac:dyDescent="0.35">
      <c r="A3003" s="145"/>
      <c r="B3003" s="152"/>
      <c r="E3003" s="102"/>
      <c r="F3003" s="102"/>
      <c r="G3003" s="102"/>
      <c r="I3003" s="93"/>
      <c r="J3003" s="93"/>
    </row>
    <row r="3004" spans="1:10" s="65" customFormat="1" ht="14" x14ac:dyDescent="0.35">
      <c r="A3004" s="145"/>
      <c r="B3004" s="152"/>
      <c r="E3004" s="102"/>
      <c r="F3004" s="102"/>
      <c r="G3004" s="102"/>
      <c r="I3004" s="93"/>
      <c r="J3004" s="93"/>
    </row>
    <row r="3005" spans="1:10" s="65" customFormat="1" ht="14" x14ac:dyDescent="0.35">
      <c r="A3005" s="145"/>
      <c r="B3005" s="152"/>
      <c r="E3005" s="102"/>
      <c r="F3005" s="102"/>
      <c r="G3005" s="102"/>
      <c r="I3005" s="93"/>
      <c r="J3005" s="93"/>
    </row>
    <row r="3006" spans="1:10" s="65" customFormat="1" ht="14" x14ac:dyDescent="0.35">
      <c r="A3006" s="145"/>
      <c r="B3006" s="152"/>
      <c r="E3006" s="102"/>
      <c r="F3006" s="102"/>
      <c r="G3006" s="102"/>
      <c r="I3006" s="93"/>
      <c r="J3006" s="93"/>
    </row>
    <row r="3007" spans="1:10" s="65" customFormat="1" ht="14" x14ac:dyDescent="0.35">
      <c r="A3007" s="145"/>
      <c r="B3007" s="152"/>
      <c r="E3007" s="102"/>
      <c r="F3007" s="102"/>
      <c r="G3007" s="102"/>
      <c r="I3007" s="93"/>
      <c r="J3007" s="93"/>
    </row>
    <row r="3008" spans="1:10" s="65" customFormat="1" ht="14" x14ac:dyDescent="0.35">
      <c r="A3008" s="145"/>
      <c r="B3008" s="152"/>
      <c r="E3008" s="102"/>
      <c r="F3008" s="102"/>
      <c r="G3008" s="102"/>
      <c r="I3008" s="93"/>
      <c r="J3008" s="93"/>
    </row>
    <row r="3009" spans="1:10" s="65" customFormat="1" ht="14" x14ac:dyDescent="0.35">
      <c r="A3009" s="145"/>
      <c r="B3009" s="152"/>
      <c r="E3009" s="102"/>
      <c r="F3009" s="102"/>
      <c r="G3009" s="102"/>
      <c r="I3009" s="93"/>
      <c r="J3009" s="93"/>
    </row>
    <row r="3010" spans="1:10" s="65" customFormat="1" ht="14" x14ac:dyDescent="0.35">
      <c r="A3010" s="145"/>
      <c r="B3010" s="152"/>
      <c r="E3010" s="102"/>
      <c r="F3010" s="102"/>
      <c r="G3010" s="102"/>
      <c r="I3010" s="93"/>
      <c r="J3010" s="93"/>
    </row>
    <row r="3011" spans="1:10" s="65" customFormat="1" ht="14" x14ac:dyDescent="0.35">
      <c r="A3011" s="145"/>
      <c r="B3011" s="152"/>
      <c r="E3011" s="102"/>
      <c r="F3011" s="102"/>
      <c r="G3011" s="102"/>
      <c r="I3011" s="93"/>
      <c r="J3011" s="93"/>
    </row>
    <row r="3012" spans="1:10" s="65" customFormat="1" ht="14" x14ac:dyDescent="0.35">
      <c r="A3012" s="145"/>
      <c r="B3012" s="152"/>
      <c r="E3012" s="102"/>
      <c r="F3012" s="102"/>
      <c r="G3012" s="102"/>
      <c r="I3012" s="93"/>
      <c r="J3012" s="93"/>
    </row>
    <row r="3013" spans="1:10" s="65" customFormat="1" ht="14" x14ac:dyDescent="0.35">
      <c r="A3013" s="145"/>
      <c r="B3013" s="152"/>
      <c r="E3013" s="102"/>
      <c r="F3013" s="102"/>
      <c r="G3013" s="102"/>
      <c r="I3013" s="93"/>
      <c r="J3013" s="93"/>
    </row>
    <row r="3014" spans="1:10" s="65" customFormat="1" ht="14" x14ac:dyDescent="0.35">
      <c r="A3014" s="145"/>
      <c r="B3014" s="152"/>
      <c r="E3014" s="102"/>
      <c r="F3014" s="102"/>
      <c r="G3014" s="102"/>
      <c r="I3014" s="93"/>
      <c r="J3014" s="93"/>
    </row>
    <row r="3015" spans="1:10" s="65" customFormat="1" ht="14" x14ac:dyDescent="0.35">
      <c r="A3015" s="145"/>
      <c r="B3015" s="152"/>
      <c r="E3015" s="102"/>
      <c r="F3015" s="102"/>
      <c r="G3015" s="102"/>
      <c r="I3015" s="93"/>
      <c r="J3015" s="93"/>
    </row>
    <row r="3016" spans="1:10" s="65" customFormat="1" ht="14" x14ac:dyDescent="0.35">
      <c r="A3016" s="145"/>
      <c r="B3016" s="152"/>
      <c r="E3016" s="102"/>
      <c r="F3016" s="102"/>
      <c r="G3016" s="102"/>
      <c r="I3016" s="93"/>
      <c r="J3016" s="93"/>
    </row>
    <row r="3017" spans="1:10" s="65" customFormat="1" ht="14" x14ac:dyDescent="0.35">
      <c r="A3017" s="145"/>
      <c r="B3017" s="152"/>
      <c r="E3017" s="102"/>
      <c r="F3017" s="102"/>
      <c r="G3017" s="102"/>
      <c r="I3017" s="93"/>
      <c r="J3017" s="93"/>
    </row>
    <row r="3018" spans="1:10" s="65" customFormat="1" ht="14" x14ac:dyDescent="0.35">
      <c r="A3018" s="145"/>
      <c r="B3018" s="152"/>
      <c r="E3018" s="102"/>
      <c r="F3018" s="102"/>
      <c r="G3018" s="102"/>
      <c r="I3018" s="93"/>
      <c r="J3018" s="93"/>
    </row>
    <row r="3019" spans="1:10" s="65" customFormat="1" ht="14" x14ac:dyDescent="0.35">
      <c r="A3019" s="145"/>
      <c r="B3019" s="152"/>
      <c r="E3019" s="102"/>
      <c r="F3019" s="102"/>
      <c r="G3019" s="102"/>
      <c r="I3019" s="93"/>
      <c r="J3019" s="93"/>
    </row>
    <row r="3020" spans="1:10" s="65" customFormat="1" ht="14" x14ac:dyDescent="0.35">
      <c r="A3020" s="145"/>
      <c r="B3020" s="152"/>
      <c r="E3020" s="102"/>
      <c r="F3020" s="102"/>
      <c r="G3020" s="102"/>
      <c r="I3020" s="93"/>
      <c r="J3020" s="93"/>
    </row>
    <row r="3021" spans="1:10" s="65" customFormat="1" ht="14" x14ac:dyDescent="0.35">
      <c r="A3021" s="145"/>
      <c r="B3021" s="152"/>
      <c r="E3021" s="102"/>
      <c r="F3021" s="102"/>
      <c r="G3021" s="102"/>
      <c r="I3021" s="93"/>
      <c r="J3021" s="93"/>
    </row>
    <row r="3022" spans="1:10" s="65" customFormat="1" ht="14" x14ac:dyDescent="0.35">
      <c r="A3022" s="145"/>
      <c r="B3022" s="152"/>
      <c r="E3022" s="102"/>
      <c r="F3022" s="102"/>
      <c r="G3022" s="102"/>
      <c r="I3022" s="93"/>
      <c r="J3022" s="93"/>
    </row>
    <row r="3023" spans="1:10" s="65" customFormat="1" ht="14" x14ac:dyDescent="0.35">
      <c r="A3023" s="145"/>
      <c r="B3023" s="152"/>
      <c r="E3023" s="102"/>
      <c r="F3023" s="102"/>
      <c r="G3023" s="102"/>
      <c r="I3023" s="93"/>
      <c r="J3023" s="93"/>
    </row>
    <row r="3024" spans="1:10" s="65" customFormat="1" ht="14" x14ac:dyDescent="0.35">
      <c r="A3024" s="145"/>
      <c r="B3024" s="152"/>
      <c r="E3024" s="102"/>
      <c r="F3024" s="102"/>
      <c r="G3024" s="102"/>
      <c r="I3024" s="93"/>
      <c r="J3024" s="93"/>
    </row>
    <row r="3025" spans="1:10" s="65" customFormat="1" ht="14" x14ac:dyDescent="0.35">
      <c r="A3025" s="145"/>
      <c r="B3025" s="152"/>
      <c r="E3025" s="102"/>
      <c r="F3025" s="102"/>
      <c r="G3025" s="102"/>
      <c r="I3025" s="93"/>
      <c r="J3025" s="93"/>
    </row>
    <row r="3026" spans="1:10" s="65" customFormat="1" ht="14" x14ac:dyDescent="0.35">
      <c r="A3026" s="145"/>
      <c r="B3026" s="152"/>
      <c r="E3026" s="102"/>
      <c r="F3026" s="102"/>
      <c r="G3026" s="102"/>
      <c r="I3026" s="93"/>
      <c r="J3026" s="93"/>
    </row>
    <row r="3027" spans="1:10" s="65" customFormat="1" ht="14" x14ac:dyDescent="0.35">
      <c r="A3027" s="145"/>
      <c r="B3027" s="152"/>
      <c r="E3027" s="102"/>
      <c r="F3027" s="102"/>
      <c r="G3027" s="102"/>
      <c r="I3027" s="93"/>
      <c r="J3027" s="93"/>
    </row>
    <row r="3028" spans="1:10" s="65" customFormat="1" ht="14" x14ac:dyDescent="0.35">
      <c r="A3028" s="145"/>
      <c r="B3028" s="152"/>
      <c r="E3028" s="102"/>
      <c r="F3028" s="102"/>
      <c r="G3028" s="102"/>
      <c r="I3028" s="93"/>
      <c r="J3028" s="93"/>
    </row>
    <row r="3029" spans="1:10" s="65" customFormat="1" ht="14" x14ac:dyDescent="0.35">
      <c r="A3029" s="145"/>
      <c r="B3029" s="152"/>
      <c r="E3029" s="102"/>
      <c r="F3029" s="102"/>
      <c r="G3029" s="102"/>
      <c r="I3029" s="93"/>
      <c r="J3029" s="93"/>
    </row>
    <row r="3030" spans="1:10" s="65" customFormat="1" ht="14" x14ac:dyDescent="0.35">
      <c r="A3030" s="145"/>
      <c r="B3030" s="152"/>
      <c r="E3030" s="102"/>
      <c r="F3030" s="102"/>
      <c r="G3030" s="102"/>
      <c r="I3030" s="93"/>
      <c r="J3030" s="93"/>
    </row>
    <row r="3031" spans="1:10" s="65" customFormat="1" ht="14" x14ac:dyDescent="0.35">
      <c r="A3031" s="145"/>
      <c r="B3031" s="152"/>
      <c r="E3031" s="102"/>
      <c r="F3031" s="102"/>
      <c r="G3031" s="102"/>
      <c r="I3031" s="93"/>
      <c r="J3031" s="93"/>
    </row>
    <row r="3032" spans="1:10" s="65" customFormat="1" ht="14" x14ac:dyDescent="0.35">
      <c r="A3032" s="145"/>
      <c r="B3032" s="152"/>
      <c r="E3032" s="102"/>
      <c r="F3032" s="102"/>
      <c r="G3032" s="102"/>
      <c r="I3032" s="93"/>
      <c r="J3032" s="93"/>
    </row>
    <row r="3033" spans="1:10" s="65" customFormat="1" ht="14" x14ac:dyDescent="0.35">
      <c r="A3033" s="145"/>
      <c r="B3033" s="152"/>
      <c r="E3033" s="102"/>
      <c r="F3033" s="102"/>
      <c r="G3033" s="102"/>
      <c r="I3033" s="93"/>
      <c r="J3033" s="93"/>
    </row>
    <row r="3034" spans="1:10" s="65" customFormat="1" ht="14" x14ac:dyDescent="0.35">
      <c r="A3034" s="145"/>
      <c r="B3034" s="152"/>
      <c r="E3034" s="102"/>
      <c r="F3034" s="102"/>
      <c r="G3034" s="102"/>
      <c r="I3034" s="93"/>
      <c r="J3034" s="93"/>
    </row>
    <row r="3035" spans="1:10" s="65" customFormat="1" ht="14" x14ac:dyDescent="0.35">
      <c r="A3035" s="145"/>
      <c r="B3035" s="152"/>
      <c r="E3035" s="102"/>
      <c r="F3035" s="102"/>
      <c r="G3035" s="102"/>
      <c r="I3035" s="93"/>
      <c r="J3035" s="93"/>
    </row>
    <row r="3036" spans="1:10" s="65" customFormat="1" ht="14" x14ac:dyDescent="0.35">
      <c r="A3036" s="145"/>
      <c r="B3036" s="152"/>
      <c r="E3036" s="102"/>
      <c r="F3036" s="102"/>
      <c r="G3036" s="102"/>
      <c r="I3036" s="93"/>
      <c r="J3036" s="93"/>
    </row>
    <row r="3037" spans="1:10" s="65" customFormat="1" ht="14" x14ac:dyDescent="0.35">
      <c r="A3037" s="145"/>
      <c r="B3037" s="152"/>
      <c r="E3037" s="102"/>
      <c r="F3037" s="102"/>
      <c r="G3037" s="102"/>
      <c r="I3037" s="93"/>
      <c r="J3037" s="93"/>
    </row>
    <row r="3038" spans="1:10" s="65" customFormat="1" ht="14" x14ac:dyDescent="0.35">
      <c r="A3038" s="145"/>
      <c r="B3038" s="152"/>
      <c r="E3038" s="102"/>
      <c r="F3038" s="102"/>
      <c r="G3038" s="102"/>
      <c r="I3038" s="93"/>
      <c r="J3038" s="93"/>
    </row>
    <row r="3039" spans="1:10" s="65" customFormat="1" ht="14" x14ac:dyDescent="0.35">
      <c r="A3039" s="145"/>
      <c r="B3039" s="152"/>
      <c r="E3039" s="102"/>
      <c r="F3039" s="102"/>
      <c r="G3039" s="102"/>
      <c r="I3039" s="93"/>
      <c r="J3039" s="93"/>
    </row>
    <row r="3040" spans="1:10" s="65" customFormat="1" ht="14" x14ac:dyDescent="0.35">
      <c r="A3040" s="145"/>
      <c r="B3040" s="152"/>
      <c r="E3040" s="102"/>
      <c r="F3040" s="102"/>
      <c r="G3040" s="102"/>
      <c r="I3040" s="93"/>
      <c r="J3040" s="93"/>
    </row>
    <row r="3041" spans="1:10" s="65" customFormat="1" ht="14" x14ac:dyDescent="0.35">
      <c r="A3041" s="145"/>
      <c r="B3041" s="152"/>
      <c r="E3041" s="102"/>
      <c r="F3041" s="102"/>
      <c r="G3041" s="102"/>
      <c r="I3041" s="93"/>
      <c r="J3041" s="93"/>
    </row>
    <row r="3042" spans="1:10" s="65" customFormat="1" ht="14" x14ac:dyDescent="0.35">
      <c r="A3042" s="145"/>
      <c r="B3042" s="152"/>
      <c r="E3042" s="102"/>
      <c r="F3042" s="102"/>
      <c r="G3042" s="102"/>
      <c r="I3042" s="93"/>
      <c r="J3042" s="93"/>
    </row>
    <row r="3043" spans="1:10" s="65" customFormat="1" ht="14" x14ac:dyDescent="0.35">
      <c r="A3043" s="145"/>
      <c r="B3043" s="152"/>
      <c r="E3043" s="102"/>
      <c r="F3043" s="102"/>
      <c r="G3043" s="102"/>
      <c r="I3043" s="93"/>
      <c r="J3043" s="93"/>
    </row>
    <row r="3044" spans="1:10" s="65" customFormat="1" ht="14" x14ac:dyDescent="0.35">
      <c r="A3044" s="145"/>
      <c r="B3044" s="152"/>
      <c r="E3044" s="102"/>
      <c r="F3044" s="102"/>
      <c r="G3044" s="102"/>
      <c r="I3044" s="93"/>
      <c r="J3044" s="93"/>
    </row>
    <row r="3045" spans="1:10" s="65" customFormat="1" ht="14" x14ac:dyDescent="0.35">
      <c r="A3045" s="145"/>
      <c r="B3045" s="152"/>
      <c r="E3045" s="102"/>
      <c r="F3045" s="102"/>
      <c r="G3045" s="102"/>
      <c r="I3045" s="93"/>
      <c r="J3045" s="93"/>
    </row>
    <row r="3046" spans="1:10" s="65" customFormat="1" ht="14" x14ac:dyDescent="0.35">
      <c r="A3046" s="145"/>
      <c r="B3046" s="152"/>
      <c r="E3046" s="102"/>
      <c r="F3046" s="102"/>
      <c r="G3046" s="102"/>
      <c r="I3046" s="93"/>
      <c r="J3046" s="93"/>
    </row>
    <row r="3047" spans="1:10" s="65" customFormat="1" ht="14" x14ac:dyDescent="0.35">
      <c r="A3047" s="145"/>
      <c r="B3047" s="152"/>
      <c r="E3047" s="102"/>
      <c r="F3047" s="102"/>
      <c r="G3047" s="102"/>
      <c r="I3047" s="93"/>
      <c r="J3047" s="93"/>
    </row>
    <row r="3048" spans="1:10" s="65" customFormat="1" ht="14" x14ac:dyDescent="0.35">
      <c r="A3048" s="145"/>
      <c r="B3048" s="152"/>
      <c r="E3048" s="102"/>
      <c r="F3048" s="102"/>
      <c r="G3048" s="102"/>
      <c r="I3048" s="93"/>
      <c r="J3048" s="93"/>
    </row>
    <row r="3049" spans="1:10" s="65" customFormat="1" ht="14" x14ac:dyDescent="0.35">
      <c r="A3049" s="145"/>
      <c r="B3049" s="152"/>
      <c r="E3049" s="102"/>
      <c r="F3049" s="102"/>
      <c r="G3049" s="102"/>
      <c r="I3049" s="93"/>
      <c r="J3049" s="93"/>
    </row>
    <row r="3050" spans="1:10" s="65" customFormat="1" ht="14" x14ac:dyDescent="0.35">
      <c r="A3050" s="145"/>
      <c r="B3050" s="152"/>
      <c r="E3050" s="102"/>
      <c r="F3050" s="102"/>
      <c r="G3050" s="102"/>
      <c r="I3050" s="93"/>
      <c r="J3050" s="93"/>
    </row>
    <row r="3051" spans="1:10" s="65" customFormat="1" ht="14" x14ac:dyDescent="0.35">
      <c r="A3051" s="145"/>
      <c r="B3051" s="152"/>
      <c r="E3051" s="102"/>
      <c r="F3051" s="102"/>
      <c r="G3051" s="102"/>
      <c r="I3051" s="93"/>
      <c r="J3051" s="93"/>
    </row>
    <row r="3052" spans="1:10" s="65" customFormat="1" ht="14" x14ac:dyDescent="0.35">
      <c r="A3052" s="145"/>
      <c r="B3052" s="152"/>
      <c r="E3052" s="102"/>
      <c r="F3052" s="102"/>
      <c r="G3052" s="102"/>
      <c r="I3052" s="93"/>
      <c r="J3052" s="93"/>
    </row>
    <row r="3053" spans="1:10" s="65" customFormat="1" ht="14" x14ac:dyDescent="0.35">
      <c r="A3053" s="145"/>
      <c r="B3053" s="152"/>
      <c r="E3053" s="102"/>
      <c r="F3053" s="102"/>
      <c r="G3053" s="102"/>
      <c r="I3053" s="93"/>
      <c r="J3053" s="93"/>
    </row>
    <row r="3054" spans="1:10" s="65" customFormat="1" ht="14" x14ac:dyDescent="0.35">
      <c r="A3054" s="145"/>
      <c r="B3054" s="152"/>
      <c r="E3054" s="102"/>
      <c r="F3054" s="102"/>
      <c r="G3054" s="102"/>
      <c r="I3054" s="93"/>
      <c r="J3054" s="93"/>
    </row>
    <row r="3055" spans="1:10" s="65" customFormat="1" ht="14" x14ac:dyDescent="0.35">
      <c r="A3055" s="145"/>
      <c r="B3055" s="152"/>
      <c r="E3055" s="102"/>
      <c r="F3055" s="102"/>
      <c r="G3055" s="102"/>
      <c r="I3055" s="93"/>
      <c r="J3055" s="93"/>
    </row>
    <row r="3056" spans="1:10" s="65" customFormat="1" ht="14" x14ac:dyDescent="0.35">
      <c r="A3056" s="145"/>
      <c r="B3056" s="152"/>
      <c r="E3056" s="102"/>
      <c r="F3056" s="102"/>
      <c r="G3056" s="102"/>
      <c r="I3056" s="93"/>
      <c r="J3056" s="93"/>
    </row>
    <row r="3057" spans="1:10" s="65" customFormat="1" ht="14" x14ac:dyDescent="0.35">
      <c r="A3057" s="145"/>
      <c r="B3057" s="152"/>
      <c r="E3057" s="102"/>
      <c r="F3057" s="102"/>
      <c r="G3057" s="102"/>
      <c r="I3057" s="93"/>
      <c r="J3057" s="93"/>
    </row>
    <row r="3058" spans="1:10" s="65" customFormat="1" ht="14" x14ac:dyDescent="0.35">
      <c r="A3058" s="145"/>
      <c r="B3058" s="152"/>
      <c r="E3058" s="102"/>
      <c r="F3058" s="102"/>
      <c r="G3058" s="102"/>
      <c r="I3058" s="93"/>
      <c r="J3058" s="93"/>
    </row>
    <row r="3059" spans="1:10" s="65" customFormat="1" ht="14" x14ac:dyDescent="0.35">
      <c r="A3059" s="145"/>
      <c r="B3059" s="152"/>
      <c r="E3059" s="102"/>
      <c r="F3059" s="102"/>
      <c r="G3059" s="102"/>
      <c r="I3059" s="93"/>
      <c r="J3059" s="93"/>
    </row>
    <row r="3060" spans="1:10" s="65" customFormat="1" ht="14" x14ac:dyDescent="0.35">
      <c r="A3060" s="145"/>
      <c r="B3060" s="152"/>
      <c r="E3060" s="102"/>
      <c r="F3060" s="102"/>
      <c r="G3060" s="102"/>
      <c r="I3060" s="93"/>
      <c r="J3060" s="93"/>
    </row>
    <row r="3061" spans="1:10" s="65" customFormat="1" ht="14" x14ac:dyDescent="0.35">
      <c r="A3061" s="145"/>
      <c r="B3061" s="152"/>
      <c r="E3061" s="102"/>
      <c r="F3061" s="102"/>
      <c r="G3061" s="102"/>
      <c r="I3061" s="93"/>
      <c r="J3061" s="93"/>
    </row>
    <row r="3062" spans="1:10" s="65" customFormat="1" ht="14" x14ac:dyDescent="0.35">
      <c r="A3062" s="145"/>
      <c r="B3062" s="152"/>
      <c r="E3062" s="102"/>
      <c r="F3062" s="102"/>
      <c r="G3062" s="102"/>
      <c r="I3062" s="93"/>
      <c r="J3062" s="93"/>
    </row>
    <row r="3063" spans="1:10" s="65" customFormat="1" ht="14" x14ac:dyDescent="0.35">
      <c r="A3063" s="145"/>
      <c r="B3063" s="152"/>
      <c r="E3063" s="102"/>
      <c r="F3063" s="102"/>
      <c r="G3063" s="102"/>
      <c r="I3063" s="93"/>
      <c r="J3063" s="93"/>
    </row>
    <row r="3064" spans="1:10" s="65" customFormat="1" ht="14" x14ac:dyDescent="0.35">
      <c r="A3064" s="145"/>
      <c r="B3064" s="152"/>
      <c r="E3064" s="102"/>
      <c r="F3064" s="102"/>
      <c r="G3064" s="102"/>
      <c r="I3064" s="93"/>
      <c r="J3064" s="93"/>
    </row>
    <row r="3065" spans="1:10" s="65" customFormat="1" ht="14" x14ac:dyDescent="0.35">
      <c r="A3065" s="145"/>
      <c r="B3065" s="152"/>
      <c r="E3065" s="102"/>
      <c r="F3065" s="102"/>
      <c r="G3065" s="102"/>
      <c r="I3065" s="93"/>
      <c r="J3065" s="93"/>
    </row>
    <row r="3066" spans="1:10" s="65" customFormat="1" ht="14" x14ac:dyDescent="0.35">
      <c r="A3066" s="145"/>
      <c r="B3066" s="152"/>
      <c r="E3066" s="102"/>
      <c r="F3066" s="102"/>
      <c r="G3066" s="102"/>
      <c r="I3066" s="93"/>
      <c r="J3066" s="93"/>
    </row>
    <row r="3067" spans="1:10" s="65" customFormat="1" ht="14" x14ac:dyDescent="0.35">
      <c r="A3067" s="145"/>
      <c r="B3067" s="152"/>
      <c r="E3067" s="102"/>
      <c r="F3067" s="102"/>
      <c r="G3067" s="102"/>
      <c r="I3067" s="93"/>
      <c r="J3067" s="93"/>
    </row>
    <row r="3068" spans="1:10" s="65" customFormat="1" ht="14" x14ac:dyDescent="0.35">
      <c r="A3068" s="145"/>
      <c r="B3068" s="152"/>
      <c r="E3068" s="102"/>
      <c r="F3068" s="102"/>
      <c r="G3068" s="102"/>
      <c r="I3068" s="93"/>
      <c r="J3068" s="93"/>
    </row>
    <row r="3069" spans="1:10" s="65" customFormat="1" ht="14" x14ac:dyDescent="0.35">
      <c r="A3069" s="145"/>
      <c r="B3069" s="152"/>
      <c r="E3069" s="102"/>
      <c r="F3069" s="102"/>
      <c r="G3069" s="102"/>
      <c r="I3069" s="93"/>
      <c r="J3069" s="93"/>
    </row>
    <row r="3070" spans="1:10" s="65" customFormat="1" ht="14" x14ac:dyDescent="0.35">
      <c r="A3070" s="145"/>
      <c r="B3070" s="152"/>
      <c r="E3070" s="102"/>
      <c r="F3070" s="102"/>
      <c r="G3070" s="102"/>
      <c r="I3070" s="93"/>
      <c r="J3070" s="93"/>
    </row>
    <row r="3071" spans="1:10" s="65" customFormat="1" ht="14" x14ac:dyDescent="0.35">
      <c r="A3071" s="145"/>
      <c r="B3071" s="152"/>
      <c r="E3071" s="102"/>
      <c r="F3071" s="102"/>
      <c r="G3071" s="102"/>
      <c r="I3071" s="93"/>
      <c r="J3071" s="93"/>
    </row>
    <row r="3072" spans="1:10" s="65" customFormat="1" ht="14" x14ac:dyDescent="0.35">
      <c r="A3072" s="145"/>
      <c r="B3072" s="152"/>
      <c r="E3072" s="102"/>
      <c r="F3072" s="102"/>
      <c r="G3072" s="102"/>
      <c r="I3072" s="93"/>
      <c r="J3072" s="93"/>
    </row>
    <row r="3073" spans="1:10" s="65" customFormat="1" ht="14" x14ac:dyDescent="0.35">
      <c r="A3073" s="145"/>
      <c r="B3073" s="152"/>
      <c r="E3073" s="102"/>
      <c r="F3073" s="102"/>
      <c r="G3073" s="102"/>
      <c r="I3073" s="93"/>
      <c r="J3073" s="93"/>
    </row>
    <row r="3074" spans="1:10" s="65" customFormat="1" ht="14" x14ac:dyDescent="0.35">
      <c r="A3074" s="145"/>
      <c r="B3074" s="152"/>
      <c r="E3074" s="102"/>
      <c r="F3074" s="102"/>
      <c r="G3074" s="102"/>
      <c r="I3074" s="93"/>
      <c r="J3074" s="93"/>
    </row>
    <row r="3075" spans="1:10" s="65" customFormat="1" ht="14" x14ac:dyDescent="0.35">
      <c r="A3075" s="145"/>
      <c r="B3075" s="152"/>
      <c r="E3075" s="102"/>
      <c r="F3075" s="102"/>
      <c r="G3075" s="102"/>
      <c r="I3075" s="93"/>
      <c r="J3075" s="93"/>
    </row>
    <row r="3076" spans="1:10" s="65" customFormat="1" ht="14" x14ac:dyDescent="0.35">
      <c r="A3076" s="145"/>
      <c r="B3076" s="152"/>
      <c r="E3076" s="102"/>
      <c r="F3076" s="102"/>
      <c r="G3076" s="102"/>
      <c r="I3076" s="93"/>
      <c r="J3076" s="93"/>
    </row>
    <row r="3077" spans="1:10" s="65" customFormat="1" ht="14" x14ac:dyDescent="0.35">
      <c r="A3077" s="145"/>
      <c r="B3077" s="152"/>
      <c r="E3077" s="102"/>
      <c r="F3077" s="102"/>
      <c r="G3077" s="102"/>
      <c r="I3077" s="93"/>
      <c r="J3077" s="93"/>
    </row>
    <row r="3078" spans="1:10" s="65" customFormat="1" ht="14" x14ac:dyDescent="0.35">
      <c r="A3078" s="145"/>
      <c r="B3078" s="152"/>
      <c r="E3078" s="102"/>
      <c r="F3078" s="102"/>
      <c r="G3078" s="102"/>
      <c r="I3078" s="93"/>
      <c r="J3078" s="93"/>
    </row>
    <row r="3079" spans="1:10" s="65" customFormat="1" ht="14" x14ac:dyDescent="0.35">
      <c r="A3079" s="145"/>
      <c r="B3079" s="152"/>
      <c r="E3079" s="102"/>
      <c r="F3079" s="102"/>
      <c r="G3079" s="102"/>
      <c r="I3079" s="93"/>
      <c r="J3079" s="93"/>
    </row>
    <row r="3080" spans="1:10" s="65" customFormat="1" ht="14" x14ac:dyDescent="0.35">
      <c r="A3080" s="145"/>
      <c r="B3080" s="152"/>
      <c r="E3080" s="102"/>
      <c r="F3080" s="102"/>
      <c r="G3080" s="102"/>
      <c r="I3080" s="93"/>
      <c r="J3080" s="93"/>
    </row>
    <row r="3081" spans="1:10" s="65" customFormat="1" ht="14" x14ac:dyDescent="0.35">
      <c r="A3081" s="145"/>
      <c r="B3081" s="152"/>
      <c r="E3081" s="102"/>
      <c r="F3081" s="102"/>
      <c r="G3081" s="102"/>
      <c r="I3081" s="93"/>
      <c r="J3081" s="93"/>
    </row>
    <row r="3082" spans="1:10" s="65" customFormat="1" ht="14" x14ac:dyDescent="0.35">
      <c r="A3082" s="145"/>
      <c r="B3082" s="152"/>
      <c r="E3082" s="102"/>
      <c r="F3082" s="102"/>
      <c r="G3082" s="102"/>
      <c r="I3082" s="93"/>
      <c r="J3082" s="93"/>
    </row>
    <row r="3083" spans="1:10" s="65" customFormat="1" ht="14" x14ac:dyDescent="0.35">
      <c r="A3083" s="145"/>
      <c r="B3083" s="152"/>
      <c r="E3083" s="102"/>
      <c r="F3083" s="102"/>
      <c r="G3083" s="102"/>
      <c r="I3083" s="93"/>
      <c r="J3083" s="93"/>
    </row>
    <row r="3084" spans="1:10" s="65" customFormat="1" ht="14" x14ac:dyDescent="0.35">
      <c r="A3084" s="145"/>
      <c r="B3084" s="152"/>
      <c r="E3084" s="102"/>
      <c r="F3084" s="102"/>
      <c r="G3084" s="102"/>
      <c r="I3084" s="93"/>
      <c r="J3084" s="93"/>
    </row>
    <row r="3085" spans="1:10" s="65" customFormat="1" ht="14" x14ac:dyDescent="0.35">
      <c r="A3085" s="145"/>
      <c r="B3085" s="152"/>
      <c r="E3085" s="102"/>
      <c r="F3085" s="102"/>
      <c r="G3085" s="102"/>
      <c r="I3085" s="93"/>
      <c r="J3085" s="93"/>
    </row>
    <row r="3086" spans="1:10" s="65" customFormat="1" ht="14" x14ac:dyDescent="0.35">
      <c r="A3086" s="145"/>
      <c r="B3086" s="152"/>
      <c r="E3086" s="102"/>
      <c r="F3086" s="102"/>
      <c r="G3086" s="102"/>
      <c r="I3086" s="93"/>
      <c r="J3086" s="93"/>
    </row>
    <row r="3087" spans="1:10" s="65" customFormat="1" ht="14" x14ac:dyDescent="0.35">
      <c r="A3087" s="145"/>
      <c r="B3087" s="152"/>
      <c r="E3087" s="102"/>
      <c r="F3087" s="102"/>
      <c r="G3087" s="102"/>
      <c r="I3087" s="93"/>
      <c r="J3087" s="93"/>
    </row>
    <row r="3088" spans="1:10" s="65" customFormat="1" ht="14" x14ac:dyDescent="0.35">
      <c r="A3088" s="145"/>
      <c r="B3088" s="152"/>
      <c r="E3088" s="102"/>
      <c r="F3088" s="102"/>
      <c r="G3088" s="102"/>
      <c r="I3088" s="93"/>
      <c r="J3088" s="93"/>
    </row>
    <row r="3089" spans="1:10" s="65" customFormat="1" ht="14" x14ac:dyDescent="0.35">
      <c r="A3089" s="145"/>
      <c r="B3089" s="152"/>
      <c r="E3089" s="102"/>
      <c r="F3089" s="102"/>
      <c r="G3089" s="102"/>
      <c r="I3089" s="93"/>
      <c r="J3089" s="93"/>
    </row>
    <row r="3090" spans="1:10" s="65" customFormat="1" ht="14" x14ac:dyDescent="0.35">
      <c r="A3090" s="145"/>
      <c r="B3090" s="152"/>
      <c r="E3090" s="102"/>
      <c r="F3090" s="102"/>
      <c r="G3090" s="102"/>
      <c r="I3090" s="93"/>
      <c r="J3090" s="93"/>
    </row>
    <row r="3091" spans="1:10" s="65" customFormat="1" ht="14" x14ac:dyDescent="0.35">
      <c r="A3091" s="145"/>
      <c r="B3091" s="152"/>
      <c r="E3091" s="102"/>
      <c r="F3091" s="102"/>
      <c r="G3091" s="102"/>
      <c r="I3091" s="93"/>
      <c r="J3091" s="93"/>
    </row>
    <row r="3092" spans="1:10" s="65" customFormat="1" ht="14" x14ac:dyDescent="0.35">
      <c r="A3092" s="145"/>
      <c r="B3092" s="152"/>
      <c r="E3092" s="102"/>
      <c r="F3092" s="102"/>
      <c r="G3092" s="102"/>
      <c r="I3092" s="93"/>
      <c r="J3092" s="93"/>
    </row>
    <row r="3093" spans="1:10" s="65" customFormat="1" ht="14" x14ac:dyDescent="0.35">
      <c r="A3093" s="145"/>
      <c r="B3093" s="152"/>
      <c r="E3093" s="102"/>
      <c r="F3093" s="102"/>
      <c r="G3093" s="102"/>
      <c r="I3093" s="93"/>
      <c r="J3093" s="93"/>
    </row>
    <row r="3094" spans="1:10" s="65" customFormat="1" ht="14" x14ac:dyDescent="0.35">
      <c r="A3094" s="145"/>
      <c r="B3094" s="152"/>
      <c r="E3094" s="102"/>
      <c r="F3094" s="102"/>
      <c r="G3094" s="102"/>
      <c r="I3094" s="93"/>
      <c r="J3094" s="93"/>
    </row>
    <row r="3095" spans="1:10" s="65" customFormat="1" ht="14" x14ac:dyDescent="0.35">
      <c r="A3095" s="145"/>
      <c r="B3095" s="152"/>
      <c r="E3095" s="102"/>
      <c r="F3095" s="102"/>
      <c r="G3095" s="102"/>
      <c r="I3095" s="93"/>
      <c r="J3095" s="93"/>
    </row>
    <row r="3096" spans="1:10" s="65" customFormat="1" ht="14" x14ac:dyDescent="0.35">
      <c r="A3096" s="145"/>
      <c r="B3096" s="152"/>
      <c r="E3096" s="102"/>
      <c r="F3096" s="102"/>
      <c r="G3096" s="102"/>
      <c r="I3096" s="93"/>
      <c r="J3096" s="93"/>
    </row>
    <row r="3097" spans="1:10" s="65" customFormat="1" ht="14" x14ac:dyDescent="0.35">
      <c r="A3097" s="145"/>
      <c r="B3097" s="152"/>
      <c r="E3097" s="102"/>
      <c r="F3097" s="102"/>
      <c r="G3097" s="102"/>
      <c r="I3097" s="93"/>
      <c r="J3097" s="93"/>
    </row>
    <row r="3098" spans="1:10" s="65" customFormat="1" ht="14" x14ac:dyDescent="0.35">
      <c r="A3098" s="145"/>
      <c r="B3098" s="152"/>
      <c r="E3098" s="102"/>
      <c r="F3098" s="102"/>
      <c r="G3098" s="102"/>
      <c r="I3098" s="93"/>
      <c r="J3098" s="93"/>
    </row>
    <row r="3099" spans="1:10" s="65" customFormat="1" ht="14" x14ac:dyDescent="0.35">
      <c r="A3099" s="145"/>
      <c r="B3099" s="152"/>
      <c r="E3099" s="102"/>
      <c r="F3099" s="102"/>
      <c r="G3099" s="102"/>
      <c r="I3099" s="93"/>
      <c r="J3099" s="93"/>
    </row>
    <row r="3100" spans="1:10" s="65" customFormat="1" ht="14" x14ac:dyDescent="0.35">
      <c r="A3100" s="145"/>
      <c r="B3100" s="152"/>
      <c r="E3100" s="102"/>
      <c r="F3100" s="102"/>
      <c r="G3100" s="102"/>
      <c r="I3100" s="93"/>
      <c r="J3100" s="93"/>
    </row>
    <row r="3101" spans="1:10" s="65" customFormat="1" ht="14" x14ac:dyDescent="0.35">
      <c r="A3101" s="145"/>
      <c r="B3101" s="152"/>
      <c r="E3101" s="102"/>
      <c r="F3101" s="102"/>
      <c r="G3101" s="102"/>
      <c r="I3101" s="93"/>
      <c r="J3101" s="93"/>
    </row>
    <row r="3102" spans="1:10" s="65" customFormat="1" ht="14" x14ac:dyDescent="0.35">
      <c r="A3102" s="145"/>
      <c r="B3102" s="152"/>
      <c r="E3102" s="102"/>
      <c r="F3102" s="102"/>
      <c r="G3102" s="102"/>
      <c r="I3102" s="93"/>
      <c r="J3102" s="93"/>
    </row>
    <row r="3103" spans="1:10" s="65" customFormat="1" ht="14" x14ac:dyDescent="0.35">
      <c r="A3103" s="145"/>
      <c r="B3103" s="152"/>
      <c r="E3103" s="102"/>
      <c r="F3103" s="102"/>
      <c r="G3103" s="102"/>
      <c r="I3103" s="93"/>
      <c r="J3103" s="93"/>
    </row>
    <row r="3104" spans="1:10" s="65" customFormat="1" ht="14" x14ac:dyDescent="0.35">
      <c r="A3104" s="145"/>
      <c r="B3104" s="152"/>
      <c r="E3104" s="102"/>
      <c r="F3104" s="102"/>
      <c r="G3104" s="102"/>
      <c r="I3104" s="93"/>
      <c r="J3104" s="93"/>
    </row>
    <row r="3105" spans="1:10" s="65" customFormat="1" ht="14" x14ac:dyDescent="0.35">
      <c r="A3105" s="145"/>
      <c r="B3105" s="152"/>
      <c r="E3105" s="102"/>
      <c r="F3105" s="102"/>
      <c r="G3105" s="102"/>
      <c r="I3105" s="93"/>
      <c r="J3105" s="93"/>
    </row>
    <row r="3106" spans="1:10" s="65" customFormat="1" ht="14" x14ac:dyDescent="0.35">
      <c r="A3106" s="145"/>
      <c r="B3106" s="152"/>
      <c r="E3106" s="102"/>
      <c r="F3106" s="102"/>
      <c r="G3106" s="102"/>
      <c r="I3106" s="93"/>
      <c r="J3106" s="93"/>
    </row>
    <row r="3107" spans="1:10" s="65" customFormat="1" ht="14" x14ac:dyDescent="0.35">
      <c r="A3107" s="145"/>
      <c r="B3107" s="152"/>
      <c r="E3107" s="102"/>
      <c r="F3107" s="102"/>
      <c r="G3107" s="102"/>
      <c r="I3107" s="93"/>
      <c r="J3107" s="93"/>
    </row>
    <row r="3108" spans="1:10" s="65" customFormat="1" ht="14" x14ac:dyDescent="0.35">
      <c r="A3108" s="145"/>
      <c r="B3108" s="152"/>
      <c r="E3108" s="102"/>
      <c r="F3108" s="102"/>
      <c r="G3108" s="102"/>
      <c r="I3108" s="93"/>
      <c r="J3108" s="93"/>
    </row>
    <row r="3109" spans="1:10" s="65" customFormat="1" ht="14" x14ac:dyDescent="0.35">
      <c r="A3109" s="145"/>
      <c r="B3109" s="152"/>
      <c r="E3109" s="102"/>
      <c r="F3109" s="102"/>
      <c r="G3109" s="102"/>
      <c r="I3109" s="93"/>
      <c r="J3109" s="93"/>
    </row>
    <row r="3110" spans="1:10" s="65" customFormat="1" ht="14" x14ac:dyDescent="0.35">
      <c r="A3110" s="145"/>
      <c r="B3110" s="152"/>
      <c r="E3110" s="102"/>
      <c r="F3110" s="102"/>
      <c r="G3110" s="102"/>
      <c r="I3110" s="93"/>
      <c r="J3110" s="93"/>
    </row>
    <row r="3111" spans="1:10" s="65" customFormat="1" ht="14" x14ac:dyDescent="0.35">
      <c r="A3111" s="145"/>
      <c r="B3111" s="152"/>
      <c r="E3111" s="102"/>
      <c r="F3111" s="102"/>
      <c r="G3111" s="102"/>
      <c r="I3111" s="93"/>
      <c r="J3111" s="93"/>
    </row>
    <row r="3112" spans="1:10" s="65" customFormat="1" ht="14" x14ac:dyDescent="0.35">
      <c r="A3112" s="145"/>
      <c r="B3112" s="152"/>
      <c r="E3112" s="102"/>
      <c r="F3112" s="102"/>
      <c r="G3112" s="102"/>
      <c r="I3112" s="93"/>
      <c r="J3112" s="93"/>
    </row>
    <row r="3113" spans="1:10" s="65" customFormat="1" ht="14" x14ac:dyDescent="0.35">
      <c r="A3113" s="145"/>
      <c r="B3113" s="152"/>
      <c r="E3113" s="102"/>
      <c r="F3113" s="102"/>
      <c r="G3113" s="102"/>
      <c r="I3113" s="93"/>
      <c r="J3113" s="93"/>
    </row>
    <row r="3114" spans="1:10" s="65" customFormat="1" ht="14" x14ac:dyDescent="0.35">
      <c r="A3114" s="145"/>
      <c r="B3114" s="152"/>
      <c r="E3114" s="102"/>
      <c r="F3114" s="102"/>
      <c r="G3114" s="102"/>
      <c r="I3114" s="93"/>
      <c r="J3114" s="93"/>
    </row>
    <row r="3115" spans="1:10" s="65" customFormat="1" ht="14" x14ac:dyDescent="0.35">
      <c r="A3115" s="145"/>
      <c r="B3115" s="152"/>
      <c r="E3115" s="102"/>
      <c r="F3115" s="102"/>
      <c r="G3115" s="102"/>
      <c r="I3115" s="93"/>
      <c r="J3115" s="93"/>
    </row>
    <row r="3116" spans="1:10" s="65" customFormat="1" ht="14" x14ac:dyDescent="0.35">
      <c r="A3116" s="145"/>
      <c r="B3116" s="152"/>
      <c r="E3116" s="102"/>
      <c r="F3116" s="102"/>
      <c r="G3116" s="102"/>
      <c r="I3116" s="93"/>
      <c r="J3116" s="93"/>
    </row>
    <row r="3117" spans="1:10" s="65" customFormat="1" ht="14" x14ac:dyDescent="0.35">
      <c r="A3117" s="145"/>
      <c r="B3117" s="152"/>
      <c r="E3117" s="102"/>
      <c r="F3117" s="102"/>
      <c r="G3117" s="102"/>
      <c r="I3117" s="93"/>
      <c r="J3117" s="93"/>
    </row>
    <row r="3118" spans="1:10" s="65" customFormat="1" ht="14" x14ac:dyDescent="0.35">
      <c r="A3118" s="145"/>
      <c r="B3118" s="152"/>
      <c r="E3118" s="102"/>
      <c r="F3118" s="102"/>
      <c r="G3118" s="102"/>
      <c r="I3118" s="93"/>
      <c r="J3118" s="93"/>
    </row>
    <row r="3119" spans="1:10" s="65" customFormat="1" ht="14" x14ac:dyDescent="0.35">
      <c r="A3119" s="145"/>
      <c r="B3119" s="152"/>
      <c r="E3119" s="102"/>
      <c r="F3119" s="102"/>
      <c r="G3119" s="102"/>
      <c r="I3119" s="93"/>
      <c r="J3119" s="93"/>
    </row>
    <row r="3120" spans="1:10" s="65" customFormat="1" ht="14" x14ac:dyDescent="0.35">
      <c r="A3120" s="145"/>
      <c r="B3120" s="152"/>
      <c r="E3120" s="102"/>
      <c r="F3120" s="102"/>
      <c r="G3120" s="102"/>
      <c r="I3120" s="93"/>
      <c r="J3120" s="93"/>
    </row>
    <row r="3121" spans="1:10" s="65" customFormat="1" ht="14" x14ac:dyDescent="0.35">
      <c r="A3121" s="145"/>
      <c r="B3121" s="152"/>
      <c r="E3121" s="102"/>
      <c r="F3121" s="102"/>
      <c r="G3121" s="102"/>
      <c r="I3121" s="93"/>
      <c r="J3121" s="93"/>
    </row>
    <row r="3122" spans="1:10" s="65" customFormat="1" ht="14" x14ac:dyDescent="0.35">
      <c r="A3122" s="145"/>
      <c r="B3122" s="152"/>
      <c r="E3122" s="102"/>
      <c r="F3122" s="102"/>
      <c r="G3122" s="102"/>
      <c r="I3122" s="93"/>
      <c r="J3122" s="93"/>
    </row>
    <row r="3123" spans="1:10" s="65" customFormat="1" ht="14" x14ac:dyDescent="0.35">
      <c r="A3123" s="145"/>
      <c r="B3123" s="152"/>
      <c r="E3123" s="102"/>
      <c r="F3123" s="102"/>
      <c r="G3123" s="102"/>
      <c r="I3123" s="93"/>
      <c r="J3123" s="93"/>
    </row>
    <row r="3124" spans="1:10" s="65" customFormat="1" ht="14" x14ac:dyDescent="0.35">
      <c r="A3124" s="145"/>
      <c r="B3124" s="152"/>
      <c r="E3124" s="102"/>
      <c r="F3124" s="102"/>
      <c r="G3124" s="102"/>
      <c r="I3124" s="93"/>
      <c r="J3124" s="93"/>
    </row>
    <row r="3125" spans="1:10" s="65" customFormat="1" ht="14" x14ac:dyDescent="0.35">
      <c r="A3125" s="145"/>
      <c r="B3125" s="152"/>
      <c r="E3125" s="102"/>
      <c r="F3125" s="102"/>
      <c r="G3125" s="102"/>
      <c r="I3125" s="93"/>
      <c r="J3125" s="93"/>
    </row>
    <row r="3126" spans="1:10" s="65" customFormat="1" ht="14" x14ac:dyDescent="0.35">
      <c r="A3126" s="145"/>
      <c r="B3126" s="152"/>
      <c r="E3126" s="102"/>
      <c r="F3126" s="102"/>
      <c r="G3126" s="102"/>
      <c r="I3126" s="93"/>
      <c r="J3126" s="93"/>
    </row>
    <row r="3127" spans="1:10" s="65" customFormat="1" ht="14" x14ac:dyDescent="0.35">
      <c r="A3127" s="145"/>
      <c r="B3127" s="152"/>
      <c r="E3127" s="102"/>
      <c r="F3127" s="102"/>
      <c r="G3127" s="102"/>
      <c r="I3127" s="93"/>
      <c r="J3127" s="93"/>
    </row>
    <row r="3128" spans="1:10" s="65" customFormat="1" ht="14" x14ac:dyDescent="0.35">
      <c r="A3128" s="145"/>
      <c r="B3128" s="152"/>
      <c r="E3128" s="102"/>
      <c r="F3128" s="102"/>
      <c r="G3128" s="102"/>
      <c r="I3128" s="93"/>
      <c r="J3128" s="93"/>
    </row>
    <row r="3129" spans="1:10" s="65" customFormat="1" ht="14" x14ac:dyDescent="0.35">
      <c r="A3129" s="145"/>
      <c r="B3129" s="152"/>
      <c r="E3129" s="102"/>
      <c r="F3129" s="102"/>
      <c r="G3129" s="102"/>
      <c r="I3129" s="93"/>
      <c r="J3129" s="93"/>
    </row>
    <row r="3130" spans="1:10" s="65" customFormat="1" ht="14" x14ac:dyDescent="0.35">
      <c r="A3130" s="145"/>
      <c r="B3130" s="152"/>
      <c r="E3130" s="102"/>
      <c r="F3130" s="102"/>
      <c r="G3130" s="102"/>
      <c r="I3130" s="93"/>
      <c r="J3130" s="93"/>
    </row>
    <row r="3131" spans="1:10" s="65" customFormat="1" ht="14" x14ac:dyDescent="0.35">
      <c r="A3131" s="145"/>
      <c r="B3131" s="152"/>
      <c r="E3131" s="102"/>
      <c r="F3131" s="102"/>
      <c r="G3131" s="102"/>
      <c r="I3131" s="93"/>
      <c r="J3131" s="93"/>
    </row>
    <row r="3132" spans="1:10" s="65" customFormat="1" ht="14" x14ac:dyDescent="0.35">
      <c r="A3132" s="145"/>
      <c r="B3132" s="152"/>
      <c r="E3132" s="102"/>
      <c r="F3132" s="102"/>
      <c r="G3132" s="102"/>
      <c r="I3132" s="93"/>
      <c r="J3132" s="93"/>
    </row>
    <row r="3133" spans="1:10" s="65" customFormat="1" ht="14" x14ac:dyDescent="0.35">
      <c r="A3133" s="145"/>
      <c r="B3133" s="152"/>
      <c r="E3133" s="102"/>
      <c r="F3133" s="102"/>
      <c r="G3133" s="102"/>
      <c r="I3133" s="93"/>
      <c r="J3133" s="93"/>
    </row>
    <row r="3134" spans="1:10" s="65" customFormat="1" ht="14" x14ac:dyDescent="0.35">
      <c r="A3134" s="145"/>
      <c r="B3134" s="152"/>
      <c r="E3134" s="102"/>
      <c r="F3134" s="102"/>
      <c r="G3134" s="102"/>
      <c r="I3134" s="93"/>
      <c r="J3134" s="93"/>
    </row>
    <row r="3135" spans="1:10" s="65" customFormat="1" ht="14" x14ac:dyDescent="0.35">
      <c r="A3135" s="145"/>
      <c r="B3135" s="152"/>
      <c r="E3135" s="102"/>
      <c r="F3135" s="102"/>
      <c r="G3135" s="102"/>
      <c r="I3135" s="93"/>
      <c r="J3135" s="93"/>
    </row>
    <row r="3136" spans="1:10" s="65" customFormat="1" ht="14" x14ac:dyDescent="0.35">
      <c r="A3136" s="145"/>
      <c r="B3136" s="152"/>
      <c r="E3136" s="102"/>
      <c r="F3136" s="102"/>
      <c r="G3136" s="102"/>
      <c r="I3136" s="93"/>
      <c r="J3136" s="93"/>
    </row>
    <row r="3137" spans="1:10" s="65" customFormat="1" ht="14" x14ac:dyDescent="0.35">
      <c r="A3137" s="145"/>
      <c r="B3137" s="152"/>
      <c r="E3137" s="102"/>
      <c r="F3137" s="102"/>
      <c r="G3137" s="102"/>
      <c r="I3137" s="93"/>
      <c r="J3137" s="93"/>
    </row>
    <row r="3138" spans="1:10" s="65" customFormat="1" ht="14" x14ac:dyDescent="0.35">
      <c r="A3138" s="145"/>
      <c r="B3138" s="152"/>
      <c r="E3138" s="102"/>
      <c r="F3138" s="102"/>
      <c r="G3138" s="102"/>
      <c r="I3138" s="93"/>
      <c r="J3138" s="93"/>
    </row>
    <row r="3139" spans="1:10" s="65" customFormat="1" ht="14" x14ac:dyDescent="0.35">
      <c r="A3139" s="145"/>
      <c r="B3139" s="152"/>
      <c r="E3139" s="102"/>
      <c r="F3139" s="102"/>
      <c r="G3139" s="102"/>
      <c r="I3139" s="93"/>
      <c r="J3139" s="93"/>
    </row>
    <row r="3140" spans="1:10" s="65" customFormat="1" ht="14" x14ac:dyDescent="0.35">
      <c r="A3140" s="145"/>
      <c r="B3140" s="152"/>
      <c r="E3140" s="102"/>
      <c r="F3140" s="102"/>
      <c r="G3140" s="102"/>
      <c r="I3140" s="93"/>
      <c r="J3140" s="93"/>
    </row>
    <row r="3141" spans="1:10" s="65" customFormat="1" ht="14" x14ac:dyDescent="0.35">
      <c r="A3141" s="145"/>
      <c r="B3141" s="152"/>
      <c r="E3141" s="102"/>
      <c r="F3141" s="102"/>
      <c r="G3141" s="102"/>
      <c r="I3141" s="93"/>
      <c r="J3141" s="93"/>
    </row>
    <row r="3142" spans="1:10" s="65" customFormat="1" ht="14" x14ac:dyDescent="0.35">
      <c r="A3142" s="145"/>
      <c r="B3142" s="152"/>
      <c r="E3142" s="102"/>
      <c r="F3142" s="102"/>
      <c r="G3142" s="102"/>
      <c r="I3142" s="93"/>
      <c r="J3142" s="93"/>
    </row>
    <row r="3143" spans="1:10" s="65" customFormat="1" ht="14" x14ac:dyDescent="0.35">
      <c r="A3143" s="145"/>
      <c r="B3143" s="152"/>
      <c r="E3143" s="102"/>
      <c r="F3143" s="102"/>
      <c r="G3143" s="102"/>
      <c r="I3143" s="93"/>
      <c r="J3143" s="93"/>
    </row>
    <row r="3144" spans="1:10" s="65" customFormat="1" ht="14" x14ac:dyDescent="0.35">
      <c r="A3144" s="145"/>
      <c r="B3144" s="152"/>
      <c r="E3144" s="102"/>
      <c r="F3144" s="102"/>
      <c r="G3144" s="102"/>
      <c r="I3144" s="93"/>
      <c r="J3144" s="93"/>
    </row>
    <row r="3145" spans="1:10" s="65" customFormat="1" ht="14" x14ac:dyDescent="0.35">
      <c r="A3145" s="145"/>
      <c r="B3145" s="152"/>
      <c r="E3145" s="102"/>
      <c r="F3145" s="102"/>
      <c r="G3145" s="102"/>
      <c r="I3145" s="93"/>
      <c r="J3145" s="93"/>
    </row>
    <row r="3146" spans="1:10" s="65" customFormat="1" ht="14" x14ac:dyDescent="0.35">
      <c r="A3146" s="145"/>
      <c r="B3146" s="152"/>
      <c r="E3146" s="102"/>
      <c r="F3146" s="102"/>
      <c r="G3146" s="102"/>
      <c r="I3146" s="93"/>
      <c r="J3146" s="93"/>
    </row>
    <row r="3147" spans="1:10" s="65" customFormat="1" ht="14" x14ac:dyDescent="0.35">
      <c r="A3147" s="145"/>
      <c r="B3147" s="152"/>
      <c r="E3147" s="102"/>
      <c r="F3147" s="102"/>
      <c r="G3147" s="102"/>
      <c r="I3147" s="93"/>
      <c r="J3147" s="93"/>
    </row>
    <row r="3148" spans="1:10" s="65" customFormat="1" ht="14" x14ac:dyDescent="0.35">
      <c r="A3148" s="145"/>
      <c r="B3148" s="152"/>
      <c r="E3148" s="102"/>
      <c r="F3148" s="102"/>
      <c r="G3148" s="102"/>
      <c r="I3148" s="93"/>
      <c r="J3148" s="93"/>
    </row>
    <row r="3149" spans="1:10" s="65" customFormat="1" ht="14" x14ac:dyDescent="0.35">
      <c r="A3149" s="145"/>
      <c r="B3149" s="152"/>
      <c r="E3149" s="102"/>
      <c r="F3149" s="102"/>
      <c r="G3149" s="102"/>
      <c r="I3149" s="93"/>
      <c r="J3149" s="93"/>
    </row>
    <row r="3150" spans="1:10" s="65" customFormat="1" ht="14" x14ac:dyDescent="0.35">
      <c r="A3150" s="145"/>
      <c r="B3150" s="152"/>
      <c r="E3150" s="102"/>
      <c r="F3150" s="102"/>
      <c r="G3150" s="102"/>
      <c r="I3150" s="93"/>
      <c r="J3150" s="93"/>
    </row>
    <row r="3151" spans="1:10" s="65" customFormat="1" ht="14" x14ac:dyDescent="0.35">
      <c r="A3151" s="145"/>
      <c r="B3151" s="152"/>
      <c r="E3151" s="102"/>
      <c r="F3151" s="102"/>
      <c r="G3151" s="102"/>
      <c r="I3151" s="93"/>
      <c r="J3151" s="93"/>
    </row>
    <row r="3152" spans="1:10" s="65" customFormat="1" ht="14" x14ac:dyDescent="0.35">
      <c r="A3152" s="145"/>
      <c r="B3152" s="152"/>
      <c r="E3152" s="102"/>
      <c r="F3152" s="102"/>
      <c r="G3152" s="102"/>
      <c r="I3152" s="93"/>
      <c r="J3152" s="93"/>
    </row>
    <row r="3153" spans="1:10" s="65" customFormat="1" ht="14" x14ac:dyDescent="0.35">
      <c r="A3153" s="145"/>
      <c r="B3153" s="152"/>
      <c r="E3153" s="102"/>
      <c r="F3153" s="102"/>
      <c r="G3153" s="102"/>
      <c r="I3153" s="93"/>
      <c r="J3153" s="93"/>
    </row>
    <row r="3154" spans="1:10" s="65" customFormat="1" ht="14" x14ac:dyDescent="0.35">
      <c r="A3154" s="145"/>
      <c r="B3154" s="152"/>
      <c r="E3154" s="102"/>
      <c r="F3154" s="102"/>
      <c r="G3154" s="102"/>
      <c r="I3154" s="93"/>
      <c r="J3154" s="93"/>
    </row>
    <row r="3155" spans="1:10" s="65" customFormat="1" ht="14" x14ac:dyDescent="0.35">
      <c r="A3155" s="145"/>
      <c r="B3155" s="152"/>
      <c r="E3155" s="102"/>
      <c r="F3155" s="102"/>
      <c r="G3155" s="102"/>
      <c r="I3155" s="93"/>
      <c r="J3155" s="93"/>
    </row>
    <row r="3156" spans="1:10" s="65" customFormat="1" ht="14" x14ac:dyDescent="0.35">
      <c r="A3156" s="145"/>
      <c r="B3156" s="152"/>
      <c r="E3156" s="102"/>
      <c r="F3156" s="102"/>
      <c r="G3156" s="102"/>
      <c r="I3156" s="93"/>
      <c r="J3156" s="93"/>
    </row>
    <row r="3157" spans="1:10" s="65" customFormat="1" ht="14" x14ac:dyDescent="0.35">
      <c r="A3157" s="145"/>
      <c r="B3157" s="152"/>
      <c r="E3157" s="102"/>
      <c r="F3157" s="102"/>
      <c r="G3157" s="102"/>
      <c r="I3157" s="93"/>
      <c r="J3157" s="93"/>
    </row>
    <row r="3158" spans="1:10" s="65" customFormat="1" ht="14" x14ac:dyDescent="0.35">
      <c r="A3158" s="145"/>
      <c r="B3158" s="152"/>
      <c r="E3158" s="102"/>
      <c r="F3158" s="102"/>
      <c r="G3158" s="102"/>
      <c r="I3158" s="93"/>
      <c r="J3158" s="93"/>
    </row>
    <row r="3159" spans="1:10" s="65" customFormat="1" ht="14" x14ac:dyDescent="0.35">
      <c r="A3159" s="145"/>
      <c r="B3159" s="152"/>
      <c r="E3159" s="102"/>
      <c r="F3159" s="102"/>
      <c r="G3159" s="102"/>
      <c r="I3159" s="93"/>
      <c r="J3159" s="93"/>
    </row>
    <row r="3160" spans="1:10" s="65" customFormat="1" ht="14" x14ac:dyDescent="0.35">
      <c r="A3160" s="145"/>
      <c r="B3160" s="152"/>
      <c r="E3160" s="102"/>
      <c r="F3160" s="102"/>
      <c r="G3160" s="102"/>
      <c r="I3160" s="93"/>
      <c r="J3160" s="93"/>
    </row>
    <row r="3161" spans="1:10" s="65" customFormat="1" ht="14" x14ac:dyDescent="0.35">
      <c r="A3161" s="145"/>
      <c r="B3161" s="152"/>
      <c r="E3161" s="102"/>
      <c r="F3161" s="102"/>
      <c r="G3161" s="102"/>
      <c r="I3161" s="93"/>
      <c r="J3161" s="93"/>
    </row>
    <row r="3162" spans="1:10" s="65" customFormat="1" ht="14" x14ac:dyDescent="0.35">
      <c r="A3162" s="145"/>
      <c r="B3162" s="152"/>
      <c r="E3162" s="102"/>
      <c r="F3162" s="102"/>
      <c r="G3162" s="102"/>
      <c r="I3162" s="93"/>
      <c r="J3162" s="93"/>
    </row>
    <row r="3163" spans="1:10" s="65" customFormat="1" ht="14" x14ac:dyDescent="0.35">
      <c r="A3163" s="145"/>
      <c r="B3163" s="152"/>
      <c r="E3163" s="102"/>
      <c r="F3163" s="102"/>
      <c r="G3163" s="102"/>
      <c r="I3163" s="93"/>
      <c r="J3163" s="93"/>
    </row>
    <row r="3164" spans="1:10" s="65" customFormat="1" ht="14" x14ac:dyDescent="0.35">
      <c r="A3164" s="145"/>
      <c r="B3164" s="152"/>
      <c r="E3164" s="102"/>
      <c r="F3164" s="102"/>
      <c r="G3164" s="102"/>
      <c r="I3164" s="93"/>
      <c r="J3164" s="93"/>
    </row>
    <row r="3165" spans="1:10" s="65" customFormat="1" ht="14" x14ac:dyDescent="0.35">
      <c r="A3165" s="145"/>
      <c r="B3165" s="152"/>
      <c r="E3165" s="102"/>
      <c r="F3165" s="102"/>
      <c r="G3165" s="102"/>
      <c r="I3165" s="93"/>
      <c r="J3165" s="93"/>
    </row>
    <row r="3166" spans="1:10" s="65" customFormat="1" ht="14" x14ac:dyDescent="0.35">
      <c r="A3166" s="145"/>
      <c r="B3166" s="152"/>
      <c r="E3166" s="102"/>
      <c r="F3166" s="102"/>
      <c r="G3166" s="102"/>
      <c r="I3166" s="93"/>
      <c r="J3166" s="93"/>
    </row>
    <row r="3167" spans="1:10" s="65" customFormat="1" ht="14" x14ac:dyDescent="0.35">
      <c r="A3167" s="145"/>
      <c r="B3167" s="152"/>
      <c r="E3167" s="102"/>
      <c r="F3167" s="102"/>
      <c r="G3167" s="102"/>
      <c r="I3167" s="93"/>
      <c r="J3167" s="93"/>
    </row>
    <row r="3168" spans="1:10" s="65" customFormat="1" ht="14" x14ac:dyDescent="0.35">
      <c r="A3168" s="145"/>
      <c r="B3168" s="152"/>
      <c r="E3168" s="102"/>
      <c r="F3168" s="102"/>
      <c r="G3168" s="102"/>
      <c r="I3168" s="93"/>
      <c r="J3168" s="93"/>
    </row>
    <row r="3169" spans="1:10" s="65" customFormat="1" ht="14" x14ac:dyDescent="0.35">
      <c r="A3169" s="145"/>
      <c r="B3169" s="152"/>
      <c r="E3169" s="102"/>
      <c r="F3169" s="102"/>
      <c r="G3169" s="102"/>
      <c r="I3169" s="93"/>
      <c r="J3169" s="93"/>
    </row>
    <row r="3170" spans="1:10" s="65" customFormat="1" ht="14" x14ac:dyDescent="0.35">
      <c r="A3170" s="145"/>
      <c r="B3170" s="152"/>
      <c r="E3170" s="102"/>
      <c r="F3170" s="102"/>
      <c r="G3170" s="102"/>
      <c r="I3170" s="93"/>
      <c r="J3170" s="93"/>
    </row>
    <row r="3171" spans="1:10" s="65" customFormat="1" ht="14" x14ac:dyDescent="0.35">
      <c r="A3171" s="145"/>
      <c r="B3171" s="152"/>
      <c r="E3171" s="102"/>
      <c r="F3171" s="102"/>
      <c r="G3171" s="102"/>
      <c r="I3171" s="93"/>
      <c r="J3171" s="93"/>
    </row>
    <row r="3172" spans="1:10" s="65" customFormat="1" ht="14" x14ac:dyDescent="0.35">
      <c r="A3172" s="145"/>
      <c r="B3172" s="152"/>
      <c r="E3172" s="102"/>
      <c r="F3172" s="102"/>
      <c r="G3172" s="102"/>
      <c r="I3172" s="93"/>
      <c r="J3172" s="93"/>
    </row>
    <row r="3173" spans="1:10" s="65" customFormat="1" ht="14" x14ac:dyDescent="0.35">
      <c r="A3173" s="145"/>
      <c r="B3173" s="152"/>
      <c r="E3173" s="102"/>
      <c r="F3173" s="102"/>
      <c r="G3173" s="102"/>
      <c r="I3173" s="93"/>
      <c r="J3173" s="93"/>
    </row>
    <row r="3174" spans="1:10" s="65" customFormat="1" ht="14" x14ac:dyDescent="0.35">
      <c r="A3174" s="145"/>
      <c r="B3174" s="152"/>
      <c r="E3174" s="102"/>
      <c r="F3174" s="102"/>
      <c r="G3174" s="102"/>
      <c r="I3174" s="93"/>
      <c r="J3174" s="93"/>
    </row>
    <row r="3175" spans="1:10" s="65" customFormat="1" ht="14" x14ac:dyDescent="0.35">
      <c r="A3175" s="145"/>
      <c r="B3175" s="152"/>
      <c r="E3175" s="102"/>
      <c r="F3175" s="102"/>
      <c r="G3175" s="102"/>
      <c r="I3175" s="93"/>
      <c r="J3175" s="93"/>
    </row>
    <row r="3176" spans="1:10" s="65" customFormat="1" ht="14" x14ac:dyDescent="0.35">
      <c r="A3176" s="145"/>
      <c r="B3176" s="152"/>
      <c r="E3176" s="102"/>
      <c r="F3176" s="102"/>
      <c r="G3176" s="102"/>
      <c r="I3176" s="93"/>
      <c r="J3176" s="93"/>
    </row>
    <row r="3177" spans="1:10" s="65" customFormat="1" ht="14" x14ac:dyDescent="0.35">
      <c r="A3177" s="145"/>
      <c r="B3177" s="152"/>
      <c r="E3177" s="102"/>
      <c r="F3177" s="102"/>
      <c r="G3177" s="102"/>
      <c r="I3177" s="93"/>
      <c r="J3177" s="93"/>
    </row>
    <row r="3178" spans="1:10" s="65" customFormat="1" ht="14" x14ac:dyDescent="0.35">
      <c r="A3178" s="145"/>
      <c r="B3178" s="152"/>
      <c r="E3178" s="102"/>
      <c r="F3178" s="102"/>
      <c r="G3178" s="102"/>
      <c r="I3178" s="93"/>
      <c r="J3178" s="93"/>
    </row>
    <row r="3179" spans="1:10" s="65" customFormat="1" ht="14" x14ac:dyDescent="0.35">
      <c r="A3179" s="145"/>
      <c r="B3179" s="152"/>
      <c r="E3179" s="102"/>
      <c r="F3179" s="102"/>
      <c r="G3179" s="102"/>
      <c r="I3179" s="93"/>
      <c r="J3179" s="93"/>
    </row>
    <row r="3180" spans="1:10" s="65" customFormat="1" ht="14" x14ac:dyDescent="0.35">
      <c r="A3180" s="145"/>
      <c r="B3180" s="152"/>
      <c r="E3180" s="102"/>
      <c r="F3180" s="102"/>
      <c r="G3180" s="102"/>
      <c r="I3180" s="93"/>
      <c r="J3180" s="93"/>
    </row>
    <row r="3181" spans="1:10" s="65" customFormat="1" ht="14" x14ac:dyDescent="0.35">
      <c r="A3181" s="145"/>
      <c r="B3181" s="152"/>
      <c r="E3181" s="102"/>
      <c r="F3181" s="102"/>
      <c r="G3181" s="102"/>
      <c r="I3181" s="93"/>
      <c r="J3181" s="93"/>
    </row>
    <row r="3182" spans="1:10" s="65" customFormat="1" ht="14" x14ac:dyDescent="0.35">
      <c r="A3182" s="145"/>
      <c r="B3182" s="152"/>
      <c r="E3182" s="102"/>
      <c r="F3182" s="102"/>
      <c r="G3182" s="102"/>
      <c r="I3182" s="93"/>
      <c r="J3182" s="93"/>
    </row>
    <row r="3183" spans="1:10" s="65" customFormat="1" ht="14" x14ac:dyDescent="0.35">
      <c r="A3183" s="145"/>
      <c r="B3183" s="152"/>
      <c r="E3183" s="102"/>
      <c r="F3183" s="102"/>
      <c r="G3183" s="102"/>
      <c r="I3183" s="93"/>
      <c r="J3183" s="93"/>
    </row>
    <row r="3184" spans="1:10" s="65" customFormat="1" ht="14" x14ac:dyDescent="0.35">
      <c r="A3184" s="145"/>
      <c r="B3184" s="152"/>
      <c r="E3184" s="102"/>
      <c r="F3184" s="102"/>
      <c r="G3184" s="102"/>
      <c r="I3184" s="93"/>
      <c r="J3184" s="93"/>
    </row>
    <row r="3185" spans="1:10" s="65" customFormat="1" ht="14" x14ac:dyDescent="0.35">
      <c r="A3185" s="145"/>
      <c r="B3185" s="152"/>
      <c r="E3185" s="102"/>
      <c r="F3185" s="102"/>
      <c r="G3185" s="102"/>
      <c r="I3185" s="93"/>
      <c r="J3185" s="93"/>
    </row>
    <row r="3186" spans="1:10" s="65" customFormat="1" ht="14" x14ac:dyDescent="0.35">
      <c r="A3186" s="145"/>
      <c r="B3186" s="152"/>
      <c r="E3186" s="102"/>
      <c r="F3186" s="102"/>
      <c r="G3186" s="102"/>
      <c r="I3186" s="93"/>
      <c r="J3186" s="93"/>
    </row>
    <row r="3187" spans="1:10" s="65" customFormat="1" ht="14" x14ac:dyDescent="0.35">
      <c r="A3187" s="145"/>
      <c r="B3187" s="152"/>
      <c r="E3187" s="102"/>
      <c r="F3187" s="102"/>
      <c r="G3187" s="102"/>
      <c r="I3187" s="93"/>
      <c r="J3187" s="93"/>
    </row>
    <row r="3188" spans="1:10" s="65" customFormat="1" ht="14" x14ac:dyDescent="0.35">
      <c r="A3188" s="145"/>
      <c r="B3188" s="152"/>
      <c r="E3188" s="102"/>
      <c r="F3188" s="102"/>
      <c r="G3188" s="102"/>
      <c r="I3188" s="93"/>
      <c r="J3188" s="93"/>
    </row>
    <row r="3189" spans="1:10" s="65" customFormat="1" ht="14" x14ac:dyDescent="0.35">
      <c r="A3189" s="145"/>
      <c r="B3189" s="152"/>
      <c r="E3189" s="102"/>
      <c r="F3189" s="102"/>
      <c r="G3189" s="102"/>
      <c r="I3189" s="93"/>
      <c r="J3189" s="93"/>
    </row>
    <row r="3190" spans="1:10" s="65" customFormat="1" ht="14" x14ac:dyDescent="0.35">
      <c r="A3190" s="145"/>
      <c r="B3190" s="152"/>
      <c r="E3190" s="102"/>
      <c r="F3190" s="102"/>
      <c r="G3190" s="102"/>
      <c r="I3190" s="93"/>
      <c r="J3190" s="93"/>
    </row>
    <row r="3191" spans="1:10" s="65" customFormat="1" ht="14" x14ac:dyDescent="0.35">
      <c r="A3191" s="145"/>
      <c r="B3191" s="152"/>
      <c r="E3191" s="102"/>
      <c r="F3191" s="102"/>
      <c r="G3191" s="102"/>
      <c r="I3191" s="93"/>
      <c r="J3191" s="93"/>
    </row>
    <row r="3192" spans="1:10" s="65" customFormat="1" ht="14" x14ac:dyDescent="0.35">
      <c r="A3192" s="145"/>
      <c r="B3192" s="152"/>
      <c r="E3192" s="102"/>
      <c r="F3192" s="102"/>
      <c r="G3192" s="102"/>
      <c r="I3192" s="93"/>
      <c r="J3192" s="93"/>
    </row>
    <row r="3193" spans="1:10" s="65" customFormat="1" ht="14" x14ac:dyDescent="0.35">
      <c r="A3193" s="145"/>
      <c r="B3193" s="152"/>
      <c r="E3193" s="102"/>
      <c r="F3193" s="102"/>
      <c r="G3193" s="102"/>
      <c r="I3193" s="93"/>
      <c r="J3193" s="93"/>
    </row>
    <row r="3194" spans="1:10" s="65" customFormat="1" ht="14" x14ac:dyDescent="0.35">
      <c r="A3194" s="145"/>
      <c r="B3194" s="152"/>
      <c r="E3194" s="102"/>
      <c r="F3194" s="102"/>
      <c r="G3194" s="102"/>
      <c r="I3194" s="93"/>
      <c r="J3194" s="93"/>
    </row>
    <row r="3195" spans="1:10" s="65" customFormat="1" ht="14" x14ac:dyDescent="0.35">
      <c r="A3195" s="145"/>
      <c r="B3195" s="152"/>
      <c r="E3195" s="102"/>
      <c r="F3195" s="102"/>
      <c r="G3195" s="102"/>
      <c r="I3195" s="93"/>
      <c r="J3195" s="93"/>
    </row>
    <row r="3196" spans="1:10" s="65" customFormat="1" ht="14" x14ac:dyDescent="0.35">
      <c r="A3196" s="145"/>
      <c r="B3196" s="152"/>
      <c r="E3196" s="102"/>
      <c r="F3196" s="102"/>
      <c r="G3196" s="102"/>
      <c r="I3196" s="93"/>
      <c r="J3196" s="93"/>
    </row>
    <row r="3197" spans="1:10" s="65" customFormat="1" ht="14" x14ac:dyDescent="0.35">
      <c r="A3197" s="145"/>
      <c r="B3197" s="152"/>
      <c r="E3197" s="102"/>
      <c r="F3197" s="102"/>
      <c r="G3197" s="102"/>
      <c r="I3197" s="93"/>
      <c r="J3197" s="93"/>
    </row>
    <row r="3198" spans="1:10" s="65" customFormat="1" ht="14" x14ac:dyDescent="0.35">
      <c r="A3198" s="145"/>
      <c r="B3198" s="152"/>
      <c r="E3198" s="102"/>
      <c r="F3198" s="102"/>
      <c r="G3198" s="102"/>
      <c r="I3198" s="93"/>
      <c r="J3198" s="93"/>
    </row>
    <row r="3199" spans="1:10" s="65" customFormat="1" ht="14" x14ac:dyDescent="0.35">
      <c r="A3199" s="145"/>
      <c r="B3199" s="152"/>
      <c r="E3199" s="102"/>
      <c r="F3199" s="102"/>
      <c r="G3199" s="102"/>
      <c r="I3199" s="93"/>
      <c r="J3199" s="93"/>
    </row>
    <row r="3200" spans="1:10" s="65" customFormat="1" ht="14" x14ac:dyDescent="0.35">
      <c r="A3200" s="145"/>
      <c r="B3200" s="152"/>
      <c r="E3200" s="102"/>
      <c r="F3200" s="102"/>
      <c r="G3200" s="102"/>
      <c r="I3200" s="93"/>
      <c r="J3200" s="93"/>
    </row>
    <row r="3201" spans="1:10" s="65" customFormat="1" ht="14" x14ac:dyDescent="0.35">
      <c r="A3201" s="145"/>
      <c r="B3201" s="152"/>
      <c r="E3201" s="102"/>
      <c r="F3201" s="102"/>
      <c r="G3201" s="102"/>
      <c r="I3201" s="93"/>
      <c r="J3201" s="93"/>
    </row>
    <row r="3202" spans="1:10" s="65" customFormat="1" ht="14" x14ac:dyDescent="0.35">
      <c r="A3202" s="145"/>
      <c r="B3202" s="152"/>
      <c r="E3202" s="102"/>
      <c r="F3202" s="102"/>
      <c r="G3202" s="102"/>
      <c r="I3202" s="93"/>
      <c r="J3202" s="93"/>
    </row>
    <row r="3203" spans="1:10" s="65" customFormat="1" ht="14" x14ac:dyDescent="0.35">
      <c r="A3203" s="145"/>
      <c r="B3203" s="152"/>
      <c r="E3203" s="102"/>
      <c r="F3203" s="102"/>
      <c r="G3203" s="102"/>
      <c r="I3203" s="93"/>
      <c r="J3203" s="93"/>
    </row>
    <row r="3204" spans="1:10" s="65" customFormat="1" ht="14" x14ac:dyDescent="0.35">
      <c r="A3204" s="145"/>
      <c r="B3204" s="152"/>
      <c r="E3204" s="102"/>
      <c r="F3204" s="102"/>
      <c r="G3204" s="102"/>
      <c r="I3204" s="93"/>
      <c r="J3204" s="93"/>
    </row>
    <row r="3205" spans="1:10" s="65" customFormat="1" ht="14" x14ac:dyDescent="0.35">
      <c r="A3205" s="145"/>
      <c r="B3205" s="152"/>
      <c r="E3205" s="102"/>
      <c r="F3205" s="102"/>
      <c r="G3205" s="102"/>
      <c r="I3205" s="93"/>
      <c r="J3205" s="93"/>
    </row>
    <row r="3206" spans="1:10" s="65" customFormat="1" ht="14" x14ac:dyDescent="0.35">
      <c r="A3206" s="145"/>
      <c r="B3206" s="152"/>
      <c r="E3206" s="102"/>
      <c r="F3206" s="102"/>
      <c r="G3206" s="102"/>
      <c r="I3206" s="93"/>
      <c r="J3206" s="93"/>
    </row>
    <row r="3207" spans="1:10" s="65" customFormat="1" ht="14" x14ac:dyDescent="0.35">
      <c r="A3207" s="145"/>
      <c r="B3207" s="152"/>
      <c r="E3207" s="102"/>
      <c r="F3207" s="102"/>
      <c r="G3207" s="102"/>
      <c r="I3207" s="93"/>
      <c r="J3207" s="93"/>
    </row>
    <row r="3208" spans="1:10" s="65" customFormat="1" ht="14" x14ac:dyDescent="0.35">
      <c r="A3208" s="145"/>
      <c r="B3208" s="152"/>
      <c r="E3208" s="102"/>
      <c r="F3208" s="102"/>
      <c r="G3208" s="102"/>
      <c r="I3208" s="93"/>
      <c r="J3208" s="93"/>
    </row>
    <row r="3209" spans="1:10" s="65" customFormat="1" ht="14" x14ac:dyDescent="0.35">
      <c r="A3209" s="145"/>
      <c r="B3209" s="152"/>
      <c r="E3209" s="102"/>
      <c r="F3209" s="102"/>
      <c r="G3209" s="102"/>
      <c r="I3209" s="93"/>
      <c r="J3209" s="93"/>
    </row>
    <row r="3210" spans="1:10" s="65" customFormat="1" ht="14" x14ac:dyDescent="0.35">
      <c r="A3210" s="145"/>
      <c r="B3210" s="152"/>
      <c r="E3210" s="102"/>
      <c r="F3210" s="102"/>
      <c r="G3210" s="102"/>
      <c r="I3210" s="93"/>
      <c r="J3210" s="93"/>
    </row>
    <row r="3211" spans="1:10" s="65" customFormat="1" ht="14" x14ac:dyDescent="0.35">
      <c r="A3211" s="145"/>
      <c r="B3211" s="152"/>
      <c r="E3211" s="102"/>
      <c r="F3211" s="102"/>
      <c r="G3211" s="102"/>
      <c r="I3211" s="93"/>
      <c r="J3211" s="93"/>
    </row>
    <row r="3212" spans="1:10" s="65" customFormat="1" ht="14" x14ac:dyDescent="0.35">
      <c r="A3212" s="145"/>
      <c r="B3212" s="152"/>
      <c r="E3212" s="102"/>
      <c r="F3212" s="102"/>
      <c r="G3212" s="102"/>
      <c r="I3212" s="93"/>
      <c r="J3212" s="93"/>
    </row>
    <row r="3213" spans="1:10" s="65" customFormat="1" ht="14" x14ac:dyDescent="0.35">
      <c r="A3213" s="145"/>
      <c r="B3213" s="152"/>
      <c r="E3213" s="102"/>
      <c r="F3213" s="102"/>
      <c r="G3213" s="102"/>
      <c r="I3213" s="93"/>
      <c r="J3213" s="93"/>
    </row>
    <row r="3214" spans="1:10" s="65" customFormat="1" ht="14" x14ac:dyDescent="0.35">
      <c r="A3214" s="145"/>
      <c r="B3214" s="152"/>
      <c r="E3214" s="102"/>
      <c r="F3214" s="102"/>
      <c r="G3214" s="102"/>
      <c r="I3214" s="93"/>
      <c r="J3214" s="93"/>
    </row>
    <row r="3215" spans="1:10" s="65" customFormat="1" ht="14" x14ac:dyDescent="0.35">
      <c r="A3215" s="145"/>
      <c r="B3215" s="152"/>
      <c r="E3215" s="102"/>
      <c r="F3215" s="102"/>
      <c r="G3215" s="102"/>
      <c r="I3215" s="93"/>
      <c r="J3215" s="93"/>
    </row>
    <row r="3216" spans="1:10" s="65" customFormat="1" ht="14" x14ac:dyDescent="0.35">
      <c r="A3216" s="145"/>
      <c r="B3216" s="152"/>
      <c r="E3216" s="102"/>
      <c r="F3216" s="102"/>
      <c r="G3216" s="102"/>
      <c r="I3216" s="93"/>
      <c r="J3216" s="93"/>
    </row>
    <row r="3217" spans="1:10" s="65" customFormat="1" ht="14" x14ac:dyDescent="0.35">
      <c r="A3217" s="145"/>
      <c r="B3217" s="152"/>
      <c r="E3217" s="102"/>
      <c r="F3217" s="102"/>
      <c r="G3217" s="102"/>
      <c r="I3217" s="93"/>
      <c r="J3217" s="93"/>
    </row>
    <row r="3218" spans="1:10" s="65" customFormat="1" ht="14" x14ac:dyDescent="0.35">
      <c r="A3218" s="145"/>
      <c r="B3218" s="152"/>
      <c r="E3218" s="102"/>
      <c r="F3218" s="102"/>
      <c r="G3218" s="102"/>
      <c r="I3218" s="93"/>
      <c r="J3218" s="93"/>
    </row>
    <row r="3219" spans="1:10" s="65" customFormat="1" ht="14" x14ac:dyDescent="0.35">
      <c r="A3219" s="145"/>
      <c r="B3219" s="152"/>
      <c r="E3219" s="102"/>
      <c r="F3219" s="102"/>
      <c r="G3219" s="102"/>
      <c r="I3219" s="93"/>
      <c r="J3219" s="93"/>
    </row>
    <row r="3220" spans="1:10" s="65" customFormat="1" ht="14" x14ac:dyDescent="0.35">
      <c r="A3220" s="145"/>
      <c r="B3220" s="152"/>
      <c r="E3220" s="102"/>
      <c r="F3220" s="102"/>
      <c r="G3220" s="102"/>
      <c r="I3220" s="93"/>
      <c r="J3220" s="93"/>
    </row>
    <row r="3221" spans="1:10" s="65" customFormat="1" ht="14" x14ac:dyDescent="0.35">
      <c r="A3221" s="145"/>
      <c r="B3221" s="152"/>
      <c r="E3221" s="102"/>
      <c r="F3221" s="102"/>
      <c r="G3221" s="102"/>
      <c r="I3221" s="93"/>
      <c r="J3221" s="93"/>
    </row>
    <row r="3222" spans="1:10" s="65" customFormat="1" ht="14" x14ac:dyDescent="0.35">
      <c r="A3222" s="145"/>
      <c r="B3222" s="152"/>
      <c r="E3222" s="102"/>
      <c r="F3222" s="102"/>
      <c r="G3222" s="102"/>
      <c r="I3222" s="93"/>
      <c r="J3222" s="93"/>
    </row>
    <row r="3223" spans="1:10" s="65" customFormat="1" ht="14" x14ac:dyDescent="0.35">
      <c r="A3223" s="145"/>
      <c r="B3223" s="152"/>
      <c r="E3223" s="102"/>
      <c r="F3223" s="102"/>
      <c r="G3223" s="102"/>
      <c r="I3223" s="93"/>
      <c r="J3223" s="93"/>
    </row>
    <row r="3224" spans="1:10" s="65" customFormat="1" ht="14" x14ac:dyDescent="0.35">
      <c r="A3224" s="145"/>
      <c r="B3224" s="152"/>
      <c r="E3224" s="102"/>
      <c r="F3224" s="102"/>
      <c r="G3224" s="102"/>
      <c r="I3224" s="93"/>
      <c r="J3224" s="93"/>
    </row>
    <row r="3225" spans="1:10" s="65" customFormat="1" ht="14" x14ac:dyDescent="0.35">
      <c r="A3225" s="145"/>
      <c r="B3225" s="152"/>
      <c r="E3225" s="102"/>
      <c r="F3225" s="102"/>
      <c r="G3225" s="102"/>
      <c r="I3225" s="93"/>
      <c r="J3225" s="93"/>
    </row>
    <row r="3226" spans="1:10" s="65" customFormat="1" ht="14" x14ac:dyDescent="0.35">
      <c r="A3226" s="145"/>
      <c r="B3226" s="152"/>
      <c r="E3226" s="102"/>
      <c r="F3226" s="102"/>
      <c r="G3226" s="102"/>
      <c r="I3226" s="93"/>
      <c r="J3226" s="93"/>
    </row>
    <row r="3227" spans="1:10" s="65" customFormat="1" ht="14" x14ac:dyDescent="0.35">
      <c r="A3227" s="145"/>
      <c r="B3227" s="152"/>
      <c r="E3227" s="102"/>
      <c r="F3227" s="102"/>
      <c r="G3227" s="102"/>
      <c r="I3227" s="93"/>
      <c r="J3227" s="93"/>
    </row>
    <row r="3228" spans="1:10" s="65" customFormat="1" ht="14" x14ac:dyDescent="0.35">
      <c r="A3228" s="145"/>
      <c r="B3228" s="152"/>
      <c r="E3228" s="102"/>
      <c r="F3228" s="102"/>
      <c r="G3228" s="102"/>
      <c r="I3228" s="93"/>
      <c r="J3228" s="93"/>
    </row>
    <row r="3229" spans="1:10" s="65" customFormat="1" ht="14" x14ac:dyDescent="0.35">
      <c r="A3229" s="145"/>
      <c r="B3229" s="152"/>
      <c r="E3229" s="102"/>
      <c r="F3229" s="102"/>
      <c r="G3229" s="102"/>
      <c r="I3229" s="93"/>
      <c r="J3229" s="93"/>
    </row>
    <row r="3230" spans="1:10" s="65" customFormat="1" ht="14" x14ac:dyDescent="0.35">
      <c r="A3230" s="145"/>
      <c r="B3230" s="152"/>
      <c r="E3230" s="102"/>
      <c r="F3230" s="102"/>
      <c r="G3230" s="102"/>
      <c r="I3230" s="93"/>
      <c r="J3230" s="93"/>
    </row>
    <row r="3231" spans="1:10" s="65" customFormat="1" ht="14" x14ac:dyDescent="0.35">
      <c r="A3231" s="145"/>
      <c r="B3231" s="152"/>
      <c r="E3231" s="102"/>
      <c r="F3231" s="102"/>
      <c r="G3231" s="102"/>
      <c r="I3231" s="93"/>
      <c r="J3231" s="93"/>
    </row>
    <row r="3232" spans="1:10" s="65" customFormat="1" ht="14" x14ac:dyDescent="0.35">
      <c r="A3232" s="145"/>
      <c r="B3232" s="152"/>
      <c r="E3232" s="102"/>
      <c r="F3232" s="102"/>
      <c r="G3232" s="102"/>
      <c r="I3232" s="93"/>
      <c r="J3232" s="93"/>
    </row>
    <row r="3233" spans="1:10" s="65" customFormat="1" ht="14" x14ac:dyDescent="0.35">
      <c r="A3233" s="145"/>
      <c r="B3233" s="152"/>
      <c r="E3233" s="102"/>
      <c r="F3233" s="102"/>
      <c r="G3233" s="102"/>
      <c r="I3233" s="93"/>
      <c r="J3233" s="93"/>
    </row>
    <row r="3234" spans="1:10" s="65" customFormat="1" ht="14" x14ac:dyDescent="0.35">
      <c r="A3234" s="145"/>
      <c r="B3234" s="152"/>
      <c r="E3234" s="102"/>
      <c r="F3234" s="102"/>
      <c r="G3234" s="102"/>
      <c r="I3234" s="93"/>
      <c r="J3234" s="93"/>
    </row>
    <row r="3235" spans="1:10" s="65" customFormat="1" ht="14" x14ac:dyDescent="0.35">
      <c r="A3235" s="145"/>
      <c r="B3235" s="152"/>
      <c r="E3235" s="102"/>
      <c r="F3235" s="102"/>
      <c r="G3235" s="102"/>
      <c r="I3235" s="93"/>
      <c r="J3235" s="93"/>
    </row>
    <row r="3236" spans="1:10" s="65" customFormat="1" ht="14" x14ac:dyDescent="0.35">
      <c r="A3236" s="145"/>
      <c r="B3236" s="152"/>
      <c r="E3236" s="102"/>
      <c r="F3236" s="102"/>
      <c r="G3236" s="102"/>
      <c r="I3236" s="93"/>
      <c r="J3236" s="93"/>
    </row>
    <row r="3237" spans="1:10" s="65" customFormat="1" ht="14" x14ac:dyDescent="0.35">
      <c r="A3237" s="145"/>
      <c r="B3237" s="152"/>
      <c r="E3237" s="102"/>
      <c r="F3237" s="102"/>
      <c r="G3237" s="102"/>
      <c r="I3237" s="93"/>
      <c r="J3237" s="93"/>
    </row>
    <row r="3238" spans="1:10" s="65" customFormat="1" ht="14" x14ac:dyDescent="0.35">
      <c r="A3238" s="145"/>
      <c r="B3238" s="152"/>
      <c r="E3238" s="102"/>
      <c r="F3238" s="102"/>
      <c r="G3238" s="102"/>
      <c r="I3238" s="93"/>
      <c r="J3238" s="93"/>
    </row>
    <row r="3239" spans="1:10" s="65" customFormat="1" ht="14" x14ac:dyDescent="0.35">
      <c r="A3239" s="145"/>
      <c r="B3239" s="152"/>
      <c r="E3239" s="102"/>
      <c r="F3239" s="102"/>
      <c r="G3239" s="102"/>
      <c r="I3239" s="93"/>
      <c r="J3239" s="93"/>
    </row>
    <row r="3240" spans="1:10" s="65" customFormat="1" ht="14" x14ac:dyDescent="0.35">
      <c r="A3240" s="145"/>
      <c r="B3240" s="152"/>
      <c r="E3240" s="102"/>
      <c r="F3240" s="102"/>
      <c r="G3240" s="102"/>
      <c r="I3240" s="93"/>
      <c r="J3240" s="93"/>
    </row>
    <row r="3241" spans="1:10" s="65" customFormat="1" ht="14" x14ac:dyDescent="0.35">
      <c r="A3241" s="145"/>
      <c r="B3241" s="152"/>
      <c r="E3241" s="102"/>
      <c r="F3241" s="102"/>
      <c r="G3241" s="102"/>
      <c r="I3241" s="93"/>
      <c r="J3241" s="93"/>
    </row>
    <row r="3242" spans="1:10" s="65" customFormat="1" ht="14" x14ac:dyDescent="0.35">
      <c r="A3242" s="145"/>
      <c r="B3242" s="152"/>
      <c r="E3242" s="102"/>
      <c r="F3242" s="102"/>
      <c r="G3242" s="102"/>
      <c r="I3242" s="93"/>
      <c r="J3242" s="93"/>
    </row>
    <row r="3243" spans="1:10" s="65" customFormat="1" ht="14" x14ac:dyDescent="0.35">
      <c r="A3243" s="145"/>
      <c r="B3243" s="152"/>
      <c r="E3243" s="102"/>
      <c r="F3243" s="102"/>
      <c r="G3243" s="102"/>
      <c r="I3243" s="93"/>
      <c r="J3243" s="93"/>
    </row>
    <row r="3244" spans="1:10" s="65" customFormat="1" ht="14" x14ac:dyDescent="0.35">
      <c r="A3244" s="145"/>
      <c r="B3244" s="152"/>
      <c r="E3244" s="102"/>
      <c r="F3244" s="102"/>
      <c r="G3244" s="102"/>
      <c r="I3244" s="93"/>
      <c r="J3244" s="93"/>
    </row>
    <row r="3245" spans="1:10" s="65" customFormat="1" ht="14" x14ac:dyDescent="0.35">
      <c r="A3245" s="145"/>
      <c r="B3245" s="152"/>
      <c r="E3245" s="102"/>
      <c r="F3245" s="102"/>
      <c r="G3245" s="102"/>
      <c r="I3245" s="93"/>
      <c r="J3245" s="93"/>
    </row>
    <row r="3246" spans="1:10" s="65" customFormat="1" ht="14" x14ac:dyDescent="0.35">
      <c r="A3246" s="145"/>
      <c r="B3246" s="152"/>
      <c r="E3246" s="102"/>
      <c r="F3246" s="102"/>
      <c r="G3246" s="102"/>
      <c r="I3246" s="93"/>
      <c r="J3246" s="93"/>
    </row>
    <row r="3247" spans="1:10" s="65" customFormat="1" ht="14" x14ac:dyDescent="0.35">
      <c r="A3247" s="145"/>
      <c r="B3247" s="152"/>
      <c r="E3247" s="102"/>
      <c r="F3247" s="102"/>
      <c r="G3247" s="102"/>
      <c r="I3247" s="93"/>
      <c r="J3247" s="93"/>
    </row>
    <row r="3248" spans="1:10" s="65" customFormat="1" ht="14" x14ac:dyDescent="0.35">
      <c r="A3248" s="145"/>
      <c r="B3248" s="152"/>
      <c r="E3248" s="102"/>
      <c r="F3248" s="102"/>
      <c r="G3248" s="102"/>
      <c r="I3248" s="93"/>
      <c r="J3248" s="93"/>
    </row>
    <row r="3249" spans="1:10" s="65" customFormat="1" ht="14" x14ac:dyDescent="0.35">
      <c r="A3249" s="145"/>
      <c r="B3249" s="152"/>
      <c r="E3249" s="102"/>
      <c r="F3249" s="102"/>
      <c r="G3249" s="102"/>
      <c r="I3249" s="93"/>
      <c r="J3249" s="93"/>
    </row>
    <row r="3250" spans="1:10" s="65" customFormat="1" ht="14" x14ac:dyDescent="0.35">
      <c r="A3250" s="145"/>
      <c r="B3250" s="152"/>
      <c r="E3250" s="102"/>
      <c r="F3250" s="102"/>
      <c r="G3250" s="102"/>
      <c r="I3250" s="93"/>
      <c r="J3250" s="93"/>
    </row>
    <row r="3251" spans="1:10" s="65" customFormat="1" ht="14" x14ac:dyDescent="0.35">
      <c r="A3251" s="145"/>
      <c r="B3251" s="152"/>
      <c r="E3251" s="102"/>
      <c r="F3251" s="102"/>
      <c r="G3251" s="102"/>
      <c r="I3251" s="93"/>
      <c r="J3251" s="93"/>
    </row>
    <row r="3252" spans="1:10" s="65" customFormat="1" ht="14" x14ac:dyDescent="0.35">
      <c r="A3252" s="145"/>
      <c r="B3252" s="152"/>
      <c r="E3252" s="102"/>
      <c r="F3252" s="102"/>
      <c r="G3252" s="102"/>
      <c r="I3252" s="93"/>
      <c r="J3252" s="93"/>
    </row>
    <row r="3253" spans="1:10" s="65" customFormat="1" ht="14" x14ac:dyDescent="0.35">
      <c r="A3253" s="145"/>
      <c r="B3253" s="152"/>
      <c r="E3253" s="102"/>
      <c r="F3253" s="102"/>
      <c r="G3253" s="102"/>
      <c r="I3253" s="93"/>
      <c r="J3253" s="93"/>
    </row>
    <row r="3254" spans="1:10" s="65" customFormat="1" ht="14" x14ac:dyDescent="0.35">
      <c r="A3254" s="145"/>
      <c r="B3254" s="152"/>
      <c r="E3254" s="102"/>
      <c r="F3254" s="102"/>
      <c r="G3254" s="102"/>
      <c r="I3254" s="93"/>
      <c r="J3254" s="93"/>
    </row>
    <row r="3255" spans="1:10" s="65" customFormat="1" ht="14" x14ac:dyDescent="0.35">
      <c r="A3255" s="145"/>
      <c r="B3255" s="152"/>
      <c r="E3255" s="102"/>
      <c r="F3255" s="102"/>
      <c r="G3255" s="102"/>
      <c r="I3255" s="93"/>
      <c r="J3255" s="93"/>
    </row>
    <row r="3256" spans="1:10" s="65" customFormat="1" ht="14" x14ac:dyDescent="0.35">
      <c r="A3256" s="145"/>
      <c r="B3256" s="152"/>
      <c r="E3256" s="102"/>
      <c r="F3256" s="102"/>
      <c r="G3256" s="102"/>
      <c r="I3256" s="93"/>
      <c r="J3256" s="93"/>
    </row>
    <row r="3257" spans="1:10" s="65" customFormat="1" ht="14" x14ac:dyDescent="0.35">
      <c r="A3257" s="145"/>
      <c r="B3257" s="152"/>
      <c r="E3257" s="102"/>
      <c r="F3257" s="102"/>
      <c r="G3257" s="102"/>
      <c r="I3257" s="93"/>
      <c r="J3257" s="93"/>
    </row>
    <row r="3258" spans="1:10" s="65" customFormat="1" ht="14" x14ac:dyDescent="0.35">
      <c r="A3258" s="145"/>
      <c r="B3258" s="152"/>
      <c r="E3258" s="102"/>
      <c r="F3258" s="102"/>
      <c r="G3258" s="102"/>
      <c r="I3258" s="93"/>
      <c r="J3258" s="93"/>
    </row>
    <row r="3259" spans="1:10" s="65" customFormat="1" ht="14" x14ac:dyDescent="0.35">
      <c r="A3259" s="145"/>
      <c r="B3259" s="152"/>
      <c r="E3259" s="102"/>
      <c r="F3259" s="102"/>
      <c r="G3259" s="102"/>
      <c r="I3259" s="93"/>
      <c r="J3259" s="93"/>
    </row>
    <row r="3260" spans="1:10" s="65" customFormat="1" ht="14" x14ac:dyDescent="0.35">
      <c r="A3260" s="145"/>
      <c r="B3260" s="152"/>
      <c r="E3260" s="102"/>
      <c r="F3260" s="102"/>
      <c r="G3260" s="102"/>
      <c r="I3260" s="93"/>
      <c r="J3260" s="93"/>
    </row>
    <row r="3261" spans="1:10" s="65" customFormat="1" ht="14" x14ac:dyDescent="0.35">
      <c r="A3261" s="145"/>
      <c r="B3261" s="152"/>
      <c r="E3261" s="102"/>
      <c r="F3261" s="102"/>
      <c r="G3261" s="102"/>
      <c r="I3261" s="93"/>
      <c r="J3261" s="93"/>
    </row>
    <row r="3262" spans="1:10" s="65" customFormat="1" ht="14" x14ac:dyDescent="0.35">
      <c r="A3262" s="145"/>
      <c r="B3262" s="152"/>
      <c r="E3262" s="102"/>
      <c r="F3262" s="102"/>
      <c r="G3262" s="102"/>
      <c r="I3262" s="93"/>
      <c r="J3262" s="93"/>
    </row>
    <row r="3263" spans="1:10" s="65" customFormat="1" ht="14" x14ac:dyDescent="0.35">
      <c r="A3263" s="145"/>
      <c r="B3263" s="152"/>
      <c r="E3263" s="102"/>
      <c r="F3263" s="102"/>
      <c r="G3263" s="102"/>
      <c r="I3263" s="93"/>
      <c r="J3263" s="93"/>
    </row>
    <row r="3264" spans="1:10" s="65" customFormat="1" ht="14" x14ac:dyDescent="0.35">
      <c r="A3264" s="145"/>
      <c r="B3264" s="152"/>
      <c r="E3264" s="102"/>
      <c r="F3264" s="102"/>
      <c r="G3264" s="102"/>
      <c r="I3264" s="93"/>
      <c r="J3264" s="93"/>
    </row>
    <row r="3265" spans="1:10" s="65" customFormat="1" ht="14" x14ac:dyDescent="0.35">
      <c r="A3265" s="145"/>
      <c r="B3265" s="152"/>
      <c r="E3265" s="102"/>
      <c r="F3265" s="102"/>
      <c r="G3265" s="102"/>
      <c r="I3265" s="93"/>
      <c r="J3265" s="93"/>
    </row>
    <row r="3266" spans="1:10" s="65" customFormat="1" ht="14" x14ac:dyDescent="0.35">
      <c r="A3266" s="145"/>
      <c r="B3266" s="152"/>
      <c r="E3266" s="102"/>
      <c r="F3266" s="102"/>
      <c r="G3266" s="102"/>
      <c r="I3266" s="93"/>
      <c r="J3266" s="93"/>
    </row>
    <row r="3267" spans="1:10" s="65" customFormat="1" ht="14" x14ac:dyDescent="0.35">
      <c r="A3267" s="145"/>
      <c r="B3267" s="152"/>
      <c r="E3267" s="102"/>
      <c r="F3267" s="102"/>
      <c r="G3267" s="102"/>
      <c r="I3267" s="93"/>
      <c r="J3267" s="93"/>
    </row>
    <row r="3268" spans="1:10" s="65" customFormat="1" ht="14" x14ac:dyDescent="0.35">
      <c r="A3268" s="145"/>
      <c r="B3268" s="152"/>
      <c r="E3268" s="102"/>
      <c r="F3268" s="102"/>
      <c r="G3268" s="102"/>
      <c r="I3268" s="93"/>
      <c r="J3268" s="93"/>
    </row>
    <row r="3269" spans="1:10" s="65" customFormat="1" ht="14" x14ac:dyDescent="0.35">
      <c r="A3269" s="145"/>
      <c r="B3269" s="152"/>
      <c r="E3269" s="102"/>
      <c r="F3269" s="102"/>
      <c r="G3269" s="102"/>
      <c r="I3269" s="93"/>
      <c r="J3269" s="93"/>
    </row>
    <row r="3270" spans="1:10" s="65" customFormat="1" ht="14" x14ac:dyDescent="0.35">
      <c r="A3270" s="145"/>
      <c r="B3270" s="152"/>
      <c r="E3270" s="102"/>
      <c r="F3270" s="102"/>
      <c r="G3270" s="102"/>
      <c r="I3270" s="93"/>
      <c r="J3270" s="93"/>
    </row>
    <row r="3271" spans="1:10" s="65" customFormat="1" ht="14" x14ac:dyDescent="0.35">
      <c r="A3271" s="145"/>
      <c r="B3271" s="152"/>
      <c r="E3271" s="102"/>
      <c r="F3271" s="102"/>
      <c r="G3271" s="102"/>
      <c r="I3271" s="93"/>
      <c r="J3271" s="93"/>
    </row>
    <row r="3272" spans="1:10" s="65" customFormat="1" ht="14" x14ac:dyDescent="0.35">
      <c r="A3272" s="145"/>
      <c r="B3272" s="152"/>
      <c r="E3272" s="102"/>
      <c r="F3272" s="102"/>
      <c r="G3272" s="102"/>
      <c r="I3272" s="93"/>
      <c r="J3272" s="93"/>
    </row>
    <row r="3273" spans="1:10" s="65" customFormat="1" ht="14" x14ac:dyDescent="0.35">
      <c r="A3273" s="145"/>
      <c r="B3273" s="152"/>
      <c r="E3273" s="102"/>
      <c r="F3273" s="102"/>
      <c r="G3273" s="102"/>
      <c r="I3273" s="93"/>
      <c r="J3273" s="93"/>
    </row>
    <row r="3274" spans="1:10" s="65" customFormat="1" ht="14" x14ac:dyDescent="0.35">
      <c r="A3274" s="145"/>
      <c r="B3274" s="152"/>
      <c r="E3274" s="102"/>
      <c r="F3274" s="102"/>
      <c r="G3274" s="102"/>
      <c r="I3274" s="93"/>
      <c r="J3274" s="93"/>
    </row>
    <row r="3275" spans="1:10" s="65" customFormat="1" ht="14" x14ac:dyDescent="0.35">
      <c r="A3275" s="145"/>
      <c r="B3275" s="152"/>
      <c r="E3275" s="102"/>
      <c r="F3275" s="102"/>
      <c r="G3275" s="102"/>
      <c r="I3275" s="93"/>
      <c r="J3275" s="93"/>
    </row>
    <row r="3276" spans="1:10" s="65" customFormat="1" ht="14" x14ac:dyDescent="0.35">
      <c r="A3276" s="145"/>
      <c r="B3276" s="152"/>
      <c r="E3276" s="102"/>
      <c r="F3276" s="102"/>
      <c r="G3276" s="102"/>
      <c r="I3276" s="93"/>
      <c r="J3276" s="93"/>
    </row>
    <row r="3277" spans="1:10" s="65" customFormat="1" ht="14" x14ac:dyDescent="0.35">
      <c r="A3277" s="145"/>
      <c r="B3277" s="152"/>
      <c r="E3277" s="102"/>
      <c r="F3277" s="102"/>
      <c r="G3277" s="102"/>
      <c r="I3277" s="93"/>
      <c r="J3277" s="93"/>
    </row>
    <row r="3278" spans="1:10" s="65" customFormat="1" ht="14" x14ac:dyDescent="0.35">
      <c r="A3278" s="145"/>
      <c r="B3278" s="152"/>
      <c r="E3278" s="102"/>
      <c r="F3278" s="102"/>
      <c r="G3278" s="102"/>
      <c r="I3278" s="93"/>
      <c r="J3278" s="93"/>
    </row>
    <row r="3279" spans="1:10" s="65" customFormat="1" ht="14" x14ac:dyDescent="0.35">
      <c r="A3279" s="145"/>
      <c r="B3279" s="152"/>
      <c r="E3279" s="102"/>
      <c r="F3279" s="102"/>
      <c r="G3279" s="102"/>
      <c r="I3279" s="93"/>
      <c r="J3279" s="93"/>
    </row>
    <row r="3280" spans="1:10" s="65" customFormat="1" ht="14" x14ac:dyDescent="0.35">
      <c r="A3280" s="145"/>
      <c r="B3280" s="152"/>
      <c r="E3280" s="102"/>
      <c r="F3280" s="102"/>
      <c r="G3280" s="102"/>
      <c r="I3280" s="93"/>
      <c r="J3280" s="93"/>
    </row>
    <row r="3281" spans="1:10" s="65" customFormat="1" ht="14" x14ac:dyDescent="0.35">
      <c r="A3281" s="145"/>
      <c r="B3281" s="152"/>
      <c r="E3281" s="102"/>
      <c r="F3281" s="102"/>
      <c r="G3281" s="102"/>
      <c r="I3281" s="93"/>
      <c r="J3281" s="93"/>
    </row>
    <row r="3282" spans="1:10" s="65" customFormat="1" ht="14" x14ac:dyDescent="0.35">
      <c r="A3282" s="145"/>
      <c r="B3282" s="152"/>
      <c r="E3282" s="102"/>
      <c r="F3282" s="102"/>
      <c r="G3282" s="102"/>
      <c r="I3282" s="93"/>
      <c r="J3282" s="93"/>
    </row>
    <row r="3283" spans="1:10" s="65" customFormat="1" ht="14" x14ac:dyDescent="0.35">
      <c r="A3283" s="145"/>
      <c r="B3283" s="152"/>
      <c r="E3283" s="102"/>
      <c r="F3283" s="102"/>
      <c r="G3283" s="102"/>
      <c r="I3283" s="93"/>
      <c r="J3283" s="93"/>
    </row>
    <row r="3284" spans="1:10" s="65" customFormat="1" ht="14" x14ac:dyDescent="0.35">
      <c r="A3284" s="145"/>
      <c r="B3284" s="152"/>
      <c r="E3284" s="102"/>
      <c r="F3284" s="102"/>
      <c r="G3284" s="102"/>
      <c r="I3284" s="93"/>
      <c r="J3284" s="93"/>
    </row>
    <row r="3285" spans="1:10" s="65" customFormat="1" ht="14" x14ac:dyDescent="0.35">
      <c r="A3285" s="145"/>
      <c r="B3285" s="152"/>
      <c r="E3285" s="102"/>
      <c r="F3285" s="102"/>
      <c r="G3285" s="102"/>
      <c r="I3285" s="93"/>
      <c r="J3285" s="93"/>
    </row>
    <row r="3286" spans="1:10" s="65" customFormat="1" ht="14" x14ac:dyDescent="0.35">
      <c r="A3286" s="145"/>
      <c r="B3286" s="152"/>
      <c r="E3286" s="102"/>
      <c r="F3286" s="102"/>
      <c r="G3286" s="102"/>
      <c r="I3286" s="93"/>
      <c r="J3286" s="93"/>
    </row>
    <row r="3287" spans="1:10" s="65" customFormat="1" ht="14" x14ac:dyDescent="0.35">
      <c r="A3287" s="145"/>
      <c r="B3287" s="152"/>
      <c r="E3287" s="102"/>
      <c r="F3287" s="102"/>
      <c r="G3287" s="102"/>
      <c r="I3287" s="93"/>
      <c r="J3287" s="93"/>
    </row>
    <row r="3288" spans="1:10" s="65" customFormat="1" ht="14" x14ac:dyDescent="0.35">
      <c r="A3288" s="145"/>
      <c r="B3288" s="152"/>
      <c r="E3288" s="102"/>
      <c r="F3288" s="102"/>
      <c r="G3288" s="102"/>
      <c r="I3288" s="93"/>
      <c r="J3288" s="93"/>
    </row>
    <row r="3289" spans="1:10" s="65" customFormat="1" ht="14" x14ac:dyDescent="0.35">
      <c r="A3289" s="145"/>
      <c r="B3289" s="152"/>
      <c r="E3289" s="102"/>
      <c r="F3289" s="102"/>
      <c r="G3289" s="102"/>
      <c r="I3289" s="93"/>
      <c r="J3289" s="93"/>
    </row>
    <row r="3290" spans="1:10" s="65" customFormat="1" ht="14" x14ac:dyDescent="0.35">
      <c r="A3290" s="145"/>
      <c r="B3290" s="152"/>
      <c r="E3290" s="102"/>
      <c r="F3290" s="102"/>
      <c r="G3290" s="102"/>
      <c r="I3290" s="93"/>
      <c r="J3290" s="93"/>
    </row>
    <row r="3291" spans="1:10" s="65" customFormat="1" ht="14" x14ac:dyDescent="0.35">
      <c r="A3291" s="145"/>
      <c r="B3291" s="152"/>
      <c r="E3291" s="102"/>
      <c r="F3291" s="102"/>
      <c r="G3291" s="102"/>
      <c r="I3291" s="93"/>
      <c r="J3291" s="93"/>
    </row>
    <row r="3292" spans="1:10" s="65" customFormat="1" ht="14" x14ac:dyDescent="0.35">
      <c r="A3292" s="145"/>
      <c r="B3292" s="152"/>
      <c r="E3292" s="102"/>
      <c r="F3292" s="102"/>
      <c r="G3292" s="102"/>
      <c r="I3292" s="93"/>
      <c r="J3292" s="93"/>
    </row>
    <row r="3293" spans="1:10" s="65" customFormat="1" ht="14" x14ac:dyDescent="0.35">
      <c r="A3293" s="145"/>
      <c r="B3293" s="152"/>
      <c r="E3293" s="102"/>
      <c r="F3293" s="102"/>
      <c r="G3293" s="102"/>
      <c r="I3293" s="93"/>
      <c r="J3293" s="93"/>
    </row>
    <row r="3294" spans="1:10" s="65" customFormat="1" ht="14" x14ac:dyDescent="0.35">
      <c r="A3294" s="145"/>
      <c r="B3294" s="152"/>
      <c r="E3294" s="102"/>
      <c r="F3294" s="102"/>
      <c r="G3294" s="102"/>
      <c r="I3294" s="93"/>
      <c r="J3294" s="93"/>
    </row>
    <row r="3295" spans="1:10" s="65" customFormat="1" ht="14" x14ac:dyDescent="0.35">
      <c r="A3295" s="145"/>
      <c r="B3295" s="152"/>
      <c r="E3295" s="102"/>
      <c r="F3295" s="102"/>
      <c r="G3295" s="102"/>
      <c r="I3295" s="93"/>
      <c r="J3295" s="93"/>
    </row>
    <row r="3296" spans="1:10" s="65" customFormat="1" ht="14" x14ac:dyDescent="0.35">
      <c r="A3296" s="145"/>
      <c r="B3296" s="152"/>
      <c r="E3296" s="102"/>
      <c r="F3296" s="102"/>
      <c r="G3296" s="102"/>
      <c r="I3296" s="93"/>
      <c r="J3296" s="93"/>
    </row>
    <row r="3297" spans="1:10" s="65" customFormat="1" ht="14" x14ac:dyDescent="0.35">
      <c r="A3297" s="145"/>
      <c r="B3297" s="152"/>
      <c r="E3297" s="102"/>
      <c r="F3297" s="102"/>
      <c r="G3297" s="102"/>
      <c r="I3297" s="93"/>
      <c r="J3297" s="93"/>
    </row>
    <row r="3298" spans="1:10" s="65" customFormat="1" ht="14" x14ac:dyDescent="0.35">
      <c r="A3298" s="145"/>
      <c r="B3298" s="152"/>
      <c r="E3298" s="102"/>
      <c r="F3298" s="102"/>
      <c r="G3298" s="102"/>
      <c r="I3298" s="93"/>
      <c r="J3298" s="93"/>
    </row>
    <row r="3299" spans="1:10" s="65" customFormat="1" ht="14" x14ac:dyDescent="0.35">
      <c r="A3299" s="145"/>
      <c r="B3299" s="152"/>
      <c r="E3299" s="102"/>
      <c r="F3299" s="102"/>
      <c r="G3299" s="102"/>
      <c r="I3299" s="93"/>
      <c r="J3299" s="93"/>
    </row>
    <row r="3300" spans="1:10" s="65" customFormat="1" ht="14" x14ac:dyDescent="0.35">
      <c r="A3300" s="145"/>
      <c r="B3300" s="152"/>
      <c r="E3300" s="102"/>
      <c r="F3300" s="102"/>
      <c r="G3300" s="102"/>
      <c r="I3300" s="93"/>
      <c r="J3300" s="93"/>
    </row>
    <row r="3301" spans="1:10" s="65" customFormat="1" ht="14" x14ac:dyDescent="0.35">
      <c r="A3301" s="145"/>
      <c r="B3301" s="152"/>
      <c r="E3301" s="102"/>
      <c r="F3301" s="102"/>
      <c r="G3301" s="102"/>
      <c r="I3301" s="93"/>
      <c r="J3301" s="93"/>
    </row>
    <row r="3302" spans="1:10" s="65" customFormat="1" ht="14" x14ac:dyDescent="0.35">
      <c r="A3302" s="145"/>
      <c r="B3302" s="152"/>
      <c r="E3302" s="102"/>
      <c r="F3302" s="102"/>
      <c r="G3302" s="102"/>
      <c r="I3302" s="93"/>
      <c r="J3302" s="93"/>
    </row>
    <row r="3303" spans="1:10" s="65" customFormat="1" ht="14" x14ac:dyDescent="0.35">
      <c r="A3303" s="145"/>
      <c r="B3303" s="152"/>
      <c r="E3303" s="102"/>
      <c r="F3303" s="102"/>
      <c r="G3303" s="102"/>
      <c r="I3303" s="93"/>
      <c r="J3303" s="93"/>
    </row>
    <row r="3304" spans="1:10" s="65" customFormat="1" ht="14" x14ac:dyDescent="0.35">
      <c r="A3304" s="145"/>
      <c r="B3304" s="152"/>
      <c r="E3304" s="102"/>
      <c r="F3304" s="102"/>
      <c r="G3304" s="102"/>
      <c r="I3304" s="93"/>
      <c r="J3304" s="93"/>
    </row>
    <row r="3305" spans="1:10" s="65" customFormat="1" ht="14" x14ac:dyDescent="0.35">
      <c r="A3305" s="145"/>
      <c r="B3305" s="152"/>
      <c r="E3305" s="102"/>
      <c r="F3305" s="102"/>
      <c r="G3305" s="102"/>
      <c r="I3305" s="93"/>
      <c r="J3305" s="93"/>
    </row>
    <row r="3306" spans="1:10" s="65" customFormat="1" ht="14" x14ac:dyDescent="0.35">
      <c r="A3306" s="145"/>
      <c r="B3306" s="152"/>
      <c r="E3306" s="102"/>
      <c r="F3306" s="102"/>
      <c r="G3306" s="102"/>
      <c r="I3306" s="93"/>
      <c r="J3306" s="93"/>
    </row>
    <row r="3307" spans="1:10" s="65" customFormat="1" ht="14" x14ac:dyDescent="0.35">
      <c r="A3307" s="145"/>
      <c r="B3307" s="152"/>
      <c r="E3307" s="102"/>
      <c r="F3307" s="102"/>
      <c r="G3307" s="102"/>
      <c r="I3307" s="93"/>
      <c r="J3307" s="93"/>
    </row>
    <row r="3308" spans="1:10" s="65" customFormat="1" ht="14" x14ac:dyDescent="0.35">
      <c r="A3308" s="145"/>
      <c r="B3308" s="152"/>
      <c r="E3308" s="102"/>
      <c r="F3308" s="102"/>
      <c r="G3308" s="102"/>
      <c r="I3308" s="93"/>
      <c r="J3308" s="93"/>
    </row>
    <row r="3309" spans="1:10" s="65" customFormat="1" ht="14" x14ac:dyDescent="0.35">
      <c r="A3309" s="145"/>
      <c r="B3309" s="152"/>
      <c r="E3309" s="102"/>
      <c r="F3309" s="102"/>
      <c r="G3309" s="102"/>
      <c r="I3309" s="93"/>
      <c r="J3309" s="93"/>
    </row>
    <row r="3310" spans="1:10" s="65" customFormat="1" ht="14" x14ac:dyDescent="0.35">
      <c r="A3310" s="145"/>
      <c r="B3310" s="152"/>
      <c r="E3310" s="102"/>
      <c r="F3310" s="102"/>
      <c r="G3310" s="102"/>
      <c r="I3310" s="93"/>
      <c r="J3310" s="93"/>
    </row>
    <row r="3311" spans="1:10" s="65" customFormat="1" ht="14" x14ac:dyDescent="0.35">
      <c r="A3311" s="145"/>
      <c r="B3311" s="152"/>
      <c r="E3311" s="102"/>
      <c r="F3311" s="102"/>
      <c r="G3311" s="102"/>
      <c r="I3311" s="93"/>
      <c r="J3311" s="93"/>
    </row>
    <row r="3312" spans="1:10" s="65" customFormat="1" ht="14" x14ac:dyDescent="0.35">
      <c r="A3312" s="145"/>
      <c r="B3312" s="152"/>
      <c r="E3312" s="102"/>
      <c r="F3312" s="102"/>
      <c r="G3312" s="102"/>
      <c r="I3312" s="93"/>
      <c r="J3312" s="93"/>
    </row>
    <row r="3313" spans="1:10" s="65" customFormat="1" ht="14" x14ac:dyDescent="0.35">
      <c r="A3313" s="145"/>
      <c r="B3313" s="152"/>
      <c r="E3313" s="102"/>
      <c r="F3313" s="102"/>
      <c r="G3313" s="102"/>
      <c r="I3313" s="93"/>
      <c r="J3313" s="93"/>
    </row>
    <row r="3314" spans="1:10" s="65" customFormat="1" ht="14" x14ac:dyDescent="0.35">
      <c r="A3314" s="145"/>
      <c r="B3314" s="152"/>
      <c r="E3314" s="102"/>
      <c r="F3314" s="102"/>
      <c r="G3314" s="102"/>
      <c r="I3314" s="93"/>
      <c r="J3314" s="93"/>
    </row>
    <row r="3315" spans="1:10" s="65" customFormat="1" ht="14" x14ac:dyDescent="0.35">
      <c r="A3315" s="145"/>
      <c r="B3315" s="152"/>
      <c r="E3315" s="102"/>
      <c r="F3315" s="102"/>
      <c r="G3315" s="102"/>
      <c r="I3315" s="93"/>
      <c r="J3315" s="93"/>
    </row>
    <row r="3316" spans="1:10" s="65" customFormat="1" ht="14" x14ac:dyDescent="0.35">
      <c r="A3316" s="145"/>
      <c r="B3316" s="152"/>
      <c r="E3316" s="102"/>
      <c r="F3316" s="102"/>
      <c r="G3316" s="102"/>
      <c r="I3316" s="93"/>
      <c r="J3316" s="93"/>
    </row>
    <row r="3317" spans="1:10" s="65" customFormat="1" ht="14" x14ac:dyDescent="0.35">
      <c r="A3317" s="145"/>
      <c r="B3317" s="152"/>
      <c r="E3317" s="102"/>
      <c r="F3317" s="102"/>
      <c r="G3317" s="102"/>
      <c r="I3317" s="93"/>
      <c r="J3317" s="93"/>
    </row>
    <row r="3318" spans="1:10" s="65" customFormat="1" ht="14" x14ac:dyDescent="0.35">
      <c r="A3318" s="145"/>
      <c r="B3318" s="152"/>
      <c r="E3318" s="102"/>
      <c r="F3318" s="102"/>
      <c r="G3318" s="102"/>
      <c r="I3318" s="93"/>
      <c r="J3318" s="93"/>
    </row>
    <row r="3319" spans="1:10" s="65" customFormat="1" ht="14" x14ac:dyDescent="0.35">
      <c r="A3319" s="145"/>
      <c r="B3319" s="152"/>
      <c r="E3319" s="102"/>
      <c r="F3319" s="102"/>
      <c r="G3319" s="102"/>
      <c r="I3319" s="93"/>
      <c r="J3319" s="93"/>
    </row>
    <row r="3320" spans="1:10" s="65" customFormat="1" ht="14" x14ac:dyDescent="0.35">
      <c r="A3320" s="145"/>
      <c r="B3320" s="152"/>
      <c r="E3320" s="102"/>
      <c r="F3320" s="102"/>
      <c r="G3320" s="102"/>
      <c r="I3320" s="93"/>
      <c r="J3320" s="93"/>
    </row>
    <row r="3321" spans="1:10" s="65" customFormat="1" ht="14" x14ac:dyDescent="0.35">
      <c r="A3321" s="145"/>
      <c r="B3321" s="152"/>
      <c r="E3321" s="102"/>
      <c r="F3321" s="102"/>
      <c r="G3321" s="102"/>
      <c r="I3321" s="93"/>
      <c r="J3321" s="93"/>
    </row>
    <row r="3322" spans="1:10" s="65" customFormat="1" ht="14" x14ac:dyDescent="0.35">
      <c r="A3322" s="145"/>
      <c r="B3322" s="152"/>
      <c r="E3322" s="102"/>
      <c r="F3322" s="102"/>
      <c r="G3322" s="102"/>
      <c r="I3322" s="93"/>
      <c r="J3322" s="93"/>
    </row>
    <row r="3323" spans="1:10" s="65" customFormat="1" ht="14" x14ac:dyDescent="0.35">
      <c r="A3323" s="145"/>
      <c r="B3323" s="152"/>
      <c r="E3323" s="102"/>
      <c r="F3323" s="102"/>
      <c r="G3323" s="102"/>
      <c r="I3323" s="93"/>
      <c r="J3323" s="93"/>
    </row>
    <row r="3324" spans="1:10" s="65" customFormat="1" ht="14" x14ac:dyDescent="0.35">
      <c r="A3324" s="145"/>
      <c r="B3324" s="152"/>
      <c r="E3324" s="102"/>
      <c r="F3324" s="102"/>
      <c r="G3324" s="102"/>
      <c r="I3324" s="93"/>
      <c r="J3324" s="93"/>
    </row>
    <row r="3325" spans="1:10" s="65" customFormat="1" ht="14" x14ac:dyDescent="0.35">
      <c r="A3325" s="145"/>
      <c r="B3325" s="152"/>
      <c r="E3325" s="102"/>
      <c r="F3325" s="102"/>
      <c r="G3325" s="102"/>
      <c r="I3325" s="93"/>
      <c r="J3325" s="93"/>
    </row>
    <row r="3326" spans="1:10" s="65" customFormat="1" ht="14" x14ac:dyDescent="0.35">
      <c r="A3326" s="145"/>
      <c r="B3326" s="152"/>
      <c r="E3326" s="102"/>
      <c r="F3326" s="102"/>
      <c r="G3326" s="102"/>
      <c r="I3326" s="93"/>
      <c r="J3326" s="93"/>
    </row>
    <row r="3327" spans="1:10" s="65" customFormat="1" ht="14" x14ac:dyDescent="0.35">
      <c r="A3327" s="145"/>
      <c r="B3327" s="152"/>
      <c r="E3327" s="102"/>
      <c r="F3327" s="102"/>
      <c r="G3327" s="102"/>
      <c r="I3327" s="93"/>
      <c r="J3327" s="93"/>
    </row>
    <row r="3328" spans="1:10" s="65" customFormat="1" ht="14" x14ac:dyDescent="0.35">
      <c r="A3328" s="145"/>
      <c r="B3328" s="152"/>
      <c r="E3328" s="102"/>
      <c r="F3328" s="102"/>
      <c r="G3328" s="102"/>
      <c r="I3328" s="93"/>
      <c r="J3328" s="93"/>
    </row>
    <row r="3329" spans="1:10" s="65" customFormat="1" ht="14" x14ac:dyDescent="0.35">
      <c r="A3329" s="145"/>
      <c r="B3329" s="152"/>
      <c r="E3329" s="102"/>
      <c r="F3329" s="102"/>
      <c r="G3329" s="102"/>
      <c r="I3329" s="93"/>
      <c r="J3329" s="93"/>
    </row>
    <row r="3330" spans="1:10" s="65" customFormat="1" ht="14" x14ac:dyDescent="0.35">
      <c r="A3330" s="145"/>
      <c r="B3330" s="152"/>
      <c r="E3330" s="102"/>
      <c r="F3330" s="102"/>
      <c r="G3330" s="102"/>
      <c r="I3330" s="93"/>
      <c r="J3330" s="93"/>
    </row>
    <row r="3331" spans="1:10" s="65" customFormat="1" ht="14" x14ac:dyDescent="0.35">
      <c r="A3331" s="145"/>
      <c r="B3331" s="152"/>
      <c r="E3331" s="102"/>
      <c r="F3331" s="102"/>
      <c r="G3331" s="102"/>
      <c r="I3331" s="93"/>
      <c r="J3331" s="93"/>
    </row>
    <row r="3332" spans="1:10" s="65" customFormat="1" ht="14" x14ac:dyDescent="0.35">
      <c r="A3332" s="145"/>
      <c r="B3332" s="152"/>
      <c r="E3332" s="102"/>
      <c r="F3332" s="102"/>
      <c r="G3332" s="102"/>
      <c r="I3332" s="93"/>
      <c r="J3332" s="93"/>
    </row>
    <row r="3333" spans="1:10" s="65" customFormat="1" ht="14" x14ac:dyDescent="0.35">
      <c r="A3333" s="145"/>
      <c r="B3333" s="152"/>
      <c r="E3333" s="102"/>
      <c r="F3333" s="102"/>
      <c r="G3333" s="102"/>
      <c r="I3333" s="93"/>
      <c r="J3333" s="93"/>
    </row>
    <row r="3334" spans="1:10" s="65" customFormat="1" ht="14" x14ac:dyDescent="0.35">
      <c r="A3334" s="145"/>
      <c r="B3334" s="152"/>
      <c r="E3334" s="102"/>
      <c r="F3334" s="102"/>
      <c r="G3334" s="102"/>
      <c r="I3334" s="93"/>
      <c r="J3334" s="93"/>
    </row>
    <row r="3335" spans="1:10" s="65" customFormat="1" ht="14" x14ac:dyDescent="0.35">
      <c r="A3335" s="145"/>
      <c r="B3335" s="152"/>
      <c r="E3335" s="102"/>
      <c r="F3335" s="102"/>
      <c r="G3335" s="102"/>
      <c r="I3335" s="93"/>
      <c r="J3335" s="93"/>
    </row>
    <row r="3336" spans="1:10" s="65" customFormat="1" ht="14" x14ac:dyDescent="0.35">
      <c r="A3336" s="145"/>
      <c r="B3336" s="152"/>
      <c r="E3336" s="102"/>
      <c r="F3336" s="102"/>
      <c r="G3336" s="102"/>
      <c r="I3336" s="93"/>
      <c r="J3336" s="93"/>
    </row>
    <row r="3337" spans="1:10" s="65" customFormat="1" ht="14" x14ac:dyDescent="0.35">
      <c r="A3337" s="145"/>
      <c r="B3337" s="152"/>
      <c r="E3337" s="102"/>
      <c r="F3337" s="102"/>
      <c r="G3337" s="102"/>
      <c r="I3337" s="93"/>
      <c r="J3337" s="93"/>
    </row>
    <row r="3338" spans="1:10" s="65" customFormat="1" ht="14" x14ac:dyDescent="0.35">
      <c r="A3338" s="145"/>
      <c r="B3338" s="152"/>
      <c r="E3338" s="102"/>
      <c r="F3338" s="102"/>
      <c r="G3338" s="102"/>
      <c r="I3338" s="93"/>
      <c r="J3338" s="93"/>
    </row>
    <row r="3339" spans="1:10" s="65" customFormat="1" ht="14" x14ac:dyDescent="0.35">
      <c r="A3339" s="145"/>
      <c r="B3339" s="152"/>
      <c r="E3339" s="102"/>
      <c r="F3339" s="102"/>
      <c r="G3339" s="102"/>
      <c r="I3339" s="93"/>
      <c r="J3339" s="93"/>
    </row>
    <row r="3340" spans="1:10" s="65" customFormat="1" ht="14" x14ac:dyDescent="0.35">
      <c r="A3340" s="145"/>
      <c r="B3340" s="152"/>
      <c r="E3340" s="102"/>
      <c r="F3340" s="102"/>
      <c r="G3340" s="102"/>
      <c r="I3340" s="93"/>
      <c r="J3340" s="93"/>
    </row>
    <row r="3341" spans="1:10" s="65" customFormat="1" ht="14" x14ac:dyDescent="0.35">
      <c r="A3341" s="145"/>
      <c r="B3341" s="152"/>
      <c r="E3341" s="102"/>
      <c r="F3341" s="102"/>
      <c r="G3341" s="102"/>
      <c r="I3341" s="93"/>
      <c r="J3341" s="93"/>
    </row>
    <row r="3342" spans="1:10" s="65" customFormat="1" ht="14" x14ac:dyDescent="0.35">
      <c r="A3342" s="145"/>
      <c r="B3342" s="152"/>
      <c r="E3342" s="102"/>
      <c r="F3342" s="102"/>
      <c r="G3342" s="102"/>
      <c r="I3342" s="93"/>
      <c r="J3342" s="93"/>
    </row>
    <row r="3343" spans="1:10" s="65" customFormat="1" ht="14" x14ac:dyDescent="0.35">
      <c r="A3343" s="145"/>
      <c r="B3343" s="152"/>
      <c r="E3343" s="102"/>
      <c r="F3343" s="102"/>
      <c r="G3343" s="102"/>
      <c r="I3343" s="93"/>
      <c r="J3343" s="93"/>
    </row>
    <row r="3344" spans="1:10" s="65" customFormat="1" ht="14" x14ac:dyDescent="0.35">
      <c r="A3344" s="145"/>
      <c r="B3344" s="152"/>
      <c r="E3344" s="102"/>
      <c r="F3344" s="102"/>
      <c r="G3344" s="102"/>
      <c r="I3344" s="93"/>
      <c r="J3344" s="93"/>
    </row>
    <row r="3345" spans="1:10" s="65" customFormat="1" ht="14" x14ac:dyDescent="0.35">
      <c r="A3345" s="145"/>
      <c r="B3345" s="152"/>
      <c r="E3345" s="102"/>
      <c r="F3345" s="102"/>
      <c r="G3345" s="102"/>
      <c r="I3345" s="93"/>
      <c r="J3345" s="93"/>
    </row>
    <row r="3346" spans="1:10" s="65" customFormat="1" ht="14" x14ac:dyDescent="0.35">
      <c r="A3346" s="145"/>
      <c r="B3346" s="152"/>
      <c r="E3346" s="102"/>
      <c r="F3346" s="102"/>
      <c r="G3346" s="102"/>
      <c r="I3346" s="93"/>
      <c r="J3346" s="93"/>
    </row>
    <row r="3347" spans="1:10" s="65" customFormat="1" ht="14" x14ac:dyDescent="0.35">
      <c r="A3347" s="145"/>
      <c r="B3347" s="152"/>
      <c r="E3347" s="102"/>
      <c r="F3347" s="102"/>
      <c r="G3347" s="102"/>
      <c r="I3347" s="93"/>
      <c r="J3347" s="93"/>
    </row>
    <row r="3348" spans="1:10" s="65" customFormat="1" ht="14" x14ac:dyDescent="0.35">
      <c r="A3348" s="145"/>
      <c r="B3348" s="152"/>
      <c r="E3348" s="102"/>
      <c r="F3348" s="102"/>
      <c r="G3348" s="102"/>
      <c r="I3348" s="93"/>
      <c r="J3348" s="93"/>
    </row>
    <row r="3349" spans="1:10" s="65" customFormat="1" ht="14" x14ac:dyDescent="0.35">
      <c r="A3349" s="145"/>
      <c r="B3349" s="152"/>
      <c r="E3349" s="102"/>
      <c r="F3349" s="102"/>
      <c r="G3349" s="102"/>
      <c r="I3349" s="93"/>
      <c r="J3349" s="93"/>
    </row>
    <row r="3350" spans="1:10" s="65" customFormat="1" ht="14" x14ac:dyDescent="0.35">
      <c r="A3350" s="145"/>
      <c r="B3350" s="152"/>
      <c r="E3350" s="102"/>
      <c r="F3350" s="102"/>
      <c r="G3350" s="102"/>
      <c r="I3350" s="93"/>
      <c r="J3350" s="93"/>
    </row>
    <row r="3351" spans="1:10" s="65" customFormat="1" ht="14" x14ac:dyDescent="0.35">
      <c r="A3351" s="145"/>
      <c r="B3351" s="152"/>
      <c r="E3351" s="102"/>
      <c r="F3351" s="102"/>
      <c r="G3351" s="102"/>
      <c r="I3351" s="93"/>
      <c r="J3351" s="93"/>
    </row>
    <row r="3352" spans="1:10" s="65" customFormat="1" ht="14" x14ac:dyDescent="0.35">
      <c r="A3352" s="145"/>
      <c r="B3352" s="152"/>
      <c r="E3352" s="102"/>
      <c r="F3352" s="102"/>
      <c r="G3352" s="102"/>
      <c r="I3352" s="93"/>
      <c r="J3352" s="93"/>
    </row>
    <row r="3353" spans="1:10" s="65" customFormat="1" ht="14" x14ac:dyDescent="0.35">
      <c r="A3353" s="145"/>
      <c r="B3353" s="152"/>
      <c r="E3353" s="102"/>
      <c r="F3353" s="102"/>
      <c r="G3353" s="102"/>
      <c r="I3353" s="93"/>
      <c r="J3353" s="93"/>
    </row>
    <row r="3354" spans="1:10" s="65" customFormat="1" ht="14" x14ac:dyDescent="0.35">
      <c r="A3354" s="145"/>
      <c r="B3354" s="152"/>
      <c r="E3354" s="102"/>
      <c r="F3354" s="102"/>
      <c r="G3354" s="102"/>
      <c r="I3354" s="93"/>
      <c r="J3354" s="93"/>
    </row>
    <row r="3355" spans="1:10" s="65" customFormat="1" ht="14" x14ac:dyDescent="0.35">
      <c r="A3355" s="145"/>
      <c r="B3355" s="152"/>
      <c r="E3355" s="102"/>
      <c r="F3355" s="102"/>
      <c r="G3355" s="102"/>
      <c r="I3355" s="93"/>
      <c r="J3355" s="93"/>
    </row>
    <row r="3356" spans="1:10" s="65" customFormat="1" ht="14" x14ac:dyDescent="0.35">
      <c r="A3356" s="145"/>
      <c r="B3356" s="152"/>
      <c r="E3356" s="102"/>
      <c r="F3356" s="102"/>
      <c r="G3356" s="102"/>
      <c r="I3356" s="93"/>
      <c r="J3356" s="93"/>
    </row>
    <row r="3357" spans="1:10" s="65" customFormat="1" ht="14" x14ac:dyDescent="0.35">
      <c r="A3357" s="145"/>
      <c r="B3357" s="152"/>
      <c r="E3357" s="102"/>
      <c r="F3357" s="102"/>
      <c r="G3357" s="102"/>
      <c r="I3357" s="93"/>
      <c r="J3357" s="93"/>
    </row>
    <row r="3358" spans="1:10" s="65" customFormat="1" ht="14" x14ac:dyDescent="0.35">
      <c r="A3358" s="145"/>
      <c r="B3358" s="152"/>
      <c r="E3358" s="102"/>
      <c r="F3358" s="102"/>
      <c r="G3358" s="102"/>
      <c r="I3358" s="93"/>
      <c r="J3358" s="93"/>
    </row>
    <row r="3359" spans="1:10" s="65" customFormat="1" ht="14" x14ac:dyDescent="0.35">
      <c r="A3359" s="145"/>
      <c r="B3359" s="152"/>
      <c r="E3359" s="102"/>
      <c r="F3359" s="102"/>
      <c r="G3359" s="102"/>
      <c r="I3359" s="93"/>
      <c r="J3359" s="93"/>
    </row>
    <row r="3360" spans="1:10" s="65" customFormat="1" ht="14" x14ac:dyDescent="0.35">
      <c r="A3360" s="145"/>
      <c r="B3360" s="152"/>
      <c r="E3360" s="102"/>
      <c r="F3360" s="102"/>
      <c r="G3360" s="102"/>
      <c r="I3360" s="93"/>
      <c r="J3360" s="93"/>
    </row>
    <row r="3361" spans="1:10" s="65" customFormat="1" ht="14" x14ac:dyDescent="0.35">
      <c r="A3361" s="145"/>
      <c r="B3361" s="152"/>
      <c r="E3361" s="102"/>
      <c r="F3361" s="102"/>
      <c r="G3361" s="102"/>
      <c r="I3361" s="93"/>
      <c r="J3361" s="93"/>
    </row>
    <row r="3362" spans="1:10" s="65" customFormat="1" ht="14" x14ac:dyDescent="0.35">
      <c r="A3362" s="145"/>
      <c r="B3362" s="152"/>
      <c r="E3362" s="102"/>
      <c r="F3362" s="102"/>
      <c r="G3362" s="102"/>
      <c r="I3362" s="93"/>
      <c r="J3362" s="93"/>
    </row>
    <row r="3363" spans="1:10" s="65" customFormat="1" ht="14" x14ac:dyDescent="0.35">
      <c r="A3363" s="145"/>
      <c r="B3363" s="152"/>
      <c r="E3363" s="102"/>
      <c r="F3363" s="102"/>
      <c r="G3363" s="102"/>
      <c r="I3363" s="93"/>
      <c r="J3363" s="93"/>
    </row>
    <row r="3364" spans="1:10" s="65" customFormat="1" ht="14" x14ac:dyDescent="0.35">
      <c r="A3364" s="145"/>
      <c r="B3364" s="152"/>
      <c r="E3364" s="102"/>
      <c r="F3364" s="102"/>
      <c r="G3364" s="102"/>
      <c r="I3364" s="93"/>
      <c r="J3364" s="93"/>
    </row>
    <row r="3365" spans="1:10" s="65" customFormat="1" ht="14" x14ac:dyDescent="0.35">
      <c r="A3365" s="145"/>
      <c r="B3365" s="152"/>
      <c r="E3365" s="102"/>
      <c r="F3365" s="102"/>
      <c r="G3365" s="102"/>
      <c r="I3365" s="93"/>
      <c r="J3365" s="93"/>
    </row>
    <row r="3366" spans="1:10" s="65" customFormat="1" ht="14" x14ac:dyDescent="0.35">
      <c r="A3366" s="145"/>
      <c r="B3366" s="152"/>
      <c r="E3366" s="102"/>
      <c r="F3366" s="102"/>
      <c r="G3366" s="102"/>
      <c r="I3366" s="93"/>
      <c r="J3366" s="93"/>
    </row>
    <row r="3367" spans="1:10" s="65" customFormat="1" ht="14" x14ac:dyDescent="0.35">
      <c r="A3367" s="145"/>
      <c r="B3367" s="152"/>
      <c r="E3367" s="102"/>
      <c r="F3367" s="102"/>
      <c r="G3367" s="102"/>
      <c r="I3367" s="93"/>
      <c r="J3367" s="93"/>
    </row>
    <row r="3368" spans="1:10" s="65" customFormat="1" ht="14" x14ac:dyDescent="0.35">
      <c r="A3368" s="145"/>
      <c r="B3368" s="152"/>
      <c r="E3368" s="102"/>
      <c r="F3368" s="102"/>
      <c r="G3368" s="102"/>
      <c r="I3368" s="93"/>
      <c r="J3368" s="93"/>
    </row>
    <row r="3369" spans="1:10" s="65" customFormat="1" ht="14" x14ac:dyDescent="0.35">
      <c r="A3369" s="145"/>
      <c r="B3369" s="152"/>
      <c r="E3369" s="102"/>
      <c r="F3369" s="102"/>
      <c r="G3369" s="102"/>
      <c r="I3369" s="93"/>
      <c r="J3369" s="93"/>
    </row>
    <row r="3370" spans="1:10" s="65" customFormat="1" ht="14" x14ac:dyDescent="0.35">
      <c r="A3370" s="145"/>
      <c r="B3370" s="152"/>
      <c r="E3370" s="102"/>
      <c r="F3370" s="102"/>
      <c r="G3370" s="102"/>
      <c r="I3370" s="93"/>
      <c r="J3370" s="93"/>
    </row>
    <row r="3371" spans="1:10" s="65" customFormat="1" ht="14" x14ac:dyDescent="0.35">
      <c r="A3371" s="145"/>
      <c r="B3371" s="152"/>
      <c r="E3371" s="102"/>
      <c r="F3371" s="102"/>
      <c r="G3371" s="102"/>
      <c r="I3371" s="93"/>
      <c r="J3371" s="93"/>
    </row>
    <row r="3372" spans="1:10" s="65" customFormat="1" ht="14" x14ac:dyDescent="0.35">
      <c r="A3372" s="145"/>
      <c r="B3372" s="152"/>
      <c r="E3372" s="102"/>
      <c r="F3372" s="102"/>
      <c r="G3372" s="102"/>
      <c r="I3372" s="93"/>
      <c r="J3372" s="93"/>
    </row>
    <row r="3373" spans="1:10" s="65" customFormat="1" ht="14" x14ac:dyDescent="0.35">
      <c r="A3373" s="145"/>
      <c r="B3373" s="152"/>
      <c r="E3373" s="102"/>
      <c r="F3373" s="102"/>
      <c r="G3373" s="102"/>
      <c r="I3373" s="93"/>
      <c r="J3373" s="93"/>
    </row>
    <row r="3374" spans="1:10" s="65" customFormat="1" ht="14" x14ac:dyDescent="0.35">
      <c r="A3374" s="145"/>
      <c r="B3374" s="152"/>
      <c r="E3374" s="102"/>
      <c r="F3374" s="102"/>
      <c r="G3374" s="102"/>
      <c r="I3374" s="93"/>
      <c r="J3374" s="93"/>
    </row>
    <row r="3375" spans="1:10" s="65" customFormat="1" ht="14" x14ac:dyDescent="0.35">
      <c r="A3375" s="145"/>
      <c r="B3375" s="152"/>
      <c r="E3375" s="102"/>
      <c r="F3375" s="102"/>
      <c r="G3375" s="102"/>
      <c r="I3375" s="93"/>
      <c r="J3375" s="93"/>
    </row>
    <row r="3376" spans="1:10" s="65" customFormat="1" ht="14" x14ac:dyDescent="0.35">
      <c r="A3376" s="145"/>
      <c r="B3376" s="152"/>
      <c r="E3376" s="102"/>
      <c r="F3376" s="102"/>
      <c r="G3376" s="102"/>
      <c r="I3376" s="93"/>
      <c r="J3376" s="93"/>
    </row>
    <row r="3377" spans="1:10" s="65" customFormat="1" ht="14" x14ac:dyDescent="0.35">
      <c r="A3377" s="145"/>
      <c r="B3377" s="152"/>
      <c r="E3377" s="102"/>
      <c r="F3377" s="102"/>
      <c r="G3377" s="102"/>
      <c r="I3377" s="93"/>
      <c r="J3377" s="93"/>
    </row>
    <row r="3378" spans="1:10" s="65" customFormat="1" ht="14" x14ac:dyDescent="0.35">
      <c r="A3378" s="145"/>
      <c r="B3378" s="152"/>
      <c r="E3378" s="102"/>
      <c r="F3378" s="102"/>
      <c r="G3378" s="102"/>
      <c r="I3378" s="93"/>
      <c r="J3378" s="93"/>
    </row>
    <row r="3379" spans="1:10" s="65" customFormat="1" ht="14" x14ac:dyDescent="0.35">
      <c r="A3379" s="145"/>
      <c r="B3379" s="152"/>
      <c r="E3379" s="102"/>
      <c r="F3379" s="102"/>
      <c r="G3379" s="102"/>
      <c r="I3379" s="93"/>
      <c r="J3379" s="93"/>
    </row>
    <row r="3380" spans="1:10" s="65" customFormat="1" ht="14" x14ac:dyDescent="0.35">
      <c r="A3380" s="145"/>
      <c r="B3380" s="152"/>
      <c r="E3380" s="102"/>
      <c r="F3380" s="102"/>
      <c r="G3380" s="102"/>
      <c r="I3380" s="93"/>
      <c r="J3380" s="93"/>
    </row>
    <row r="3381" spans="1:10" s="65" customFormat="1" ht="14" x14ac:dyDescent="0.35">
      <c r="A3381" s="145"/>
      <c r="B3381" s="152"/>
      <c r="E3381" s="102"/>
      <c r="F3381" s="102"/>
      <c r="G3381" s="102"/>
      <c r="I3381" s="93"/>
      <c r="J3381" s="93"/>
    </row>
    <row r="3382" spans="1:10" s="65" customFormat="1" ht="14" x14ac:dyDescent="0.35">
      <c r="A3382" s="145"/>
      <c r="B3382" s="152"/>
      <c r="E3382" s="102"/>
      <c r="F3382" s="102"/>
      <c r="G3382" s="102"/>
      <c r="I3382" s="93"/>
      <c r="J3382" s="93"/>
    </row>
    <row r="3383" spans="1:10" s="65" customFormat="1" ht="14" x14ac:dyDescent="0.35">
      <c r="A3383" s="145"/>
      <c r="B3383" s="152"/>
      <c r="E3383" s="102"/>
      <c r="F3383" s="102"/>
      <c r="G3383" s="102"/>
      <c r="I3383" s="93"/>
      <c r="J3383" s="93"/>
    </row>
    <row r="3384" spans="1:10" s="65" customFormat="1" ht="14" x14ac:dyDescent="0.35">
      <c r="A3384" s="145"/>
      <c r="B3384" s="152"/>
      <c r="E3384" s="102"/>
      <c r="F3384" s="102"/>
      <c r="G3384" s="102"/>
      <c r="I3384" s="93"/>
      <c r="J3384" s="93"/>
    </row>
    <row r="3385" spans="1:10" s="65" customFormat="1" ht="14" x14ac:dyDescent="0.35">
      <c r="A3385" s="145"/>
      <c r="B3385" s="152"/>
      <c r="E3385" s="102"/>
      <c r="F3385" s="102"/>
      <c r="G3385" s="102"/>
      <c r="I3385" s="93"/>
      <c r="J3385" s="93"/>
    </row>
    <row r="3386" spans="1:10" s="65" customFormat="1" ht="14" x14ac:dyDescent="0.35">
      <c r="A3386" s="145"/>
      <c r="B3386" s="152"/>
      <c r="E3386" s="102"/>
      <c r="F3386" s="102"/>
      <c r="G3386" s="102"/>
      <c r="I3386" s="93"/>
      <c r="J3386" s="93"/>
    </row>
    <row r="3387" spans="1:10" s="65" customFormat="1" ht="14" x14ac:dyDescent="0.35">
      <c r="A3387" s="145"/>
      <c r="B3387" s="152"/>
      <c r="E3387" s="102"/>
      <c r="F3387" s="102"/>
      <c r="G3387" s="102"/>
      <c r="I3387" s="93"/>
      <c r="J3387" s="93"/>
    </row>
    <row r="3388" spans="1:10" s="65" customFormat="1" ht="14" x14ac:dyDescent="0.35">
      <c r="A3388" s="145"/>
      <c r="B3388" s="152"/>
      <c r="E3388" s="102"/>
      <c r="F3388" s="102"/>
      <c r="G3388" s="102"/>
      <c r="I3388" s="93"/>
      <c r="J3388" s="93"/>
    </row>
    <row r="3389" spans="1:10" s="65" customFormat="1" ht="14" x14ac:dyDescent="0.35">
      <c r="A3389" s="145"/>
      <c r="B3389" s="152"/>
      <c r="E3389" s="102"/>
      <c r="F3389" s="102"/>
      <c r="G3389" s="102"/>
      <c r="I3389" s="93"/>
      <c r="J3389" s="93"/>
    </row>
    <row r="3390" spans="1:10" s="65" customFormat="1" ht="14" x14ac:dyDescent="0.35">
      <c r="A3390" s="145"/>
      <c r="B3390" s="152"/>
      <c r="E3390" s="102"/>
      <c r="F3390" s="102"/>
      <c r="G3390" s="102"/>
      <c r="I3390" s="93"/>
      <c r="J3390" s="93"/>
    </row>
    <row r="3391" spans="1:10" s="65" customFormat="1" ht="14" x14ac:dyDescent="0.35">
      <c r="A3391" s="145"/>
      <c r="B3391" s="152"/>
      <c r="E3391" s="102"/>
      <c r="F3391" s="102"/>
      <c r="G3391" s="102"/>
      <c r="I3391" s="93"/>
      <c r="J3391" s="93"/>
    </row>
    <row r="3392" spans="1:10" s="65" customFormat="1" ht="14" x14ac:dyDescent="0.35">
      <c r="A3392" s="145"/>
      <c r="B3392" s="152"/>
      <c r="E3392" s="102"/>
      <c r="F3392" s="102"/>
      <c r="G3392" s="102"/>
      <c r="I3392" s="93"/>
      <c r="J3392" s="93"/>
    </row>
    <row r="3393" spans="1:10" s="65" customFormat="1" ht="14" x14ac:dyDescent="0.35">
      <c r="A3393" s="145"/>
      <c r="B3393" s="152"/>
      <c r="E3393" s="102"/>
      <c r="F3393" s="102"/>
      <c r="G3393" s="102"/>
      <c r="I3393" s="93"/>
      <c r="J3393" s="93"/>
    </row>
    <row r="3394" spans="1:10" s="65" customFormat="1" ht="14" x14ac:dyDescent="0.35">
      <c r="A3394" s="145"/>
      <c r="B3394" s="152"/>
      <c r="E3394" s="102"/>
      <c r="F3394" s="102"/>
      <c r="G3394" s="102"/>
      <c r="I3394" s="93"/>
      <c r="J3394" s="93"/>
    </row>
    <row r="3395" spans="1:10" s="65" customFormat="1" ht="14" x14ac:dyDescent="0.35">
      <c r="A3395" s="145"/>
      <c r="B3395" s="152"/>
      <c r="E3395" s="102"/>
      <c r="F3395" s="102"/>
      <c r="G3395" s="102"/>
      <c r="I3395" s="93"/>
      <c r="J3395" s="93"/>
    </row>
    <row r="3396" spans="1:10" s="65" customFormat="1" ht="14" x14ac:dyDescent="0.35">
      <c r="A3396" s="145"/>
      <c r="B3396" s="152"/>
      <c r="E3396" s="102"/>
      <c r="F3396" s="102"/>
      <c r="G3396" s="102"/>
      <c r="I3396" s="93"/>
      <c r="J3396" s="93"/>
    </row>
    <row r="3397" spans="1:10" s="65" customFormat="1" ht="14" x14ac:dyDescent="0.35">
      <c r="A3397" s="145"/>
      <c r="B3397" s="152"/>
      <c r="E3397" s="102"/>
      <c r="F3397" s="102"/>
      <c r="G3397" s="102"/>
      <c r="I3397" s="93"/>
      <c r="J3397" s="93"/>
    </row>
    <row r="3398" spans="1:10" s="65" customFormat="1" ht="14" x14ac:dyDescent="0.35">
      <c r="A3398" s="145"/>
      <c r="B3398" s="152"/>
      <c r="E3398" s="102"/>
      <c r="F3398" s="102"/>
      <c r="G3398" s="102"/>
      <c r="I3398" s="93"/>
      <c r="J3398" s="93"/>
    </row>
    <row r="3399" spans="1:10" s="65" customFormat="1" ht="14" x14ac:dyDescent="0.35">
      <c r="A3399" s="145"/>
      <c r="B3399" s="152"/>
      <c r="E3399" s="102"/>
      <c r="F3399" s="102"/>
      <c r="G3399" s="102"/>
      <c r="I3399" s="93"/>
      <c r="J3399" s="93"/>
    </row>
    <row r="3400" spans="1:10" s="65" customFormat="1" ht="14" x14ac:dyDescent="0.35">
      <c r="A3400" s="145"/>
      <c r="B3400" s="152"/>
      <c r="E3400" s="102"/>
      <c r="F3400" s="102"/>
      <c r="G3400" s="102"/>
      <c r="I3400" s="93"/>
      <c r="J3400" s="93"/>
    </row>
    <row r="3401" spans="1:10" s="65" customFormat="1" ht="14" x14ac:dyDescent="0.35">
      <c r="A3401" s="145"/>
      <c r="B3401" s="152"/>
      <c r="E3401" s="102"/>
      <c r="F3401" s="102"/>
      <c r="G3401" s="102"/>
      <c r="I3401" s="93"/>
      <c r="J3401" s="93"/>
    </row>
    <row r="3402" spans="1:10" s="65" customFormat="1" ht="14" x14ac:dyDescent="0.35">
      <c r="A3402" s="145"/>
      <c r="B3402" s="152"/>
      <c r="E3402" s="102"/>
      <c r="F3402" s="102"/>
      <c r="G3402" s="102"/>
      <c r="I3402" s="93"/>
      <c r="J3402" s="93"/>
    </row>
    <row r="3403" spans="1:10" s="65" customFormat="1" ht="14" x14ac:dyDescent="0.35">
      <c r="A3403" s="145"/>
      <c r="B3403" s="152"/>
      <c r="E3403" s="102"/>
      <c r="F3403" s="102"/>
      <c r="G3403" s="102"/>
      <c r="I3403" s="93"/>
      <c r="J3403" s="93"/>
    </row>
    <row r="3404" spans="1:10" s="65" customFormat="1" ht="14" x14ac:dyDescent="0.35">
      <c r="A3404" s="145"/>
      <c r="B3404" s="152"/>
      <c r="E3404" s="102"/>
      <c r="F3404" s="102"/>
      <c r="G3404" s="102"/>
      <c r="I3404" s="93"/>
      <c r="J3404" s="93"/>
    </row>
    <row r="3405" spans="1:10" s="65" customFormat="1" ht="14" x14ac:dyDescent="0.35">
      <c r="A3405" s="145"/>
      <c r="B3405" s="152"/>
      <c r="E3405" s="102"/>
      <c r="F3405" s="102"/>
      <c r="G3405" s="102"/>
      <c r="I3405" s="93"/>
      <c r="J3405" s="93"/>
    </row>
    <row r="3406" spans="1:10" s="65" customFormat="1" ht="14" x14ac:dyDescent="0.35">
      <c r="A3406" s="145"/>
      <c r="B3406" s="152"/>
      <c r="E3406" s="102"/>
      <c r="F3406" s="102"/>
      <c r="G3406" s="102"/>
      <c r="I3406" s="93"/>
      <c r="J3406" s="93"/>
    </row>
    <row r="3407" spans="1:10" s="65" customFormat="1" ht="14" x14ac:dyDescent="0.35">
      <c r="A3407" s="145"/>
      <c r="B3407" s="152"/>
      <c r="E3407" s="102"/>
      <c r="F3407" s="102"/>
      <c r="G3407" s="102"/>
      <c r="I3407" s="93"/>
      <c r="J3407" s="93"/>
    </row>
    <row r="3408" spans="1:10" s="65" customFormat="1" ht="14" x14ac:dyDescent="0.35">
      <c r="A3408" s="145"/>
      <c r="B3408" s="152"/>
      <c r="E3408" s="102"/>
      <c r="F3408" s="102"/>
      <c r="G3408" s="102"/>
      <c r="I3408" s="93"/>
      <c r="J3408" s="93"/>
    </row>
    <row r="3409" spans="1:10" s="65" customFormat="1" ht="14" x14ac:dyDescent="0.35">
      <c r="A3409" s="145"/>
      <c r="B3409" s="152"/>
      <c r="E3409" s="102"/>
      <c r="F3409" s="102"/>
      <c r="G3409" s="102"/>
      <c r="I3409" s="93"/>
      <c r="J3409" s="93"/>
    </row>
    <row r="3410" spans="1:10" s="65" customFormat="1" ht="14" x14ac:dyDescent="0.35">
      <c r="A3410" s="145"/>
      <c r="B3410" s="152"/>
      <c r="E3410" s="102"/>
      <c r="F3410" s="102"/>
      <c r="G3410" s="102"/>
      <c r="I3410" s="93"/>
      <c r="J3410" s="93"/>
    </row>
    <row r="3411" spans="1:10" s="65" customFormat="1" ht="14" x14ac:dyDescent="0.35">
      <c r="A3411" s="145"/>
      <c r="B3411" s="152"/>
      <c r="E3411" s="102"/>
      <c r="F3411" s="102"/>
      <c r="G3411" s="102"/>
      <c r="I3411" s="93"/>
      <c r="J3411" s="93"/>
    </row>
    <row r="3412" spans="1:10" s="65" customFormat="1" ht="14" x14ac:dyDescent="0.35">
      <c r="A3412" s="145"/>
      <c r="B3412" s="152"/>
      <c r="E3412" s="102"/>
      <c r="F3412" s="102"/>
      <c r="G3412" s="102"/>
      <c r="I3412" s="93"/>
      <c r="J3412" s="93"/>
    </row>
    <row r="3413" spans="1:10" s="65" customFormat="1" ht="14" x14ac:dyDescent="0.35">
      <c r="A3413" s="145"/>
      <c r="B3413" s="152"/>
      <c r="E3413" s="102"/>
      <c r="F3413" s="102"/>
      <c r="G3413" s="102"/>
      <c r="I3413" s="93"/>
      <c r="J3413" s="93"/>
    </row>
    <row r="3414" spans="1:10" s="65" customFormat="1" ht="14" x14ac:dyDescent="0.35">
      <c r="A3414" s="145"/>
      <c r="B3414" s="152"/>
      <c r="E3414" s="102"/>
      <c r="F3414" s="102"/>
      <c r="G3414" s="102"/>
      <c r="I3414" s="93"/>
      <c r="J3414" s="93"/>
    </row>
    <row r="3415" spans="1:10" s="65" customFormat="1" ht="14" x14ac:dyDescent="0.35">
      <c r="A3415" s="145"/>
      <c r="B3415" s="152"/>
      <c r="E3415" s="102"/>
      <c r="F3415" s="102"/>
      <c r="G3415" s="102"/>
      <c r="I3415" s="93"/>
      <c r="J3415" s="93"/>
    </row>
    <row r="3416" spans="1:10" s="65" customFormat="1" ht="14" x14ac:dyDescent="0.35">
      <c r="A3416" s="145"/>
      <c r="B3416" s="152"/>
      <c r="E3416" s="102"/>
      <c r="F3416" s="102"/>
      <c r="G3416" s="102"/>
      <c r="I3416" s="93"/>
      <c r="J3416" s="93"/>
    </row>
    <row r="3417" spans="1:10" s="65" customFormat="1" ht="14" x14ac:dyDescent="0.35">
      <c r="A3417" s="145"/>
      <c r="B3417" s="152"/>
      <c r="E3417" s="102"/>
      <c r="F3417" s="102"/>
      <c r="G3417" s="102"/>
      <c r="I3417" s="93"/>
      <c r="J3417" s="93"/>
    </row>
    <row r="3418" spans="1:10" s="65" customFormat="1" ht="14" x14ac:dyDescent="0.35">
      <c r="A3418" s="145"/>
      <c r="B3418" s="152"/>
      <c r="E3418" s="102"/>
      <c r="F3418" s="102"/>
      <c r="G3418" s="102"/>
      <c r="I3418" s="93"/>
      <c r="J3418" s="93"/>
    </row>
    <row r="3419" spans="1:10" s="65" customFormat="1" ht="14" x14ac:dyDescent="0.35">
      <c r="A3419" s="145"/>
      <c r="B3419" s="152"/>
      <c r="E3419" s="102"/>
      <c r="F3419" s="102"/>
      <c r="G3419" s="102"/>
      <c r="I3419" s="93"/>
      <c r="J3419" s="93"/>
    </row>
    <row r="3420" spans="1:10" s="65" customFormat="1" ht="14" x14ac:dyDescent="0.35">
      <c r="A3420" s="145"/>
      <c r="B3420" s="152"/>
      <c r="E3420" s="102"/>
      <c r="F3420" s="102"/>
      <c r="G3420" s="102"/>
      <c r="I3420" s="93"/>
      <c r="J3420" s="93"/>
    </row>
    <row r="3421" spans="1:10" s="65" customFormat="1" ht="14" x14ac:dyDescent="0.35">
      <c r="A3421" s="145"/>
      <c r="B3421" s="152"/>
      <c r="E3421" s="102"/>
      <c r="F3421" s="102"/>
      <c r="G3421" s="102"/>
      <c r="I3421" s="93"/>
      <c r="J3421" s="93"/>
    </row>
    <row r="3422" spans="1:10" s="65" customFormat="1" ht="14" x14ac:dyDescent="0.35">
      <c r="A3422" s="145"/>
      <c r="B3422" s="152"/>
      <c r="E3422" s="102"/>
      <c r="F3422" s="102"/>
      <c r="G3422" s="102"/>
      <c r="I3422" s="93"/>
      <c r="J3422" s="93"/>
    </row>
    <row r="3423" spans="1:10" s="65" customFormat="1" ht="14" x14ac:dyDescent="0.35">
      <c r="A3423" s="145"/>
      <c r="B3423" s="152"/>
      <c r="E3423" s="102"/>
      <c r="F3423" s="102"/>
      <c r="G3423" s="102"/>
      <c r="I3423" s="93"/>
      <c r="J3423" s="93"/>
    </row>
    <row r="3424" spans="1:10" s="65" customFormat="1" ht="14" x14ac:dyDescent="0.35">
      <c r="A3424" s="145"/>
      <c r="B3424" s="152"/>
      <c r="E3424" s="102"/>
      <c r="F3424" s="102"/>
      <c r="G3424" s="102"/>
      <c r="I3424" s="93"/>
      <c r="J3424" s="93"/>
    </row>
    <row r="3425" spans="1:10" s="65" customFormat="1" ht="14" x14ac:dyDescent="0.35">
      <c r="A3425" s="145"/>
      <c r="B3425" s="152"/>
      <c r="E3425" s="102"/>
      <c r="F3425" s="102"/>
      <c r="G3425" s="102"/>
      <c r="I3425" s="93"/>
      <c r="J3425" s="93"/>
    </row>
    <row r="3426" spans="1:10" s="65" customFormat="1" ht="14" x14ac:dyDescent="0.35">
      <c r="A3426" s="145"/>
      <c r="B3426" s="152"/>
      <c r="E3426" s="102"/>
      <c r="F3426" s="102"/>
      <c r="G3426" s="102"/>
      <c r="I3426" s="93"/>
      <c r="J3426" s="93"/>
    </row>
    <row r="3427" spans="1:10" s="65" customFormat="1" ht="14" x14ac:dyDescent="0.35">
      <c r="A3427" s="145"/>
      <c r="B3427" s="152"/>
      <c r="E3427" s="102"/>
      <c r="F3427" s="102"/>
      <c r="G3427" s="102"/>
      <c r="I3427" s="93"/>
      <c r="J3427" s="93"/>
    </row>
    <row r="3428" spans="1:10" s="65" customFormat="1" ht="14" x14ac:dyDescent="0.35">
      <c r="A3428" s="145"/>
      <c r="B3428" s="152"/>
      <c r="E3428" s="102"/>
      <c r="F3428" s="102"/>
      <c r="G3428" s="102"/>
      <c r="I3428" s="93"/>
      <c r="J3428" s="93"/>
    </row>
    <row r="3429" spans="1:10" s="65" customFormat="1" ht="14" x14ac:dyDescent="0.35">
      <c r="A3429" s="145"/>
      <c r="B3429" s="152"/>
      <c r="E3429" s="102"/>
      <c r="F3429" s="102"/>
      <c r="G3429" s="102"/>
      <c r="I3429" s="93"/>
      <c r="J3429" s="93"/>
    </row>
    <row r="3430" spans="1:10" s="65" customFormat="1" ht="14" x14ac:dyDescent="0.35">
      <c r="A3430" s="145"/>
      <c r="B3430" s="152"/>
      <c r="E3430" s="102"/>
      <c r="F3430" s="102"/>
      <c r="G3430" s="102"/>
      <c r="I3430" s="93"/>
      <c r="J3430" s="93"/>
    </row>
    <row r="3431" spans="1:10" s="65" customFormat="1" ht="14" x14ac:dyDescent="0.35">
      <c r="A3431" s="145"/>
      <c r="B3431" s="152"/>
      <c r="E3431" s="102"/>
      <c r="F3431" s="102"/>
      <c r="G3431" s="102"/>
      <c r="I3431" s="93"/>
      <c r="J3431" s="93"/>
    </row>
    <row r="3432" spans="1:10" s="65" customFormat="1" ht="14" x14ac:dyDescent="0.35">
      <c r="A3432" s="145"/>
      <c r="B3432" s="152"/>
      <c r="E3432" s="102"/>
      <c r="F3432" s="102"/>
      <c r="G3432" s="102"/>
      <c r="I3432" s="93"/>
      <c r="J3432" s="93"/>
    </row>
    <row r="3433" spans="1:10" s="65" customFormat="1" ht="14" x14ac:dyDescent="0.35">
      <c r="A3433" s="145"/>
      <c r="B3433" s="152"/>
      <c r="E3433" s="102"/>
      <c r="F3433" s="102"/>
      <c r="G3433" s="102"/>
      <c r="I3433" s="93"/>
      <c r="J3433" s="93"/>
    </row>
    <row r="3434" spans="1:10" s="65" customFormat="1" ht="14" x14ac:dyDescent="0.35">
      <c r="A3434" s="145"/>
      <c r="B3434" s="152"/>
      <c r="E3434" s="102"/>
      <c r="F3434" s="102"/>
      <c r="G3434" s="102"/>
      <c r="I3434" s="93"/>
      <c r="J3434" s="93"/>
    </row>
    <row r="3435" spans="1:10" s="65" customFormat="1" ht="14" x14ac:dyDescent="0.35">
      <c r="A3435" s="145"/>
      <c r="B3435" s="152"/>
      <c r="E3435" s="102"/>
      <c r="F3435" s="102"/>
      <c r="G3435" s="102"/>
      <c r="I3435" s="93"/>
      <c r="J3435" s="93"/>
    </row>
    <row r="3436" spans="1:10" s="65" customFormat="1" ht="14" x14ac:dyDescent="0.35">
      <c r="A3436" s="145"/>
      <c r="B3436" s="152"/>
      <c r="E3436" s="102"/>
      <c r="F3436" s="102"/>
      <c r="G3436" s="102"/>
      <c r="I3436" s="93"/>
      <c r="J3436" s="93"/>
    </row>
    <row r="3437" spans="1:10" s="65" customFormat="1" ht="14" x14ac:dyDescent="0.35">
      <c r="A3437" s="145"/>
      <c r="B3437" s="152"/>
      <c r="E3437" s="102"/>
      <c r="F3437" s="102"/>
      <c r="G3437" s="102"/>
      <c r="I3437" s="93"/>
      <c r="J3437" s="93"/>
    </row>
    <row r="3438" spans="1:10" s="65" customFormat="1" ht="14" x14ac:dyDescent="0.35">
      <c r="A3438" s="145"/>
      <c r="B3438" s="152"/>
      <c r="E3438" s="102"/>
      <c r="F3438" s="102"/>
      <c r="G3438" s="102"/>
      <c r="I3438" s="93"/>
      <c r="J3438" s="93"/>
    </row>
    <row r="3439" spans="1:10" s="65" customFormat="1" ht="14" x14ac:dyDescent="0.35">
      <c r="A3439" s="145"/>
      <c r="B3439" s="152"/>
      <c r="E3439" s="102"/>
      <c r="F3439" s="102"/>
      <c r="G3439" s="102"/>
      <c r="I3439" s="93"/>
      <c r="J3439" s="93"/>
    </row>
    <row r="3440" spans="1:10" s="65" customFormat="1" ht="14" x14ac:dyDescent="0.35">
      <c r="A3440" s="145"/>
      <c r="B3440" s="152"/>
      <c r="E3440" s="102"/>
      <c r="F3440" s="102"/>
      <c r="G3440" s="102"/>
      <c r="I3440" s="93"/>
      <c r="J3440" s="93"/>
    </row>
    <row r="3441" spans="1:10" s="65" customFormat="1" ht="14" x14ac:dyDescent="0.35">
      <c r="A3441" s="145"/>
      <c r="B3441" s="152"/>
      <c r="E3441" s="102"/>
      <c r="F3441" s="102"/>
      <c r="G3441" s="102"/>
      <c r="I3441" s="93"/>
      <c r="J3441" s="93"/>
    </row>
    <row r="3442" spans="1:10" s="65" customFormat="1" ht="14" x14ac:dyDescent="0.35">
      <c r="A3442" s="145"/>
      <c r="B3442" s="152"/>
      <c r="E3442" s="102"/>
      <c r="F3442" s="102"/>
      <c r="G3442" s="102"/>
      <c r="I3442" s="93"/>
      <c r="J3442" s="93"/>
    </row>
    <row r="3443" spans="1:10" s="65" customFormat="1" ht="14" x14ac:dyDescent="0.35">
      <c r="A3443" s="145"/>
      <c r="B3443" s="152"/>
      <c r="E3443" s="102"/>
      <c r="F3443" s="102"/>
      <c r="G3443" s="102"/>
      <c r="I3443" s="93"/>
      <c r="J3443" s="93"/>
    </row>
    <row r="3444" spans="1:10" s="65" customFormat="1" ht="14" x14ac:dyDescent="0.35">
      <c r="A3444" s="145"/>
      <c r="B3444" s="152"/>
      <c r="E3444" s="102"/>
      <c r="F3444" s="102"/>
      <c r="G3444" s="102"/>
      <c r="I3444" s="93"/>
      <c r="J3444" s="93"/>
    </row>
    <row r="3445" spans="1:10" s="65" customFormat="1" ht="14" x14ac:dyDescent="0.35">
      <c r="A3445" s="145"/>
      <c r="B3445" s="152"/>
      <c r="E3445" s="102"/>
      <c r="F3445" s="102"/>
      <c r="G3445" s="102"/>
      <c r="I3445" s="93"/>
      <c r="J3445" s="93"/>
    </row>
    <row r="3446" spans="1:10" s="65" customFormat="1" ht="14" x14ac:dyDescent="0.35">
      <c r="A3446" s="145"/>
      <c r="B3446" s="152"/>
      <c r="E3446" s="102"/>
      <c r="F3446" s="102"/>
      <c r="G3446" s="102"/>
      <c r="I3446" s="93"/>
      <c r="J3446" s="93"/>
    </row>
    <row r="3447" spans="1:10" s="65" customFormat="1" ht="14" x14ac:dyDescent="0.35">
      <c r="A3447" s="145"/>
      <c r="B3447" s="152"/>
      <c r="E3447" s="102"/>
      <c r="F3447" s="102"/>
      <c r="G3447" s="102"/>
      <c r="I3447" s="93"/>
      <c r="J3447" s="93"/>
    </row>
    <row r="3448" spans="1:10" s="65" customFormat="1" ht="14" x14ac:dyDescent="0.35">
      <c r="A3448" s="145"/>
      <c r="B3448" s="152"/>
      <c r="E3448" s="102"/>
      <c r="F3448" s="102"/>
      <c r="G3448" s="102"/>
      <c r="I3448" s="93"/>
      <c r="J3448" s="93"/>
    </row>
    <row r="3449" spans="1:10" s="65" customFormat="1" ht="14" x14ac:dyDescent="0.35">
      <c r="A3449" s="145"/>
      <c r="B3449" s="152"/>
      <c r="E3449" s="102"/>
      <c r="F3449" s="102"/>
      <c r="G3449" s="102"/>
      <c r="I3449" s="93"/>
      <c r="J3449" s="93"/>
    </row>
    <row r="3450" spans="1:10" s="65" customFormat="1" ht="14" x14ac:dyDescent="0.35">
      <c r="A3450" s="145"/>
      <c r="B3450" s="152"/>
      <c r="E3450" s="102"/>
      <c r="F3450" s="102"/>
      <c r="G3450" s="102"/>
      <c r="I3450" s="93"/>
      <c r="J3450" s="93"/>
    </row>
    <row r="3451" spans="1:10" s="65" customFormat="1" ht="14" x14ac:dyDescent="0.35">
      <c r="A3451" s="145"/>
      <c r="B3451" s="152"/>
      <c r="E3451" s="102"/>
      <c r="F3451" s="102"/>
      <c r="G3451" s="102"/>
      <c r="I3451" s="93"/>
      <c r="J3451" s="93"/>
    </row>
    <row r="3452" spans="1:10" s="65" customFormat="1" ht="14" x14ac:dyDescent="0.35">
      <c r="A3452" s="145"/>
      <c r="B3452" s="152"/>
      <c r="E3452" s="102"/>
      <c r="F3452" s="102"/>
      <c r="G3452" s="102"/>
      <c r="I3452" s="93"/>
      <c r="J3452" s="93"/>
    </row>
    <row r="3453" spans="1:10" s="65" customFormat="1" ht="14" x14ac:dyDescent="0.35">
      <c r="A3453" s="145"/>
      <c r="B3453" s="152"/>
      <c r="E3453" s="102"/>
      <c r="F3453" s="102"/>
      <c r="G3453" s="102"/>
      <c r="I3453" s="93"/>
      <c r="J3453" s="93"/>
    </row>
    <row r="3454" spans="1:10" s="65" customFormat="1" ht="14" x14ac:dyDescent="0.35">
      <c r="A3454" s="145"/>
      <c r="B3454" s="152"/>
      <c r="E3454" s="102"/>
      <c r="F3454" s="102"/>
      <c r="G3454" s="102"/>
      <c r="I3454" s="93"/>
      <c r="J3454" s="93"/>
    </row>
    <row r="3455" spans="1:10" s="65" customFormat="1" ht="14" x14ac:dyDescent="0.35">
      <c r="A3455" s="145"/>
      <c r="B3455" s="152"/>
      <c r="E3455" s="102"/>
      <c r="F3455" s="102"/>
      <c r="G3455" s="102"/>
      <c r="I3455" s="93"/>
      <c r="J3455" s="93"/>
    </row>
    <row r="3456" spans="1:10" s="65" customFormat="1" ht="14" x14ac:dyDescent="0.35">
      <c r="A3456" s="145"/>
      <c r="B3456" s="152"/>
      <c r="E3456" s="102"/>
      <c r="F3456" s="102"/>
      <c r="G3456" s="102"/>
      <c r="I3456" s="93"/>
      <c r="J3456" s="93"/>
    </row>
    <row r="3457" spans="1:10" s="65" customFormat="1" ht="14" x14ac:dyDescent="0.35">
      <c r="A3457" s="145"/>
      <c r="B3457" s="152"/>
      <c r="E3457" s="102"/>
      <c r="F3457" s="102"/>
      <c r="G3457" s="102"/>
      <c r="I3457" s="93"/>
      <c r="J3457" s="93"/>
    </row>
    <row r="3458" spans="1:10" s="65" customFormat="1" ht="14" x14ac:dyDescent="0.35">
      <c r="A3458" s="145"/>
      <c r="B3458" s="152"/>
      <c r="E3458" s="102"/>
      <c r="F3458" s="102"/>
      <c r="G3458" s="102"/>
      <c r="I3458" s="93"/>
      <c r="J3458" s="93"/>
    </row>
    <row r="3459" spans="1:10" s="65" customFormat="1" ht="14" x14ac:dyDescent="0.35">
      <c r="A3459" s="145"/>
      <c r="B3459" s="152"/>
      <c r="E3459" s="102"/>
      <c r="F3459" s="102"/>
      <c r="G3459" s="102"/>
      <c r="I3459" s="93"/>
      <c r="J3459" s="93"/>
    </row>
    <row r="3460" spans="1:10" s="65" customFormat="1" ht="14" x14ac:dyDescent="0.35">
      <c r="A3460" s="145"/>
      <c r="B3460" s="152"/>
      <c r="E3460" s="102"/>
      <c r="F3460" s="102"/>
      <c r="G3460" s="102"/>
      <c r="I3460" s="93"/>
      <c r="J3460" s="93"/>
    </row>
    <row r="3461" spans="1:10" s="65" customFormat="1" ht="14" x14ac:dyDescent="0.35">
      <c r="A3461" s="145"/>
      <c r="B3461" s="152"/>
      <c r="E3461" s="102"/>
      <c r="F3461" s="102"/>
      <c r="G3461" s="102"/>
      <c r="I3461" s="93"/>
      <c r="J3461" s="93"/>
    </row>
    <row r="3462" spans="1:10" s="65" customFormat="1" ht="14" x14ac:dyDescent="0.35">
      <c r="A3462" s="145"/>
      <c r="B3462" s="152"/>
      <c r="E3462" s="102"/>
      <c r="F3462" s="102"/>
      <c r="G3462" s="102"/>
      <c r="I3462" s="93"/>
      <c r="J3462" s="93"/>
    </row>
    <row r="3463" spans="1:10" s="65" customFormat="1" ht="14" x14ac:dyDescent="0.35">
      <c r="A3463" s="145"/>
      <c r="B3463" s="152"/>
      <c r="E3463" s="102"/>
      <c r="F3463" s="102"/>
      <c r="G3463" s="102"/>
      <c r="I3463" s="93"/>
      <c r="J3463" s="93"/>
    </row>
    <row r="3464" spans="1:10" s="65" customFormat="1" ht="14" x14ac:dyDescent="0.35">
      <c r="A3464" s="145"/>
      <c r="B3464" s="152"/>
      <c r="E3464" s="102"/>
      <c r="F3464" s="102"/>
      <c r="G3464" s="102"/>
      <c r="I3464" s="93"/>
      <c r="J3464" s="93"/>
    </row>
    <row r="3465" spans="1:10" s="65" customFormat="1" ht="14" x14ac:dyDescent="0.35">
      <c r="A3465" s="145"/>
      <c r="B3465" s="152"/>
      <c r="E3465" s="102"/>
      <c r="F3465" s="102"/>
      <c r="G3465" s="102"/>
      <c r="I3465" s="93"/>
      <c r="J3465" s="93"/>
    </row>
    <row r="3466" spans="1:10" s="65" customFormat="1" ht="14" x14ac:dyDescent="0.35">
      <c r="A3466" s="145"/>
      <c r="B3466" s="152"/>
      <c r="E3466" s="102"/>
      <c r="F3466" s="102"/>
      <c r="G3466" s="102"/>
      <c r="I3466" s="93"/>
      <c r="J3466" s="93"/>
    </row>
    <row r="3467" spans="1:10" s="65" customFormat="1" ht="14" x14ac:dyDescent="0.35">
      <c r="A3467" s="145"/>
      <c r="B3467" s="152"/>
      <c r="E3467" s="102"/>
      <c r="F3467" s="102"/>
      <c r="G3467" s="102"/>
      <c r="I3467" s="93"/>
      <c r="J3467" s="93"/>
    </row>
    <row r="3468" spans="1:10" s="65" customFormat="1" ht="14" x14ac:dyDescent="0.35">
      <c r="A3468" s="145"/>
      <c r="B3468" s="152"/>
      <c r="E3468" s="102"/>
      <c r="F3468" s="102"/>
      <c r="G3468" s="102"/>
      <c r="I3468" s="93"/>
      <c r="J3468" s="93"/>
    </row>
    <row r="3469" spans="1:10" s="65" customFormat="1" ht="14" x14ac:dyDescent="0.35">
      <c r="A3469" s="145"/>
      <c r="B3469" s="152"/>
      <c r="E3469" s="102"/>
      <c r="F3469" s="102"/>
      <c r="G3469" s="102"/>
      <c r="I3469" s="93"/>
      <c r="J3469" s="93"/>
    </row>
    <row r="3470" spans="1:10" s="65" customFormat="1" ht="14" x14ac:dyDescent="0.35">
      <c r="A3470" s="145"/>
      <c r="B3470" s="152"/>
      <c r="E3470" s="102"/>
      <c r="F3470" s="102"/>
      <c r="G3470" s="102"/>
      <c r="I3470" s="93"/>
      <c r="J3470" s="93"/>
    </row>
    <row r="3471" spans="1:10" s="65" customFormat="1" ht="14" x14ac:dyDescent="0.35">
      <c r="A3471" s="145"/>
      <c r="B3471" s="152"/>
      <c r="E3471" s="102"/>
      <c r="F3471" s="102"/>
      <c r="G3471" s="102"/>
      <c r="I3471" s="93"/>
      <c r="J3471" s="93"/>
    </row>
    <row r="3472" spans="1:10" s="65" customFormat="1" ht="14" x14ac:dyDescent="0.35">
      <c r="A3472" s="145"/>
      <c r="B3472" s="152"/>
      <c r="E3472" s="102"/>
      <c r="F3472" s="102"/>
      <c r="G3472" s="102"/>
      <c r="I3472" s="93"/>
      <c r="J3472" s="93"/>
    </row>
    <row r="3473" spans="1:10" s="65" customFormat="1" ht="14" x14ac:dyDescent="0.35">
      <c r="A3473" s="145"/>
      <c r="B3473" s="152"/>
      <c r="E3473" s="102"/>
      <c r="F3473" s="102"/>
      <c r="G3473" s="102"/>
      <c r="I3473" s="93"/>
      <c r="J3473" s="93"/>
    </row>
    <row r="3474" spans="1:10" s="65" customFormat="1" ht="14" x14ac:dyDescent="0.35">
      <c r="A3474" s="145"/>
      <c r="B3474" s="152"/>
      <c r="E3474" s="102"/>
      <c r="F3474" s="102"/>
      <c r="G3474" s="102"/>
      <c r="I3474" s="93"/>
      <c r="J3474" s="93"/>
    </row>
    <row r="3475" spans="1:10" s="65" customFormat="1" ht="14" x14ac:dyDescent="0.35">
      <c r="A3475" s="145"/>
      <c r="B3475" s="152"/>
      <c r="E3475" s="102"/>
      <c r="F3475" s="102"/>
      <c r="G3475" s="102"/>
      <c r="I3475" s="93"/>
      <c r="J3475" s="93"/>
    </row>
    <row r="3476" spans="1:10" s="65" customFormat="1" ht="14" x14ac:dyDescent="0.35">
      <c r="A3476" s="145"/>
      <c r="B3476" s="152"/>
      <c r="E3476" s="102"/>
      <c r="F3476" s="102"/>
      <c r="G3476" s="102"/>
      <c r="I3476" s="93"/>
      <c r="J3476" s="93"/>
    </row>
    <row r="3477" spans="1:10" s="65" customFormat="1" ht="14" x14ac:dyDescent="0.35">
      <c r="A3477" s="145"/>
      <c r="B3477" s="152"/>
      <c r="E3477" s="102"/>
      <c r="F3477" s="102"/>
      <c r="G3477" s="102"/>
      <c r="I3477" s="93"/>
      <c r="J3477" s="93"/>
    </row>
    <row r="3478" spans="1:10" s="65" customFormat="1" ht="14" x14ac:dyDescent="0.35">
      <c r="A3478" s="145"/>
      <c r="B3478" s="152"/>
      <c r="E3478" s="102"/>
      <c r="F3478" s="102"/>
      <c r="G3478" s="102"/>
      <c r="I3478" s="93"/>
      <c r="J3478" s="93"/>
    </row>
    <row r="3479" spans="1:10" s="65" customFormat="1" ht="14" x14ac:dyDescent="0.35">
      <c r="A3479" s="145"/>
      <c r="B3479" s="152"/>
      <c r="E3479" s="102"/>
      <c r="F3479" s="102"/>
      <c r="G3479" s="102"/>
      <c r="I3479" s="93"/>
      <c r="J3479" s="93"/>
    </row>
    <row r="3480" spans="1:10" s="65" customFormat="1" ht="14" x14ac:dyDescent="0.35">
      <c r="A3480" s="145"/>
      <c r="B3480" s="152"/>
      <c r="E3480" s="102"/>
      <c r="F3480" s="102"/>
      <c r="G3480" s="102"/>
      <c r="I3480" s="93"/>
      <c r="J3480" s="93"/>
    </row>
    <row r="3481" spans="1:10" s="65" customFormat="1" ht="14" x14ac:dyDescent="0.35">
      <c r="A3481" s="145"/>
      <c r="B3481" s="152"/>
      <c r="E3481" s="102"/>
      <c r="F3481" s="102"/>
      <c r="G3481" s="102"/>
      <c r="I3481" s="93"/>
      <c r="J3481" s="93"/>
    </row>
    <row r="3482" spans="1:10" s="65" customFormat="1" ht="14" x14ac:dyDescent="0.35">
      <c r="A3482" s="145"/>
      <c r="B3482" s="152"/>
      <c r="E3482" s="102"/>
      <c r="F3482" s="102"/>
      <c r="G3482" s="102"/>
      <c r="I3482" s="93"/>
      <c r="J3482" s="93"/>
    </row>
    <row r="3483" spans="1:10" s="65" customFormat="1" ht="14" x14ac:dyDescent="0.35">
      <c r="A3483" s="145"/>
      <c r="B3483" s="152"/>
      <c r="E3483" s="102"/>
      <c r="F3483" s="102"/>
      <c r="G3483" s="102"/>
      <c r="I3483" s="93"/>
      <c r="J3483" s="93"/>
    </row>
    <row r="3484" spans="1:10" s="65" customFormat="1" ht="14" x14ac:dyDescent="0.35">
      <c r="A3484" s="145"/>
      <c r="B3484" s="152"/>
      <c r="E3484" s="102"/>
      <c r="F3484" s="102"/>
      <c r="G3484" s="102"/>
      <c r="I3484" s="93"/>
      <c r="J3484" s="93"/>
    </row>
    <row r="3485" spans="1:10" s="65" customFormat="1" ht="14" x14ac:dyDescent="0.35">
      <c r="A3485" s="145"/>
      <c r="B3485" s="152"/>
      <c r="E3485" s="102"/>
      <c r="F3485" s="102"/>
      <c r="G3485" s="102"/>
      <c r="I3485" s="93"/>
      <c r="J3485" s="93"/>
    </row>
    <row r="3486" spans="1:10" s="65" customFormat="1" ht="14" x14ac:dyDescent="0.35">
      <c r="A3486" s="145"/>
      <c r="B3486" s="152"/>
      <c r="E3486" s="102"/>
      <c r="F3486" s="102"/>
      <c r="G3486" s="102"/>
      <c r="I3486" s="93"/>
      <c r="J3486" s="93"/>
    </row>
    <row r="3487" spans="1:10" s="65" customFormat="1" ht="14" x14ac:dyDescent="0.35">
      <c r="A3487" s="145"/>
      <c r="B3487" s="152"/>
      <c r="E3487" s="102"/>
      <c r="F3487" s="102"/>
      <c r="G3487" s="102"/>
      <c r="I3487" s="93"/>
      <c r="J3487" s="93"/>
    </row>
    <row r="3488" spans="1:10" s="65" customFormat="1" ht="14" x14ac:dyDescent="0.35">
      <c r="A3488" s="145"/>
      <c r="B3488" s="152"/>
      <c r="E3488" s="102"/>
      <c r="F3488" s="102"/>
      <c r="G3488" s="102"/>
      <c r="I3488" s="93"/>
      <c r="J3488" s="93"/>
    </row>
    <row r="3489" spans="1:10" s="65" customFormat="1" ht="14" x14ac:dyDescent="0.35">
      <c r="A3489" s="145"/>
      <c r="B3489" s="152"/>
      <c r="E3489" s="102"/>
      <c r="F3489" s="102"/>
      <c r="G3489" s="102"/>
      <c r="I3489" s="93"/>
      <c r="J3489" s="93"/>
    </row>
    <row r="3490" spans="1:10" s="65" customFormat="1" ht="14" x14ac:dyDescent="0.35">
      <c r="A3490" s="145"/>
      <c r="B3490" s="152"/>
      <c r="E3490" s="102"/>
      <c r="F3490" s="102"/>
      <c r="G3490" s="102"/>
      <c r="I3490" s="93"/>
      <c r="J3490" s="93"/>
    </row>
    <row r="3491" spans="1:10" s="65" customFormat="1" ht="14" x14ac:dyDescent="0.35">
      <c r="A3491" s="145"/>
      <c r="B3491" s="152"/>
      <c r="E3491" s="102"/>
      <c r="F3491" s="102"/>
      <c r="G3491" s="102"/>
      <c r="I3491" s="93"/>
      <c r="J3491" s="93"/>
    </row>
    <row r="3492" spans="1:10" s="65" customFormat="1" ht="14" x14ac:dyDescent="0.35">
      <c r="A3492" s="145"/>
      <c r="B3492" s="152"/>
      <c r="E3492" s="102"/>
      <c r="F3492" s="102"/>
      <c r="G3492" s="102"/>
      <c r="I3492" s="93"/>
      <c r="J3492" s="93"/>
    </row>
    <row r="3493" spans="1:10" s="65" customFormat="1" ht="14" x14ac:dyDescent="0.35">
      <c r="A3493" s="145"/>
      <c r="B3493" s="152"/>
      <c r="E3493" s="102"/>
      <c r="F3493" s="102"/>
      <c r="G3493" s="102"/>
      <c r="I3493" s="93"/>
      <c r="J3493" s="93"/>
    </row>
    <row r="3494" spans="1:10" s="65" customFormat="1" ht="14" x14ac:dyDescent="0.35">
      <c r="A3494" s="145"/>
      <c r="B3494" s="152"/>
      <c r="E3494" s="102"/>
      <c r="F3494" s="102"/>
      <c r="G3494" s="102"/>
      <c r="I3494" s="93"/>
      <c r="J3494" s="93"/>
    </row>
    <row r="3495" spans="1:10" s="65" customFormat="1" ht="14" x14ac:dyDescent="0.35">
      <c r="A3495" s="145"/>
      <c r="B3495" s="152"/>
      <c r="E3495" s="102"/>
      <c r="F3495" s="102"/>
      <c r="G3495" s="102"/>
      <c r="I3495" s="93"/>
      <c r="J3495" s="93"/>
    </row>
    <row r="3496" spans="1:10" s="65" customFormat="1" ht="14" x14ac:dyDescent="0.35">
      <c r="A3496" s="145"/>
      <c r="B3496" s="152"/>
      <c r="E3496" s="102"/>
      <c r="F3496" s="102"/>
      <c r="G3496" s="102"/>
      <c r="I3496" s="93"/>
      <c r="J3496" s="93"/>
    </row>
    <row r="3497" spans="1:10" s="65" customFormat="1" ht="14" x14ac:dyDescent="0.35">
      <c r="A3497" s="145"/>
      <c r="B3497" s="152"/>
      <c r="E3497" s="102"/>
      <c r="F3497" s="102"/>
      <c r="G3497" s="102"/>
      <c r="I3497" s="93"/>
      <c r="J3497" s="93"/>
    </row>
    <row r="3498" spans="1:10" s="65" customFormat="1" ht="14" x14ac:dyDescent="0.35">
      <c r="A3498" s="145"/>
      <c r="B3498" s="152"/>
      <c r="E3498" s="102"/>
      <c r="F3498" s="102"/>
      <c r="G3498" s="102"/>
      <c r="I3498" s="93"/>
      <c r="J3498" s="93"/>
    </row>
    <row r="3499" spans="1:10" s="65" customFormat="1" ht="14" x14ac:dyDescent="0.35">
      <c r="A3499" s="145"/>
      <c r="B3499" s="152"/>
      <c r="E3499" s="102"/>
      <c r="F3499" s="102"/>
      <c r="G3499" s="102"/>
      <c r="I3499" s="93"/>
      <c r="J3499" s="93"/>
    </row>
    <row r="3500" spans="1:10" s="65" customFormat="1" ht="14" x14ac:dyDescent="0.35">
      <c r="A3500" s="145"/>
      <c r="B3500" s="152"/>
      <c r="E3500" s="102"/>
      <c r="F3500" s="102"/>
      <c r="G3500" s="102"/>
      <c r="I3500" s="93"/>
      <c r="J3500" s="93"/>
    </row>
    <row r="3501" spans="1:10" s="65" customFormat="1" ht="14" x14ac:dyDescent="0.35">
      <c r="A3501" s="145"/>
      <c r="B3501" s="152"/>
      <c r="E3501" s="102"/>
      <c r="F3501" s="102"/>
      <c r="G3501" s="102"/>
      <c r="I3501" s="93"/>
      <c r="J3501" s="93"/>
    </row>
    <row r="3502" spans="1:10" s="65" customFormat="1" ht="14" x14ac:dyDescent="0.35">
      <c r="A3502" s="145"/>
      <c r="B3502" s="152"/>
      <c r="E3502" s="102"/>
      <c r="F3502" s="102"/>
      <c r="G3502" s="102"/>
      <c r="I3502" s="93"/>
      <c r="J3502" s="93"/>
    </row>
    <row r="3503" spans="1:10" s="65" customFormat="1" ht="14" x14ac:dyDescent="0.35">
      <c r="A3503" s="145"/>
      <c r="B3503" s="152"/>
      <c r="E3503" s="102"/>
      <c r="F3503" s="102"/>
      <c r="G3503" s="102"/>
      <c r="I3503" s="93"/>
      <c r="J3503" s="93"/>
    </row>
    <row r="3504" spans="1:10" s="65" customFormat="1" ht="14" x14ac:dyDescent="0.35">
      <c r="A3504" s="145"/>
      <c r="B3504" s="152"/>
      <c r="E3504" s="102"/>
      <c r="F3504" s="102"/>
      <c r="G3504" s="102"/>
      <c r="I3504" s="93"/>
      <c r="J3504" s="93"/>
    </row>
    <row r="3505" spans="1:10" s="65" customFormat="1" ht="14" x14ac:dyDescent="0.35">
      <c r="A3505" s="145"/>
      <c r="B3505" s="152"/>
      <c r="E3505" s="102"/>
      <c r="F3505" s="102"/>
      <c r="G3505" s="102"/>
      <c r="I3505" s="93"/>
      <c r="J3505" s="93"/>
    </row>
    <row r="3506" spans="1:10" s="65" customFormat="1" ht="14" x14ac:dyDescent="0.35">
      <c r="A3506" s="145"/>
      <c r="B3506" s="152"/>
      <c r="E3506" s="102"/>
      <c r="F3506" s="102"/>
      <c r="G3506" s="102"/>
      <c r="I3506" s="93"/>
      <c r="J3506" s="93"/>
    </row>
    <row r="3507" spans="1:10" s="65" customFormat="1" ht="14" x14ac:dyDescent="0.35">
      <c r="A3507" s="145"/>
      <c r="B3507" s="152"/>
      <c r="E3507" s="102"/>
      <c r="F3507" s="102"/>
      <c r="G3507" s="102"/>
      <c r="I3507" s="93"/>
      <c r="J3507" s="93"/>
    </row>
    <row r="3508" spans="1:10" s="65" customFormat="1" ht="14" x14ac:dyDescent="0.35">
      <c r="A3508" s="145"/>
      <c r="B3508" s="152"/>
      <c r="E3508" s="102"/>
      <c r="F3508" s="102"/>
      <c r="G3508" s="102"/>
      <c r="I3508" s="93"/>
      <c r="J3508" s="93"/>
    </row>
    <row r="3509" spans="1:10" s="65" customFormat="1" ht="14" x14ac:dyDescent="0.35">
      <c r="A3509" s="145"/>
      <c r="B3509" s="152"/>
      <c r="E3509" s="102"/>
      <c r="F3509" s="102"/>
      <c r="G3509" s="102"/>
      <c r="I3509" s="93"/>
      <c r="J3509" s="93"/>
    </row>
    <row r="3510" spans="1:10" s="65" customFormat="1" ht="14" x14ac:dyDescent="0.35">
      <c r="A3510" s="145"/>
      <c r="B3510" s="152"/>
      <c r="E3510" s="102"/>
      <c r="F3510" s="102"/>
      <c r="G3510" s="102"/>
      <c r="I3510" s="93"/>
      <c r="J3510" s="93"/>
    </row>
    <row r="3511" spans="1:10" s="65" customFormat="1" ht="14" x14ac:dyDescent="0.35">
      <c r="A3511" s="145"/>
      <c r="B3511" s="152"/>
      <c r="E3511" s="102"/>
      <c r="F3511" s="102"/>
      <c r="G3511" s="102"/>
      <c r="I3511" s="93"/>
      <c r="J3511" s="93"/>
    </row>
    <row r="3512" spans="1:10" s="65" customFormat="1" ht="14" x14ac:dyDescent="0.35">
      <c r="A3512" s="145"/>
      <c r="B3512" s="152"/>
      <c r="E3512" s="102"/>
      <c r="F3512" s="102"/>
      <c r="G3512" s="102"/>
      <c r="I3512" s="93"/>
      <c r="J3512" s="93"/>
    </row>
    <row r="3513" spans="1:10" s="65" customFormat="1" ht="14" x14ac:dyDescent="0.35">
      <c r="A3513" s="145"/>
      <c r="B3513" s="152"/>
      <c r="E3513" s="102"/>
      <c r="F3513" s="102"/>
      <c r="G3513" s="102"/>
      <c r="I3513" s="93"/>
      <c r="J3513" s="93"/>
    </row>
    <row r="3514" spans="1:10" s="65" customFormat="1" ht="14" x14ac:dyDescent="0.35">
      <c r="A3514" s="145"/>
      <c r="B3514" s="152"/>
      <c r="E3514" s="102"/>
      <c r="F3514" s="102"/>
      <c r="G3514" s="102"/>
      <c r="I3514" s="93"/>
      <c r="J3514" s="93"/>
    </row>
    <row r="3515" spans="1:10" s="65" customFormat="1" ht="14" x14ac:dyDescent="0.35">
      <c r="A3515" s="145"/>
      <c r="B3515" s="152"/>
      <c r="E3515" s="102"/>
      <c r="F3515" s="102"/>
      <c r="G3515" s="102"/>
      <c r="I3515" s="93"/>
      <c r="J3515" s="93"/>
    </row>
    <row r="3516" spans="1:10" s="65" customFormat="1" ht="14" x14ac:dyDescent="0.35">
      <c r="A3516" s="145"/>
      <c r="B3516" s="152"/>
      <c r="E3516" s="102"/>
      <c r="F3516" s="102"/>
      <c r="G3516" s="102"/>
      <c r="I3516" s="93"/>
      <c r="J3516" s="93"/>
    </row>
    <row r="3517" spans="1:10" s="65" customFormat="1" ht="14" x14ac:dyDescent="0.35">
      <c r="A3517" s="145"/>
      <c r="B3517" s="152"/>
      <c r="E3517" s="102"/>
      <c r="F3517" s="102"/>
      <c r="G3517" s="102"/>
      <c r="I3517" s="93"/>
      <c r="J3517" s="93"/>
    </row>
    <row r="3518" spans="1:10" s="65" customFormat="1" ht="14" x14ac:dyDescent="0.35">
      <c r="A3518" s="145"/>
      <c r="B3518" s="152"/>
      <c r="E3518" s="102"/>
      <c r="F3518" s="102"/>
      <c r="G3518" s="102"/>
      <c r="I3518" s="93"/>
      <c r="J3518" s="93"/>
    </row>
    <row r="3519" spans="1:10" s="65" customFormat="1" ht="14" x14ac:dyDescent="0.35">
      <c r="A3519" s="145"/>
      <c r="B3519" s="152"/>
      <c r="E3519" s="102"/>
      <c r="F3519" s="102"/>
      <c r="G3519" s="102"/>
      <c r="I3519" s="93"/>
      <c r="J3519" s="93"/>
    </row>
    <row r="3520" spans="1:10" s="65" customFormat="1" ht="14" x14ac:dyDescent="0.35">
      <c r="A3520" s="145"/>
      <c r="B3520" s="152"/>
      <c r="E3520" s="102"/>
      <c r="F3520" s="102"/>
      <c r="G3520" s="102"/>
      <c r="I3520" s="93"/>
      <c r="J3520" s="93"/>
    </row>
    <row r="3521" spans="1:10" s="65" customFormat="1" ht="14" x14ac:dyDescent="0.35">
      <c r="A3521" s="145"/>
      <c r="B3521" s="152"/>
      <c r="E3521" s="102"/>
      <c r="F3521" s="102"/>
      <c r="G3521" s="102"/>
      <c r="I3521" s="93"/>
      <c r="J3521" s="93"/>
    </row>
    <row r="3522" spans="1:10" s="65" customFormat="1" ht="14" x14ac:dyDescent="0.35">
      <c r="A3522" s="145"/>
      <c r="B3522" s="152"/>
      <c r="E3522" s="102"/>
      <c r="F3522" s="102"/>
      <c r="G3522" s="102"/>
      <c r="I3522" s="93"/>
      <c r="J3522" s="93"/>
    </row>
    <row r="3523" spans="1:10" s="65" customFormat="1" ht="14" x14ac:dyDescent="0.35">
      <c r="A3523" s="145"/>
      <c r="B3523" s="152"/>
      <c r="E3523" s="102"/>
      <c r="F3523" s="102"/>
      <c r="G3523" s="102"/>
      <c r="I3523" s="93"/>
      <c r="J3523" s="93"/>
    </row>
    <row r="3524" spans="1:10" s="65" customFormat="1" ht="14" x14ac:dyDescent="0.35">
      <c r="A3524" s="145"/>
      <c r="B3524" s="152"/>
      <c r="E3524" s="102"/>
      <c r="F3524" s="102"/>
      <c r="G3524" s="102"/>
      <c r="I3524" s="93"/>
      <c r="J3524" s="93"/>
    </row>
    <row r="3525" spans="1:10" s="65" customFormat="1" ht="14" x14ac:dyDescent="0.35">
      <c r="A3525" s="145"/>
      <c r="B3525" s="152"/>
      <c r="E3525" s="102"/>
      <c r="F3525" s="102"/>
      <c r="G3525" s="102"/>
      <c r="I3525" s="93"/>
      <c r="J3525" s="93"/>
    </row>
    <row r="3526" spans="1:10" s="65" customFormat="1" ht="14" x14ac:dyDescent="0.35">
      <c r="A3526" s="145"/>
      <c r="B3526" s="152"/>
      <c r="E3526" s="102"/>
      <c r="F3526" s="102"/>
      <c r="G3526" s="102"/>
      <c r="I3526" s="93"/>
      <c r="J3526" s="93"/>
    </row>
    <row r="3527" spans="1:10" s="65" customFormat="1" ht="14" x14ac:dyDescent="0.35">
      <c r="A3527" s="145"/>
      <c r="B3527" s="152"/>
      <c r="E3527" s="102"/>
      <c r="F3527" s="102"/>
      <c r="G3527" s="102"/>
      <c r="I3527" s="93"/>
      <c r="J3527" s="93"/>
    </row>
    <row r="3528" spans="1:10" s="65" customFormat="1" ht="14" x14ac:dyDescent="0.35">
      <c r="A3528" s="145"/>
      <c r="B3528" s="152"/>
      <c r="E3528" s="102"/>
      <c r="F3528" s="102"/>
      <c r="G3528" s="102"/>
      <c r="I3528" s="93"/>
      <c r="J3528" s="93"/>
    </row>
    <row r="3529" spans="1:10" s="65" customFormat="1" ht="14" x14ac:dyDescent="0.35">
      <c r="A3529" s="145"/>
      <c r="B3529" s="152"/>
      <c r="E3529" s="102"/>
      <c r="F3529" s="102"/>
      <c r="G3529" s="102"/>
      <c r="I3529" s="93"/>
      <c r="J3529" s="93"/>
    </row>
    <row r="3530" spans="1:10" s="65" customFormat="1" ht="14" x14ac:dyDescent="0.35">
      <c r="A3530" s="145"/>
      <c r="B3530" s="152"/>
      <c r="E3530" s="102"/>
      <c r="F3530" s="102"/>
      <c r="G3530" s="102"/>
      <c r="I3530" s="93"/>
      <c r="J3530" s="93"/>
    </row>
    <row r="3531" spans="1:10" s="65" customFormat="1" ht="14" x14ac:dyDescent="0.35">
      <c r="A3531" s="145"/>
      <c r="B3531" s="152"/>
      <c r="E3531" s="102"/>
      <c r="F3531" s="102"/>
      <c r="G3531" s="102"/>
      <c r="I3531" s="93"/>
      <c r="J3531" s="93"/>
    </row>
    <row r="3532" spans="1:10" s="65" customFormat="1" ht="14" x14ac:dyDescent="0.35">
      <c r="A3532" s="145"/>
      <c r="B3532" s="152"/>
      <c r="E3532" s="102"/>
      <c r="F3532" s="102"/>
      <c r="G3532" s="102"/>
      <c r="I3532" s="93"/>
      <c r="J3532" s="93"/>
    </row>
    <row r="3533" spans="1:10" s="65" customFormat="1" ht="14" x14ac:dyDescent="0.35">
      <c r="A3533" s="145"/>
      <c r="B3533" s="152"/>
      <c r="E3533" s="102"/>
      <c r="F3533" s="102"/>
      <c r="G3533" s="102"/>
      <c r="I3533" s="93"/>
      <c r="J3533" s="93"/>
    </row>
    <row r="3534" spans="1:10" s="65" customFormat="1" ht="14" x14ac:dyDescent="0.35">
      <c r="A3534" s="145"/>
      <c r="B3534" s="152"/>
      <c r="E3534" s="102"/>
      <c r="F3534" s="102"/>
      <c r="G3534" s="102"/>
      <c r="I3534" s="93"/>
      <c r="J3534" s="93"/>
    </row>
    <row r="3535" spans="1:10" s="65" customFormat="1" ht="14" x14ac:dyDescent="0.35">
      <c r="A3535" s="145"/>
      <c r="B3535" s="152"/>
      <c r="E3535" s="102"/>
      <c r="F3535" s="102"/>
      <c r="G3535" s="102"/>
      <c r="I3535" s="93"/>
      <c r="J3535" s="93"/>
    </row>
    <row r="3536" spans="1:10" s="65" customFormat="1" ht="14" x14ac:dyDescent="0.35">
      <c r="A3536" s="145"/>
      <c r="B3536" s="152"/>
      <c r="E3536" s="102"/>
      <c r="F3536" s="102"/>
      <c r="G3536" s="102"/>
      <c r="I3536" s="93"/>
      <c r="J3536" s="93"/>
    </row>
    <row r="3537" spans="1:10" s="65" customFormat="1" ht="14" x14ac:dyDescent="0.35">
      <c r="A3537" s="145"/>
      <c r="B3537" s="152"/>
      <c r="E3537" s="102"/>
      <c r="F3537" s="102"/>
      <c r="G3537" s="102"/>
      <c r="I3537" s="93"/>
      <c r="J3537" s="93"/>
    </row>
    <row r="3538" spans="1:10" s="65" customFormat="1" ht="14" x14ac:dyDescent="0.35">
      <c r="A3538" s="145"/>
      <c r="B3538" s="152"/>
      <c r="E3538" s="102"/>
      <c r="F3538" s="102"/>
      <c r="G3538" s="102"/>
      <c r="I3538" s="93"/>
      <c r="J3538" s="93"/>
    </row>
    <row r="3539" spans="1:10" s="65" customFormat="1" ht="14" x14ac:dyDescent="0.35">
      <c r="A3539" s="145"/>
      <c r="B3539" s="152"/>
      <c r="E3539" s="102"/>
      <c r="F3539" s="102"/>
      <c r="G3539" s="102"/>
      <c r="I3539" s="93"/>
      <c r="J3539" s="93"/>
    </row>
    <row r="3540" spans="1:10" s="65" customFormat="1" ht="14" x14ac:dyDescent="0.35">
      <c r="A3540" s="145"/>
      <c r="B3540" s="152"/>
      <c r="E3540" s="102"/>
      <c r="F3540" s="102"/>
      <c r="G3540" s="102"/>
      <c r="I3540" s="93"/>
      <c r="J3540" s="93"/>
    </row>
    <row r="3541" spans="1:10" s="65" customFormat="1" ht="14" x14ac:dyDescent="0.35">
      <c r="A3541" s="145"/>
      <c r="B3541" s="152"/>
      <c r="E3541" s="102"/>
      <c r="F3541" s="102"/>
      <c r="G3541" s="102"/>
      <c r="I3541" s="93"/>
      <c r="J3541" s="93"/>
    </row>
    <row r="3542" spans="1:10" s="65" customFormat="1" ht="14" x14ac:dyDescent="0.35">
      <c r="A3542" s="145"/>
      <c r="B3542" s="152"/>
      <c r="E3542" s="102"/>
      <c r="F3542" s="102"/>
      <c r="G3542" s="102"/>
      <c r="I3542" s="93"/>
      <c r="J3542" s="93"/>
    </row>
    <row r="3543" spans="1:10" s="65" customFormat="1" ht="14" x14ac:dyDescent="0.35">
      <c r="A3543" s="145"/>
      <c r="B3543" s="152"/>
      <c r="E3543" s="102"/>
      <c r="F3543" s="102"/>
      <c r="G3543" s="102"/>
      <c r="I3543" s="93"/>
      <c r="J3543" s="93"/>
    </row>
    <row r="3544" spans="1:10" s="65" customFormat="1" ht="14" x14ac:dyDescent="0.35">
      <c r="A3544" s="145"/>
      <c r="B3544" s="152"/>
      <c r="E3544" s="102"/>
      <c r="F3544" s="102"/>
      <c r="G3544" s="102"/>
      <c r="I3544" s="93"/>
      <c r="J3544" s="93"/>
    </row>
    <row r="3545" spans="1:10" s="65" customFormat="1" ht="14" x14ac:dyDescent="0.35">
      <c r="A3545" s="145"/>
      <c r="B3545" s="152"/>
      <c r="E3545" s="102"/>
      <c r="F3545" s="102"/>
      <c r="G3545" s="102"/>
      <c r="I3545" s="93"/>
      <c r="J3545" s="93"/>
    </row>
    <row r="3546" spans="1:10" s="65" customFormat="1" ht="14" x14ac:dyDescent="0.35">
      <c r="A3546" s="145"/>
      <c r="B3546" s="152"/>
      <c r="E3546" s="102"/>
      <c r="F3546" s="102"/>
      <c r="G3546" s="102"/>
      <c r="I3546" s="93"/>
      <c r="J3546" s="93"/>
    </row>
    <row r="3547" spans="1:10" s="65" customFormat="1" ht="14" x14ac:dyDescent="0.35">
      <c r="A3547" s="145"/>
      <c r="B3547" s="152"/>
      <c r="E3547" s="102"/>
      <c r="F3547" s="102"/>
      <c r="G3547" s="102"/>
      <c r="I3547" s="93"/>
      <c r="J3547" s="93"/>
    </row>
    <row r="3548" spans="1:10" s="65" customFormat="1" ht="14" x14ac:dyDescent="0.35">
      <c r="A3548" s="145"/>
      <c r="B3548" s="152"/>
      <c r="E3548" s="102"/>
      <c r="F3548" s="102"/>
      <c r="G3548" s="102"/>
      <c r="I3548" s="93"/>
      <c r="J3548" s="93"/>
    </row>
    <row r="3549" spans="1:10" s="65" customFormat="1" ht="14" x14ac:dyDescent="0.35">
      <c r="A3549" s="145"/>
      <c r="B3549" s="152"/>
      <c r="E3549" s="102"/>
      <c r="F3549" s="102"/>
      <c r="G3549" s="102"/>
      <c r="I3549" s="93"/>
      <c r="J3549" s="93"/>
    </row>
    <row r="3550" spans="1:10" s="65" customFormat="1" ht="14" x14ac:dyDescent="0.35">
      <c r="A3550" s="145"/>
      <c r="B3550" s="152"/>
      <c r="E3550" s="102"/>
      <c r="F3550" s="102"/>
      <c r="G3550" s="102"/>
      <c r="I3550" s="93"/>
      <c r="J3550" s="93"/>
    </row>
    <row r="3551" spans="1:10" s="65" customFormat="1" ht="14" x14ac:dyDescent="0.35">
      <c r="A3551" s="145"/>
      <c r="B3551" s="152"/>
      <c r="E3551" s="102"/>
      <c r="F3551" s="102"/>
      <c r="G3551" s="102"/>
      <c r="I3551" s="93"/>
      <c r="J3551" s="93"/>
    </row>
    <row r="3552" spans="1:10" s="65" customFormat="1" ht="14" x14ac:dyDescent="0.35">
      <c r="A3552" s="145"/>
      <c r="B3552" s="152"/>
      <c r="E3552" s="102"/>
      <c r="F3552" s="102"/>
      <c r="G3552" s="102"/>
      <c r="I3552" s="93"/>
      <c r="J3552" s="93"/>
    </row>
    <row r="3553" spans="1:10" s="65" customFormat="1" ht="14" x14ac:dyDescent="0.35">
      <c r="A3553" s="145"/>
      <c r="B3553" s="152"/>
      <c r="E3553" s="102"/>
      <c r="F3553" s="102"/>
      <c r="G3553" s="102"/>
      <c r="I3553" s="93"/>
      <c r="J3553" s="93"/>
    </row>
    <row r="3554" spans="1:10" s="65" customFormat="1" ht="14" x14ac:dyDescent="0.35">
      <c r="A3554" s="145"/>
      <c r="B3554" s="152"/>
      <c r="E3554" s="102"/>
      <c r="F3554" s="102"/>
      <c r="G3554" s="102"/>
      <c r="I3554" s="93"/>
      <c r="J3554" s="93"/>
    </row>
    <row r="3555" spans="1:10" s="65" customFormat="1" ht="14" x14ac:dyDescent="0.35">
      <c r="A3555" s="145"/>
      <c r="B3555" s="152"/>
      <c r="E3555" s="102"/>
      <c r="F3555" s="102"/>
      <c r="G3555" s="102"/>
      <c r="I3555" s="93"/>
      <c r="J3555" s="93"/>
    </row>
    <row r="3556" spans="1:10" s="65" customFormat="1" ht="14" x14ac:dyDescent="0.35">
      <c r="A3556" s="145"/>
      <c r="B3556" s="152"/>
      <c r="E3556" s="102"/>
      <c r="F3556" s="102"/>
      <c r="G3556" s="102"/>
      <c r="I3556" s="93"/>
      <c r="J3556" s="93"/>
    </row>
    <row r="3557" spans="1:10" s="65" customFormat="1" ht="14" x14ac:dyDescent="0.35">
      <c r="A3557" s="145"/>
      <c r="B3557" s="152"/>
      <c r="E3557" s="102"/>
      <c r="F3557" s="102"/>
      <c r="G3557" s="102"/>
      <c r="I3557" s="93"/>
      <c r="J3557" s="93"/>
    </row>
    <row r="3558" spans="1:10" s="65" customFormat="1" ht="14" x14ac:dyDescent="0.35">
      <c r="A3558" s="145"/>
      <c r="B3558" s="152"/>
      <c r="E3558" s="102"/>
      <c r="F3558" s="102"/>
      <c r="G3558" s="102"/>
      <c r="I3558" s="93"/>
      <c r="J3558" s="93"/>
    </row>
    <row r="3559" spans="1:10" s="65" customFormat="1" ht="14" x14ac:dyDescent="0.35">
      <c r="A3559" s="145"/>
      <c r="B3559" s="152"/>
      <c r="E3559" s="102"/>
      <c r="F3559" s="102"/>
      <c r="G3559" s="102"/>
      <c r="I3559" s="93"/>
      <c r="J3559" s="93"/>
    </row>
    <row r="3560" spans="1:10" s="65" customFormat="1" ht="14" x14ac:dyDescent="0.35">
      <c r="A3560" s="145"/>
      <c r="B3560" s="152"/>
      <c r="E3560" s="102"/>
      <c r="F3560" s="102"/>
      <c r="G3560" s="102"/>
      <c r="I3560" s="93"/>
      <c r="J3560" s="93"/>
    </row>
    <row r="3561" spans="1:10" s="65" customFormat="1" ht="14" x14ac:dyDescent="0.35">
      <c r="A3561" s="145"/>
      <c r="B3561" s="152"/>
      <c r="E3561" s="102"/>
      <c r="F3561" s="102"/>
      <c r="G3561" s="102"/>
      <c r="I3561" s="93"/>
      <c r="J3561" s="93"/>
    </row>
    <row r="3562" spans="1:10" s="65" customFormat="1" ht="14" x14ac:dyDescent="0.35">
      <c r="A3562" s="145"/>
      <c r="B3562" s="152"/>
      <c r="E3562" s="102"/>
      <c r="F3562" s="102"/>
      <c r="G3562" s="102"/>
      <c r="I3562" s="93"/>
      <c r="J3562" s="93"/>
    </row>
    <row r="3563" spans="1:10" s="65" customFormat="1" ht="14" x14ac:dyDescent="0.35">
      <c r="A3563" s="145"/>
      <c r="B3563" s="152"/>
      <c r="E3563" s="102"/>
      <c r="F3563" s="102"/>
      <c r="G3563" s="102"/>
      <c r="I3563" s="93"/>
      <c r="J3563" s="93"/>
    </row>
    <row r="3564" spans="1:10" s="65" customFormat="1" ht="14" x14ac:dyDescent="0.35">
      <c r="A3564" s="145"/>
      <c r="B3564" s="152"/>
      <c r="E3564" s="102"/>
      <c r="F3564" s="102"/>
      <c r="G3564" s="102"/>
      <c r="I3564" s="93"/>
      <c r="J3564" s="93"/>
    </row>
    <row r="3565" spans="1:10" s="65" customFormat="1" ht="14" x14ac:dyDescent="0.35">
      <c r="A3565" s="145"/>
      <c r="B3565" s="152"/>
      <c r="E3565" s="102"/>
      <c r="F3565" s="102"/>
      <c r="G3565" s="102"/>
      <c r="I3565" s="93"/>
      <c r="J3565" s="93"/>
    </row>
    <row r="3566" spans="1:10" s="65" customFormat="1" ht="14" x14ac:dyDescent="0.35">
      <c r="A3566" s="145"/>
      <c r="B3566" s="152"/>
      <c r="E3566" s="102"/>
      <c r="F3566" s="102"/>
      <c r="G3566" s="102"/>
      <c r="I3566" s="93"/>
      <c r="J3566" s="93"/>
    </row>
    <row r="3567" spans="1:10" s="65" customFormat="1" ht="14" x14ac:dyDescent="0.35">
      <c r="A3567" s="145"/>
      <c r="B3567" s="152"/>
      <c r="E3567" s="102"/>
      <c r="F3567" s="102"/>
      <c r="G3567" s="102"/>
      <c r="I3567" s="93"/>
      <c r="J3567" s="93"/>
    </row>
    <row r="3568" spans="1:10" s="65" customFormat="1" ht="14" x14ac:dyDescent="0.35">
      <c r="A3568" s="145"/>
      <c r="B3568" s="152"/>
      <c r="E3568" s="102"/>
      <c r="F3568" s="102"/>
      <c r="G3568" s="102"/>
      <c r="I3568" s="93"/>
      <c r="J3568" s="93"/>
    </row>
    <row r="3569" spans="1:10" s="65" customFormat="1" ht="14" x14ac:dyDescent="0.35">
      <c r="A3569" s="145"/>
      <c r="B3569" s="152"/>
      <c r="E3569" s="102"/>
      <c r="F3569" s="102"/>
      <c r="G3569" s="102"/>
      <c r="I3569" s="93"/>
      <c r="J3569" s="93"/>
    </row>
    <row r="3570" spans="1:10" s="65" customFormat="1" ht="14" x14ac:dyDescent="0.35">
      <c r="A3570" s="145"/>
      <c r="B3570" s="152"/>
      <c r="E3570" s="102"/>
      <c r="F3570" s="102"/>
      <c r="G3570" s="102"/>
      <c r="I3570" s="93"/>
      <c r="J3570" s="93"/>
    </row>
    <row r="3571" spans="1:10" s="65" customFormat="1" ht="14" x14ac:dyDescent="0.35">
      <c r="A3571" s="145"/>
      <c r="B3571" s="152"/>
      <c r="E3571" s="102"/>
      <c r="F3571" s="102"/>
      <c r="G3571" s="102"/>
      <c r="I3571" s="93"/>
      <c r="J3571" s="93"/>
    </row>
    <row r="3572" spans="1:10" s="65" customFormat="1" ht="14" x14ac:dyDescent="0.35">
      <c r="A3572" s="145"/>
      <c r="B3572" s="152"/>
      <c r="E3572" s="102"/>
      <c r="F3572" s="102"/>
      <c r="G3572" s="102"/>
      <c r="I3572" s="93"/>
      <c r="J3572" s="93"/>
    </row>
    <row r="3573" spans="1:10" s="65" customFormat="1" ht="14" x14ac:dyDescent="0.35">
      <c r="A3573" s="145"/>
      <c r="B3573" s="152"/>
      <c r="E3573" s="102"/>
      <c r="F3573" s="102"/>
      <c r="G3573" s="102"/>
      <c r="I3573" s="93"/>
      <c r="J3573" s="93"/>
    </row>
    <row r="3574" spans="1:10" s="65" customFormat="1" ht="14" x14ac:dyDescent="0.35">
      <c r="A3574" s="145"/>
      <c r="B3574" s="152"/>
      <c r="E3574" s="102"/>
      <c r="F3574" s="102"/>
      <c r="G3574" s="102"/>
      <c r="I3574" s="93"/>
      <c r="J3574" s="93"/>
    </row>
    <row r="3575" spans="1:10" s="65" customFormat="1" ht="14" x14ac:dyDescent="0.35">
      <c r="A3575" s="145"/>
      <c r="B3575" s="152"/>
      <c r="E3575" s="102"/>
      <c r="F3575" s="102"/>
      <c r="G3575" s="102"/>
      <c r="I3575" s="93"/>
      <c r="J3575" s="93"/>
    </row>
    <row r="3576" spans="1:10" s="65" customFormat="1" ht="14" x14ac:dyDescent="0.35">
      <c r="A3576" s="145"/>
      <c r="B3576" s="152"/>
      <c r="E3576" s="102"/>
      <c r="F3576" s="102"/>
      <c r="G3576" s="102"/>
      <c r="I3576" s="93"/>
      <c r="J3576" s="93"/>
    </row>
    <row r="3577" spans="1:10" s="65" customFormat="1" ht="14" x14ac:dyDescent="0.35">
      <c r="A3577" s="145"/>
      <c r="B3577" s="152"/>
      <c r="E3577" s="102"/>
      <c r="F3577" s="102"/>
      <c r="G3577" s="102"/>
      <c r="I3577" s="93"/>
      <c r="J3577" s="93"/>
    </row>
    <row r="3578" spans="1:10" s="65" customFormat="1" ht="14" x14ac:dyDescent="0.35">
      <c r="A3578" s="145"/>
      <c r="B3578" s="152"/>
      <c r="E3578" s="102"/>
      <c r="F3578" s="102"/>
      <c r="G3578" s="102"/>
      <c r="I3578" s="93"/>
      <c r="J3578" s="93"/>
    </row>
    <row r="3579" spans="1:10" s="65" customFormat="1" ht="14" x14ac:dyDescent="0.35">
      <c r="A3579" s="145"/>
      <c r="B3579" s="152"/>
      <c r="E3579" s="102"/>
      <c r="F3579" s="102"/>
      <c r="G3579" s="102"/>
      <c r="I3579" s="93"/>
      <c r="J3579" s="93"/>
    </row>
    <row r="3580" spans="1:10" s="65" customFormat="1" ht="14" x14ac:dyDescent="0.35">
      <c r="A3580" s="145"/>
      <c r="B3580" s="152"/>
      <c r="E3580" s="102"/>
      <c r="F3580" s="102"/>
      <c r="G3580" s="102"/>
      <c r="I3580" s="93"/>
      <c r="J3580" s="93"/>
    </row>
    <row r="3581" spans="1:10" s="65" customFormat="1" ht="14" x14ac:dyDescent="0.35">
      <c r="A3581" s="145"/>
      <c r="B3581" s="152"/>
      <c r="E3581" s="102"/>
      <c r="F3581" s="102"/>
      <c r="G3581" s="102"/>
      <c r="I3581" s="93"/>
      <c r="J3581" s="93"/>
    </row>
    <row r="3582" spans="1:10" s="65" customFormat="1" ht="14" x14ac:dyDescent="0.35">
      <c r="A3582" s="145"/>
      <c r="B3582" s="152"/>
      <c r="E3582" s="102"/>
      <c r="F3582" s="102"/>
      <c r="G3582" s="102"/>
      <c r="I3582" s="93"/>
      <c r="J3582" s="93"/>
    </row>
    <row r="3583" spans="1:10" s="65" customFormat="1" ht="14" x14ac:dyDescent="0.35">
      <c r="A3583" s="145"/>
      <c r="B3583" s="152"/>
      <c r="E3583" s="102"/>
      <c r="F3583" s="102"/>
      <c r="G3583" s="102"/>
      <c r="I3583" s="93"/>
      <c r="J3583" s="93"/>
    </row>
    <row r="3584" spans="1:10" s="65" customFormat="1" ht="14" x14ac:dyDescent="0.35">
      <c r="A3584" s="145"/>
      <c r="B3584" s="152"/>
      <c r="E3584" s="102"/>
      <c r="F3584" s="102"/>
      <c r="G3584" s="102"/>
      <c r="I3584" s="93"/>
      <c r="J3584" s="93"/>
    </row>
    <row r="3585" spans="1:10" s="65" customFormat="1" ht="14" x14ac:dyDescent="0.35">
      <c r="A3585" s="145"/>
      <c r="B3585" s="152"/>
      <c r="E3585" s="102"/>
      <c r="F3585" s="102"/>
      <c r="G3585" s="102"/>
      <c r="I3585" s="93"/>
      <c r="J3585" s="93"/>
    </row>
    <row r="3586" spans="1:10" s="65" customFormat="1" ht="14" x14ac:dyDescent="0.35">
      <c r="A3586" s="145"/>
      <c r="B3586" s="152"/>
      <c r="E3586" s="102"/>
      <c r="F3586" s="102"/>
      <c r="G3586" s="102"/>
      <c r="I3586" s="93"/>
      <c r="J3586" s="93"/>
    </row>
    <row r="3587" spans="1:10" s="65" customFormat="1" ht="14" x14ac:dyDescent="0.35">
      <c r="A3587" s="145"/>
      <c r="B3587" s="152"/>
      <c r="E3587" s="102"/>
      <c r="F3587" s="102"/>
      <c r="G3587" s="102"/>
      <c r="I3587" s="93"/>
      <c r="J3587" s="93"/>
    </row>
    <row r="3588" spans="1:10" s="65" customFormat="1" ht="14" x14ac:dyDescent="0.35">
      <c r="A3588" s="145"/>
      <c r="B3588" s="152"/>
      <c r="E3588" s="102"/>
      <c r="F3588" s="102"/>
      <c r="G3588" s="102"/>
      <c r="I3588" s="93"/>
      <c r="J3588" s="93"/>
    </row>
    <row r="3589" spans="1:10" s="65" customFormat="1" ht="14" x14ac:dyDescent="0.35">
      <c r="A3589" s="145"/>
      <c r="B3589" s="152"/>
      <c r="E3589" s="102"/>
      <c r="F3589" s="102"/>
      <c r="G3589" s="102"/>
      <c r="I3589" s="93"/>
      <c r="J3589" s="93"/>
    </row>
    <row r="3590" spans="1:10" s="65" customFormat="1" ht="14" x14ac:dyDescent="0.35">
      <c r="A3590" s="145"/>
      <c r="B3590" s="152"/>
      <c r="E3590" s="102"/>
      <c r="F3590" s="102"/>
      <c r="G3590" s="102"/>
      <c r="I3590" s="93"/>
      <c r="J3590" s="93"/>
    </row>
    <row r="3591" spans="1:10" s="65" customFormat="1" ht="14" x14ac:dyDescent="0.35">
      <c r="A3591" s="145"/>
      <c r="B3591" s="152"/>
      <c r="E3591" s="102"/>
      <c r="F3591" s="102"/>
      <c r="G3591" s="102"/>
      <c r="I3591" s="93"/>
      <c r="J3591" s="93"/>
    </row>
    <row r="3592" spans="1:10" s="65" customFormat="1" ht="14" x14ac:dyDescent="0.35">
      <c r="A3592" s="145"/>
      <c r="B3592" s="152"/>
      <c r="E3592" s="102"/>
      <c r="F3592" s="102"/>
      <c r="G3592" s="102"/>
      <c r="I3592" s="93"/>
      <c r="J3592" s="93"/>
    </row>
    <row r="3593" spans="1:10" s="65" customFormat="1" ht="14" x14ac:dyDescent="0.35">
      <c r="A3593" s="145"/>
      <c r="B3593" s="152"/>
      <c r="E3593" s="102"/>
      <c r="F3593" s="102"/>
      <c r="G3593" s="102"/>
      <c r="I3593" s="93"/>
      <c r="J3593" s="93"/>
    </row>
    <row r="3594" spans="1:10" s="65" customFormat="1" ht="14" x14ac:dyDescent="0.35">
      <c r="A3594" s="145"/>
      <c r="B3594" s="152"/>
      <c r="E3594" s="102"/>
      <c r="F3594" s="102"/>
      <c r="G3594" s="102"/>
      <c r="I3594" s="93"/>
      <c r="J3594" s="93"/>
    </row>
    <row r="3595" spans="1:10" s="65" customFormat="1" ht="14" x14ac:dyDescent="0.35">
      <c r="A3595" s="145"/>
      <c r="B3595" s="152"/>
      <c r="E3595" s="102"/>
      <c r="F3595" s="102"/>
      <c r="G3595" s="102"/>
      <c r="I3595" s="93"/>
      <c r="J3595" s="93"/>
    </row>
    <row r="3596" spans="1:10" s="65" customFormat="1" ht="14" x14ac:dyDescent="0.35">
      <c r="A3596" s="145"/>
      <c r="B3596" s="152"/>
      <c r="E3596" s="102"/>
      <c r="F3596" s="102"/>
      <c r="G3596" s="102"/>
      <c r="I3596" s="93"/>
      <c r="J3596" s="93"/>
    </row>
    <row r="3597" spans="1:10" s="65" customFormat="1" ht="14" x14ac:dyDescent="0.35">
      <c r="A3597" s="145"/>
      <c r="B3597" s="152"/>
      <c r="E3597" s="102"/>
      <c r="F3597" s="102"/>
      <c r="G3597" s="102"/>
      <c r="I3597" s="93"/>
      <c r="J3597" s="93"/>
    </row>
    <row r="3598" spans="1:10" s="65" customFormat="1" ht="14" x14ac:dyDescent="0.35">
      <c r="A3598" s="145"/>
      <c r="B3598" s="152"/>
      <c r="E3598" s="102"/>
      <c r="F3598" s="102"/>
      <c r="G3598" s="102"/>
      <c r="I3598" s="93"/>
      <c r="J3598" s="93"/>
    </row>
    <row r="3599" spans="1:10" s="65" customFormat="1" ht="14" x14ac:dyDescent="0.35">
      <c r="A3599" s="145"/>
      <c r="B3599" s="152"/>
      <c r="E3599" s="102"/>
      <c r="F3599" s="102"/>
      <c r="G3599" s="102"/>
      <c r="I3599" s="93"/>
      <c r="J3599" s="93"/>
    </row>
    <row r="3600" spans="1:10" s="65" customFormat="1" ht="14" x14ac:dyDescent="0.35">
      <c r="A3600" s="145"/>
      <c r="B3600" s="152"/>
      <c r="E3600" s="102"/>
      <c r="F3600" s="102"/>
      <c r="G3600" s="102"/>
      <c r="I3600" s="93"/>
      <c r="J3600" s="93"/>
    </row>
    <row r="3601" spans="1:10" s="65" customFormat="1" ht="14" x14ac:dyDescent="0.35">
      <c r="A3601" s="145"/>
      <c r="B3601" s="152"/>
      <c r="E3601" s="102"/>
      <c r="F3601" s="102"/>
      <c r="G3601" s="102"/>
      <c r="I3601" s="93"/>
      <c r="J3601" s="93"/>
    </row>
    <row r="3602" spans="1:10" s="65" customFormat="1" ht="14" x14ac:dyDescent="0.35">
      <c r="A3602" s="145"/>
      <c r="B3602" s="152"/>
      <c r="E3602" s="102"/>
      <c r="F3602" s="102"/>
      <c r="G3602" s="102"/>
      <c r="I3602" s="93"/>
      <c r="J3602" s="93"/>
    </row>
    <row r="3603" spans="1:10" s="65" customFormat="1" ht="14" x14ac:dyDescent="0.35">
      <c r="A3603" s="145"/>
      <c r="B3603" s="152"/>
      <c r="E3603" s="102"/>
      <c r="F3603" s="102"/>
      <c r="G3603" s="102"/>
      <c r="I3603" s="93"/>
      <c r="J3603" s="93"/>
    </row>
    <row r="3604" spans="1:10" s="65" customFormat="1" ht="14" x14ac:dyDescent="0.35">
      <c r="A3604" s="145"/>
      <c r="B3604" s="152"/>
      <c r="E3604" s="102"/>
      <c r="F3604" s="102"/>
      <c r="G3604" s="102"/>
      <c r="I3604" s="93"/>
      <c r="J3604" s="93"/>
    </row>
    <row r="3605" spans="1:10" s="65" customFormat="1" ht="14" x14ac:dyDescent="0.35">
      <c r="A3605" s="145"/>
      <c r="B3605" s="152"/>
      <c r="E3605" s="102"/>
      <c r="F3605" s="102"/>
      <c r="G3605" s="102"/>
      <c r="I3605" s="93"/>
      <c r="J3605" s="93"/>
    </row>
    <row r="3606" spans="1:10" s="65" customFormat="1" ht="14" x14ac:dyDescent="0.35">
      <c r="A3606" s="145"/>
      <c r="B3606" s="152"/>
      <c r="E3606" s="102"/>
      <c r="F3606" s="102"/>
      <c r="G3606" s="102"/>
      <c r="I3606" s="93"/>
      <c r="J3606" s="93"/>
    </row>
    <row r="3607" spans="1:10" s="65" customFormat="1" ht="14" x14ac:dyDescent="0.35">
      <c r="A3607" s="145"/>
      <c r="B3607" s="152"/>
      <c r="E3607" s="102"/>
      <c r="F3607" s="102"/>
      <c r="G3607" s="102"/>
      <c r="I3607" s="93"/>
      <c r="J3607" s="93"/>
    </row>
    <row r="3608" spans="1:10" s="65" customFormat="1" ht="14" x14ac:dyDescent="0.35">
      <c r="A3608" s="145"/>
      <c r="B3608" s="152"/>
      <c r="E3608" s="102"/>
      <c r="F3608" s="102"/>
      <c r="G3608" s="102"/>
      <c r="I3608" s="93"/>
      <c r="J3608" s="93"/>
    </row>
    <row r="3609" spans="1:10" s="65" customFormat="1" ht="14" x14ac:dyDescent="0.35">
      <c r="A3609" s="145"/>
      <c r="B3609" s="152"/>
      <c r="E3609" s="102"/>
      <c r="F3609" s="102"/>
      <c r="G3609" s="102"/>
      <c r="I3609" s="93"/>
      <c r="J3609" s="93"/>
    </row>
    <row r="3610" spans="1:10" s="65" customFormat="1" ht="14" x14ac:dyDescent="0.35">
      <c r="A3610" s="145"/>
      <c r="B3610" s="152"/>
      <c r="E3610" s="102"/>
      <c r="F3610" s="102"/>
      <c r="G3610" s="102"/>
      <c r="I3610" s="93"/>
      <c r="J3610" s="93"/>
    </row>
    <row r="3611" spans="1:10" s="65" customFormat="1" ht="14" x14ac:dyDescent="0.35">
      <c r="A3611" s="145"/>
      <c r="B3611" s="152"/>
      <c r="E3611" s="102"/>
      <c r="F3611" s="102"/>
      <c r="G3611" s="102"/>
      <c r="I3611" s="93"/>
      <c r="J3611" s="93"/>
    </row>
    <row r="3612" spans="1:10" s="65" customFormat="1" ht="14" x14ac:dyDescent="0.35">
      <c r="A3612" s="145"/>
      <c r="B3612" s="152"/>
      <c r="E3612" s="102"/>
      <c r="F3612" s="102"/>
      <c r="G3612" s="102"/>
      <c r="I3612" s="93"/>
      <c r="J3612" s="93"/>
    </row>
    <row r="3613" spans="1:10" s="65" customFormat="1" ht="14" x14ac:dyDescent="0.35">
      <c r="A3613" s="145"/>
      <c r="B3613" s="152"/>
      <c r="E3613" s="102"/>
      <c r="F3613" s="102"/>
      <c r="G3613" s="102"/>
      <c r="I3613" s="93"/>
      <c r="J3613" s="93"/>
    </row>
    <row r="3614" spans="1:10" s="65" customFormat="1" ht="14" x14ac:dyDescent="0.35">
      <c r="A3614" s="145"/>
      <c r="B3614" s="152"/>
      <c r="E3614" s="102"/>
      <c r="F3614" s="102"/>
      <c r="G3614" s="102"/>
      <c r="I3614" s="93"/>
      <c r="J3614" s="93"/>
    </row>
    <row r="3615" spans="1:10" s="65" customFormat="1" ht="14" x14ac:dyDescent="0.35">
      <c r="A3615" s="145"/>
      <c r="B3615" s="152"/>
      <c r="E3615" s="102"/>
      <c r="F3615" s="102"/>
      <c r="G3615" s="102"/>
      <c r="I3615" s="93"/>
      <c r="J3615" s="93"/>
    </row>
    <row r="3616" spans="1:10" s="65" customFormat="1" ht="14" x14ac:dyDescent="0.35">
      <c r="A3616" s="145"/>
      <c r="B3616" s="152"/>
      <c r="E3616" s="102"/>
      <c r="F3616" s="102"/>
      <c r="G3616" s="102"/>
      <c r="I3616" s="93"/>
      <c r="J3616" s="93"/>
    </row>
    <row r="3617" spans="1:10" s="65" customFormat="1" ht="14" x14ac:dyDescent="0.35">
      <c r="A3617" s="145"/>
      <c r="B3617" s="152"/>
      <c r="E3617" s="102"/>
      <c r="F3617" s="102"/>
      <c r="G3617" s="102"/>
      <c r="I3617" s="93"/>
      <c r="J3617" s="93"/>
    </row>
    <row r="3618" spans="1:10" s="65" customFormat="1" ht="14" x14ac:dyDescent="0.35">
      <c r="A3618" s="145"/>
      <c r="B3618" s="152"/>
      <c r="E3618" s="102"/>
      <c r="F3618" s="102"/>
      <c r="G3618" s="102"/>
      <c r="I3618" s="93"/>
      <c r="J3618" s="93"/>
    </row>
    <row r="3619" spans="1:10" s="65" customFormat="1" ht="14" x14ac:dyDescent="0.35">
      <c r="A3619" s="145"/>
      <c r="B3619" s="152"/>
      <c r="E3619" s="102"/>
      <c r="F3619" s="102"/>
      <c r="G3619" s="102"/>
      <c r="I3619" s="93"/>
      <c r="J3619" s="93"/>
    </row>
    <row r="3620" spans="1:10" s="65" customFormat="1" ht="14" x14ac:dyDescent="0.35">
      <c r="A3620" s="145"/>
      <c r="B3620" s="152"/>
      <c r="E3620" s="102"/>
      <c r="F3620" s="102"/>
      <c r="G3620" s="102"/>
      <c r="I3620" s="93"/>
      <c r="J3620" s="93"/>
    </row>
    <row r="3621" spans="1:10" s="65" customFormat="1" ht="14" x14ac:dyDescent="0.35">
      <c r="A3621" s="145"/>
      <c r="B3621" s="152"/>
      <c r="E3621" s="102"/>
      <c r="F3621" s="102"/>
      <c r="G3621" s="102"/>
      <c r="I3621" s="93"/>
      <c r="J3621" s="93"/>
    </row>
    <row r="3622" spans="1:10" s="65" customFormat="1" ht="14" x14ac:dyDescent="0.35">
      <c r="A3622" s="145"/>
      <c r="B3622" s="152"/>
      <c r="E3622" s="102"/>
      <c r="F3622" s="102"/>
      <c r="G3622" s="102"/>
      <c r="I3622" s="93"/>
      <c r="J3622" s="93"/>
    </row>
    <row r="3623" spans="1:10" s="65" customFormat="1" ht="14" x14ac:dyDescent="0.35">
      <c r="A3623" s="145"/>
      <c r="B3623" s="152"/>
      <c r="E3623" s="102"/>
      <c r="F3623" s="102"/>
      <c r="G3623" s="102"/>
      <c r="I3623" s="93"/>
      <c r="J3623" s="93"/>
    </row>
    <row r="3624" spans="1:10" s="65" customFormat="1" ht="14" x14ac:dyDescent="0.35">
      <c r="A3624" s="145"/>
      <c r="B3624" s="152"/>
      <c r="E3624" s="102"/>
      <c r="F3624" s="102"/>
      <c r="G3624" s="102"/>
      <c r="I3624" s="93"/>
      <c r="J3624" s="93"/>
    </row>
    <row r="3625" spans="1:10" s="65" customFormat="1" ht="14" x14ac:dyDescent="0.35">
      <c r="A3625" s="145"/>
      <c r="B3625" s="152"/>
      <c r="E3625" s="102"/>
      <c r="F3625" s="102"/>
      <c r="G3625" s="102"/>
      <c r="I3625" s="93"/>
      <c r="J3625" s="93"/>
    </row>
    <row r="3626" spans="1:10" s="65" customFormat="1" ht="14" x14ac:dyDescent="0.35">
      <c r="A3626" s="145"/>
      <c r="B3626" s="152"/>
      <c r="E3626" s="102"/>
      <c r="F3626" s="102"/>
      <c r="G3626" s="102"/>
      <c r="I3626" s="93"/>
      <c r="J3626" s="93"/>
    </row>
    <row r="3627" spans="1:10" s="65" customFormat="1" ht="14" x14ac:dyDescent="0.35">
      <c r="A3627" s="145"/>
      <c r="B3627" s="152"/>
      <c r="E3627" s="102"/>
      <c r="F3627" s="102"/>
      <c r="G3627" s="102"/>
      <c r="I3627" s="93"/>
      <c r="J3627" s="93"/>
    </row>
    <row r="3628" spans="1:10" s="65" customFormat="1" ht="14" x14ac:dyDescent="0.35">
      <c r="A3628" s="145"/>
      <c r="B3628" s="152"/>
      <c r="E3628" s="102"/>
      <c r="F3628" s="102"/>
      <c r="G3628" s="102"/>
      <c r="I3628" s="93"/>
      <c r="J3628" s="93"/>
    </row>
    <row r="3629" spans="1:10" s="65" customFormat="1" ht="14" x14ac:dyDescent="0.35">
      <c r="A3629" s="145"/>
      <c r="B3629" s="152"/>
      <c r="E3629" s="102"/>
      <c r="F3629" s="102"/>
      <c r="G3629" s="102"/>
      <c r="I3629" s="93"/>
      <c r="J3629" s="93"/>
    </row>
    <row r="3630" spans="1:10" s="65" customFormat="1" ht="14" x14ac:dyDescent="0.35">
      <c r="A3630" s="145"/>
      <c r="B3630" s="152"/>
      <c r="E3630" s="102"/>
      <c r="F3630" s="102"/>
      <c r="G3630" s="102"/>
      <c r="I3630" s="93"/>
      <c r="J3630" s="93"/>
    </row>
    <row r="3631" spans="1:10" s="65" customFormat="1" ht="14" x14ac:dyDescent="0.35">
      <c r="A3631" s="145"/>
      <c r="B3631" s="152"/>
      <c r="E3631" s="102"/>
      <c r="F3631" s="102"/>
      <c r="G3631" s="102"/>
      <c r="I3631" s="93"/>
      <c r="J3631" s="93"/>
    </row>
    <row r="3632" spans="1:10" s="65" customFormat="1" ht="14" x14ac:dyDescent="0.35">
      <c r="A3632" s="145"/>
      <c r="B3632" s="152"/>
      <c r="E3632" s="102"/>
      <c r="F3632" s="102"/>
      <c r="G3632" s="102"/>
      <c r="I3632" s="93"/>
      <c r="J3632" s="93"/>
    </row>
    <row r="3633" spans="1:10" s="65" customFormat="1" ht="14" x14ac:dyDescent="0.35">
      <c r="A3633" s="145"/>
      <c r="B3633" s="152"/>
      <c r="E3633" s="102"/>
      <c r="F3633" s="102"/>
      <c r="G3633" s="102"/>
      <c r="I3633" s="93"/>
      <c r="J3633" s="93"/>
    </row>
    <row r="3634" spans="1:10" s="65" customFormat="1" ht="14" x14ac:dyDescent="0.35">
      <c r="A3634" s="145"/>
      <c r="B3634" s="152"/>
      <c r="E3634" s="102"/>
      <c r="F3634" s="102"/>
      <c r="G3634" s="102"/>
      <c r="I3634" s="93"/>
      <c r="J3634" s="93"/>
    </row>
    <row r="3635" spans="1:10" s="65" customFormat="1" ht="14" x14ac:dyDescent="0.35">
      <c r="A3635" s="145"/>
      <c r="B3635" s="152"/>
      <c r="E3635" s="102"/>
      <c r="F3635" s="102"/>
      <c r="G3635" s="102"/>
      <c r="I3635" s="93"/>
      <c r="J3635" s="93"/>
    </row>
    <row r="3636" spans="1:10" s="65" customFormat="1" ht="14" x14ac:dyDescent="0.35">
      <c r="A3636" s="145"/>
      <c r="B3636" s="152"/>
      <c r="E3636" s="102"/>
      <c r="F3636" s="102"/>
      <c r="G3636" s="102"/>
      <c r="I3636" s="93"/>
      <c r="J3636" s="93"/>
    </row>
    <row r="3637" spans="1:10" s="65" customFormat="1" ht="14" x14ac:dyDescent="0.35">
      <c r="A3637" s="145"/>
      <c r="B3637" s="152"/>
      <c r="E3637" s="102"/>
      <c r="F3637" s="102"/>
      <c r="G3637" s="102"/>
      <c r="I3637" s="93"/>
      <c r="J3637" s="93"/>
    </row>
    <row r="3638" spans="1:10" s="65" customFormat="1" ht="14" x14ac:dyDescent="0.35">
      <c r="A3638" s="145"/>
      <c r="B3638" s="152"/>
      <c r="E3638" s="102"/>
      <c r="F3638" s="102"/>
      <c r="G3638" s="102"/>
      <c r="I3638" s="93"/>
      <c r="J3638" s="93"/>
    </row>
    <row r="3639" spans="1:10" s="65" customFormat="1" ht="14" x14ac:dyDescent="0.35">
      <c r="A3639" s="145"/>
      <c r="B3639" s="152"/>
      <c r="E3639" s="102"/>
      <c r="F3639" s="102"/>
      <c r="G3639" s="102"/>
      <c r="I3639" s="93"/>
      <c r="J3639" s="93"/>
    </row>
    <row r="3640" spans="1:10" s="65" customFormat="1" ht="14" x14ac:dyDescent="0.35">
      <c r="A3640" s="145"/>
      <c r="B3640" s="152"/>
      <c r="E3640" s="102"/>
      <c r="F3640" s="102"/>
      <c r="G3640" s="102"/>
      <c r="I3640" s="93"/>
      <c r="J3640" s="93"/>
    </row>
    <row r="3641" spans="1:10" s="65" customFormat="1" ht="14" x14ac:dyDescent="0.35">
      <c r="A3641" s="145"/>
      <c r="B3641" s="152"/>
      <c r="E3641" s="102"/>
      <c r="F3641" s="102"/>
      <c r="G3641" s="102"/>
      <c r="I3641" s="93"/>
      <c r="J3641" s="93"/>
    </row>
    <row r="3642" spans="1:10" s="65" customFormat="1" ht="14" x14ac:dyDescent="0.35">
      <c r="A3642" s="145"/>
      <c r="B3642" s="152"/>
      <c r="E3642" s="102"/>
      <c r="F3642" s="102"/>
      <c r="G3642" s="102"/>
      <c r="I3642" s="93"/>
      <c r="J3642" s="93"/>
    </row>
    <row r="3643" spans="1:10" s="65" customFormat="1" ht="14" x14ac:dyDescent="0.35">
      <c r="A3643" s="145"/>
      <c r="B3643" s="152"/>
      <c r="E3643" s="102"/>
      <c r="F3643" s="102"/>
      <c r="G3643" s="102"/>
      <c r="I3643" s="93"/>
      <c r="J3643" s="93"/>
    </row>
    <row r="3644" spans="1:10" s="65" customFormat="1" ht="14" x14ac:dyDescent="0.35">
      <c r="A3644" s="145"/>
      <c r="B3644" s="152"/>
      <c r="E3644" s="102"/>
      <c r="F3644" s="102"/>
      <c r="G3644" s="102"/>
      <c r="I3644" s="93"/>
      <c r="J3644" s="93"/>
    </row>
    <row r="3645" spans="1:10" s="65" customFormat="1" ht="14" x14ac:dyDescent="0.35">
      <c r="A3645" s="145"/>
      <c r="B3645" s="152"/>
      <c r="E3645" s="102"/>
      <c r="F3645" s="102"/>
      <c r="G3645" s="102"/>
      <c r="I3645" s="93"/>
      <c r="J3645" s="93"/>
    </row>
    <row r="3646" spans="1:10" s="65" customFormat="1" ht="14" x14ac:dyDescent="0.35">
      <c r="A3646" s="145"/>
      <c r="B3646" s="152"/>
      <c r="E3646" s="102"/>
      <c r="F3646" s="102"/>
      <c r="G3646" s="102"/>
      <c r="I3646" s="93"/>
      <c r="J3646" s="93"/>
    </row>
    <row r="3647" spans="1:10" s="65" customFormat="1" ht="14" x14ac:dyDescent="0.35">
      <c r="A3647" s="145"/>
      <c r="B3647" s="152"/>
      <c r="E3647" s="102"/>
      <c r="F3647" s="102"/>
      <c r="G3647" s="102"/>
      <c r="I3647" s="93"/>
      <c r="J3647" s="93"/>
    </row>
    <row r="3648" spans="1:10" s="65" customFormat="1" ht="14" x14ac:dyDescent="0.35">
      <c r="A3648" s="145"/>
      <c r="B3648" s="152"/>
      <c r="E3648" s="102"/>
      <c r="F3648" s="102"/>
      <c r="G3648" s="102"/>
      <c r="I3648" s="93"/>
      <c r="J3648" s="93"/>
    </row>
    <row r="3649" spans="1:10" s="65" customFormat="1" ht="14" x14ac:dyDescent="0.35">
      <c r="A3649" s="145"/>
      <c r="B3649" s="152"/>
      <c r="E3649" s="102"/>
      <c r="F3649" s="102"/>
      <c r="G3649" s="102"/>
      <c r="I3649" s="93"/>
      <c r="J3649" s="93"/>
    </row>
    <row r="3650" spans="1:10" s="65" customFormat="1" ht="14" x14ac:dyDescent="0.35">
      <c r="A3650" s="145"/>
      <c r="B3650" s="152"/>
      <c r="E3650" s="102"/>
      <c r="F3650" s="102"/>
      <c r="G3650" s="102"/>
      <c r="I3650" s="93"/>
      <c r="J3650" s="93"/>
    </row>
    <row r="3651" spans="1:10" s="65" customFormat="1" ht="14" x14ac:dyDescent="0.35">
      <c r="A3651" s="145"/>
      <c r="B3651" s="152"/>
      <c r="E3651" s="102"/>
      <c r="F3651" s="102"/>
      <c r="G3651" s="102"/>
      <c r="I3651" s="93"/>
      <c r="J3651" s="93"/>
    </row>
    <row r="3652" spans="1:10" s="65" customFormat="1" ht="14" x14ac:dyDescent="0.35">
      <c r="A3652" s="145"/>
      <c r="B3652" s="152"/>
      <c r="E3652" s="102"/>
      <c r="F3652" s="102"/>
      <c r="G3652" s="102"/>
      <c r="I3652" s="93"/>
      <c r="J3652" s="93"/>
    </row>
    <row r="3653" spans="1:10" s="65" customFormat="1" ht="14" x14ac:dyDescent="0.35">
      <c r="A3653" s="145"/>
      <c r="B3653" s="152"/>
      <c r="E3653" s="102"/>
      <c r="F3653" s="102"/>
      <c r="G3653" s="102"/>
      <c r="I3653" s="93"/>
      <c r="J3653" s="93"/>
    </row>
    <row r="3654" spans="1:10" s="65" customFormat="1" ht="14" x14ac:dyDescent="0.35">
      <c r="A3654" s="145"/>
      <c r="B3654" s="152"/>
      <c r="E3654" s="102"/>
      <c r="F3654" s="102"/>
      <c r="G3654" s="102"/>
      <c r="I3654" s="93"/>
      <c r="J3654" s="93"/>
    </row>
    <row r="3655" spans="1:10" s="65" customFormat="1" ht="14" x14ac:dyDescent="0.35">
      <c r="A3655" s="145"/>
      <c r="B3655" s="152"/>
      <c r="E3655" s="102"/>
      <c r="F3655" s="102"/>
      <c r="G3655" s="102"/>
      <c r="I3655" s="93"/>
      <c r="J3655" s="93"/>
    </row>
    <row r="3656" spans="1:10" s="65" customFormat="1" ht="14" x14ac:dyDescent="0.35">
      <c r="A3656" s="145"/>
      <c r="B3656" s="152"/>
      <c r="E3656" s="102"/>
      <c r="F3656" s="102"/>
      <c r="G3656" s="102"/>
      <c r="I3656" s="93"/>
      <c r="J3656" s="93"/>
    </row>
    <row r="3657" spans="1:10" s="65" customFormat="1" ht="14" x14ac:dyDescent="0.35">
      <c r="A3657" s="145"/>
      <c r="B3657" s="152"/>
      <c r="E3657" s="102"/>
      <c r="F3657" s="102"/>
      <c r="G3657" s="102"/>
      <c r="I3657" s="93"/>
      <c r="J3657" s="93"/>
    </row>
    <row r="3658" spans="1:10" s="65" customFormat="1" ht="14" x14ac:dyDescent="0.35">
      <c r="A3658" s="145"/>
      <c r="B3658" s="152"/>
      <c r="E3658" s="102"/>
      <c r="F3658" s="102"/>
      <c r="G3658" s="102"/>
      <c r="I3658" s="93"/>
      <c r="J3658" s="93"/>
    </row>
    <row r="3659" spans="1:10" s="65" customFormat="1" ht="14" x14ac:dyDescent="0.35">
      <c r="A3659" s="145"/>
      <c r="B3659" s="152"/>
      <c r="E3659" s="102"/>
      <c r="F3659" s="102"/>
      <c r="G3659" s="102"/>
      <c r="I3659" s="93"/>
      <c r="J3659" s="93"/>
    </row>
    <row r="3660" spans="1:10" s="65" customFormat="1" ht="14" x14ac:dyDescent="0.35">
      <c r="A3660" s="145"/>
      <c r="B3660" s="152"/>
      <c r="E3660" s="102"/>
      <c r="F3660" s="102"/>
      <c r="G3660" s="102"/>
      <c r="I3660" s="93"/>
      <c r="J3660" s="93"/>
    </row>
    <row r="3661" spans="1:10" s="65" customFormat="1" ht="14" x14ac:dyDescent="0.35">
      <c r="A3661" s="145"/>
      <c r="B3661" s="152"/>
      <c r="E3661" s="102"/>
      <c r="F3661" s="102"/>
      <c r="G3661" s="102"/>
      <c r="I3661" s="93"/>
      <c r="J3661" s="93"/>
    </row>
    <row r="3662" spans="1:10" s="65" customFormat="1" ht="14" x14ac:dyDescent="0.35">
      <c r="A3662" s="145"/>
      <c r="B3662" s="152"/>
      <c r="E3662" s="102"/>
      <c r="F3662" s="102"/>
      <c r="G3662" s="102"/>
      <c r="I3662" s="93"/>
      <c r="J3662" s="93"/>
    </row>
    <row r="3663" spans="1:10" s="65" customFormat="1" ht="14" x14ac:dyDescent="0.35">
      <c r="A3663" s="145"/>
      <c r="B3663" s="152"/>
      <c r="E3663" s="102"/>
      <c r="F3663" s="102"/>
      <c r="G3663" s="102"/>
      <c r="I3663" s="93"/>
      <c r="J3663" s="93"/>
    </row>
    <row r="3664" spans="1:10" s="65" customFormat="1" ht="14" x14ac:dyDescent="0.35">
      <c r="A3664" s="145"/>
      <c r="B3664" s="152"/>
      <c r="E3664" s="102"/>
      <c r="F3664" s="102"/>
      <c r="G3664" s="102"/>
      <c r="I3664" s="93"/>
      <c r="J3664" s="93"/>
    </row>
    <row r="3665" spans="1:10" s="65" customFormat="1" ht="14" x14ac:dyDescent="0.35">
      <c r="A3665" s="145"/>
      <c r="B3665" s="152"/>
      <c r="E3665" s="102"/>
      <c r="F3665" s="102"/>
      <c r="G3665" s="102"/>
      <c r="I3665" s="93"/>
      <c r="J3665" s="93"/>
    </row>
    <row r="3666" spans="1:10" s="65" customFormat="1" ht="14" x14ac:dyDescent="0.35">
      <c r="A3666" s="145"/>
      <c r="B3666" s="152"/>
      <c r="E3666" s="102"/>
      <c r="F3666" s="102"/>
      <c r="G3666" s="102"/>
      <c r="I3666" s="93"/>
      <c r="J3666" s="93"/>
    </row>
    <row r="3667" spans="1:10" s="65" customFormat="1" ht="14" x14ac:dyDescent="0.35">
      <c r="A3667" s="145"/>
      <c r="B3667" s="152"/>
      <c r="E3667" s="102"/>
      <c r="F3667" s="102"/>
      <c r="G3667" s="102"/>
      <c r="I3667" s="93"/>
      <c r="J3667" s="93"/>
    </row>
    <row r="3668" spans="1:10" s="65" customFormat="1" ht="14" x14ac:dyDescent="0.35">
      <c r="A3668" s="145"/>
      <c r="B3668" s="152"/>
      <c r="E3668" s="102"/>
      <c r="F3668" s="102"/>
      <c r="G3668" s="102"/>
      <c r="I3668" s="93"/>
      <c r="J3668" s="93"/>
    </row>
    <row r="3669" spans="1:10" s="65" customFormat="1" ht="14" x14ac:dyDescent="0.35">
      <c r="A3669" s="145"/>
      <c r="B3669" s="152"/>
      <c r="E3669" s="102"/>
      <c r="F3669" s="102"/>
      <c r="G3669" s="102"/>
      <c r="I3669" s="93"/>
      <c r="J3669" s="93"/>
    </row>
    <row r="3670" spans="1:10" s="65" customFormat="1" ht="14" x14ac:dyDescent="0.35">
      <c r="A3670" s="145"/>
      <c r="B3670" s="152"/>
      <c r="E3670" s="102"/>
      <c r="F3670" s="102"/>
      <c r="G3670" s="102"/>
      <c r="I3670" s="93"/>
      <c r="J3670" s="93"/>
    </row>
    <row r="3671" spans="1:10" s="65" customFormat="1" ht="14" x14ac:dyDescent="0.35">
      <c r="A3671" s="145"/>
      <c r="B3671" s="152"/>
      <c r="E3671" s="102"/>
      <c r="F3671" s="102"/>
      <c r="G3671" s="102"/>
      <c r="I3671" s="93"/>
      <c r="J3671" s="93"/>
    </row>
    <row r="3672" spans="1:10" s="65" customFormat="1" ht="14" x14ac:dyDescent="0.35">
      <c r="A3672" s="145"/>
      <c r="B3672" s="152"/>
      <c r="E3672" s="102"/>
      <c r="F3672" s="102"/>
      <c r="G3672" s="102"/>
      <c r="I3672" s="93"/>
      <c r="J3672" s="93"/>
    </row>
    <row r="3673" spans="1:10" s="65" customFormat="1" ht="14" x14ac:dyDescent="0.35">
      <c r="A3673" s="145"/>
      <c r="B3673" s="152"/>
      <c r="E3673" s="102"/>
      <c r="F3673" s="102"/>
      <c r="G3673" s="102"/>
      <c r="I3673" s="93"/>
      <c r="J3673" s="93"/>
    </row>
    <row r="3674" spans="1:10" s="65" customFormat="1" ht="14" x14ac:dyDescent="0.35">
      <c r="A3674" s="145"/>
      <c r="B3674" s="152"/>
      <c r="E3674" s="102"/>
      <c r="F3674" s="102"/>
      <c r="G3674" s="102"/>
      <c r="I3674" s="93"/>
      <c r="J3674" s="93"/>
    </row>
    <row r="3675" spans="1:10" s="65" customFormat="1" ht="14" x14ac:dyDescent="0.35">
      <c r="A3675" s="145"/>
      <c r="B3675" s="152"/>
      <c r="E3675" s="102"/>
      <c r="F3675" s="102"/>
      <c r="G3675" s="102"/>
      <c r="I3675" s="93"/>
      <c r="J3675" s="93"/>
    </row>
    <row r="3676" spans="1:10" s="65" customFormat="1" ht="14" x14ac:dyDescent="0.35">
      <c r="A3676" s="145"/>
      <c r="B3676" s="152"/>
      <c r="E3676" s="102"/>
      <c r="F3676" s="102"/>
      <c r="G3676" s="102"/>
      <c r="I3676" s="93"/>
      <c r="J3676" s="93"/>
    </row>
    <row r="3677" spans="1:10" s="65" customFormat="1" ht="14" x14ac:dyDescent="0.35">
      <c r="A3677" s="145"/>
      <c r="B3677" s="152"/>
      <c r="E3677" s="102"/>
      <c r="F3677" s="102"/>
      <c r="G3677" s="102"/>
      <c r="I3677" s="93"/>
      <c r="J3677" s="93"/>
    </row>
    <row r="3678" spans="1:10" s="65" customFormat="1" ht="14" x14ac:dyDescent="0.35">
      <c r="A3678" s="145"/>
      <c r="B3678" s="152"/>
      <c r="E3678" s="102"/>
      <c r="F3678" s="102"/>
      <c r="G3678" s="102"/>
      <c r="I3678" s="93"/>
      <c r="J3678" s="93"/>
    </row>
    <row r="3679" spans="1:10" s="65" customFormat="1" ht="14" x14ac:dyDescent="0.35">
      <c r="A3679" s="145"/>
      <c r="B3679" s="152"/>
      <c r="E3679" s="102"/>
      <c r="F3679" s="102"/>
      <c r="G3679" s="102"/>
      <c r="I3679" s="93"/>
      <c r="J3679" s="93"/>
    </row>
    <row r="3680" spans="1:10" s="65" customFormat="1" ht="14" x14ac:dyDescent="0.35">
      <c r="A3680" s="145"/>
      <c r="B3680" s="152"/>
      <c r="E3680" s="102"/>
      <c r="F3680" s="102"/>
      <c r="G3680" s="102"/>
      <c r="I3680" s="93"/>
      <c r="J3680" s="93"/>
    </row>
    <row r="3681" spans="1:10" s="65" customFormat="1" ht="14" x14ac:dyDescent="0.35">
      <c r="A3681" s="145"/>
      <c r="B3681" s="152"/>
      <c r="E3681" s="102"/>
      <c r="F3681" s="102"/>
      <c r="G3681" s="102"/>
      <c r="I3681" s="93"/>
      <c r="J3681" s="93"/>
    </row>
    <row r="3682" spans="1:10" s="65" customFormat="1" ht="14" x14ac:dyDescent="0.35">
      <c r="A3682" s="145"/>
      <c r="B3682" s="152"/>
      <c r="E3682" s="102"/>
      <c r="F3682" s="102"/>
      <c r="G3682" s="102"/>
      <c r="I3682" s="93"/>
      <c r="J3682" s="93"/>
    </row>
    <row r="3683" spans="1:10" s="65" customFormat="1" ht="14" x14ac:dyDescent="0.35">
      <c r="A3683" s="145"/>
      <c r="B3683" s="152"/>
      <c r="E3683" s="102"/>
      <c r="F3683" s="102"/>
      <c r="G3683" s="102"/>
      <c r="I3683" s="93"/>
      <c r="J3683" s="93"/>
    </row>
    <row r="3684" spans="1:10" s="65" customFormat="1" ht="14" x14ac:dyDescent="0.35">
      <c r="A3684" s="145"/>
      <c r="B3684" s="152"/>
      <c r="E3684" s="102"/>
      <c r="F3684" s="102"/>
      <c r="G3684" s="102"/>
      <c r="I3684" s="93"/>
      <c r="J3684" s="93"/>
    </row>
    <row r="3685" spans="1:10" s="65" customFormat="1" ht="14" x14ac:dyDescent="0.35">
      <c r="A3685" s="145"/>
      <c r="B3685" s="152"/>
      <c r="E3685" s="102"/>
      <c r="F3685" s="102"/>
      <c r="G3685" s="102"/>
      <c r="I3685" s="93"/>
      <c r="J3685" s="93"/>
    </row>
    <row r="3686" spans="1:10" s="65" customFormat="1" ht="14" x14ac:dyDescent="0.35">
      <c r="A3686" s="145"/>
      <c r="B3686" s="152"/>
      <c r="E3686" s="102"/>
      <c r="F3686" s="102"/>
      <c r="G3686" s="102"/>
      <c r="I3686" s="93"/>
      <c r="J3686" s="93"/>
    </row>
    <row r="3687" spans="1:10" s="65" customFormat="1" ht="14" x14ac:dyDescent="0.35">
      <c r="A3687" s="145"/>
      <c r="B3687" s="152"/>
      <c r="E3687" s="102"/>
      <c r="F3687" s="102"/>
      <c r="G3687" s="102"/>
      <c r="I3687" s="93"/>
      <c r="J3687" s="93"/>
    </row>
    <row r="3688" spans="1:10" s="65" customFormat="1" ht="14" x14ac:dyDescent="0.35">
      <c r="A3688" s="145"/>
      <c r="B3688" s="152"/>
      <c r="E3688" s="102"/>
      <c r="F3688" s="102"/>
      <c r="G3688" s="102"/>
      <c r="I3688" s="93"/>
      <c r="J3688" s="93"/>
    </row>
    <row r="3689" spans="1:10" s="65" customFormat="1" ht="14" x14ac:dyDescent="0.35">
      <c r="A3689" s="145"/>
      <c r="B3689" s="152"/>
      <c r="E3689" s="102"/>
      <c r="F3689" s="102"/>
      <c r="G3689" s="102"/>
      <c r="I3689" s="93"/>
      <c r="J3689" s="93"/>
    </row>
    <row r="3690" spans="1:10" s="65" customFormat="1" ht="14" x14ac:dyDescent="0.35">
      <c r="A3690" s="145"/>
      <c r="B3690" s="152"/>
      <c r="E3690" s="102"/>
      <c r="F3690" s="102"/>
      <c r="G3690" s="102"/>
      <c r="I3690" s="93"/>
      <c r="J3690" s="93"/>
    </row>
    <row r="3691" spans="1:10" s="65" customFormat="1" ht="14" x14ac:dyDescent="0.35">
      <c r="A3691" s="145"/>
      <c r="B3691" s="152"/>
      <c r="E3691" s="102"/>
      <c r="F3691" s="102"/>
      <c r="G3691" s="102"/>
      <c r="I3691" s="93"/>
      <c r="J3691" s="93"/>
    </row>
    <row r="3692" spans="1:10" s="65" customFormat="1" ht="14" x14ac:dyDescent="0.35">
      <c r="A3692" s="145"/>
      <c r="B3692" s="152"/>
      <c r="E3692" s="102"/>
      <c r="F3692" s="102"/>
      <c r="G3692" s="102"/>
      <c r="I3692" s="93"/>
      <c r="J3692" s="93"/>
    </row>
    <row r="3693" spans="1:10" s="65" customFormat="1" ht="14" x14ac:dyDescent="0.35">
      <c r="A3693" s="145"/>
      <c r="B3693" s="152"/>
      <c r="E3693" s="102"/>
      <c r="F3693" s="102"/>
      <c r="G3693" s="102"/>
      <c r="I3693" s="93"/>
      <c r="J3693" s="93"/>
    </row>
    <row r="3694" spans="1:10" s="65" customFormat="1" ht="14" x14ac:dyDescent="0.35">
      <c r="A3694" s="145"/>
      <c r="B3694" s="152"/>
      <c r="E3694" s="102"/>
      <c r="F3694" s="102"/>
      <c r="G3694" s="102"/>
      <c r="I3694" s="93"/>
      <c r="J3694" s="93"/>
    </row>
    <row r="3695" spans="1:10" s="65" customFormat="1" ht="14" x14ac:dyDescent="0.35">
      <c r="A3695" s="145"/>
      <c r="B3695" s="152"/>
      <c r="E3695" s="102"/>
      <c r="F3695" s="102"/>
      <c r="G3695" s="102"/>
      <c r="I3695" s="93"/>
      <c r="J3695" s="93"/>
    </row>
    <row r="3696" spans="1:10" s="65" customFormat="1" ht="14" x14ac:dyDescent="0.35">
      <c r="A3696" s="145"/>
      <c r="B3696" s="152"/>
      <c r="E3696" s="102"/>
      <c r="F3696" s="102"/>
      <c r="G3696" s="102"/>
      <c r="I3696" s="93"/>
      <c r="J3696" s="93"/>
    </row>
    <row r="3697" spans="1:24" s="65" customFormat="1" ht="14" x14ac:dyDescent="0.35">
      <c r="A3697" s="145"/>
      <c r="B3697" s="152"/>
      <c r="E3697" s="102"/>
      <c r="F3697" s="102"/>
      <c r="G3697" s="102"/>
      <c r="I3697" s="93"/>
      <c r="J3697" s="93"/>
    </row>
    <row r="3698" spans="1:24" s="65" customFormat="1" ht="14" x14ac:dyDescent="0.35">
      <c r="A3698" s="145"/>
      <c r="B3698" s="152"/>
      <c r="E3698" s="102"/>
      <c r="F3698" s="102"/>
      <c r="G3698" s="102"/>
      <c r="I3698" s="93"/>
      <c r="J3698" s="93"/>
    </row>
    <row r="3699" spans="1:24" s="65" customFormat="1" ht="14" x14ac:dyDescent="0.35">
      <c r="A3699" s="145"/>
      <c r="B3699" s="152"/>
      <c r="E3699" s="102"/>
      <c r="F3699" s="102"/>
      <c r="G3699" s="102"/>
      <c r="I3699" s="93"/>
      <c r="J3699" s="93"/>
    </row>
    <row r="3700" spans="1:24" s="65" customFormat="1" ht="14" x14ac:dyDescent="0.35">
      <c r="A3700" s="145"/>
      <c r="B3700" s="152"/>
      <c r="E3700" s="102"/>
      <c r="F3700" s="102"/>
      <c r="G3700" s="102"/>
      <c r="I3700" s="93"/>
      <c r="J3700" s="93"/>
    </row>
    <row r="3701" spans="1:24" s="65" customFormat="1" ht="14" x14ac:dyDescent="0.35">
      <c r="A3701" s="145"/>
      <c r="B3701" s="152"/>
      <c r="E3701" s="102"/>
      <c r="F3701" s="102"/>
      <c r="G3701" s="102"/>
      <c r="I3701" s="93"/>
      <c r="J3701" s="93"/>
    </row>
    <row r="3702" spans="1:24" s="65" customFormat="1" ht="14" x14ac:dyDescent="0.35">
      <c r="A3702" s="145"/>
      <c r="B3702" s="152"/>
      <c r="E3702" s="102"/>
      <c r="F3702" s="102"/>
      <c r="G3702" s="102"/>
      <c r="I3702" s="93"/>
      <c r="J3702" s="93"/>
    </row>
    <row r="3703" spans="1:24" s="65" customFormat="1" ht="14" x14ac:dyDescent="0.35">
      <c r="A3703" s="145"/>
      <c r="B3703" s="152"/>
      <c r="E3703" s="102"/>
      <c r="F3703" s="102"/>
      <c r="G3703" s="102"/>
      <c r="I3703" s="93"/>
      <c r="J3703" s="93"/>
    </row>
    <row r="3704" spans="1:24" s="65" customFormat="1" x14ac:dyDescent="0.35">
      <c r="A3704" s="145"/>
      <c r="B3704" s="152"/>
      <c r="E3704" s="102"/>
      <c r="F3704" s="102"/>
      <c r="G3704" s="102"/>
      <c r="I3704" s="93"/>
      <c r="J3704" s="93"/>
      <c r="R3704" s="103"/>
      <c r="S3704" s="103"/>
      <c r="T3704" s="103"/>
    </row>
    <row r="3705" spans="1:24" s="65" customFormat="1" x14ac:dyDescent="0.35">
      <c r="A3705" s="145"/>
      <c r="B3705" s="152"/>
      <c r="E3705" s="102"/>
      <c r="F3705" s="102"/>
      <c r="G3705" s="102"/>
      <c r="I3705" s="93"/>
      <c r="J3705" s="93"/>
      <c r="R3705" s="103"/>
      <c r="S3705" s="103"/>
      <c r="T3705" s="103"/>
    </row>
    <row r="3706" spans="1:24" s="65" customFormat="1" x14ac:dyDescent="0.35">
      <c r="A3706" s="145"/>
      <c r="B3706" s="152"/>
      <c r="E3706" s="102"/>
      <c r="F3706" s="102"/>
      <c r="G3706" s="102"/>
      <c r="I3706" s="93"/>
      <c r="J3706" s="93"/>
      <c r="R3706" s="103"/>
      <c r="S3706" s="103"/>
      <c r="T3706" s="103"/>
    </row>
    <row r="3707" spans="1:24" s="65" customFormat="1" x14ac:dyDescent="0.35">
      <c r="A3707" s="145"/>
      <c r="B3707" s="152"/>
      <c r="E3707" s="102"/>
      <c r="F3707" s="102"/>
      <c r="G3707" s="102"/>
      <c r="I3707" s="93"/>
      <c r="J3707" s="93"/>
      <c r="R3707" s="103"/>
      <c r="S3707" s="103"/>
      <c r="T3707" s="103"/>
    </row>
    <row r="3708" spans="1:24" s="65" customFormat="1" x14ac:dyDescent="0.35">
      <c r="A3708" s="145"/>
      <c r="B3708" s="152"/>
      <c r="E3708" s="102"/>
      <c r="F3708" s="102"/>
      <c r="G3708" s="102"/>
      <c r="I3708" s="93"/>
      <c r="J3708" s="93"/>
      <c r="R3708" s="103"/>
      <c r="S3708" s="103"/>
      <c r="T3708" s="103"/>
    </row>
    <row r="3709" spans="1:24" s="65" customFormat="1" x14ac:dyDescent="0.35">
      <c r="A3709" s="145"/>
      <c r="B3709" s="152"/>
      <c r="E3709" s="102"/>
      <c r="F3709" s="102"/>
      <c r="G3709" s="102"/>
      <c r="I3709" s="93"/>
      <c r="J3709" s="52"/>
      <c r="R3709" s="103"/>
      <c r="S3709" s="103"/>
      <c r="T3709" s="103"/>
      <c r="U3709" s="103"/>
    </row>
    <row r="3710" spans="1:24" s="65" customFormat="1" x14ac:dyDescent="0.35">
      <c r="A3710" s="145"/>
      <c r="B3710" s="152"/>
      <c r="E3710" s="102"/>
      <c r="F3710" s="102"/>
      <c r="G3710" s="102"/>
      <c r="I3710" s="93"/>
      <c r="J3710" s="52"/>
      <c r="R3710" s="103"/>
      <c r="S3710" s="103"/>
      <c r="T3710" s="103"/>
      <c r="U3710" s="103"/>
    </row>
    <row r="3711" spans="1:24" s="65" customFormat="1" x14ac:dyDescent="0.35">
      <c r="A3711" s="145"/>
      <c r="B3711" s="152"/>
      <c r="E3711" s="102"/>
      <c r="F3711" s="102"/>
      <c r="G3711" s="102"/>
      <c r="I3711" s="93"/>
      <c r="J3711" s="52"/>
      <c r="R3711" s="103"/>
      <c r="S3711" s="103"/>
      <c r="T3711" s="103"/>
      <c r="U3711" s="103"/>
      <c r="V3711" s="103"/>
      <c r="W3711" s="103"/>
      <c r="X3711" s="103"/>
    </row>
  </sheetData>
  <mergeCells count="5">
    <mergeCell ref="C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I3712"/>
  <sheetViews>
    <sheetView showGridLines="0" zoomScaleNormal="100" workbookViewId="0">
      <pane xSplit="3" ySplit="3" topLeftCell="D9" activePane="bottomRight" state="frozen"/>
      <selection activeCell="A4" sqref="A4:H4"/>
      <selection pane="topRight" activeCell="A4" sqref="A4:H4"/>
      <selection pane="bottomLeft" activeCell="A4" sqref="A4:H4"/>
      <selection pane="bottomRight" activeCell="A4" sqref="A4:H4"/>
    </sheetView>
  </sheetViews>
  <sheetFormatPr defaultColWidth="0" defaultRowHeight="15.5" x14ac:dyDescent="0.35"/>
  <cols>
    <col min="1" max="1" width="10.81640625" style="145" hidden="1" customWidth="1"/>
    <col min="2" max="2" width="3.1796875" style="152" hidden="1" customWidth="1"/>
    <col min="3" max="3" width="22.5429687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9.1796875" style="103" customWidth="1"/>
    <col min="19" max="22" width="0" style="103" hidden="1" customWidth="1"/>
    <col min="23" max="23" width="12.1796875" style="103" hidden="1" customWidth="1"/>
    <col min="24" max="26" width="0" style="103" hidden="1" customWidth="1"/>
    <col min="27" max="27" width="10.81640625" style="103" hidden="1" customWidth="1"/>
    <col min="28" max="28" width="11.453125" style="103" hidden="1" customWidth="1"/>
    <col min="29" max="29" width="12.7265625" style="103" hidden="1" customWidth="1"/>
    <col min="30" max="30" width="0" style="103" hidden="1" customWidth="1"/>
    <col min="31" max="31" width="11.81640625" style="103" hidden="1" customWidth="1"/>
    <col min="32" max="32" width="12" style="103" hidden="1" customWidth="1"/>
    <col min="33" max="33" width="0" style="103" hidden="1" customWidth="1"/>
    <col min="34" max="34" width="11.81640625" style="103" hidden="1" customWidth="1"/>
    <col min="35" max="35" width="12" style="103" hidden="1" customWidth="1"/>
    <col min="36" max="16384" width="0" style="103" hidden="1"/>
  </cols>
  <sheetData>
    <row r="1" spans="1:32" s="52" customFormat="1" ht="24.75" customHeight="1" x14ac:dyDescent="0.35">
      <c r="A1" s="145"/>
      <c r="B1" s="159"/>
      <c r="C1" s="49" t="s">
        <v>304</v>
      </c>
      <c r="D1" s="50"/>
      <c r="E1" s="51"/>
      <c r="F1" s="51"/>
      <c r="G1" s="51"/>
      <c r="H1" s="50"/>
      <c r="I1" s="50"/>
      <c r="J1" s="50"/>
      <c r="K1" s="50"/>
      <c r="L1" s="50"/>
      <c r="M1" s="50"/>
      <c r="N1" s="50"/>
      <c r="O1" s="50"/>
      <c r="P1" s="50"/>
    </row>
    <row r="2" spans="1:32" s="57" customFormat="1" ht="45" customHeight="1" x14ac:dyDescent="0.35">
      <c r="A2" s="145"/>
      <c r="B2" s="152"/>
      <c r="C2" s="54"/>
      <c r="D2" s="378" t="s">
        <v>166</v>
      </c>
      <c r="E2" s="378"/>
      <c r="F2" s="378"/>
      <c r="G2" s="378"/>
      <c r="H2" s="378" t="s">
        <v>167</v>
      </c>
      <c r="I2" s="378"/>
      <c r="J2" s="107"/>
      <c r="K2" s="376" t="s">
        <v>168</v>
      </c>
      <c r="L2" s="376"/>
      <c r="M2" s="376"/>
      <c r="N2" s="376" t="s">
        <v>169</v>
      </c>
      <c r="O2" s="376"/>
      <c r="P2" s="376"/>
      <c r="R2" s="377"/>
      <c r="S2" s="377"/>
      <c r="T2" s="55"/>
      <c r="U2" s="378"/>
      <c r="V2" s="378"/>
      <c r="W2" s="378"/>
      <c r="X2" s="378"/>
      <c r="Y2" s="378"/>
      <c r="Z2" s="378"/>
      <c r="AA2" s="376"/>
      <c r="AB2" s="376"/>
      <c r="AC2" s="376"/>
      <c r="AD2" s="376"/>
      <c r="AE2" s="376"/>
      <c r="AF2" s="376"/>
    </row>
    <row r="3" spans="1:32" s="57" customFormat="1" ht="30.5" x14ac:dyDescent="0.35">
      <c r="A3" s="145"/>
      <c r="B3" s="152"/>
      <c r="C3" s="54"/>
      <c r="D3" s="60" t="s">
        <v>170</v>
      </c>
      <c r="E3" s="60" t="s">
        <v>303</v>
      </c>
      <c r="F3" s="60" t="s">
        <v>172</v>
      </c>
      <c r="G3" s="60" t="s">
        <v>173</v>
      </c>
      <c r="H3" s="60" t="s">
        <v>302</v>
      </c>
      <c r="I3" s="60" t="s">
        <v>171</v>
      </c>
      <c r="J3" s="60"/>
      <c r="K3" s="61" t="s">
        <v>175</v>
      </c>
      <c r="L3" s="61" t="s">
        <v>234</v>
      </c>
      <c r="M3" s="60" t="s">
        <v>301</v>
      </c>
      <c r="N3" s="60" t="s">
        <v>300</v>
      </c>
      <c r="O3" s="60" t="s">
        <v>179</v>
      </c>
      <c r="P3" s="60" t="s">
        <v>180</v>
      </c>
      <c r="R3" s="60"/>
      <c r="S3" s="60"/>
      <c r="T3" s="59"/>
      <c r="U3" s="60"/>
      <c r="V3" s="60"/>
      <c r="W3" s="60"/>
      <c r="X3" s="60"/>
      <c r="Y3" s="60"/>
      <c r="Z3" s="60"/>
      <c r="AA3" s="61"/>
      <c r="AB3" s="61"/>
      <c r="AC3" s="60"/>
      <c r="AD3" s="60"/>
      <c r="AE3" s="60"/>
      <c r="AF3" s="60"/>
    </row>
    <row r="4" spans="1:32" s="67" customFormat="1" ht="25.5" customHeight="1" x14ac:dyDescent="0.35">
      <c r="A4" s="145"/>
      <c r="B4" s="152"/>
      <c r="C4" s="62" t="s">
        <v>181</v>
      </c>
      <c r="D4" s="64">
        <v>27353</v>
      </c>
      <c r="E4" s="64">
        <v>13436</v>
      </c>
      <c r="F4" s="64">
        <v>1388</v>
      </c>
      <c r="G4" s="64">
        <v>8343</v>
      </c>
      <c r="H4" s="64">
        <v>665</v>
      </c>
      <c r="I4" s="64">
        <v>751</v>
      </c>
      <c r="J4" s="75" t="s">
        <v>3</v>
      </c>
      <c r="K4" s="64">
        <v>1972</v>
      </c>
      <c r="L4" s="64">
        <v>164</v>
      </c>
      <c r="M4" s="64">
        <v>1381</v>
      </c>
      <c r="N4" s="64">
        <v>4904</v>
      </c>
      <c r="O4" s="64">
        <v>352</v>
      </c>
      <c r="P4" s="64">
        <v>248</v>
      </c>
      <c r="Q4" s="62"/>
      <c r="R4" s="155"/>
      <c r="S4" s="155"/>
      <c r="T4" s="155"/>
      <c r="U4" s="155"/>
      <c r="V4" s="155"/>
      <c r="W4" s="155"/>
      <c r="X4" s="155"/>
      <c r="Y4" s="155"/>
      <c r="Z4" s="155"/>
      <c r="AA4" s="155"/>
      <c r="AB4" s="155"/>
      <c r="AC4" s="155"/>
      <c r="AD4" s="155"/>
      <c r="AE4" s="155"/>
      <c r="AF4" s="155"/>
    </row>
    <row r="5" spans="1:32" s="71" customFormat="1" ht="25.5" customHeight="1" x14ac:dyDescent="0.35">
      <c r="A5" s="147"/>
      <c r="B5" s="158"/>
      <c r="C5" s="62" t="s">
        <v>182</v>
      </c>
      <c r="D5" s="70">
        <v>14960</v>
      </c>
      <c r="E5" s="70">
        <v>13028</v>
      </c>
      <c r="F5" s="70">
        <v>1001</v>
      </c>
      <c r="G5" s="70">
        <v>5387</v>
      </c>
      <c r="H5" s="70">
        <v>381</v>
      </c>
      <c r="I5" s="70">
        <v>731</v>
      </c>
      <c r="J5" s="75" t="s">
        <v>3</v>
      </c>
      <c r="K5" s="70">
        <v>1525</v>
      </c>
      <c r="L5" s="70">
        <v>130</v>
      </c>
      <c r="M5" s="70">
        <v>872</v>
      </c>
      <c r="N5" s="70">
        <v>3883</v>
      </c>
      <c r="O5" s="70">
        <v>236</v>
      </c>
      <c r="P5" s="70">
        <v>161</v>
      </c>
      <c r="R5" s="155"/>
      <c r="S5" s="155"/>
      <c r="T5" s="155"/>
      <c r="U5" s="155"/>
      <c r="V5" s="155"/>
      <c r="W5" s="155"/>
      <c r="X5" s="155"/>
      <c r="Y5" s="155"/>
      <c r="Z5" s="155"/>
      <c r="AA5" s="155"/>
      <c r="AB5" s="155"/>
      <c r="AC5" s="155"/>
      <c r="AD5" s="155"/>
      <c r="AE5" s="155"/>
      <c r="AF5" s="155"/>
    </row>
    <row r="6" spans="1:32" s="81" customFormat="1" ht="14.25" customHeight="1" x14ac:dyDescent="0.3">
      <c r="A6" s="145">
        <v>51</v>
      </c>
      <c r="B6" s="157" t="s">
        <v>299</v>
      </c>
      <c r="C6" s="82" t="s">
        <v>77</v>
      </c>
      <c r="D6" s="75">
        <v>622</v>
      </c>
      <c r="E6" s="75">
        <v>254</v>
      </c>
      <c r="F6" s="75">
        <v>34</v>
      </c>
      <c r="G6" s="75">
        <v>121</v>
      </c>
      <c r="H6" s="75">
        <v>11</v>
      </c>
      <c r="I6" s="75">
        <v>12</v>
      </c>
      <c r="J6" s="75" t="s">
        <v>3</v>
      </c>
      <c r="K6" s="75">
        <v>37</v>
      </c>
      <c r="L6" s="75">
        <v>6</v>
      </c>
      <c r="M6" s="75">
        <v>16</v>
      </c>
      <c r="N6" s="75">
        <v>70</v>
      </c>
      <c r="O6" s="75">
        <v>8</v>
      </c>
      <c r="P6" s="75">
        <v>2</v>
      </c>
      <c r="R6" s="155"/>
      <c r="S6" s="155"/>
      <c r="T6" s="155"/>
      <c r="U6" s="155"/>
      <c r="V6" s="155"/>
      <c r="W6" s="155"/>
      <c r="X6" s="155"/>
      <c r="Y6" s="155"/>
      <c r="Z6" s="155"/>
      <c r="AA6" s="155"/>
      <c r="AB6" s="155"/>
      <c r="AC6" s="155"/>
      <c r="AD6" s="155"/>
      <c r="AE6" s="155"/>
      <c r="AF6" s="155"/>
    </row>
    <row r="7" spans="1:32" s="81" customFormat="1" ht="14.25" customHeight="1" x14ac:dyDescent="0.3">
      <c r="A7" s="145">
        <v>52</v>
      </c>
      <c r="B7" s="157" t="s">
        <v>298</v>
      </c>
      <c r="C7" s="82" t="s">
        <v>75</v>
      </c>
      <c r="D7" s="75">
        <v>298</v>
      </c>
      <c r="E7" s="75">
        <v>150</v>
      </c>
      <c r="F7" s="75">
        <v>28</v>
      </c>
      <c r="G7" s="75">
        <v>137</v>
      </c>
      <c r="H7" s="75">
        <v>6</v>
      </c>
      <c r="I7" s="75">
        <v>8</v>
      </c>
      <c r="J7" s="75" t="s">
        <v>3</v>
      </c>
      <c r="K7" s="75">
        <v>22</v>
      </c>
      <c r="L7" s="75">
        <v>2</v>
      </c>
      <c r="M7" s="75">
        <v>17</v>
      </c>
      <c r="N7" s="75">
        <v>48</v>
      </c>
      <c r="O7" s="75">
        <v>4</v>
      </c>
      <c r="P7" s="75">
        <v>2</v>
      </c>
      <c r="R7" s="155"/>
      <c r="S7" s="155"/>
      <c r="T7" s="155"/>
      <c r="U7" s="155"/>
      <c r="V7" s="155"/>
      <c r="W7" s="155"/>
      <c r="X7" s="155"/>
      <c r="Y7" s="155"/>
      <c r="Z7" s="155"/>
      <c r="AA7" s="155"/>
      <c r="AB7" s="155"/>
      <c r="AC7" s="155"/>
      <c r="AD7" s="155"/>
      <c r="AE7" s="155"/>
      <c r="AF7" s="155"/>
    </row>
    <row r="8" spans="1:32" s="81" customFormat="1" ht="14.25" customHeight="1" x14ac:dyDescent="0.3">
      <c r="A8" s="145">
        <v>86</v>
      </c>
      <c r="B8" s="157" t="s">
        <v>297</v>
      </c>
      <c r="C8" s="82" t="s">
        <v>73</v>
      </c>
      <c r="D8" s="75">
        <v>402</v>
      </c>
      <c r="E8" s="75">
        <v>86</v>
      </c>
      <c r="F8" s="75">
        <v>27</v>
      </c>
      <c r="G8" s="75">
        <v>137</v>
      </c>
      <c r="H8" s="75">
        <v>11</v>
      </c>
      <c r="I8" s="75">
        <v>7</v>
      </c>
      <c r="J8" s="75" t="s">
        <v>3</v>
      </c>
      <c r="K8" s="75">
        <v>22</v>
      </c>
      <c r="L8" s="75">
        <v>1</v>
      </c>
      <c r="M8" s="75">
        <v>9</v>
      </c>
      <c r="N8" s="75">
        <v>81</v>
      </c>
      <c r="O8" s="75">
        <v>6</v>
      </c>
      <c r="P8" s="75">
        <v>3</v>
      </c>
      <c r="R8" s="155"/>
      <c r="S8" s="155"/>
      <c r="T8" s="155"/>
      <c r="U8" s="155"/>
      <c r="V8" s="155"/>
      <c r="W8" s="155"/>
      <c r="X8" s="155"/>
      <c r="Y8" s="155"/>
      <c r="Z8" s="155"/>
      <c r="AA8" s="155"/>
      <c r="AB8" s="155"/>
      <c r="AC8" s="155"/>
      <c r="AD8" s="155"/>
      <c r="AE8" s="155"/>
      <c r="AF8" s="155"/>
    </row>
    <row r="9" spans="1:32" s="81" customFormat="1" ht="14.25" customHeight="1" x14ac:dyDescent="0.3">
      <c r="A9" s="145">
        <v>53</v>
      </c>
      <c r="B9" s="157" t="s">
        <v>296</v>
      </c>
      <c r="C9" s="82" t="s">
        <v>71</v>
      </c>
      <c r="D9" s="75">
        <v>333</v>
      </c>
      <c r="E9" s="75">
        <v>269</v>
      </c>
      <c r="F9" s="75">
        <v>21</v>
      </c>
      <c r="G9" s="75">
        <v>129</v>
      </c>
      <c r="H9" s="75">
        <v>10</v>
      </c>
      <c r="I9" s="75">
        <v>10</v>
      </c>
      <c r="J9" s="75" t="s">
        <v>3</v>
      </c>
      <c r="K9" s="75">
        <v>30</v>
      </c>
      <c r="L9" s="75">
        <v>2</v>
      </c>
      <c r="M9" s="75">
        <v>16</v>
      </c>
      <c r="N9" s="75">
        <v>102</v>
      </c>
      <c r="O9" s="75">
        <v>4</v>
      </c>
      <c r="P9" s="75">
        <v>4</v>
      </c>
      <c r="R9" s="155"/>
      <c r="S9" s="155"/>
      <c r="T9" s="155"/>
      <c r="U9" s="155"/>
      <c r="V9" s="155"/>
      <c r="W9" s="155"/>
      <c r="X9" s="155"/>
      <c r="Y9" s="155"/>
      <c r="Z9" s="155"/>
      <c r="AA9" s="155"/>
      <c r="AB9" s="155"/>
      <c r="AC9" s="155"/>
      <c r="AD9" s="155"/>
      <c r="AE9" s="155"/>
      <c r="AF9" s="155"/>
    </row>
    <row r="10" spans="1:32" s="81" customFormat="1" ht="14.25" customHeight="1" x14ac:dyDescent="0.3">
      <c r="A10" s="145">
        <v>54</v>
      </c>
      <c r="B10" s="157" t="s">
        <v>295</v>
      </c>
      <c r="C10" s="82" t="s">
        <v>294</v>
      </c>
      <c r="D10" s="75">
        <v>228</v>
      </c>
      <c r="E10" s="75">
        <v>323</v>
      </c>
      <c r="F10" s="75">
        <v>43</v>
      </c>
      <c r="G10" s="75">
        <v>127</v>
      </c>
      <c r="H10" s="75">
        <v>7</v>
      </c>
      <c r="I10" s="75">
        <v>20</v>
      </c>
      <c r="J10" s="75" t="s">
        <v>3</v>
      </c>
      <c r="K10" s="75">
        <v>0</v>
      </c>
      <c r="L10" s="75">
        <v>0</v>
      </c>
      <c r="M10" s="75">
        <v>0</v>
      </c>
      <c r="N10" s="75">
        <v>0</v>
      </c>
      <c r="O10" s="75">
        <v>0</v>
      </c>
      <c r="P10" s="75">
        <v>0</v>
      </c>
      <c r="R10" s="155"/>
      <c r="S10" s="155"/>
      <c r="T10" s="155"/>
      <c r="U10" s="155"/>
      <c r="V10" s="155"/>
      <c r="W10" s="155"/>
      <c r="X10" s="155"/>
      <c r="Y10" s="155"/>
      <c r="Z10" s="155"/>
      <c r="AA10" s="155"/>
      <c r="AB10" s="155"/>
      <c r="AC10" s="155"/>
      <c r="AD10" s="155"/>
      <c r="AE10" s="155"/>
      <c r="AF10" s="155"/>
    </row>
    <row r="11" spans="1:32" s="81" customFormat="1" ht="14.25" customHeight="1" x14ac:dyDescent="0.3">
      <c r="A11" s="145">
        <v>55</v>
      </c>
      <c r="B11" s="157" t="s">
        <v>293</v>
      </c>
      <c r="C11" s="82" t="s">
        <v>67</v>
      </c>
      <c r="D11" s="75">
        <v>481</v>
      </c>
      <c r="E11" s="75">
        <v>222</v>
      </c>
      <c r="F11" s="75">
        <v>26</v>
      </c>
      <c r="G11" s="75">
        <v>226</v>
      </c>
      <c r="H11" s="75">
        <v>14</v>
      </c>
      <c r="I11" s="75">
        <v>10</v>
      </c>
      <c r="J11" s="75" t="s">
        <v>3</v>
      </c>
      <c r="K11" s="75">
        <v>34</v>
      </c>
      <c r="L11" s="75">
        <v>3</v>
      </c>
      <c r="M11" s="75">
        <v>40</v>
      </c>
      <c r="N11" s="75">
        <v>118</v>
      </c>
      <c r="O11" s="75">
        <v>5</v>
      </c>
      <c r="P11" s="75">
        <v>3</v>
      </c>
      <c r="R11" s="155"/>
      <c r="S11" s="155"/>
      <c r="T11" s="155"/>
      <c r="U11" s="155"/>
      <c r="V11" s="155"/>
      <c r="W11" s="155"/>
      <c r="X11" s="155"/>
      <c r="Y11" s="155"/>
      <c r="Z11" s="155"/>
      <c r="AA11" s="155"/>
      <c r="AB11" s="155"/>
      <c r="AC11" s="155"/>
      <c r="AD11" s="155"/>
      <c r="AE11" s="155"/>
      <c r="AF11" s="155"/>
    </row>
    <row r="12" spans="1:32" s="81" customFormat="1" ht="14.25" customHeight="1" x14ac:dyDescent="0.3">
      <c r="A12" s="145">
        <v>56</v>
      </c>
      <c r="B12" s="157" t="s">
        <v>292</v>
      </c>
      <c r="C12" s="82" t="s">
        <v>65</v>
      </c>
      <c r="D12" s="75">
        <v>440</v>
      </c>
      <c r="E12" s="75">
        <v>84</v>
      </c>
      <c r="F12" s="75">
        <v>24</v>
      </c>
      <c r="G12" s="75">
        <v>118</v>
      </c>
      <c r="H12" s="75">
        <v>9</v>
      </c>
      <c r="I12" s="75">
        <v>6</v>
      </c>
      <c r="J12" s="75" t="s">
        <v>3</v>
      </c>
      <c r="K12" s="75">
        <v>21</v>
      </c>
      <c r="L12" s="75">
        <v>0</v>
      </c>
      <c r="M12" s="75">
        <v>16</v>
      </c>
      <c r="N12" s="75">
        <v>60</v>
      </c>
      <c r="O12" s="75">
        <v>6</v>
      </c>
      <c r="P12" s="75">
        <v>2</v>
      </c>
      <c r="R12" s="155"/>
      <c r="S12" s="155"/>
      <c r="T12" s="155"/>
      <c r="U12" s="155"/>
      <c r="V12" s="155"/>
      <c r="W12" s="155"/>
      <c r="X12" s="155"/>
      <c r="Y12" s="155"/>
      <c r="Z12" s="155"/>
      <c r="AA12" s="155"/>
      <c r="AB12" s="155"/>
      <c r="AC12" s="155"/>
      <c r="AD12" s="155"/>
      <c r="AE12" s="155"/>
      <c r="AF12" s="155"/>
    </row>
    <row r="13" spans="1:32" s="81" customFormat="1" ht="14.25" customHeight="1" x14ac:dyDescent="0.3">
      <c r="A13" s="145">
        <v>57</v>
      </c>
      <c r="B13" s="157" t="s">
        <v>291</v>
      </c>
      <c r="C13" s="82" t="s">
        <v>108</v>
      </c>
      <c r="D13" s="75">
        <v>204</v>
      </c>
      <c r="E13" s="75">
        <v>430</v>
      </c>
      <c r="F13" s="75">
        <v>21</v>
      </c>
      <c r="G13" s="75">
        <v>97</v>
      </c>
      <c r="H13" s="75">
        <v>7</v>
      </c>
      <c r="I13" s="75">
        <v>24</v>
      </c>
      <c r="J13" s="75" t="s">
        <v>3</v>
      </c>
      <c r="K13" s="75">
        <v>43</v>
      </c>
      <c r="L13" s="75">
        <v>2</v>
      </c>
      <c r="M13" s="75">
        <v>48</v>
      </c>
      <c r="N13" s="75">
        <v>104</v>
      </c>
      <c r="O13" s="75">
        <v>6</v>
      </c>
      <c r="P13" s="75">
        <v>4</v>
      </c>
      <c r="R13" s="155"/>
      <c r="S13" s="155"/>
      <c r="T13" s="155"/>
      <c r="U13" s="155"/>
      <c r="V13" s="155"/>
      <c r="W13" s="155"/>
      <c r="X13" s="155"/>
      <c r="Y13" s="155"/>
      <c r="Z13" s="155"/>
      <c r="AA13" s="155"/>
      <c r="AB13" s="155"/>
      <c r="AC13" s="155"/>
      <c r="AD13" s="155"/>
      <c r="AE13" s="155"/>
      <c r="AF13" s="155"/>
    </row>
    <row r="14" spans="1:32" s="81" customFormat="1" ht="14.25" customHeight="1" x14ac:dyDescent="0.3">
      <c r="A14" s="145">
        <v>59</v>
      </c>
      <c r="B14" s="157" t="s">
        <v>290</v>
      </c>
      <c r="C14" s="82" t="s">
        <v>106</v>
      </c>
      <c r="D14" s="75">
        <v>225</v>
      </c>
      <c r="E14" s="75">
        <v>428</v>
      </c>
      <c r="F14" s="75">
        <v>0</v>
      </c>
      <c r="G14" s="75">
        <v>87</v>
      </c>
      <c r="H14" s="75">
        <v>6</v>
      </c>
      <c r="I14" s="75">
        <v>33</v>
      </c>
      <c r="J14" s="75" t="s">
        <v>3</v>
      </c>
      <c r="K14" s="75">
        <v>46</v>
      </c>
      <c r="L14" s="75">
        <v>2</v>
      </c>
      <c r="M14" s="75">
        <v>23</v>
      </c>
      <c r="N14" s="75">
        <v>107</v>
      </c>
      <c r="O14" s="75">
        <v>5</v>
      </c>
      <c r="P14" s="75">
        <v>4</v>
      </c>
      <c r="R14" s="155"/>
      <c r="S14" s="155"/>
      <c r="T14" s="155"/>
      <c r="U14" s="155"/>
      <c r="V14" s="155"/>
      <c r="W14" s="155"/>
      <c r="X14" s="155"/>
      <c r="Y14" s="155"/>
      <c r="Z14" s="155"/>
      <c r="AA14" s="155"/>
      <c r="AB14" s="155"/>
      <c r="AC14" s="155"/>
      <c r="AD14" s="155"/>
      <c r="AE14" s="155"/>
      <c r="AF14" s="155"/>
    </row>
    <row r="15" spans="1:32" s="81" customFormat="1" ht="14.25" customHeight="1" x14ac:dyDescent="0.3">
      <c r="A15" s="145">
        <v>60</v>
      </c>
      <c r="B15" s="157" t="s">
        <v>289</v>
      </c>
      <c r="C15" s="82" t="s">
        <v>63</v>
      </c>
      <c r="D15" s="75">
        <v>386</v>
      </c>
      <c r="E15" s="75">
        <v>306</v>
      </c>
      <c r="F15" s="75">
        <v>28</v>
      </c>
      <c r="G15" s="75">
        <v>164</v>
      </c>
      <c r="H15" s="75">
        <v>12</v>
      </c>
      <c r="I15" s="75">
        <v>19</v>
      </c>
      <c r="J15" s="75" t="s">
        <v>3</v>
      </c>
      <c r="K15" s="75">
        <v>41</v>
      </c>
      <c r="L15" s="75">
        <v>3</v>
      </c>
      <c r="M15" s="75">
        <v>17</v>
      </c>
      <c r="N15" s="75">
        <v>161</v>
      </c>
      <c r="O15" s="75">
        <v>5</v>
      </c>
      <c r="P15" s="75">
        <v>4</v>
      </c>
      <c r="R15" s="155"/>
      <c r="S15" s="155"/>
      <c r="T15" s="155"/>
      <c r="U15" s="155"/>
      <c r="V15" s="155"/>
      <c r="W15" s="155"/>
      <c r="X15" s="155"/>
      <c r="Y15" s="155"/>
      <c r="Z15" s="155"/>
      <c r="AA15" s="155"/>
      <c r="AB15" s="155"/>
      <c r="AC15" s="155"/>
      <c r="AD15" s="155"/>
      <c r="AE15" s="155"/>
      <c r="AF15" s="155"/>
    </row>
    <row r="16" spans="1:32" s="81" customFormat="1" ht="14.25" customHeight="1" x14ac:dyDescent="0.3">
      <c r="A16" s="145">
        <v>61</v>
      </c>
      <c r="B16" s="157" t="s">
        <v>288</v>
      </c>
      <c r="C16" s="82" t="s">
        <v>183</v>
      </c>
      <c r="D16" s="75">
        <v>687</v>
      </c>
      <c r="E16" s="75">
        <v>1224</v>
      </c>
      <c r="F16" s="75">
        <v>45</v>
      </c>
      <c r="G16" s="75">
        <v>269</v>
      </c>
      <c r="H16" s="75">
        <v>15</v>
      </c>
      <c r="I16" s="75">
        <v>67</v>
      </c>
      <c r="J16" s="75" t="s">
        <v>3</v>
      </c>
      <c r="K16" s="75">
        <v>122</v>
      </c>
      <c r="L16" s="75">
        <v>7</v>
      </c>
      <c r="M16" s="75">
        <v>43</v>
      </c>
      <c r="N16" s="75">
        <v>302</v>
      </c>
      <c r="O16" s="75">
        <v>18</v>
      </c>
      <c r="P16" s="75">
        <v>15</v>
      </c>
      <c r="R16" s="155"/>
      <c r="S16" s="155"/>
      <c r="T16" s="155"/>
      <c r="U16" s="155"/>
      <c r="V16" s="155"/>
      <c r="W16" s="155"/>
      <c r="X16" s="155"/>
      <c r="Y16" s="155"/>
      <c r="Z16" s="155"/>
      <c r="AA16" s="155"/>
      <c r="AB16" s="155"/>
      <c r="AC16" s="155"/>
      <c r="AD16" s="155"/>
      <c r="AE16" s="155"/>
      <c r="AF16" s="155"/>
    </row>
    <row r="17" spans="1:32" s="81" customFormat="1" ht="14.25" customHeight="1" x14ac:dyDescent="0.3">
      <c r="A17" s="269">
        <v>62</v>
      </c>
      <c r="B17" s="270" t="s">
        <v>287</v>
      </c>
      <c r="C17" s="265" t="s">
        <v>399</v>
      </c>
      <c r="D17" s="267">
        <f>D71+D72</f>
        <v>477</v>
      </c>
      <c r="E17" s="267">
        <f t="shared" ref="E17:P17" si="0">E71+E72</f>
        <v>688</v>
      </c>
      <c r="F17" s="267">
        <f t="shared" si="0"/>
        <v>52</v>
      </c>
      <c r="G17" s="267">
        <f t="shared" si="0"/>
        <v>268</v>
      </c>
      <c r="H17" s="267">
        <f t="shared" si="0"/>
        <v>13</v>
      </c>
      <c r="I17" s="267">
        <f t="shared" si="0"/>
        <v>37</v>
      </c>
      <c r="J17" s="267" t="s">
        <v>3</v>
      </c>
      <c r="K17" s="267">
        <f t="shared" si="0"/>
        <v>74</v>
      </c>
      <c r="L17" s="267">
        <f t="shared" si="0"/>
        <v>0</v>
      </c>
      <c r="M17" s="267">
        <f t="shared" si="0"/>
        <v>33</v>
      </c>
      <c r="N17" s="267">
        <f t="shared" si="0"/>
        <v>196</v>
      </c>
      <c r="O17" s="267">
        <f t="shared" si="0"/>
        <v>10</v>
      </c>
      <c r="P17" s="267">
        <f t="shared" si="0"/>
        <v>7</v>
      </c>
      <c r="R17" s="155"/>
      <c r="S17" s="155"/>
      <c r="T17" s="155"/>
      <c r="U17" s="155"/>
      <c r="V17" s="155"/>
      <c r="W17" s="155"/>
      <c r="X17" s="155"/>
      <c r="Y17" s="155"/>
      <c r="Z17" s="155"/>
      <c r="AA17" s="155"/>
      <c r="AB17" s="155"/>
      <c r="AC17" s="155"/>
      <c r="AD17" s="155"/>
      <c r="AE17" s="155"/>
      <c r="AF17" s="155"/>
    </row>
    <row r="18" spans="1:32" s="81" customFormat="1" ht="14.25" customHeight="1" x14ac:dyDescent="0.3">
      <c r="A18" s="145">
        <v>58</v>
      </c>
      <c r="B18" s="157" t="s">
        <v>286</v>
      </c>
      <c r="C18" s="82" t="s">
        <v>285</v>
      </c>
      <c r="D18" s="75">
        <v>350</v>
      </c>
      <c r="E18" s="75">
        <v>181</v>
      </c>
      <c r="F18" s="75">
        <v>30</v>
      </c>
      <c r="G18" s="75">
        <v>77</v>
      </c>
      <c r="H18" s="75">
        <v>9</v>
      </c>
      <c r="I18" s="75">
        <v>6</v>
      </c>
      <c r="J18" s="75" t="s">
        <v>3</v>
      </c>
      <c r="K18" s="75">
        <v>27</v>
      </c>
      <c r="L18" s="75">
        <v>2</v>
      </c>
      <c r="M18" s="75">
        <v>10</v>
      </c>
      <c r="N18" s="75">
        <v>76</v>
      </c>
      <c r="O18" s="75">
        <v>5</v>
      </c>
      <c r="P18" s="75">
        <v>2</v>
      </c>
      <c r="R18" s="155"/>
      <c r="S18" s="155"/>
      <c r="T18" s="155"/>
      <c r="U18" s="155"/>
      <c r="V18" s="155"/>
      <c r="W18" s="155"/>
      <c r="X18" s="155"/>
      <c r="Y18" s="155"/>
      <c r="Z18" s="155"/>
      <c r="AA18" s="155"/>
      <c r="AB18" s="155"/>
      <c r="AC18" s="155"/>
      <c r="AD18" s="155"/>
      <c r="AE18" s="155"/>
      <c r="AF18" s="155"/>
    </row>
    <row r="19" spans="1:32" s="81" customFormat="1" ht="14.25" customHeight="1" x14ac:dyDescent="0.3">
      <c r="A19" s="145">
        <v>63</v>
      </c>
      <c r="B19" s="157" t="s">
        <v>284</v>
      </c>
      <c r="C19" s="82" t="s">
        <v>55</v>
      </c>
      <c r="D19" s="75">
        <v>412</v>
      </c>
      <c r="E19" s="75">
        <v>266</v>
      </c>
      <c r="F19" s="75">
        <v>30</v>
      </c>
      <c r="G19" s="75">
        <v>171</v>
      </c>
      <c r="H19" s="75">
        <v>12</v>
      </c>
      <c r="I19" s="75">
        <v>12</v>
      </c>
      <c r="J19" s="75" t="s">
        <v>3</v>
      </c>
      <c r="K19" s="75">
        <v>37</v>
      </c>
      <c r="L19" s="75">
        <v>3</v>
      </c>
      <c r="M19" s="75">
        <v>9</v>
      </c>
      <c r="N19" s="75">
        <v>117</v>
      </c>
      <c r="O19" s="75">
        <v>5</v>
      </c>
      <c r="P19" s="75">
        <v>3</v>
      </c>
      <c r="R19" s="155"/>
      <c r="S19" s="155"/>
      <c r="T19" s="155"/>
      <c r="U19" s="155"/>
      <c r="V19" s="155"/>
      <c r="W19" s="155"/>
      <c r="X19" s="155"/>
      <c r="Y19" s="155"/>
      <c r="Z19" s="155"/>
      <c r="AA19" s="155"/>
      <c r="AB19" s="155"/>
      <c r="AC19" s="155"/>
      <c r="AD19" s="155"/>
      <c r="AE19" s="155"/>
      <c r="AF19" s="155"/>
    </row>
    <row r="20" spans="1:32" s="81" customFormat="1" ht="14.25" customHeight="1" x14ac:dyDescent="0.3">
      <c r="A20" s="145">
        <v>64</v>
      </c>
      <c r="B20" s="157" t="s">
        <v>283</v>
      </c>
      <c r="C20" s="82" t="s">
        <v>282</v>
      </c>
      <c r="D20" s="75">
        <v>810</v>
      </c>
      <c r="E20" s="75">
        <v>496</v>
      </c>
      <c r="F20" s="75">
        <v>45</v>
      </c>
      <c r="G20" s="75">
        <v>286</v>
      </c>
      <c r="H20" s="75">
        <v>17</v>
      </c>
      <c r="I20" s="75">
        <v>33</v>
      </c>
      <c r="J20" s="75" t="s">
        <v>3</v>
      </c>
      <c r="K20" s="75">
        <v>74</v>
      </c>
      <c r="L20" s="75">
        <v>5</v>
      </c>
      <c r="M20" s="75">
        <v>37</v>
      </c>
      <c r="N20" s="75">
        <v>210</v>
      </c>
      <c r="O20" s="75">
        <v>14</v>
      </c>
      <c r="P20" s="75">
        <v>7</v>
      </c>
      <c r="R20" s="155"/>
      <c r="S20" s="155"/>
      <c r="T20" s="155"/>
      <c r="U20" s="155"/>
      <c r="V20" s="155"/>
      <c r="W20" s="155"/>
      <c r="X20" s="155"/>
      <c r="Y20" s="155"/>
      <c r="Z20" s="155"/>
      <c r="AA20" s="155"/>
      <c r="AB20" s="155"/>
      <c r="AC20" s="155"/>
      <c r="AD20" s="155"/>
      <c r="AE20" s="155"/>
      <c r="AF20" s="155"/>
    </row>
    <row r="21" spans="1:32" s="81" customFormat="1" ht="14.25" customHeight="1" x14ac:dyDescent="0.3">
      <c r="A21" s="145">
        <v>65</v>
      </c>
      <c r="B21" s="157" t="s">
        <v>281</v>
      </c>
      <c r="C21" s="82" t="s">
        <v>104</v>
      </c>
      <c r="D21" s="75">
        <v>205</v>
      </c>
      <c r="E21" s="75">
        <v>259</v>
      </c>
      <c r="F21" s="75">
        <v>20</v>
      </c>
      <c r="G21" s="75">
        <v>58</v>
      </c>
      <c r="H21" s="75">
        <v>6</v>
      </c>
      <c r="I21" s="75">
        <v>16</v>
      </c>
      <c r="J21" s="75" t="s">
        <v>3</v>
      </c>
      <c r="K21" s="75">
        <v>33</v>
      </c>
      <c r="L21" s="75">
        <v>2</v>
      </c>
      <c r="M21" s="75">
        <v>10</v>
      </c>
      <c r="N21" s="75">
        <v>50</v>
      </c>
      <c r="O21" s="75">
        <v>6</v>
      </c>
      <c r="P21" s="75">
        <v>1</v>
      </c>
      <c r="R21" s="155"/>
      <c r="S21" s="155"/>
      <c r="T21" s="155"/>
      <c r="U21" s="155"/>
      <c r="V21" s="155"/>
      <c r="W21" s="155"/>
      <c r="X21" s="155"/>
      <c r="Y21" s="155"/>
      <c r="Z21" s="155"/>
      <c r="AA21" s="155"/>
      <c r="AB21" s="155"/>
      <c r="AC21" s="155"/>
      <c r="AD21" s="155"/>
      <c r="AE21" s="155"/>
      <c r="AF21" s="155"/>
    </row>
    <row r="22" spans="1:32" s="81" customFormat="1" ht="14.25" customHeight="1" x14ac:dyDescent="0.3">
      <c r="A22" s="145">
        <v>67</v>
      </c>
      <c r="B22" s="157" t="s">
        <v>280</v>
      </c>
      <c r="C22" s="82" t="s">
        <v>51</v>
      </c>
      <c r="D22" s="75">
        <v>739</v>
      </c>
      <c r="E22" s="75">
        <v>773</v>
      </c>
      <c r="F22" s="75">
        <v>41</v>
      </c>
      <c r="G22" s="75">
        <v>328</v>
      </c>
      <c r="H22" s="75">
        <v>13</v>
      </c>
      <c r="I22" s="75">
        <v>38</v>
      </c>
      <c r="J22" s="75" t="s">
        <v>3</v>
      </c>
      <c r="K22" s="75">
        <v>76</v>
      </c>
      <c r="L22" s="75">
        <v>0</v>
      </c>
      <c r="M22" s="75">
        <v>64</v>
      </c>
      <c r="N22" s="75">
        <v>136</v>
      </c>
      <c r="O22" s="75">
        <v>12</v>
      </c>
      <c r="P22" s="75">
        <v>10</v>
      </c>
      <c r="R22" s="155"/>
      <c r="S22" s="155"/>
      <c r="T22" s="155"/>
      <c r="U22" s="155"/>
      <c r="V22" s="155"/>
      <c r="W22" s="155"/>
      <c r="X22" s="155"/>
      <c r="Y22" s="155"/>
      <c r="Z22" s="155"/>
      <c r="AA22" s="155"/>
      <c r="AB22" s="155"/>
      <c r="AC22" s="155"/>
      <c r="AD22" s="155"/>
      <c r="AE22" s="155"/>
      <c r="AF22" s="155"/>
    </row>
    <row r="23" spans="1:32" s="81" customFormat="1" ht="14.25" customHeight="1" x14ac:dyDescent="0.3">
      <c r="A23" s="145">
        <v>68</v>
      </c>
      <c r="B23" s="157" t="s">
        <v>279</v>
      </c>
      <c r="C23" s="82" t="s">
        <v>230</v>
      </c>
      <c r="D23" s="75">
        <v>313</v>
      </c>
      <c r="E23" s="75">
        <v>386</v>
      </c>
      <c r="F23" s="75">
        <v>24</v>
      </c>
      <c r="G23" s="75">
        <v>135</v>
      </c>
      <c r="H23" s="75">
        <v>8</v>
      </c>
      <c r="I23" s="75">
        <v>19</v>
      </c>
      <c r="J23" s="75" t="s">
        <v>3</v>
      </c>
      <c r="K23" s="75">
        <v>44</v>
      </c>
      <c r="L23" s="75">
        <v>47</v>
      </c>
      <c r="M23" s="75">
        <v>33</v>
      </c>
      <c r="N23" s="75">
        <v>109</v>
      </c>
      <c r="O23" s="75">
        <v>5</v>
      </c>
      <c r="P23" s="75">
        <v>3</v>
      </c>
      <c r="R23" s="155"/>
      <c r="S23" s="155"/>
      <c r="T23" s="155"/>
      <c r="U23" s="155"/>
      <c r="V23" s="155"/>
      <c r="W23" s="155"/>
      <c r="X23" s="155"/>
      <c r="Y23" s="155"/>
      <c r="Z23" s="155"/>
      <c r="AA23" s="155"/>
      <c r="AB23" s="155"/>
      <c r="AC23" s="155"/>
      <c r="AD23" s="155"/>
      <c r="AE23" s="155"/>
      <c r="AF23" s="155"/>
    </row>
    <row r="24" spans="1:32" s="81" customFormat="1" ht="14.25" customHeight="1" x14ac:dyDescent="0.3">
      <c r="A24" s="145">
        <v>69</v>
      </c>
      <c r="B24" s="157" t="s">
        <v>278</v>
      </c>
      <c r="C24" s="82" t="s">
        <v>102</v>
      </c>
      <c r="D24" s="75">
        <v>526</v>
      </c>
      <c r="E24" s="75">
        <v>253</v>
      </c>
      <c r="F24" s="75">
        <v>26</v>
      </c>
      <c r="G24" s="75">
        <v>196</v>
      </c>
      <c r="H24" s="75">
        <v>16</v>
      </c>
      <c r="I24" s="75">
        <v>14</v>
      </c>
      <c r="J24" s="75" t="s">
        <v>3</v>
      </c>
      <c r="K24" s="75">
        <v>41</v>
      </c>
      <c r="L24" s="75">
        <v>2</v>
      </c>
      <c r="M24" s="75">
        <v>10</v>
      </c>
      <c r="N24" s="75">
        <v>113</v>
      </c>
      <c r="O24" s="75">
        <v>6</v>
      </c>
      <c r="P24" s="75">
        <v>9</v>
      </c>
      <c r="R24" s="155"/>
      <c r="S24" s="155"/>
      <c r="T24" s="155"/>
      <c r="U24" s="155"/>
      <c r="V24" s="155"/>
      <c r="W24" s="155"/>
      <c r="X24" s="155"/>
      <c r="Y24" s="155"/>
      <c r="Z24" s="155"/>
      <c r="AA24" s="155"/>
      <c r="AB24" s="155"/>
      <c r="AC24" s="155"/>
      <c r="AD24" s="155"/>
      <c r="AE24" s="155"/>
      <c r="AF24" s="155"/>
    </row>
    <row r="25" spans="1:32" s="81" customFormat="1" ht="14.25" customHeight="1" x14ac:dyDescent="0.3">
      <c r="A25" s="145">
        <v>70</v>
      </c>
      <c r="B25" s="157" t="s">
        <v>277</v>
      </c>
      <c r="C25" s="82" t="s">
        <v>47</v>
      </c>
      <c r="D25" s="75">
        <v>581</v>
      </c>
      <c r="E25" s="75">
        <v>326</v>
      </c>
      <c r="F25" s="75">
        <v>31</v>
      </c>
      <c r="G25" s="75">
        <v>262</v>
      </c>
      <c r="H25" s="75">
        <v>12</v>
      </c>
      <c r="I25" s="75">
        <v>18</v>
      </c>
      <c r="J25" s="75" t="s">
        <v>3</v>
      </c>
      <c r="K25" s="75">
        <v>48</v>
      </c>
      <c r="L25" s="75">
        <v>4</v>
      </c>
      <c r="M25" s="75">
        <v>17</v>
      </c>
      <c r="N25" s="75">
        <v>144</v>
      </c>
      <c r="O25" s="75">
        <v>9</v>
      </c>
      <c r="P25" s="75">
        <v>8</v>
      </c>
      <c r="R25" s="155"/>
      <c r="S25" s="155"/>
      <c r="T25" s="155"/>
      <c r="U25" s="155"/>
      <c r="V25" s="155"/>
      <c r="W25" s="155"/>
      <c r="X25" s="155"/>
      <c r="Y25" s="155"/>
      <c r="Z25" s="155"/>
      <c r="AA25" s="155"/>
      <c r="AB25" s="155"/>
      <c r="AC25" s="155"/>
      <c r="AD25" s="155"/>
      <c r="AE25" s="155"/>
      <c r="AF25" s="155"/>
    </row>
    <row r="26" spans="1:32" s="81" customFormat="1" ht="14.25" customHeight="1" x14ac:dyDescent="0.3">
      <c r="A26" s="145">
        <v>71</v>
      </c>
      <c r="B26" s="157" t="s">
        <v>276</v>
      </c>
      <c r="C26" s="148" t="s">
        <v>100</v>
      </c>
      <c r="D26" s="75">
        <v>78</v>
      </c>
      <c r="E26" s="75">
        <v>107</v>
      </c>
      <c r="F26" s="75">
        <v>0</v>
      </c>
      <c r="G26" s="75">
        <v>23</v>
      </c>
      <c r="H26" s="75">
        <v>2</v>
      </c>
      <c r="I26" s="75">
        <v>8</v>
      </c>
      <c r="J26" s="75" t="s">
        <v>3</v>
      </c>
      <c r="K26" s="75">
        <v>12</v>
      </c>
      <c r="L26" s="75">
        <v>2</v>
      </c>
      <c r="M26" s="75">
        <v>21</v>
      </c>
      <c r="N26" s="75">
        <v>15</v>
      </c>
      <c r="O26" s="75">
        <v>4</v>
      </c>
      <c r="P26" s="75">
        <v>1</v>
      </c>
      <c r="R26" s="155"/>
      <c r="S26" s="155"/>
      <c r="T26" s="155"/>
      <c r="U26" s="155"/>
      <c r="V26" s="155"/>
      <c r="W26" s="155"/>
      <c r="X26" s="155"/>
      <c r="Y26" s="155"/>
      <c r="Z26" s="155"/>
      <c r="AA26" s="155"/>
      <c r="AB26" s="155"/>
      <c r="AC26" s="155"/>
      <c r="AD26" s="155"/>
      <c r="AE26" s="155"/>
      <c r="AF26" s="155"/>
    </row>
    <row r="27" spans="1:32" s="81" customFormat="1" ht="14.25" customHeight="1" x14ac:dyDescent="0.3">
      <c r="A27" s="145">
        <v>73</v>
      </c>
      <c r="B27" s="157" t="s">
        <v>275</v>
      </c>
      <c r="C27" s="82" t="s">
        <v>45</v>
      </c>
      <c r="D27" s="75">
        <v>824</v>
      </c>
      <c r="E27" s="75">
        <v>558</v>
      </c>
      <c r="F27" s="75">
        <v>35</v>
      </c>
      <c r="G27" s="75">
        <v>261</v>
      </c>
      <c r="H27" s="75">
        <v>21</v>
      </c>
      <c r="I27" s="75">
        <v>34</v>
      </c>
      <c r="J27" s="75" t="s">
        <v>3</v>
      </c>
      <c r="K27" s="75">
        <v>76</v>
      </c>
      <c r="L27" s="75">
        <v>6</v>
      </c>
      <c r="M27" s="75">
        <v>36</v>
      </c>
      <c r="N27" s="75">
        <v>278</v>
      </c>
      <c r="O27" s="75">
        <v>13</v>
      </c>
      <c r="P27" s="75">
        <v>6</v>
      </c>
      <c r="R27" s="155"/>
      <c r="S27" s="155"/>
      <c r="T27" s="155"/>
      <c r="U27" s="155"/>
      <c r="V27" s="155"/>
      <c r="W27" s="155"/>
      <c r="X27" s="155"/>
      <c r="Y27" s="155"/>
      <c r="Z27" s="155"/>
      <c r="AA27" s="155"/>
      <c r="AB27" s="155"/>
      <c r="AC27" s="155"/>
      <c r="AD27" s="155"/>
      <c r="AE27" s="155"/>
      <c r="AF27" s="155"/>
    </row>
    <row r="28" spans="1:32" s="81" customFormat="1" ht="14.25" customHeight="1" x14ac:dyDescent="0.3">
      <c r="A28" s="145">
        <v>74</v>
      </c>
      <c r="B28" s="157" t="s">
        <v>274</v>
      </c>
      <c r="C28" s="82" t="s">
        <v>43</v>
      </c>
      <c r="D28" s="75">
        <v>771</v>
      </c>
      <c r="E28" s="75">
        <v>410</v>
      </c>
      <c r="F28" s="75">
        <v>47</v>
      </c>
      <c r="G28" s="75">
        <v>254</v>
      </c>
      <c r="H28" s="75">
        <v>23</v>
      </c>
      <c r="I28" s="75">
        <v>17</v>
      </c>
      <c r="J28" s="75" t="s">
        <v>3</v>
      </c>
      <c r="K28" s="75">
        <v>72</v>
      </c>
      <c r="L28" s="75">
        <v>4</v>
      </c>
      <c r="M28" s="75">
        <v>33</v>
      </c>
      <c r="N28" s="75">
        <v>93</v>
      </c>
      <c r="O28" s="75">
        <v>7</v>
      </c>
      <c r="P28" s="75">
        <v>7</v>
      </c>
      <c r="R28" s="155"/>
      <c r="S28" s="155"/>
      <c r="T28" s="155"/>
      <c r="U28" s="155"/>
      <c r="V28" s="155"/>
      <c r="W28" s="155"/>
      <c r="X28" s="155"/>
      <c r="Y28" s="155"/>
      <c r="Z28" s="155"/>
      <c r="AA28" s="155"/>
      <c r="AB28" s="155"/>
      <c r="AC28" s="155"/>
      <c r="AD28" s="155"/>
      <c r="AE28" s="155"/>
      <c r="AF28" s="155"/>
    </row>
    <row r="29" spans="1:32" s="81" customFormat="1" ht="14.25" customHeight="1" x14ac:dyDescent="0.3">
      <c r="A29" s="145">
        <v>75</v>
      </c>
      <c r="B29" s="157" t="s">
        <v>273</v>
      </c>
      <c r="C29" s="82" t="s">
        <v>41</v>
      </c>
      <c r="D29" s="75">
        <v>455</v>
      </c>
      <c r="E29" s="75">
        <v>256</v>
      </c>
      <c r="F29" s="75">
        <v>28</v>
      </c>
      <c r="G29" s="75">
        <v>174</v>
      </c>
      <c r="H29" s="75">
        <v>10</v>
      </c>
      <c r="I29" s="75">
        <v>10</v>
      </c>
      <c r="J29" s="75" t="s">
        <v>3</v>
      </c>
      <c r="K29" s="75">
        <v>30</v>
      </c>
      <c r="L29" s="75">
        <v>0</v>
      </c>
      <c r="M29" s="75">
        <v>24</v>
      </c>
      <c r="N29" s="75">
        <v>142</v>
      </c>
      <c r="O29" s="75">
        <v>3</v>
      </c>
      <c r="P29" s="75">
        <v>5</v>
      </c>
      <c r="R29" s="155"/>
      <c r="S29" s="155"/>
      <c r="T29" s="155"/>
      <c r="U29" s="155"/>
      <c r="V29" s="155"/>
      <c r="W29" s="155"/>
      <c r="X29" s="155"/>
      <c r="Y29" s="155"/>
      <c r="Z29" s="155"/>
      <c r="AA29" s="155"/>
      <c r="AB29" s="155"/>
      <c r="AC29" s="155"/>
      <c r="AD29" s="155"/>
      <c r="AE29" s="155"/>
      <c r="AF29" s="155"/>
    </row>
    <row r="30" spans="1:32" s="81" customFormat="1" ht="14.25" customHeight="1" x14ac:dyDescent="0.3">
      <c r="A30" s="145">
        <v>76</v>
      </c>
      <c r="B30" s="157" t="s">
        <v>272</v>
      </c>
      <c r="C30" s="82" t="s">
        <v>98</v>
      </c>
      <c r="D30" s="75">
        <v>197</v>
      </c>
      <c r="E30" s="75">
        <v>467</v>
      </c>
      <c r="F30" s="75">
        <v>21</v>
      </c>
      <c r="G30" s="75">
        <v>68</v>
      </c>
      <c r="H30" s="75">
        <v>6</v>
      </c>
      <c r="I30" s="75">
        <v>32</v>
      </c>
      <c r="J30" s="75" t="s">
        <v>3</v>
      </c>
      <c r="K30" s="75">
        <v>48</v>
      </c>
      <c r="L30" s="75">
        <v>3</v>
      </c>
      <c r="M30" s="75">
        <v>23</v>
      </c>
      <c r="N30" s="75">
        <v>125</v>
      </c>
      <c r="O30" s="75">
        <v>4</v>
      </c>
      <c r="P30" s="75">
        <v>2</v>
      </c>
      <c r="R30" s="155"/>
      <c r="S30" s="155"/>
      <c r="T30" s="155"/>
      <c r="U30" s="155"/>
      <c r="V30" s="155"/>
      <c r="W30" s="155"/>
      <c r="X30" s="155"/>
      <c r="Y30" s="155"/>
      <c r="Z30" s="155"/>
      <c r="AA30" s="155"/>
      <c r="AB30" s="155"/>
      <c r="AC30" s="155"/>
      <c r="AD30" s="155"/>
      <c r="AE30" s="155"/>
      <c r="AF30" s="155"/>
    </row>
    <row r="31" spans="1:32" s="81" customFormat="1" ht="14.25" customHeight="1" x14ac:dyDescent="0.3">
      <c r="A31" s="145">
        <v>79</v>
      </c>
      <c r="B31" s="157" t="s">
        <v>271</v>
      </c>
      <c r="C31" s="82" t="s">
        <v>96</v>
      </c>
      <c r="D31" s="75">
        <v>263</v>
      </c>
      <c r="E31" s="75">
        <v>493</v>
      </c>
      <c r="F31" s="75">
        <v>24</v>
      </c>
      <c r="G31" s="75">
        <v>103</v>
      </c>
      <c r="H31" s="75">
        <v>6</v>
      </c>
      <c r="I31" s="75">
        <v>35</v>
      </c>
      <c r="J31" s="75" t="s">
        <v>3</v>
      </c>
      <c r="K31" s="75">
        <v>41</v>
      </c>
      <c r="L31" s="75">
        <v>3</v>
      </c>
      <c r="M31" s="75">
        <v>50</v>
      </c>
      <c r="N31" s="75">
        <v>53</v>
      </c>
      <c r="O31" s="75">
        <v>6</v>
      </c>
      <c r="P31" s="75">
        <v>3</v>
      </c>
      <c r="R31" s="155"/>
      <c r="S31" s="155"/>
      <c r="T31" s="155"/>
      <c r="U31" s="155"/>
      <c r="V31" s="155"/>
      <c r="W31" s="155"/>
      <c r="X31" s="155"/>
      <c r="Y31" s="155"/>
      <c r="Z31" s="155"/>
      <c r="AA31" s="155"/>
      <c r="AB31" s="155"/>
      <c r="AC31" s="155"/>
      <c r="AD31" s="155"/>
      <c r="AE31" s="155"/>
      <c r="AF31" s="155"/>
    </row>
    <row r="32" spans="1:32" s="81" customFormat="1" ht="14.25" customHeight="1" x14ac:dyDescent="0.3">
      <c r="A32" s="145">
        <v>80</v>
      </c>
      <c r="B32" s="157" t="s">
        <v>270</v>
      </c>
      <c r="C32" s="82" t="s">
        <v>39</v>
      </c>
      <c r="D32" s="75">
        <v>331</v>
      </c>
      <c r="E32" s="75">
        <v>379</v>
      </c>
      <c r="F32" s="75">
        <v>25</v>
      </c>
      <c r="G32" s="75">
        <v>96</v>
      </c>
      <c r="H32" s="75">
        <v>11</v>
      </c>
      <c r="I32" s="75">
        <v>25</v>
      </c>
      <c r="J32" s="75" t="s">
        <v>3</v>
      </c>
      <c r="K32" s="75">
        <v>47</v>
      </c>
      <c r="L32" s="75">
        <v>3</v>
      </c>
      <c r="M32" s="75">
        <v>22</v>
      </c>
      <c r="N32" s="75">
        <v>49</v>
      </c>
      <c r="O32" s="75">
        <v>4</v>
      </c>
      <c r="P32" s="75">
        <v>5</v>
      </c>
      <c r="R32" s="155"/>
      <c r="S32" s="155"/>
      <c r="T32" s="155"/>
      <c r="U32" s="155"/>
      <c r="V32" s="155"/>
      <c r="W32" s="155"/>
      <c r="X32" s="155"/>
      <c r="Y32" s="155"/>
      <c r="Z32" s="155"/>
      <c r="AA32" s="155"/>
      <c r="AB32" s="155"/>
      <c r="AC32" s="155"/>
      <c r="AD32" s="155"/>
      <c r="AE32" s="155"/>
      <c r="AF32" s="155"/>
    </row>
    <row r="33" spans="1:32" s="81" customFormat="1" ht="14.25" customHeight="1" x14ac:dyDescent="0.3">
      <c r="A33" s="145">
        <v>81</v>
      </c>
      <c r="B33" s="157" t="s">
        <v>269</v>
      </c>
      <c r="C33" s="82" t="s">
        <v>94</v>
      </c>
      <c r="D33" s="75">
        <v>279</v>
      </c>
      <c r="E33" s="75">
        <v>249</v>
      </c>
      <c r="F33" s="75">
        <v>21</v>
      </c>
      <c r="G33" s="75">
        <v>63</v>
      </c>
      <c r="H33" s="75">
        <v>8</v>
      </c>
      <c r="I33" s="75">
        <v>14</v>
      </c>
      <c r="J33" s="75" t="s">
        <v>3</v>
      </c>
      <c r="K33" s="75">
        <v>26</v>
      </c>
      <c r="L33" s="75">
        <v>2</v>
      </c>
      <c r="M33" s="75">
        <v>23</v>
      </c>
      <c r="N33" s="75">
        <v>80</v>
      </c>
      <c r="O33" s="75">
        <v>4</v>
      </c>
      <c r="P33" s="75">
        <v>2</v>
      </c>
      <c r="R33" s="155"/>
      <c r="S33" s="155"/>
      <c r="T33" s="155"/>
      <c r="U33" s="155"/>
      <c r="V33" s="155"/>
      <c r="W33" s="155"/>
      <c r="X33" s="155"/>
      <c r="Y33" s="155"/>
      <c r="Z33" s="155"/>
      <c r="AA33" s="155"/>
      <c r="AB33" s="155"/>
      <c r="AC33" s="155"/>
      <c r="AD33" s="155"/>
      <c r="AE33" s="155"/>
      <c r="AF33" s="155"/>
    </row>
    <row r="34" spans="1:32" s="81" customFormat="1" ht="14.25" customHeight="1" x14ac:dyDescent="0.3">
      <c r="A34" s="145">
        <v>83</v>
      </c>
      <c r="B34" s="157" t="s">
        <v>268</v>
      </c>
      <c r="C34" s="82" t="s">
        <v>92</v>
      </c>
      <c r="D34" s="75">
        <v>152</v>
      </c>
      <c r="E34" s="75">
        <v>211</v>
      </c>
      <c r="F34" s="75">
        <v>17</v>
      </c>
      <c r="G34" s="75">
        <v>57</v>
      </c>
      <c r="H34" s="75">
        <v>4</v>
      </c>
      <c r="I34" s="75">
        <v>12</v>
      </c>
      <c r="J34" s="75" t="s">
        <v>3</v>
      </c>
      <c r="K34" s="75">
        <v>24</v>
      </c>
      <c r="L34" s="75">
        <v>0</v>
      </c>
      <c r="M34" s="75">
        <v>32</v>
      </c>
      <c r="N34" s="75">
        <v>25</v>
      </c>
      <c r="O34" s="75">
        <v>3</v>
      </c>
      <c r="P34" s="75">
        <v>4</v>
      </c>
      <c r="R34" s="155"/>
      <c r="S34" s="155"/>
      <c r="T34" s="155"/>
      <c r="U34" s="155"/>
      <c r="V34" s="155"/>
      <c r="W34" s="155"/>
      <c r="X34" s="155"/>
      <c r="Y34" s="155"/>
      <c r="Z34" s="155"/>
      <c r="AA34" s="155"/>
      <c r="AB34" s="155"/>
      <c r="AC34" s="155"/>
      <c r="AD34" s="155"/>
      <c r="AE34" s="155"/>
      <c r="AF34" s="155"/>
    </row>
    <row r="35" spans="1:32" s="81" customFormat="1" ht="14.25" customHeight="1" x14ac:dyDescent="0.3">
      <c r="A35" s="145">
        <v>84</v>
      </c>
      <c r="B35" s="157" t="s">
        <v>267</v>
      </c>
      <c r="C35" s="82" t="s">
        <v>37</v>
      </c>
      <c r="D35" s="75">
        <v>542</v>
      </c>
      <c r="E35" s="75">
        <v>288</v>
      </c>
      <c r="F35" s="75">
        <v>30</v>
      </c>
      <c r="G35" s="75">
        <v>152</v>
      </c>
      <c r="H35" s="75">
        <v>13</v>
      </c>
      <c r="I35" s="75">
        <v>11</v>
      </c>
      <c r="J35" s="75" t="s">
        <v>3</v>
      </c>
      <c r="K35" s="75">
        <v>34</v>
      </c>
      <c r="L35" s="75">
        <v>2</v>
      </c>
      <c r="M35" s="75">
        <v>6</v>
      </c>
      <c r="N35" s="75">
        <v>106</v>
      </c>
      <c r="O35" s="75">
        <v>10</v>
      </c>
      <c r="P35" s="75">
        <v>5</v>
      </c>
      <c r="R35" s="155"/>
      <c r="S35" s="155"/>
      <c r="T35" s="155"/>
      <c r="U35" s="155"/>
      <c r="V35" s="155"/>
      <c r="W35" s="155"/>
      <c r="X35" s="155"/>
      <c r="Y35" s="155"/>
      <c r="Z35" s="155"/>
      <c r="AA35" s="155"/>
      <c r="AB35" s="155"/>
      <c r="AC35" s="155"/>
      <c r="AD35" s="155"/>
      <c r="AE35" s="155"/>
      <c r="AF35" s="155"/>
    </row>
    <row r="36" spans="1:32" s="81" customFormat="1" ht="14.25" customHeight="1" x14ac:dyDescent="0.3">
      <c r="A36" s="145">
        <v>85</v>
      </c>
      <c r="B36" s="157" t="s">
        <v>266</v>
      </c>
      <c r="C36" s="82" t="s">
        <v>90</v>
      </c>
      <c r="D36" s="75">
        <v>247</v>
      </c>
      <c r="E36" s="75">
        <v>352</v>
      </c>
      <c r="F36" s="75">
        <v>25</v>
      </c>
      <c r="G36" s="75">
        <v>74</v>
      </c>
      <c r="H36" s="75">
        <v>6</v>
      </c>
      <c r="I36" s="75">
        <v>18</v>
      </c>
      <c r="J36" s="75" t="s">
        <v>3</v>
      </c>
      <c r="K36" s="75">
        <v>34</v>
      </c>
      <c r="L36" s="75">
        <v>1</v>
      </c>
      <c r="M36" s="75">
        <v>16</v>
      </c>
      <c r="N36" s="75">
        <v>95</v>
      </c>
      <c r="O36" s="75">
        <v>6</v>
      </c>
      <c r="P36" s="75">
        <v>4</v>
      </c>
      <c r="R36" s="155"/>
      <c r="S36" s="155"/>
      <c r="T36" s="155"/>
      <c r="U36" s="155"/>
      <c r="V36" s="155"/>
      <c r="W36" s="155"/>
      <c r="X36" s="155"/>
      <c r="Y36" s="155"/>
      <c r="Z36" s="155"/>
      <c r="AA36" s="155"/>
      <c r="AB36" s="155"/>
      <c r="AC36" s="155"/>
      <c r="AD36" s="155"/>
      <c r="AE36" s="155"/>
      <c r="AF36" s="155"/>
    </row>
    <row r="37" spans="1:32" s="81" customFormat="1" ht="14.25" customHeight="1" x14ac:dyDescent="0.3">
      <c r="A37" s="145">
        <v>87</v>
      </c>
      <c r="B37" s="157" t="s">
        <v>265</v>
      </c>
      <c r="C37" s="82" t="s">
        <v>35</v>
      </c>
      <c r="D37" s="75">
        <v>189</v>
      </c>
      <c r="E37" s="75">
        <v>323</v>
      </c>
      <c r="F37" s="75">
        <v>18</v>
      </c>
      <c r="G37" s="75">
        <v>79</v>
      </c>
      <c r="H37" s="75">
        <v>3</v>
      </c>
      <c r="I37" s="75">
        <v>20</v>
      </c>
      <c r="J37" s="75" t="s">
        <v>3</v>
      </c>
      <c r="K37" s="75">
        <v>27</v>
      </c>
      <c r="L37" s="75">
        <v>2</v>
      </c>
      <c r="M37" s="75">
        <v>25</v>
      </c>
      <c r="N37" s="75">
        <v>58</v>
      </c>
      <c r="O37" s="75">
        <v>4</v>
      </c>
      <c r="P37" s="75">
        <v>2</v>
      </c>
      <c r="R37" s="155"/>
      <c r="S37" s="155"/>
      <c r="T37" s="155"/>
      <c r="U37" s="155"/>
      <c r="V37" s="155"/>
      <c r="W37" s="155"/>
      <c r="X37" s="155"/>
      <c r="Y37" s="155"/>
      <c r="Z37" s="155"/>
      <c r="AA37" s="155"/>
      <c r="AB37" s="155"/>
      <c r="AC37" s="155"/>
      <c r="AD37" s="155"/>
      <c r="AE37" s="155"/>
      <c r="AF37" s="155"/>
    </row>
    <row r="38" spans="1:32" s="81" customFormat="1" ht="14.25" customHeight="1" x14ac:dyDescent="0.3">
      <c r="A38" s="145">
        <v>90</v>
      </c>
      <c r="B38" s="157" t="s">
        <v>264</v>
      </c>
      <c r="C38" s="82" t="s">
        <v>33</v>
      </c>
      <c r="D38" s="75">
        <v>421</v>
      </c>
      <c r="E38" s="75">
        <v>491</v>
      </c>
      <c r="F38" s="75">
        <v>30</v>
      </c>
      <c r="G38" s="75">
        <v>212</v>
      </c>
      <c r="H38" s="75">
        <v>10</v>
      </c>
      <c r="I38" s="75">
        <v>23</v>
      </c>
      <c r="J38" s="75" t="s">
        <v>3</v>
      </c>
      <c r="K38" s="75">
        <v>42</v>
      </c>
      <c r="L38" s="75">
        <v>3</v>
      </c>
      <c r="M38" s="75">
        <v>12</v>
      </c>
      <c r="N38" s="75">
        <v>115</v>
      </c>
      <c r="O38" s="75">
        <v>8</v>
      </c>
      <c r="P38" s="75">
        <v>5</v>
      </c>
      <c r="R38" s="155"/>
      <c r="S38" s="155"/>
      <c r="T38" s="155"/>
      <c r="U38" s="155"/>
      <c r="V38" s="155"/>
      <c r="W38" s="155"/>
      <c r="X38" s="155"/>
      <c r="Y38" s="155"/>
      <c r="Z38" s="155"/>
      <c r="AA38" s="155"/>
      <c r="AB38" s="155"/>
      <c r="AC38" s="155"/>
      <c r="AD38" s="155"/>
      <c r="AE38" s="155"/>
      <c r="AF38" s="155"/>
    </row>
    <row r="39" spans="1:32" s="81" customFormat="1" ht="14.25" customHeight="1" x14ac:dyDescent="0.3">
      <c r="A39" s="145">
        <v>91</v>
      </c>
      <c r="B39" s="157" t="s">
        <v>263</v>
      </c>
      <c r="C39" s="82" t="s">
        <v>262</v>
      </c>
      <c r="D39" s="75">
        <v>245</v>
      </c>
      <c r="E39" s="75">
        <v>429</v>
      </c>
      <c r="F39" s="75">
        <v>0</v>
      </c>
      <c r="G39" s="75">
        <v>96</v>
      </c>
      <c r="H39" s="75">
        <v>7</v>
      </c>
      <c r="I39" s="75">
        <v>28</v>
      </c>
      <c r="J39" s="75" t="s">
        <v>3</v>
      </c>
      <c r="K39" s="75">
        <v>38</v>
      </c>
      <c r="L39" s="75">
        <v>2</v>
      </c>
      <c r="M39" s="75">
        <v>20</v>
      </c>
      <c r="N39" s="75">
        <v>84</v>
      </c>
      <c r="O39" s="75">
        <v>4</v>
      </c>
      <c r="P39" s="75">
        <v>4</v>
      </c>
      <c r="R39" s="155"/>
      <c r="S39" s="155"/>
      <c r="T39" s="155"/>
      <c r="U39" s="155"/>
      <c r="V39" s="155"/>
      <c r="W39" s="155"/>
      <c r="X39" s="155"/>
      <c r="Y39" s="155"/>
      <c r="Z39" s="155"/>
      <c r="AA39" s="155"/>
      <c r="AB39" s="155"/>
      <c r="AC39" s="155"/>
      <c r="AD39" s="155"/>
      <c r="AE39" s="155"/>
      <c r="AF39" s="155"/>
    </row>
    <row r="40" spans="1:32" s="81" customFormat="1" ht="14.25" customHeight="1" x14ac:dyDescent="0.3">
      <c r="A40" s="145">
        <v>92</v>
      </c>
      <c r="B40" s="157" t="s">
        <v>261</v>
      </c>
      <c r="C40" s="82" t="s">
        <v>86</v>
      </c>
      <c r="D40" s="75">
        <v>596</v>
      </c>
      <c r="E40" s="75">
        <v>109</v>
      </c>
      <c r="F40" s="75">
        <v>30</v>
      </c>
      <c r="G40" s="75">
        <v>74</v>
      </c>
      <c r="H40" s="75">
        <v>18</v>
      </c>
      <c r="I40" s="75">
        <v>7</v>
      </c>
      <c r="J40" s="75" t="s">
        <v>3</v>
      </c>
      <c r="K40" s="75">
        <v>35</v>
      </c>
      <c r="L40" s="75">
        <v>0</v>
      </c>
      <c r="M40" s="75">
        <v>23</v>
      </c>
      <c r="N40" s="75">
        <v>102</v>
      </c>
      <c r="O40" s="75">
        <v>8</v>
      </c>
      <c r="P40" s="75">
        <v>3</v>
      </c>
      <c r="R40" s="155"/>
      <c r="S40" s="155"/>
      <c r="T40" s="155"/>
      <c r="U40" s="155"/>
      <c r="V40" s="155"/>
      <c r="W40" s="155"/>
      <c r="X40" s="155"/>
      <c r="Y40" s="155"/>
      <c r="Z40" s="155"/>
      <c r="AA40" s="155"/>
      <c r="AB40" s="155"/>
      <c r="AC40" s="155"/>
      <c r="AD40" s="155"/>
      <c r="AE40" s="155"/>
      <c r="AF40" s="155"/>
    </row>
    <row r="41" spans="1:32" s="81" customFormat="1" ht="14.25" customHeight="1" x14ac:dyDescent="0.3">
      <c r="A41" s="145">
        <v>94</v>
      </c>
      <c r="B41" s="157" t="s">
        <v>260</v>
      </c>
      <c r="C41" s="82" t="s">
        <v>84</v>
      </c>
      <c r="D41" s="75">
        <v>281</v>
      </c>
      <c r="E41" s="75">
        <v>135</v>
      </c>
      <c r="F41" s="75">
        <v>18</v>
      </c>
      <c r="G41" s="75">
        <v>88</v>
      </c>
      <c r="H41" s="75">
        <v>7</v>
      </c>
      <c r="I41" s="75">
        <v>9</v>
      </c>
      <c r="J41" s="75" t="s">
        <v>3</v>
      </c>
      <c r="K41" s="75">
        <v>20</v>
      </c>
      <c r="L41" s="75">
        <v>2</v>
      </c>
      <c r="M41" s="75">
        <v>13</v>
      </c>
      <c r="N41" s="75">
        <v>49</v>
      </c>
      <c r="O41" s="75">
        <v>4</v>
      </c>
      <c r="P41" s="75">
        <v>4</v>
      </c>
      <c r="R41" s="155"/>
      <c r="S41" s="155"/>
      <c r="T41" s="155"/>
      <c r="U41" s="155"/>
      <c r="V41" s="155"/>
      <c r="W41" s="155"/>
      <c r="X41" s="155"/>
      <c r="Y41" s="155"/>
      <c r="Z41" s="155"/>
      <c r="AA41" s="155"/>
      <c r="AB41" s="155"/>
      <c r="AC41" s="155"/>
      <c r="AD41" s="155"/>
      <c r="AE41" s="155"/>
      <c r="AF41" s="155"/>
    </row>
    <row r="42" spans="1:32" s="81" customFormat="1" ht="14.25" customHeight="1" x14ac:dyDescent="0.3">
      <c r="A42" s="145">
        <v>96</v>
      </c>
      <c r="B42" s="157" t="s">
        <v>259</v>
      </c>
      <c r="C42" s="82" t="s">
        <v>82</v>
      </c>
      <c r="D42" s="75">
        <v>358</v>
      </c>
      <c r="E42" s="75">
        <v>326</v>
      </c>
      <c r="F42" s="75">
        <v>36</v>
      </c>
      <c r="G42" s="75">
        <v>117</v>
      </c>
      <c r="H42" s="75">
        <v>11</v>
      </c>
      <c r="I42" s="75">
        <v>14</v>
      </c>
      <c r="J42" s="75" t="s">
        <v>3</v>
      </c>
      <c r="K42" s="75">
        <v>40</v>
      </c>
      <c r="L42" s="75">
        <v>2</v>
      </c>
      <c r="M42" s="75">
        <v>25</v>
      </c>
      <c r="N42" s="75">
        <v>107</v>
      </c>
      <c r="O42" s="75">
        <v>4</v>
      </c>
      <c r="P42" s="75">
        <v>6</v>
      </c>
      <c r="Q42" s="82"/>
      <c r="R42" s="155"/>
      <c r="S42" s="155"/>
      <c r="T42" s="155"/>
      <c r="U42" s="155"/>
      <c r="V42" s="155"/>
      <c r="W42" s="155"/>
      <c r="X42" s="155"/>
      <c r="Y42" s="155"/>
      <c r="Z42" s="155"/>
      <c r="AA42" s="155"/>
      <c r="AB42" s="155"/>
      <c r="AC42" s="155"/>
      <c r="AD42" s="155"/>
      <c r="AE42" s="155"/>
      <c r="AF42" s="155"/>
    </row>
    <row r="43" spans="1:32" s="81" customFormat="1" ht="14.25" customHeight="1" x14ac:dyDescent="0.3">
      <c r="A43" s="145">
        <v>72</v>
      </c>
      <c r="B43" s="157" t="s">
        <v>258</v>
      </c>
      <c r="C43" s="148" t="s">
        <v>257</v>
      </c>
      <c r="D43" s="75">
        <v>12</v>
      </c>
      <c r="E43" s="75">
        <v>41</v>
      </c>
      <c r="F43" s="75">
        <v>0</v>
      </c>
      <c r="G43" s="75">
        <v>3</v>
      </c>
      <c r="H43" s="75">
        <v>1</v>
      </c>
      <c r="I43" s="75">
        <v>5</v>
      </c>
      <c r="J43" s="75" t="s">
        <v>3</v>
      </c>
      <c r="K43" s="75">
        <v>7</v>
      </c>
      <c r="L43" s="75">
        <v>0</v>
      </c>
      <c r="M43" s="75">
        <v>0</v>
      </c>
      <c r="N43" s="75">
        <v>3</v>
      </c>
      <c r="O43" s="75">
        <v>1</v>
      </c>
      <c r="P43" s="75">
        <v>0</v>
      </c>
      <c r="R43" s="155"/>
      <c r="S43" s="155"/>
      <c r="T43" s="155"/>
      <c r="U43" s="155"/>
      <c r="V43" s="155"/>
      <c r="W43" s="155"/>
      <c r="X43" s="155"/>
      <c r="Y43" s="155"/>
      <c r="Z43" s="155"/>
      <c r="AA43" s="155"/>
      <c r="AB43" s="155"/>
      <c r="AC43" s="155"/>
      <c r="AD43" s="155"/>
      <c r="AE43" s="155"/>
      <c r="AF43" s="155"/>
    </row>
    <row r="44" spans="1:32" s="67" customFormat="1" ht="14.25" customHeight="1" x14ac:dyDescent="0.35">
      <c r="A44" s="147"/>
      <c r="B44" s="158"/>
      <c r="C44" s="62" t="s">
        <v>188</v>
      </c>
      <c r="D44" s="70">
        <v>12393</v>
      </c>
      <c r="E44" s="70">
        <v>408</v>
      </c>
      <c r="F44" s="70">
        <v>387</v>
      </c>
      <c r="G44" s="70">
        <v>2956</v>
      </c>
      <c r="H44" s="70">
        <v>284</v>
      </c>
      <c r="I44" s="70">
        <v>20</v>
      </c>
      <c r="J44" s="75" t="s">
        <v>3</v>
      </c>
      <c r="K44" s="70">
        <v>447</v>
      </c>
      <c r="L44" s="70">
        <v>34</v>
      </c>
      <c r="M44" s="70">
        <v>509</v>
      </c>
      <c r="N44" s="70">
        <v>1021</v>
      </c>
      <c r="O44" s="70">
        <v>116</v>
      </c>
      <c r="P44" s="70">
        <v>87</v>
      </c>
      <c r="R44" s="155"/>
      <c r="S44" s="155"/>
      <c r="T44" s="155"/>
      <c r="U44" s="155"/>
      <c r="V44" s="155"/>
      <c r="W44" s="155"/>
      <c r="X44" s="155"/>
      <c r="Y44" s="155"/>
      <c r="Z44" s="155"/>
      <c r="AA44" s="155"/>
      <c r="AB44" s="155"/>
      <c r="AC44" s="155"/>
      <c r="AD44" s="155"/>
      <c r="AE44" s="155"/>
      <c r="AF44" s="155"/>
    </row>
    <row r="45" spans="1:32" s="81" customFormat="1" ht="14.25" customHeight="1" x14ac:dyDescent="0.3">
      <c r="A45" s="145">
        <v>66</v>
      </c>
      <c r="B45" s="157" t="s">
        <v>256</v>
      </c>
      <c r="C45" s="73" t="s">
        <v>28</v>
      </c>
      <c r="D45" s="87">
        <v>1587</v>
      </c>
      <c r="E45" s="87">
        <v>37</v>
      </c>
      <c r="F45" s="87">
        <v>52</v>
      </c>
      <c r="G45" s="75">
        <v>442</v>
      </c>
      <c r="H45" s="75">
        <v>40</v>
      </c>
      <c r="I45" s="75">
        <v>1</v>
      </c>
      <c r="J45" s="75" t="s">
        <v>3</v>
      </c>
      <c r="K45" s="75">
        <v>66</v>
      </c>
      <c r="L45" s="75">
        <v>6</v>
      </c>
      <c r="M45" s="75">
        <v>23</v>
      </c>
      <c r="N45" s="75">
        <v>160</v>
      </c>
      <c r="O45" s="75">
        <v>14</v>
      </c>
      <c r="P45" s="75">
        <v>7</v>
      </c>
      <c r="R45" s="155"/>
      <c r="S45" s="155"/>
      <c r="T45" s="155"/>
      <c r="U45" s="155"/>
      <c r="V45" s="155"/>
      <c r="W45" s="155"/>
      <c r="X45" s="155"/>
      <c r="Y45" s="155"/>
      <c r="Z45" s="155"/>
      <c r="AA45" s="155"/>
      <c r="AB45" s="155"/>
      <c r="AC45" s="155"/>
      <c r="AD45" s="155"/>
      <c r="AE45" s="155"/>
      <c r="AF45" s="155"/>
    </row>
    <row r="46" spans="1:32" s="81" customFormat="1" ht="14.25" customHeight="1" x14ac:dyDescent="0.3">
      <c r="A46" s="145">
        <v>78</v>
      </c>
      <c r="B46" s="157" t="s">
        <v>255</v>
      </c>
      <c r="C46" s="73" t="s">
        <v>26</v>
      </c>
      <c r="D46" s="87">
        <v>809</v>
      </c>
      <c r="E46" s="87">
        <v>122</v>
      </c>
      <c r="F46" s="87">
        <v>36</v>
      </c>
      <c r="G46" s="75">
        <v>332</v>
      </c>
      <c r="H46" s="75">
        <v>26</v>
      </c>
      <c r="I46" s="75">
        <v>0</v>
      </c>
      <c r="J46" s="75" t="s">
        <v>3</v>
      </c>
      <c r="K46" s="75">
        <v>40</v>
      </c>
      <c r="L46" s="75">
        <v>1</v>
      </c>
      <c r="M46" s="75">
        <v>23</v>
      </c>
      <c r="N46" s="75">
        <v>121</v>
      </c>
      <c r="O46" s="75">
        <v>11</v>
      </c>
      <c r="P46" s="75">
        <v>5</v>
      </c>
      <c r="R46" s="155"/>
      <c r="S46" s="155"/>
      <c r="T46" s="155"/>
      <c r="U46" s="155"/>
      <c r="V46" s="155"/>
      <c r="W46" s="155"/>
      <c r="X46" s="155"/>
      <c r="Y46" s="155"/>
      <c r="Z46" s="155"/>
      <c r="AA46" s="155"/>
      <c r="AB46" s="155"/>
      <c r="AC46" s="155"/>
      <c r="AD46" s="155"/>
      <c r="AE46" s="155"/>
      <c r="AF46" s="155"/>
    </row>
    <row r="47" spans="1:32" s="81" customFormat="1" ht="14.25" customHeight="1" x14ac:dyDescent="0.3">
      <c r="A47" s="145">
        <v>89</v>
      </c>
      <c r="B47" s="157" t="s">
        <v>254</v>
      </c>
      <c r="C47" s="73" t="s">
        <v>24</v>
      </c>
      <c r="D47" s="75">
        <v>687</v>
      </c>
      <c r="E47" s="75">
        <v>78</v>
      </c>
      <c r="F47" s="75">
        <v>33</v>
      </c>
      <c r="G47" s="75">
        <v>223</v>
      </c>
      <c r="H47" s="75">
        <v>17</v>
      </c>
      <c r="I47" s="75">
        <v>5</v>
      </c>
      <c r="J47" s="75" t="s">
        <v>3</v>
      </c>
      <c r="K47" s="75">
        <v>25</v>
      </c>
      <c r="L47" s="75">
        <v>4</v>
      </c>
      <c r="M47" s="75">
        <v>10</v>
      </c>
      <c r="N47" s="75">
        <v>144</v>
      </c>
      <c r="O47" s="75">
        <v>9</v>
      </c>
      <c r="P47" s="75">
        <v>3</v>
      </c>
      <c r="R47" s="155"/>
      <c r="S47" s="155"/>
      <c r="T47" s="155"/>
      <c r="U47" s="155"/>
      <c r="V47" s="155"/>
      <c r="W47" s="155"/>
      <c r="X47" s="155"/>
      <c r="Y47" s="155"/>
      <c r="Z47" s="155"/>
      <c r="AA47" s="155"/>
      <c r="AB47" s="155"/>
      <c r="AC47" s="155"/>
      <c r="AD47" s="155"/>
      <c r="AE47" s="155"/>
      <c r="AF47" s="155"/>
    </row>
    <row r="48" spans="1:32" s="81" customFormat="1" ht="14.25" customHeight="1" x14ac:dyDescent="0.3">
      <c r="A48" s="145">
        <v>93</v>
      </c>
      <c r="B48" s="157" t="s">
        <v>253</v>
      </c>
      <c r="C48" s="73" t="s">
        <v>189</v>
      </c>
      <c r="D48" s="75">
        <v>783</v>
      </c>
      <c r="E48" s="75">
        <v>11</v>
      </c>
      <c r="F48" s="75">
        <v>35</v>
      </c>
      <c r="G48" s="75">
        <v>259</v>
      </c>
      <c r="H48" s="75">
        <v>16</v>
      </c>
      <c r="I48" s="75">
        <v>1</v>
      </c>
      <c r="J48" s="75" t="s">
        <v>3</v>
      </c>
      <c r="K48" s="75">
        <v>29</v>
      </c>
      <c r="L48" s="75">
        <v>3</v>
      </c>
      <c r="M48" s="75">
        <v>10</v>
      </c>
      <c r="N48" s="75">
        <v>96</v>
      </c>
      <c r="O48" s="75">
        <v>6</v>
      </c>
      <c r="P48" s="75">
        <v>2</v>
      </c>
      <c r="R48" s="155"/>
      <c r="S48" s="155"/>
      <c r="T48" s="155"/>
      <c r="U48" s="155"/>
      <c r="V48" s="155"/>
      <c r="W48" s="155"/>
      <c r="X48" s="155"/>
      <c r="Y48" s="155"/>
      <c r="Z48" s="155"/>
      <c r="AA48" s="155"/>
      <c r="AB48" s="155"/>
      <c r="AC48" s="155"/>
      <c r="AD48" s="155"/>
      <c r="AE48" s="155"/>
      <c r="AF48" s="155"/>
    </row>
    <row r="49" spans="1:32" s="81" customFormat="1" ht="14.25" customHeight="1" x14ac:dyDescent="0.3">
      <c r="A49" s="145">
        <v>95</v>
      </c>
      <c r="B49" s="157" t="s">
        <v>252</v>
      </c>
      <c r="C49" s="73" t="s">
        <v>20</v>
      </c>
      <c r="D49" s="75">
        <v>1625</v>
      </c>
      <c r="E49" s="75">
        <v>0</v>
      </c>
      <c r="F49" s="75">
        <v>68</v>
      </c>
      <c r="G49" s="75">
        <v>525</v>
      </c>
      <c r="H49" s="75">
        <v>38</v>
      </c>
      <c r="I49" s="75">
        <v>0</v>
      </c>
      <c r="J49" s="75" t="s">
        <v>3</v>
      </c>
      <c r="K49" s="75">
        <v>56</v>
      </c>
      <c r="L49" s="75">
        <v>4</v>
      </c>
      <c r="M49" s="75">
        <v>24</v>
      </c>
      <c r="N49" s="75">
        <v>105</v>
      </c>
      <c r="O49" s="75">
        <v>16</v>
      </c>
      <c r="P49" s="75">
        <v>10</v>
      </c>
      <c r="R49" s="155"/>
      <c r="S49" s="155"/>
      <c r="T49" s="155"/>
      <c r="U49" s="155"/>
      <c r="V49" s="155"/>
      <c r="W49" s="155"/>
      <c r="X49" s="155"/>
      <c r="Y49" s="155"/>
      <c r="Z49" s="155"/>
      <c r="AA49" s="155"/>
      <c r="AB49" s="155"/>
      <c r="AC49" s="155"/>
      <c r="AD49" s="155"/>
      <c r="AE49" s="155"/>
      <c r="AF49" s="155"/>
    </row>
    <row r="50" spans="1:32" s="81" customFormat="1" ht="14.25" customHeight="1" x14ac:dyDescent="0.3">
      <c r="A50" s="145">
        <v>97</v>
      </c>
      <c r="B50" s="157" t="s">
        <v>251</v>
      </c>
      <c r="C50" s="82" t="s">
        <v>18</v>
      </c>
      <c r="D50" s="75">
        <v>1273</v>
      </c>
      <c r="E50" s="75">
        <v>160</v>
      </c>
      <c r="F50" s="75">
        <v>50</v>
      </c>
      <c r="G50" s="75">
        <v>273</v>
      </c>
      <c r="H50" s="75">
        <v>34</v>
      </c>
      <c r="I50" s="75">
        <v>13</v>
      </c>
      <c r="J50" s="75" t="s">
        <v>3</v>
      </c>
      <c r="K50" s="75">
        <v>62</v>
      </c>
      <c r="L50" s="75">
        <v>5</v>
      </c>
      <c r="M50" s="75">
        <v>27</v>
      </c>
      <c r="N50" s="75">
        <v>348</v>
      </c>
      <c r="O50" s="75">
        <v>9</v>
      </c>
      <c r="P50" s="75">
        <v>16</v>
      </c>
      <c r="R50" s="155"/>
      <c r="S50" s="155"/>
      <c r="T50" s="155"/>
      <c r="U50" s="155"/>
      <c r="V50" s="155"/>
      <c r="W50" s="155"/>
      <c r="X50" s="155"/>
      <c r="Y50" s="155"/>
      <c r="Z50" s="155"/>
      <c r="AA50" s="155"/>
      <c r="AB50" s="155"/>
      <c r="AC50" s="155"/>
      <c r="AD50" s="155"/>
      <c r="AE50" s="155"/>
      <c r="AF50" s="155"/>
    </row>
    <row r="51" spans="1:32" s="81" customFormat="1" ht="14.25" customHeight="1" x14ac:dyDescent="0.35">
      <c r="A51" s="146">
        <v>77</v>
      </c>
      <c r="B51" s="156" t="s">
        <v>250</v>
      </c>
      <c r="C51" s="89" t="s">
        <v>190</v>
      </c>
      <c r="D51" s="91">
        <v>5629</v>
      </c>
      <c r="E51" s="91">
        <v>0</v>
      </c>
      <c r="F51" s="91">
        <v>113</v>
      </c>
      <c r="G51" s="92">
        <v>902</v>
      </c>
      <c r="H51" s="92">
        <v>113</v>
      </c>
      <c r="I51" s="92">
        <v>0</v>
      </c>
      <c r="J51" s="75" t="s">
        <v>3</v>
      </c>
      <c r="K51" s="92">
        <v>169</v>
      </c>
      <c r="L51" s="92">
        <v>11</v>
      </c>
      <c r="M51" s="92">
        <v>392</v>
      </c>
      <c r="N51" s="92">
        <v>47</v>
      </c>
      <c r="O51" s="92">
        <v>51</v>
      </c>
      <c r="P51" s="92">
        <v>44</v>
      </c>
      <c r="R51" s="155"/>
      <c r="S51" s="155"/>
      <c r="T51" s="155"/>
      <c r="U51" s="155"/>
      <c r="V51" s="155"/>
      <c r="W51" s="155"/>
      <c r="X51" s="155"/>
      <c r="Y51" s="155"/>
      <c r="Z51" s="155"/>
      <c r="AA51" s="155"/>
      <c r="AB51" s="155"/>
      <c r="AC51" s="155"/>
      <c r="AD51" s="155"/>
      <c r="AE51" s="155"/>
      <c r="AF51" s="155"/>
    </row>
    <row r="52" spans="1:32" s="65" customFormat="1" ht="12" customHeight="1" x14ac:dyDescent="0.35">
      <c r="A52" s="145"/>
      <c r="B52" s="152"/>
      <c r="C52" s="93"/>
      <c r="D52" s="94"/>
      <c r="E52" s="95"/>
      <c r="F52" s="95"/>
      <c r="G52" s="95"/>
      <c r="H52" s="96"/>
      <c r="I52" s="93"/>
      <c r="J52" s="93"/>
      <c r="K52" s="93"/>
      <c r="L52" s="93"/>
      <c r="M52" s="93"/>
      <c r="N52" s="93"/>
      <c r="O52" s="93"/>
      <c r="P52" s="93"/>
      <c r="Q52" s="93"/>
      <c r="R52" s="155"/>
      <c r="S52" s="155"/>
      <c r="T52" s="155"/>
      <c r="U52" s="155"/>
      <c r="V52" s="155"/>
      <c r="W52" s="155"/>
      <c r="X52" s="155"/>
      <c r="Y52" s="155"/>
      <c r="Z52" s="155"/>
      <c r="AA52" s="155"/>
      <c r="AB52" s="155"/>
      <c r="AC52" s="155"/>
      <c r="AD52" s="155"/>
      <c r="AE52" s="155"/>
      <c r="AF52" s="155"/>
    </row>
    <row r="53" spans="1:32" s="81" customFormat="1" ht="14" x14ac:dyDescent="0.35">
      <c r="A53" s="145"/>
      <c r="B53" s="152"/>
      <c r="C53" s="73" t="s">
        <v>249</v>
      </c>
      <c r="D53" s="98"/>
      <c r="E53" s="98"/>
      <c r="G53" s="154"/>
      <c r="H53" s="73"/>
      <c r="I53" s="82"/>
      <c r="J53" s="82"/>
      <c r="K53" s="82"/>
      <c r="L53" s="82"/>
      <c r="M53" s="82"/>
      <c r="N53" s="82"/>
      <c r="O53" s="82"/>
      <c r="P53" s="82"/>
      <c r="Q53" s="82"/>
      <c r="R53" s="65"/>
      <c r="S53" s="65"/>
      <c r="T53" s="65"/>
      <c r="U53" s="65"/>
    </row>
    <row r="54" spans="1:32" s="81" customFormat="1" ht="14" x14ac:dyDescent="0.35">
      <c r="A54" s="145"/>
      <c r="B54" s="152"/>
      <c r="C54" s="82" t="s">
        <v>248</v>
      </c>
      <c r="D54" s="98"/>
      <c r="E54" s="98"/>
      <c r="F54" s="87"/>
      <c r="G54" s="87"/>
      <c r="H54" s="73"/>
      <c r="I54" s="82"/>
      <c r="J54" s="82"/>
      <c r="K54" s="82"/>
      <c r="L54" s="82"/>
      <c r="M54" s="82"/>
      <c r="N54" s="82"/>
      <c r="O54" s="82"/>
      <c r="P54" s="82"/>
      <c r="Q54" s="82"/>
      <c r="R54" s="65"/>
      <c r="S54" s="65"/>
      <c r="T54" s="65"/>
      <c r="U54" s="65"/>
    </row>
    <row r="55" spans="1:32" s="81" customFormat="1" ht="15" customHeight="1" x14ac:dyDescent="0.35">
      <c r="A55" s="145"/>
      <c r="B55" s="152"/>
      <c r="C55" s="100" t="s">
        <v>247</v>
      </c>
      <c r="D55" s="98"/>
      <c r="E55" s="98"/>
      <c r="F55" s="87"/>
      <c r="G55" s="87"/>
      <c r="H55" s="73"/>
      <c r="I55" s="82"/>
      <c r="J55" s="82"/>
      <c r="K55" s="82"/>
      <c r="L55" s="82"/>
      <c r="M55" s="82"/>
      <c r="N55" s="82"/>
      <c r="O55" s="82"/>
      <c r="P55" s="82"/>
      <c r="Q55" s="82"/>
      <c r="R55" s="65"/>
      <c r="S55" s="65"/>
      <c r="T55" s="65"/>
      <c r="U55" s="65"/>
    </row>
    <row r="56" spans="1:32" s="81" customFormat="1" ht="14" x14ac:dyDescent="0.35">
      <c r="A56" s="145"/>
      <c r="B56" s="152"/>
      <c r="C56" s="82" t="s">
        <v>246</v>
      </c>
      <c r="D56" s="98"/>
      <c r="E56" s="98"/>
      <c r="F56" s="87"/>
      <c r="G56" s="87"/>
      <c r="H56" s="73"/>
      <c r="I56" s="82"/>
      <c r="J56" s="82"/>
      <c r="K56" s="82"/>
      <c r="L56" s="82"/>
      <c r="M56" s="82"/>
      <c r="N56" s="82"/>
      <c r="O56" s="82"/>
      <c r="P56" s="82"/>
      <c r="Q56" s="82"/>
      <c r="R56" s="65"/>
      <c r="S56" s="65"/>
      <c r="T56" s="65"/>
      <c r="U56" s="65"/>
    </row>
    <row r="57" spans="1:32" s="81" customFormat="1" ht="24" customHeight="1" x14ac:dyDescent="0.35">
      <c r="A57" s="145"/>
      <c r="B57" s="152"/>
      <c r="C57" s="375" t="s">
        <v>245</v>
      </c>
      <c r="D57" s="375"/>
      <c r="E57" s="375"/>
      <c r="F57" s="375"/>
      <c r="G57" s="375"/>
      <c r="H57" s="375"/>
      <c r="I57" s="375"/>
      <c r="J57" s="375"/>
      <c r="K57" s="375"/>
      <c r="L57" s="375"/>
      <c r="M57" s="375"/>
      <c r="N57" s="375"/>
      <c r="O57" s="375"/>
      <c r="P57" s="375"/>
      <c r="Q57" s="82"/>
      <c r="R57" s="65"/>
      <c r="S57" s="65"/>
      <c r="T57" s="65"/>
      <c r="U57" s="65"/>
    </row>
    <row r="58" spans="1:32" s="81" customFormat="1" ht="14" x14ac:dyDescent="0.35">
      <c r="A58" s="145"/>
      <c r="B58" s="152"/>
      <c r="C58" s="82" t="s">
        <v>244</v>
      </c>
      <c r="D58" s="98"/>
      <c r="E58" s="98"/>
      <c r="F58" s="87"/>
      <c r="G58" s="87"/>
      <c r="H58" s="73"/>
      <c r="I58" s="82"/>
      <c r="J58" s="82"/>
      <c r="K58" s="82"/>
      <c r="L58" s="82"/>
      <c r="M58" s="82"/>
      <c r="N58" s="82"/>
      <c r="O58" s="82"/>
      <c r="P58" s="82"/>
      <c r="Q58" s="82"/>
      <c r="R58" s="65"/>
      <c r="S58" s="65"/>
      <c r="T58" s="65"/>
      <c r="U58" s="65"/>
    </row>
    <row r="59" spans="1:32" s="81" customFormat="1" ht="14" x14ac:dyDescent="0.35">
      <c r="A59" s="145"/>
      <c r="B59" s="152"/>
      <c r="C59" s="73" t="s">
        <v>243</v>
      </c>
      <c r="D59" s="98"/>
      <c r="E59" s="98"/>
      <c r="F59" s="87"/>
      <c r="G59" s="87"/>
      <c r="H59" s="73"/>
      <c r="I59" s="82"/>
      <c r="J59" s="82"/>
      <c r="K59" s="82"/>
      <c r="L59" s="82"/>
      <c r="M59" s="82"/>
      <c r="N59" s="82"/>
      <c r="O59" s="82"/>
      <c r="P59" s="82"/>
      <c r="Q59" s="82"/>
      <c r="R59" s="65"/>
      <c r="S59" s="65"/>
      <c r="T59" s="65"/>
      <c r="U59" s="65"/>
    </row>
    <row r="60" spans="1:32" s="81" customFormat="1" ht="14" x14ac:dyDescent="0.35">
      <c r="A60" s="145"/>
      <c r="B60" s="152"/>
      <c r="C60" s="73" t="s">
        <v>242</v>
      </c>
      <c r="D60" s="98"/>
      <c r="E60" s="98"/>
      <c r="F60" s="87"/>
      <c r="G60" s="87"/>
      <c r="H60" s="73"/>
      <c r="I60" s="82"/>
      <c r="J60" s="82"/>
      <c r="K60" s="82"/>
      <c r="L60" s="82"/>
      <c r="M60" s="82"/>
      <c r="N60" s="82"/>
      <c r="O60" s="82"/>
      <c r="P60" s="82"/>
      <c r="Q60" s="82"/>
      <c r="R60" s="65"/>
      <c r="S60" s="65"/>
      <c r="T60" s="65"/>
      <c r="U60" s="65"/>
    </row>
    <row r="61" spans="1:32" s="81" customFormat="1" ht="14" x14ac:dyDescent="0.35">
      <c r="A61" s="145"/>
      <c r="B61" s="152"/>
      <c r="C61" s="73" t="s">
        <v>241</v>
      </c>
      <c r="D61" s="98"/>
      <c r="E61" s="98"/>
      <c r="F61" s="87"/>
      <c r="G61" s="87"/>
      <c r="H61" s="73"/>
      <c r="I61" s="82"/>
      <c r="J61" s="93"/>
      <c r="K61" s="82"/>
      <c r="L61" s="82"/>
      <c r="M61" s="82"/>
      <c r="N61" s="82"/>
      <c r="O61" s="82"/>
      <c r="P61" s="82"/>
      <c r="Q61" s="82"/>
      <c r="R61" s="65"/>
      <c r="S61" s="65"/>
      <c r="T61" s="65"/>
      <c r="U61" s="65"/>
    </row>
    <row r="62" spans="1:32" s="81" customFormat="1" ht="15" customHeight="1" x14ac:dyDescent="0.35">
      <c r="A62" s="145"/>
      <c r="B62" s="152"/>
      <c r="C62" s="153" t="s">
        <v>240</v>
      </c>
      <c r="D62" s="98"/>
      <c r="E62" s="98"/>
      <c r="F62" s="87"/>
      <c r="G62" s="87"/>
      <c r="H62" s="73"/>
      <c r="I62" s="82"/>
      <c r="J62" s="93"/>
      <c r="K62" s="82"/>
      <c r="L62" s="82"/>
      <c r="M62" s="82"/>
      <c r="N62" s="82"/>
      <c r="O62" s="82"/>
      <c r="P62" s="82"/>
      <c r="Q62" s="82"/>
      <c r="R62" s="65"/>
      <c r="S62" s="65"/>
      <c r="T62" s="65"/>
      <c r="U62" s="65"/>
    </row>
    <row r="63" spans="1:32" s="81" customFormat="1" ht="15" customHeight="1" x14ac:dyDescent="0.35">
      <c r="A63" s="145"/>
      <c r="B63" s="152"/>
      <c r="C63" s="100"/>
      <c r="D63" s="98"/>
      <c r="E63" s="98"/>
      <c r="F63" s="87"/>
      <c r="G63" s="87"/>
      <c r="H63" s="73"/>
      <c r="I63" s="82"/>
      <c r="J63" s="93"/>
      <c r="K63" s="82"/>
      <c r="L63" s="82"/>
      <c r="M63" s="82"/>
      <c r="N63" s="82"/>
      <c r="O63" s="82"/>
      <c r="P63" s="82"/>
      <c r="Q63" s="82"/>
      <c r="R63" s="65"/>
      <c r="S63" s="65"/>
      <c r="T63" s="65"/>
      <c r="U63" s="65"/>
    </row>
    <row r="64" spans="1:32" s="81" customFormat="1" ht="14" x14ac:dyDescent="0.35">
      <c r="A64" s="145"/>
      <c r="B64" s="152"/>
      <c r="C64" s="82" t="s">
        <v>223</v>
      </c>
      <c r="D64" s="98"/>
      <c r="E64" s="87"/>
      <c r="F64" s="87"/>
      <c r="G64" s="87"/>
      <c r="H64" s="73"/>
      <c r="I64" s="82"/>
      <c r="J64" s="93"/>
      <c r="K64" s="82"/>
      <c r="L64" s="82"/>
      <c r="M64" s="82"/>
      <c r="N64" s="82"/>
      <c r="O64" s="82"/>
      <c r="P64" s="82"/>
      <c r="Q64" s="82"/>
      <c r="R64" s="65"/>
      <c r="S64" s="65"/>
      <c r="T64" s="65"/>
      <c r="U64" s="65"/>
      <c r="V64" s="65"/>
      <c r="W64" s="65"/>
      <c r="X64" s="65"/>
    </row>
    <row r="65" spans="1:16" s="65" customFormat="1" ht="14" x14ac:dyDescent="0.35">
      <c r="A65" s="145"/>
      <c r="B65" s="152"/>
      <c r="D65" s="101"/>
      <c r="E65" s="95"/>
      <c r="F65" s="95"/>
      <c r="G65" s="95"/>
      <c r="H65" s="93"/>
      <c r="I65" s="93"/>
      <c r="J65" s="93"/>
    </row>
    <row r="66" spans="1:16" s="65" customFormat="1" ht="14" x14ac:dyDescent="0.35">
      <c r="A66" s="145"/>
      <c r="B66" s="152"/>
      <c r="C66" s="93"/>
      <c r="D66" s="96"/>
      <c r="E66" s="96"/>
      <c r="F66" s="96"/>
      <c r="G66" s="96"/>
      <c r="H66" s="93"/>
      <c r="I66" s="93"/>
      <c r="J66" s="93"/>
    </row>
    <row r="67" spans="1:16" s="65" customFormat="1" ht="14" x14ac:dyDescent="0.35">
      <c r="A67" s="145"/>
      <c r="B67" s="152"/>
      <c r="C67" s="93"/>
      <c r="D67" s="96"/>
      <c r="E67" s="96"/>
      <c r="F67" s="96"/>
      <c r="G67" s="96"/>
      <c r="H67" s="93"/>
      <c r="I67" s="93"/>
      <c r="J67" s="93"/>
    </row>
    <row r="68" spans="1:16" s="65" customFormat="1" ht="14" x14ac:dyDescent="0.35">
      <c r="A68" s="145"/>
      <c r="B68" s="152"/>
      <c r="C68" s="93"/>
      <c r="D68" s="96"/>
      <c r="E68" s="96"/>
      <c r="F68" s="96"/>
      <c r="G68" s="96"/>
      <c r="H68" s="93"/>
      <c r="I68" s="93"/>
      <c r="J68" s="93"/>
    </row>
    <row r="69" spans="1:16" s="65" customFormat="1" ht="14" x14ac:dyDescent="0.35">
      <c r="A69" s="145"/>
      <c r="B69" s="152"/>
      <c r="C69" s="93"/>
      <c r="D69" s="96"/>
      <c r="E69" s="96"/>
      <c r="F69" s="96"/>
      <c r="G69" s="96"/>
      <c r="H69" s="93"/>
      <c r="I69" s="93"/>
      <c r="J69" s="93"/>
    </row>
    <row r="70" spans="1:16" s="65" customFormat="1" ht="14" x14ac:dyDescent="0.35">
      <c r="A70" s="145"/>
      <c r="B70" s="152"/>
      <c r="C70" s="93"/>
      <c r="D70" s="96"/>
      <c r="E70" s="96"/>
      <c r="F70" s="96"/>
      <c r="G70" s="96"/>
      <c r="H70" s="93"/>
      <c r="I70" s="93"/>
      <c r="J70" s="93"/>
    </row>
    <row r="71" spans="1:16" s="65" customFormat="1" ht="14" x14ac:dyDescent="0.35">
      <c r="A71" s="145"/>
      <c r="B71" s="152"/>
      <c r="C71" s="265" t="s">
        <v>59</v>
      </c>
      <c r="D71" s="267">
        <v>267</v>
      </c>
      <c r="E71" s="267">
        <v>345</v>
      </c>
      <c r="F71" s="267">
        <v>28</v>
      </c>
      <c r="G71" s="267">
        <v>141</v>
      </c>
      <c r="H71" s="267">
        <v>7</v>
      </c>
      <c r="I71" s="267">
        <v>19</v>
      </c>
      <c r="J71" s="267" t="s">
        <v>3</v>
      </c>
      <c r="K71" s="267">
        <v>40</v>
      </c>
      <c r="L71" s="267">
        <v>0</v>
      </c>
      <c r="M71" s="267">
        <v>9</v>
      </c>
      <c r="N71" s="267">
        <v>103</v>
      </c>
      <c r="O71" s="267">
        <v>5</v>
      </c>
      <c r="P71" s="267">
        <v>5</v>
      </c>
    </row>
    <row r="72" spans="1:16" s="65" customFormat="1" ht="14" x14ac:dyDescent="0.35">
      <c r="A72" s="145"/>
      <c r="B72" s="152"/>
      <c r="C72" s="265" t="s">
        <v>30</v>
      </c>
      <c r="D72" s="267">
        <v>210</v>
      </c>
      <c r="E72" s="267">
        <v>343</v>
      </c>
      <c r="F72" s="267">
        <v>24</v>
      </c>
      <c r="G72" s="267">
        <v>127</v>
      </c>
      <c r="H72" s="267">
        <v>6</v>
      </c>
      <c r="I72" s="267">
        <v>18</v>
      </c>
      <c r="J72" s="267" t="s">
        <v>3</v>
      </c>
      <c r="K72" s="267">
        <v>34</v>
      </c>
      <c r="L72" s="267">
        <v>0</v>
      </c>
      <c r="M72" s="267">
        <v>24</v>
      </c>
      <c r="N72" s="267">
        <v>93</v>
      </c>
      <c r="O72" s="267">
        <v>5</v>
      </c>
      <c r="P72" s="267">
        <v>2</v>
      </c>
    </row>
    <row r="73" spans="1:16" s="65" customFormat="1" ht="14" x14ac:dyDescent="0.35">
      <c r="A73" s="145"/>
      <c r="B73" s="152"/>
      <c r="C73" s="93"/>
      <c r="D73" s="93"/>
      <c r="E73" s="95"/>
      <c r="F73" s="95"/>
      <c r="G73" s="95"/>
      <c r="H73" s="93"/>
      <c r="I73" s="93"/>
      <c r="J73" s="93"/>
    </row>
    <row r="74" spans="1:16" s="65" customFormat="1" ht="14" x14ac:dyDescent="0.35">
      <c r="A74" s="145"/>
      <c r="B74" s="152"/>
      <c r="C74" s="93"/>
      <c r="D74" s="93"/>
      <c r="E74" s="95"/>
      <c r="F74" s="95"/>
      <c r="G74" s="95"/>
      <c r="H74" s="93"/>
      <c r="I74" s="93"/>
      <c r="J74" s="93"/>
    </row>
    <row r="75" spans="1:16" s="65" customFormat="1" ht="14" x14ac:dyDescent="0.35">
      <c r="A75" s="145"/>
      <c r="B75" s="152"/>
      <c r="C75" s="93"/>
      <c r="D75" s="93"/>
      <c r="E75" s="95"/>
      <c r="F75" s="95"/>
      <c r="G75" s="95"/>
      <c r="H75" s="93"/>
      <c r="I75" s="93"/>
      <c r="J75" s="93"/>
    </row>
    <row r="76" spans="1:16" s="65" customFormat="1" ht="14" x14ac:dyDescent="0.35">
      <c r="A76" s="145"/>
      <c r="B76" s="152"/>
      <c r="C76" s="93"/>
      <c r="D76" s="93"/>
      <c r="E76" s="95"/>
      <c r="F76" s="95"/>
      <c r="G76" s="95"/>
      <c r="H76" s="93"/>
      <c r="I76" s="93"/>
      <c r="J76" s="93"/>
    </row>
    <row r="77" spans="1:16" s="65" customFormat="1" ht="14" x14ac:dyDescent="0.35">
      <c r="A77" s="145"/>
      <c r="B77" s="152"/>
      <c r="C77" s="93"/>
      <c r="D77" s="93"/>
      <c r="E77" s="95"/>
      <c r="F77" s="95"/>
      <c r="G77" s="95"/>
      <c r="H77" s="93"/>
      <c r="I77" s="93"/>
      <c r="J77" s="93"/>
    </row>
    <row r="78" spans="1:16" s="65" customFormat="1" ht="14" x14ac:dyDescent="0.35">
      <c r="A78" s="145"/>
      <c r="B78" s="152"/>
      <c r="C78" s="93"/>
      <c r="D78" s="93"/>
      <c r="E78" s="95"/>
      <c r="F78" s="95"/>
      <c r="G78" s="95"/>
      <c r="H78" s="93"/>
      <c r="I78" s="93"/>
      <c r="J78" s="93"/>
    </row>
    <row r="79" spans="1:16" s="65" customFormat="1" ht="14" x14ac:dyDescent="0.35">
      <c r="A79" s="145"/>
      <c r="B79" s="152"/>
      <c r="C79" s="93"/>
      <c r="D79" s="93"/>
      <c r="E79" s="95"/>
      <c r="F79" s="95"/>
      <c r="G79" s="95"/>
      <c r="H79" s="93"/>
      <c r="I79" s="93"/>
      <c r="J79" s="93"/>
    </row>
    <row r="80" spans="1:16" s="65" customFormat="1" ht="14" x14ac:dyDescent="0.35">
      <c r="A80" s="145"/>
      <c r="B80" s="152"/>
      <c r="C80" s="93"/>
      <c r="D80" s="93"/>
      <c r="E80" s="95"/>
      <c r="F80" s="95"/>
      <c r="G80" s="95"/>
      <c r="H80" s="93"/>
      <c r="I80" s="93"/>
      <c r="J80" s="93"/>
    </row>
    <row r="81" spans="1:10" s="65" customFormat="1" ht="14" x14ac:dyDescent="0.35">
      <c r="A81" s="145"/>
      <c r="B81" s="152"/>
      <c r="C81" s="93"/>
      <c r="D81" s="93"/>
      <c r="E81" s="95"/>
      <c r="F81" s="95"/>
      <c r="G81" s="95"/>
      <c r="H81" s="93"/>
      <c r="I81" s="93"/>
      <c r="J81" s="93"/>
    </row>
    <row r="82" spans="1:10" s="65" customFormat="1" ht="14" x14ac:dyDescent="0.35">
      <c r="A82" s="145"/>
      <c r="B82" s="152"/>
      <c r="C82" s="93"/>
      <c r="D82" s="93"/>
      <c r="E82" s="95"/>
      <c r="F82" s="95"/>
      <c r="G82" s="95"/>
      <c r="H82" s="93"/>
      <c r="I82" s="93"/>
      <c r="J82" s="93"/>
    </row>
    <row r="83" spans="1:10" s="65" customFormat="1" ht="14" x14ac:dyDescent="0.35">
      <c r="A83" s="145"/>
      <c r="B83" s="152"/>
      <c r="C83" s="93"/>
      <c r="D83" s="93"/>
      <c r="E83" s="95"/>
      <c r="F83" s="95"/>
      <c r="G83" s="95"/>
      <c r="H83" s="93"/>
      <c r="I83" s="93"/>
      <c r="J83" s="93"/>
    </row>
    <row r="84" spans="1:10" s="65" customFormat="1" ht="14" x14ac:dyDescent="0.35">
      <c r="A84" s="145"/>
      <c r="B84" s="152"/>
      <c r="C84" s="93"/>
      <c r="D84" s="93"/>
      <c r="E84" s="95"/>
      <c r="F84" s="95"/>
      <c r="G84" s="95"/>
      <c r="H84" s="93"/>
      <c r="I84" s="93"/>
      <c r="J84" s="93"/>
    </row>
    <row r="85" spans="1:10" s="65" customFormat="1" ht="14" x14ac:dyDescent="0.35">
      <c r="A85" s="145"/>
      <c r="B85" s="152"/>
      <c r="C85" s="93"/>
      <c r="D85" s="93"/>
      <c r="E85" s="95"/>
      <c r="F85" s="95"/>
      <c r="G85" s="95"/>
      <c r="H85" s="93"/>
      <c r="I85" s="93"/>
      <c r="J85" s="93"/>
    </row>
    <row r="86" spans="1:10" s="65" customFormat="1" ht="14" x14ac:dyDescent="0.35">
      <c r="A86" s="145"/>
      <c r="B86" s="152"/>
      <c r="C86" s="93"/>
      <c r="D86" s="93"/>
      <c r="E86" s="95"/>
      <c r="F86" s="95"/>
      <c r="G86" s="95"/>
      <c r="H86" s="93"/>
      <c r="I86" s="93"/>
      <c r="J86" s="93"/>
    </row>
    <row r="87" spans="1:10" s="65" customFormat="1" ht="14" x14ac:dyDescent="0.35">
      <c r="A87" s="145"/>
      <c r="B87" s="152"/>
      <c r="C87" s="93"/>
      <c r="D87" s="93"/>
      <c r="E87" s="95"/>
      <c r="F87" s="95"/>
      <c r="G87" s="95"/>
      <c r="H87" s="93"/>
      <c r="I87" s="93"/>
      <c r="J87" s="93"/>
    </row>
    <row r="88" spans="1:10" s="65" customFormat="1" ht="14" x14ac:dyDescent="0.35">
      <c r="A88" s="145"/>
      <c r="B88" s="152"/>
      <c r="C88" s="93"/>
      <c r="D88" s="93"/>
      <c r="E88" s="95"/>
      <c r="F88" s="95"/>
      <c r="G88" s="95"/>
      <c r="H88" s="93"/>
      <c r="I88" s="93"/>
      <c r="J88" s="93"/>
    </row>
    <row r="89" spans="1:10" s="65" customFormat="1" ht="14" x14ac:dyDescent="0.35">
      <c r="A89" s="145"/>
      <c r="B89" s="152"/>
      <c r="C89" s="93"/>
      <c r="D89" s="93"/>
      <c r="E89" s="95"/>
      <c r="F89" s="95"/>
      <c r="G89" s="95"/>
      <c r="H89" s="93"/>
      <c r="I89" s="93"/>
      <c r="J89" s="93"/>
    </row>
    <row r="90" spans="1:10" s="65" customFormat="1" ht="14" x14ac:dyDescent="0.35">
      <c r="A90" s="145"/>
      <c r="B90" s="152"/>
      <c r="C90" s="93"/>
      <c r="D90" s="93"/>
      <c r="E90" s="95"/>
      <c r="F90" s="95"/>
      <c r="G90" s="95"/>
      <c r="H90" s="93"/>
      <c r="I90" s="93"/>
      <c r="J90" s="93"/>
    </row>
    <row r="91" spans="1:10" s="65" customFormat="1" ht="14" x14ac:dyDescent="0.35">
      <c r="A91" s="145"/>
      <c r="B91" s="152"/>
      <c r="C91" s="93"/>
      <c r="D91" s="93"/>
      <c r="E91" s="95"/>
      <c r="F91" s="95"/>
      <c r="G91" s="95"/>
      <c r="H91" s="93"/>
      <c r="I91" s="93"/>
      <c r="J91" s="93"/>
    </row>
    <row r="92" spans="1:10" s="65" customFormat="1" ht="14" x14ac:dyDescent="0.35">
      <c r="A92" s="145"/>
      <c r="B92" s="152"/>
      <c r="C92" s="93"/>
      <c r="D92" s="93"/>
      <c r="E92" s="95"/>
      <c r="F92" s="95"/>
      <c r="G92" s="95"/>
      <c r="H92" s="93"/>
      <c r="I92" s="93"/>
      <c r="J92" s="93"/>
    </row>
    <row r="93" spans="1:10" s="65" customFormat="1" ht="14" x14ac:dyDescent="0.35">
      <c r="A93" s="145"/>
      <c r="B93" s="152"/>
      <c r="C93" s="93"/>
      <c r="D93" s="93"/>
      <c r="E93" s="95"/>
      <c r="F93" s="95"/>
      <c r="G93" s="95"/>
      <c r="H93" s="93"/>
      <c r="I93" s="93"/>
      <c r="J93" s="93"/>
    </row>
    <row r="94" spans="1:10" s="65" customFormat="1" ht="14" x14ac:dyDescent="0.35">
      <c r="A94" s="145"/>
      <c r="B94" s="152"/>
      <c r="C94" s="93"/>
      <c r="D94" s="93"/>
      <c r="E94" s="95"/>
      <c r="F94" s="95"/>
      <c r="G94" s="95"/>
      <c r="H94" s="93"/>
      <c r="I94" s="93"/>
      <c r="J94" s="93"/>
    </row>
    <row r="95" spans="1:10" s="65" customFormat="1" ht="14" x14ac:dyDescent="0.35">
      <c r="A95" s="145"/>
      <c r="B95" s="152"/>
      <c r="C95" s="93"/>
      <c r="D95" s="93"/>
      <c r="E95" s="95"/>
      <c r="F95" s="95"/>
      <c r="G95" s="95"/>
      <c r="H95" s="93"/>
      <c r="I95" s="93"/>
      <c r="J95" s="93"/>
    </row>
    <row r="96" spans="1:10" s="65" customFormat="1" ht="14" x14ac:dyDescent="0.35">
      <c r="A96" s="145"/>
      <c r="B96" s="152"/>
      <c r="C96" s="93"/>
      <c r="D96" s="93"/>
      <c r="E96" s="95"/>
      <c r="F96" s="95"/>
      <c r="G96" s="95"/>
      <c r="H96" s="93"/>
      <c r="I96" s="93"/>
      <c r="J96" s="93"/>
    </row>
    <row r="97" spans="1:10" s="65" customFormat="1" ht="14" x14ac:dyDescent="0.35">
      <c r="A97" s="145"/>
      <c r="B97" s="152"/>
      <c r="C97" s="93"/>
      <c r="D97" s="93"/>
      <c r="E97" s="95"/>
      <c r="F97" s="95"/>
      <c r="G97" s="95"/>
      <c r="H97" s="93"/>
      <c r="I97" s="93"/>
      <c r="J97" s="93"/>
    </row>
    <row r="98" spans="1:10" s="65" customFormat="1" ht="14" x14ac:dyDescent="0.35">
      <c r="A98" s="145"/>
      <c r="B98" s="152"/>
      <c r="C98" s="93"/>
      <c r="D98" s="93"/>
      <c r="E98" s="95"/>
      <c r="F98" s="95"/>
      <c r="G98" s="95"/>
      <c r="H98" s="93"/>
      <c r="I98" s="93"/>
      <c r="J98" s="93"/>
    </row>
    <row r="99" spans="1:10" s="65" customFormat="1" ht="14" x14ac:dyDescent="0.35">
      <c r="A99" s="145"/>
      <c r="B99" s="152"/>
      <c r="C99" s="93"/>
      <c r="D99" s="93"/>
      <c r="E99" s="95"/>
      <c r="F99" s="95"/>
      <c r="G99" s="95"/>
      <c r="H99" s="93"/>
      <c r="I99" s="93"/>
      <c r="J99" s="93"/>
    </row>
    <row r="100" spans="1:10" s="65" customFormat="1" ht="14" x14ac:dyDescent="0.35">
      <c r="A100" s="145"/>
      <c r="B100" s="152"/>
      <c r="C100" s="93"/>
      <c r="D100" s="93"/>
      <c r="E100" s="95"/>
      <c r="F100" s="95"/>
      <c r="G100" s="95"/>
      <c r="H100" s="93"/>
      <c r="I100" s="93"/>
      <c r="J100" s="93"/>
    </row>
    <row r="101" spans="1:10" s="65" customFormat="1" ht="14" x14ac:dyDescent="0.35">
      <c r="A101" s="145"/>
      <c r="B101" s="152"/>
      <c r="C101" s="93"/>
      <c r="D101" s="93"/>
      <c r="E101" s="95"/>
      <c r="F101" s="95"/>
      <c r="G101" s="95"/>
      <c r="H101" s="93"/>
      <c r="I101" s="93"/>
      <c r="J101" s="93"/>
    </row>
    <row r="102" spans="1:10" s="65" customFormat="1" ht="14" x14ac:dyDescent="0.35">
      <c r="A102" s="145"/>
      <c r="B102" s="152"/>
      <c r="C102" s="93"/>
      <c r="D102" s="93"/>
      <c r="E102" s="95"/>
      <c r="F102" s="95"/>
      <c r="G102" s="95"/>
      <c r="H102" s="93"/>
      <c r="I102" s="93"/>
      <c r="J102" s="93"/>
    </row>
    <row r="103" spans="1:10" s="65" customFormat="1" ht="14" x14ac:dyDescent="0.35">
      <c r="A103" s="145"/>
      <c r="B103" s="152"/>
      <c r="C103" s="93"/>
      <c r="D103" s="93"/>
      <c r="E103" s="95"/>
      <c r="F103" s="95"/>
      <c r="G103" s="95"/>
      <c r="H103" s="93"/>
      <c r="I103" s="93"/>
      <c r="J103" s="93"/>
    </row>
    <row r="104" spans="1:10" s="65" customFormat="1" ht="14" x14ac:dyDescent="0.35">
      <c r="A104" s="145"/>
      <c r="B104" s="152"/>
      <c r="C104" s="93"/>
      <c r="D104" s="93"/>
      <c r="E104" s="95"/>
      <c r="F104" s="95"/>
      <c r="G104" s="95"/>
      <c r="H104" s="93"/>
      <c r="I104" s="93"/>
      <c r="J104" s="93"/>
    </row>
    <row r="105" spans="1:10" s="65" customFormat="1" ht="14" x14ac:dyDescent="0.35">
      <c r="A105" s="145"/>
      <c r="B105" s="152"/>
      <c r="C105" s="93"/>
      <c r="D105" s="93"/>
      <c r="E105" s="95"/>
      <c r="F105" s="95"/>
      <c r="G105" s="95"/>
      <c r="H105" s="93"/>
      <c r="I105" s="93"/>
      <c r="J105" s="93"/>
    </row>
    <row r="106" spans="1:10" s="65" customFormat="1" ht="14" x14ac:dyDescent="0.35">
      <c r="A106" s="145"/>
      <c r="B106" s="152"/>
      <c r="C106" s="93"/>
      <c r="D106" s="93"/>
      <c r="E106" s="95"/>
      <c r="F106" s="95"/>
      <c r="G106" s="95"/>
      <c r="H106" s="93"/>
      <c r="I106" s="93"/>
      <c r="J106" s="93"/>
    </row>
    <row r="107" spans="1:10" s="65" customFormat="1" ht="14" x14ac:dyDescent="0.35">
      <c r="A107" s="145"/>
      <c r="B107" s="152"/>
      <c r="C107" s="93"/>
      <c r="D107" s="93"/>
      <c r="E107" s="95"/>
      <c r="F107" s="95"/>
      <c r="G107" s="95"/>
      <c r="H107" s="93"/>
      <c r="I107" s="93"/>
      <c r="J107" s="93"/>
    </row>
    <row r="108" spans="1:10" s="65" customFormat="1" ht="14" x14ac:dyDescent="0.35">
      <c r="A108" s="145"/>
      <c r="B108" s="152"/>
      <c r="C108" s="93"/>
      <c r="D108" s="93"/>
      <c r="E108" s="95"/>
      <c r="F108" s="95"/>
      <c r="G108" s="95"/>
      <c r="H108" s="93"/>
      <c r="I108" s="93"/>
      <c r="J108" s="93"/>
    </row>
    <row r="109" spans="1:10" s="65" customFormat="1" ht="14" x14ac:dyDescent="0.35">
      <c r="A109" s="145"/>
      <c r="B109" s="152"/>
      <c r="C109" s="93"/>
      <c r="D109" s="93"/>
      <c r="E109" s="95"/>
      <c r="F109" s="95"/>
      <c r="G109" s="95"/>
      <c r="H109" s="93"/>
      <c r="I109" s="93"/>
      <c r="J109" s="93"/>
    </row>
    <row r="110" spans="1:10" s="65" customFormat="1" ht="14" x14ac:dyDescent="0.35">
      <c r="A110" s="145"/>
      <c r="B110" s="152"/>
      <c r="C110" s="93"/>
      <c r="D110" s="93"/>
      <c r="E110" s="95"/>
      <c r="F110" s="95"/>
      <c r="G110" s="95"/>
      <c r="H110" s="93"/>
      <c r="I110" s="93"/>
      <c r="J110" s="93"/>
    </row>
    <row r="111" spans="1:10" s="65" customFormat="1" ht="14" x14ac:dyDescent="0.35">
      <c r="A111" s="145"/>
      <c r="B111" s="152"/>
      <c r="C111" s="93"/>
      <c r="D111" s="93"/>
      <c r="E111" s="95"/>
      <c r="F111" s="95"/>
      <c r="G111" s="95"/>
      <c r="H111" s="93"/>
      <c r="I111" s="93"/>
      <c r="J111" s="93"/>
    </row>
    <row r="112" spans="1:10" s="65" customFormat="1" ht="14" x14ac:dyDescent="0.35">
      <c r="A112" s="145"/>
      <c r="B112" s="152"/>
      <c r="C112" s="93"/>
      <c r="D112" s="93"/>
      <c r="E112" s="95"/>
      <c r="F112" s="95"/>
      <c r="G112" s="95"/>
      <c r="H112" s="93"/>
      <c r="I112" s="93"/>
      <c r="J112" s="93"/>
    </row>
    <row r="113" spans="1:10" s="65" customFormat="1" ht="14" x14ac:dyDescent="0.35">
      <c r="A113" s="145"/>
      <c r="B113" s="152"/>
      <c r="C113" s="93"/>
      <c r="D113" s="93"/>
      <c r="E113" s="95"/>
      <c r="F113" s="95"/>
      <c r="G113" s="95"/>
      <c r="H113" s="93"/>
      <c r="I113" s="93"/>
      <c r="J113" s="93"/>
    </row>
    <row r="114" spans="1:10" s="65" customFormat="1" ht="14" x14ac:dyDescent="0.35">
      <c r="A114" s="145"/>
      <c r="B114" s="152"/>
      <c r="C114" s="93"/>
      <c r="D114" s="93"/>
      <c r="E114" s="95"/>
      <c r="F114" s="95"/>
      <c r="G114" s="95"/>
      <c r="H114" s="93"/>
      <c r="I114" s="93"/>
      <c r="J114" s="93"/>
    </row>
    <row r="115" spans="1:10" s="65" customFormat="1" ht="14" x14ac:dyDescent="0.35">
      <c r="A115" s="145"/>
      <c r="B115" s="152"/>
      <c r="C115" s="93"/>
      <c r="D115" s="93"/>
      <c r="E115" s="95"/>
      <c r="F115" s="95"/>
      <c r="G115" s="95"/>
      <c r="H115" s="93"/>
      <c r="I115" s="93"/>
      <c r="J115" s="93"/>
    </row>
    <row r="116" spans="1:10" s="65" customFormat="1" ht="14" x14ac:dyDescent="0.35">
      <c r="A116" s="145"/>
      <c r="B116" s="152"/>
      <c r="C116" s="93"/>
      <c r="D116" s="93"/>
      <c r="E116" s="95"/>
      <c r="F116" s="95"/>
      <c r="G116" s="95"/>
      <c r="H116" s="93"/>
      <c r="I116" s="93"/>
      <c r="J116" s="93"/>
    </row>
    <row r="117" spans="1:10" s="65" customFormat="1" ht="14" x14ac:dyDescent="0.35">
      <c r="A117" s="145"/>
      <c r="B117" s="152"/>
      <c r="C117" s="93"/>
      <c r="D117" s="93"/>
      <c r="E117" s="95"/>
      <c r="F117" s="95"/>
      <c r="G117" s="95"/>
      <c r="H117" s="93"/>
      <c r="I117" s="93"/>
      <c r="J117" s="93"/>
    </row>
    <row r="118" spans="1:10" s="65" customFormat="1" ht="14" x14ac:dyDescent="0.35">
      <c r="A118" s="145"/>
      <c r="B118" s="152"/>
      <c r="C118" s="93"/>
      <c r="D118" s="93"/>
      <c r="E118" s="95"/>
      <c r="F118" s="95"/>
      <c r="G118" s="95"/>
      <c r="H118" s="93"/>
      <c r="I118" s="93"/>
      <c r="J118" s="93"/>
    </row>
    <row r="119" spans="1:10" s="65" customFormat="1" ht="14" x14ac:dyDescent="0.35">
      <c r="A119" s="145"/>
      <c r="B119" s="152"/>
      <c r="C119" s="93"/>
      <c r="D119" s="93"/>
      <c r="E119" s="95"/>
      <c r="F119" s="95"/>
      <c r="G119" s="95"/>
      <c r="H119" s="93"/>
      <c r="I119" s="93"/>
      <c r="J119" s="93"/>
    </row>
    <row r="120" spans="1:10" s="65" customFormat="1" ht="14" x14ac:dyDescent="0.35">
      <c r="A120" s="145"/>
      <c r="B120" s="152"/>
      <c r="C120" s="93"/>
      <c r="D120" s="93"/>
      <c r="E120" s="95"/>
      <c r="F120" s="95"/>
      <c r="G120" s="95"/>
      <c r="H120" s="93"/>
      <c r="I120" s="93"/>
      <c r="J120" s="93"/>
    </row>
    <row r="121" spans="1:10" s="65" customFormat="1" ht="14" x14ac:dyDescent="0.35">
      <c r="A121" s="145"/>
      <c r="B121" s="152"/>
      <c r="C121" s="93"/>
      <c r="D121" s="93"/>
      <c r="E121" s="95"/>
      <c r="F121" s="95"/>
      <c r="G121" s="95"/>
      <c r="H121" s="93"/>
      <c r="I121" s="93"/>
      <c r="J121" s="93"/>
    </row>
    <row r="122" spans="1:10" s="65" customFormat="1" ht="14" x14ac:dyDescent="0.35">
      <c r="A122" s="145"/>
      <c r="B122" s="152"/>
      <c r="C122" s="93"/>
      <c r="D122" s="93"/>
      <c r="E122" s="95"/>
      <c r="F122" s="95"/>
      <c r="G122" s="95"/>
      <c r="H122" s="93"/>
      <c r="I122" s="93"/>
      <c r="J122" s="93"/>
    </row>
    <row r="123" spans="1:10" s="65" customFormat="1" ht="14" x14ac:dyDescent="0.35">
      <c r="A123" s="145"/>
      <c r="B123" s="152"/>
      <c r="C123" s="93"/>
      <c r="D123" s="93"/>
      <c r="E123" s="95"/>
      <c r="F123" s="95"/>
      <c r="G123" s="95"/>
      <c r="H123" s="93"/>
      <c r="I123" s="93"/>
      <c r="J123" s="93"/>
    </row>
    <row r="124" spans="1:10" s="65" customFormat="1" ht="14" x14ac:dyDescent="0.35">
      <c r="A124" s="145"/>
      <c r="B124" s="152"/>
      <c r="C124" s="93"/>
      <c r="D124" s="93"/>
      <c r="E124" s="95"/>
      <c r="F124" s="95"/>
      <c r="G124" s="95"/>
      <c r="H124" s="93"/>
      <c r="I124" s="93"/>
      <c r="J124" s="93"/>
    </row>
    <row r="125" spans="1:10" s="65" customFormat="1" ht="14" x14ac:dyDescent="0.35">
      <c r="A125" s="145"/>
      <c r="B125" s="152"/>
      <c r="C125" s="93"/>
      <c r="D125" s="93"/>
      <c r="E125" s="95"/>
      <c r="F125" s="95"/>
      <c r="G125" s="95"/>
      <c r="H125" s="93"/>
      <c r="I125" s="93"/>
      <c r="J125" s="93"/>
    </row>
    <row r="126" spans="1:10" s="65" customFormat="1" ht="14" x14ac:dyDescent="0.35">
      <c r="A126" s="145"/>
      <c r="B126" s="152"/>
      <c r="C126" s="93"/>
      <c r="D126" s="93"/>
      <c r="E126" s="95"/>
      <c r="F126" s="95"/>
      <c r="G126" s="95"/>
      <c r="H126" s="93"/>
      <c r="I126" s="93"/>
      <c r="J126" s="93"/>
    </row>
    <row r="127" spans="1:10" s="65" customFormat="1" ht="14" x14ac:dyDescent="0.35">
      <c r="A127" s="145"/>
      <c r="B127" s="152"/>
      <c r="C127" s="93"/>
      <c r="D127" s="93"/>
      <c r="E127" s="95"/>
      <c r="F127" s="95"/>
      <c r="G127" s="95"/>
      <c r="H127" s="93"/>
      <c r="I127" s="93"/>
      <c r="J127" s="93"/>
    </row>
    <row r="128" spans="1:10" s="65" customFormat="1" ht="14" x14ac:dyDescent="0.35">
      <c r="A128" s="145"/>
      <c r="B128" s="152"/>
      <c r="C128" s="93"/>
      <c r="D128" s="93"/>
      <c r="E128" s="95"/>
      <c r="F128" s="95"/>
      <c r="G128" s="95"/>
      <c r="H128" s="93"/>
      <c r="I128" s="93"/>
      <c r="J128" s="93"/>
    </row>
    <row r="129" spans="1:10" s="65" customFormat="1" ht="14" x14ac:dyDescent="0.35">
      <c r="A129" s="145"/>
      <c r="B129" s="152"/>
      <c r="C129" s="93"/>
      <c r="D129" s="93"/>
      <c r="E129" s="95"/>
      <c r="F129" s="95"/>
      <c r="G129" s="95"/>
      <c r="H129" s="93"/>
      <c r="I129" s="93"/>
      <c r="J129" s="93"/>
    </row>
    <row r="130" spans="1:10" s="65" customFormat="1" ht="14" x14ac:dyDescent="0.35">
      <c r="A130" s="145"/>
      <c r="B130" s="152"/>
      <c r="C130" s="93"/>
      <c r="D130" s="93"/>
      <c r="E130" s="95"/>
      <c r="F130" s="95"/>
      <c r="G130" s="95"/>
      <c r="H130" s="93"/>
      <c r="I130" s="93"/>
      <c r="J130" s="93"/>
    </row>
    <row r="131" spans="1:10" s="65" customFormat="1" ht="14" x14ac:dyDescent="0.35">
      <c r="A131" s="145"/>
      <c r="B131" s="152"/>
      <c r="C131" s="93"/>
      <c r="D131" s="93"/>
      <c r="E131" s="95"/>
      <c r="F131" s="95"/>
      <c r="G131" s="95"/>
      <c r="H131" s="93"/>
      <c r="I131" s="93"/>
      <c r="J131" s="93"/>
    </row>
    <row r="132" spans="1:10" s="65" customFormat="1" ht="14" x14ac:dyDescent="0.35">
      <c r="A132" s="145"/>
      <c r="B132" s="152"/>
      <c r="C132" s="93"/>
      <c r="D132" s="93"/>
      <c r="E132" s="95"/>
      <c r="F132" s="95"/>
      <c r="G132" s="95"/>
      <c r="H132" s="93"/>
      <c r="I132" s="93"/>
      <c r="J132" s="93"/>
    </row>
    <row r="133" spans="1:10" s="65" customFormat="1" ht="14" x14ac:dyDescent="0.35">
      <c r="A133" s="145"/>
      <c r="B133" s="152"/>
      <c r="C133" s="93"/>
      <c r="D133" s="93"/>
      <c r="E133" s="95"/>
      <c r="F133" s="95"/>
      <c r="G133" s="95"/>
      <c r="H133" s="93"/>
      <c r="I133" s="93"/>
      <c r="J133" s="93"/>
    </row>
    <row r="134" spans="1:10" s="65" customFormat="1" ht="14" x14ac:dyDescent="0.35">
      <c r="A134" s="145"/>
      <c r="B134" s="152"/>
      <c r="C134" s="93"/>
      <c r="D134" s="93"/>
      <c r="E134" s="95"/>
      <c r="F134" s="95"/>
      <c r="G134" s="95"/>
      <c r="H134" s="93"/>
      <c r="I134" s="93"/>
      <c r="J134" s="93"/>
    </row>
    <row r="135" spans="1:10" s="65" customFormat="1" ht="14" x14ac:dyDescent="0.35">
      <c r="A135" s="145"/>
      <c r="B135" s="152"/>
      <c r="C135" s="93"/>
      <c r="D135" s="93"/>
      <c r="E135" s="95"/>
      <c r="F135" s="95"/>
      <c r="G135" s="95"/>
      <c r="H135" s="93"/>
      <c r="I135" s="93"/>
      <c r="J135" s="93"/>
    </row>
    <row r="136" spans="1:10" s="65" customFormat="1" ht="14" x14ac:dyDescent="0.35">
      <c r="A136" s="145"/>
      <c r="B136" s="152"/>
      <c r="C136" s="93"/>
      <c r="D136" s="93"/>
      <c r="E136" s="95"/>
      <c r="F136" s="95"/>
      <c r="G136" s="95"/>
      <c r="H136" s="93"/>
      <c r="I136" s="93"/>
      <c r="J136" s="93"/>
    </row>
    <row r="137" spans="1:10" s="65" customFormat="1" ht="14" x14ac:dyDescent="0.35">
      <c r="A137" s="145"/>
      <c r="B137" s="152"/>
      <c r="C137" s="93"/>
      <c r="D137" s="93"/>
      <c r="E137" s="95"/>
      <c r="F137" s="95"/>
      <c r="G137" s="95"/>
      <c r="H137" s="93"/>
      <c r="I137" s="93"/>
      <c r="J137" s="93"/>
    </row>
    <row r="138" spans="1:10" s="65" customFormat="1" ht="14" x14ac:dyDescent="0.35">
      <c r="A138" s="145"/>
      <c r="B138" s="152"/>
      <c r="C138" s="93"/>
      <c r="D138" s="93"/>
      <c r="E138" s="95"/>
      <c r="F138" s="95"/>
      <c r="G138" s="95"/>
      <c r="H138" s="93"/>
      <c r="I138" s="93"/>
      <c r="J138" s="93"/>
    </row>
    <row r="139" spans="1:10" s="65" customFormat="1" ht="14" x14ac:dyDescent="0.35">
      <c r="A139" s="145"/>
      <c r="B139" s="152"/>
      <c r="C139" s="93"/>
      <c r="D139" s="93"/>
      <c r="E139" s="95"/>
      <c r="F139" s="95"/>
      <c r="G139" s="95"/>
      <c r="H139" s="93"/>
      <c r="I139" s="93"/>
      <c r="J139" s="93"/>
    </row>
    <row r="140" spans="1:10" s="65" customFormat="1" ht="14" x14ac:dyDescent="0.35">
      <c r="A140" s="145"/>
      <c r="B140" s="152"/>
      <c r="C140" s="93"/>
      <c r="D140" s="93"/>
      <c r="E140" s="95"/>
      <c r="F140" s="95"/>
      <c r="G140" s="95"/>
      <c r="H140" s="93"/>
      <c r="I140" s="93"/>
      <c r="J140" s="93"/>
    </row>
    <row r="141" spans="1:10" s="65" customFormat="1" ht="14" x14ac:dyDescent="0.35">
      <c r="A141" s="145"/>
      <c r="B141" s="152"/>
      <c r="C141" s="93"/>
      <c r="D141" s="93"/>
      <c r="E141" s="95"/>
      <c r="F141" s="95"/>
      <c r="G141" s="95"/>
      <c r="H141" s="93"/>
      <c r="I141" s="93"/>
      <c r="J141" s="93"/>
    </row>
    <row r="142" spans="1:10" s="65" customFormat="1" ht="14" x14ac:dyDescent="0.35">
      <c r="A142" s="145"/>
      <c r="B142" s="152"/>
      <c r="C142" s="93"/>
      <c r="D142" s="93"/>
      <c r="E142" s="95"/>
      <c r="F142" s="95"/>
      <c r="G142" s="95"/>
      <c r="H142" s="93"/>
      <c r="I142" s="93"/>
      <c r="J142" s="93"/>
    </row>
    <row r="143" spans="1:10" s="65" customFormat="1" ht="14" x14ac:dyDescent="0.35">
      <c r="A143" s="145"/>
      <c r="B143" s="152"/>
      <c r="C143" s="93"/>
      <c r="D143" s="93"/>
      <c r="E143" s="95"/>
      <c r="F143" s="95"/>
      <c r="G143" s="95"/>
      <c r="H143" s="93"/>
      <c r="I143" s="93"/>
      <c r="J143" s="93"/>
    </row>
    <row r="144" spans="1:10" s="65" customFormat="1" ht="14" x14ac:dyDescent="0.35">
      <c r="A144" s="145"/>
      <c r="B144" s="152"/>
      <c r="C144" s="93"/>
      <c r="D144" s="93"/>
      <c r="E144" s="95"/>
      <c r="F144" s="95"/>
      <c r="G144" s="95"/>
      <c r="H144" s="93"/>
      <c r="I144" s="93"/>
      <c r="J144" s="93"/>
    </row>
    <row r="145" spans="1:10" s="65" customFormat="1" ht="14" x14ac:dyDescent="0.35">
      <c r="A145" s="145"/>
      <c r="B145" s="152"/>
      <c r="C145" s="93"/>
      <c r="D145" s="93"/>
      <c r="E145" s="95"/>
      <c r="F145" s="95"/>
      <c r="G145" s="95"/>
      <c r="H145" s="93"/>
      <c r="I145" s="93"/>
      <c r="J145" s="93"/>
    </row>
    <row r="146" spans="1:10" s="65" customFormat="1" ht="14" x14ac:dyDescent="0.35">
      <c r="A146" s="145"/>
      <c r="B146" s="152"/>
      <c r="C146" s="93"/>
      <c r="D146" s="93"/>
      <c r="E146" s="95"/>
      <c r="F146" s="95"/>
      <c r="G146" s="95"/>
      <c r="H146" s="93"/>
      <c r="I146" s="93"/>
      <c r="J146" s="93"/>
    </row>
    <row r="147" spans="1:10" s="65" customFormat="1" ht="14" x14ac:dyDescent="0.35">
      <c r="A147" s="145"/>
      <c r="B147" s="152"/>
      <c r="C147" s="93"/>
      <c r="D147" s="93"/>
      <c r="E147" s="95"/>
      <c r="F147" s="95"/>
      <c r="G147" s="95"/>
      <c r="H147" s="93"/>
      <c r="I147" s="93"/>
      <c r="J147" s="93"/>
    </row>
    <row r="148" spans="1:10" s="65" customFormat="1" ht="14" x14ac:dyDescent="0.35">
      <c r="A148" s="145"/>
      <c r="B148" s="152"/>
      <c r="C148" s="93"/>
      <c r="D148" s="93"/>
      <c r="E148" s="95"/>
      <c r="F148" s="95"/>
      <c r="G148" s="95"/>
      <c r="H148" s="93"/>
      <c r="I148" s="93"/>
      <c r="J148" s="93"/>
    </row>
    <row r="149" spans="1:10" s="65" customFormat="1" ht="14" x14ac:dyDescent="0.35">
      <c r="A149" s="145"/>
      <c r="B149" s="152"/>
      <c r="C149" s="93"/>
      <c r="D149" s="93"/>
      <c r="E149" s="95"/>
      <c r="F149" s="95"/>
      <c r="G149" s="95"/>
      <c r="H149" s="93"/>
      <c r="I149" s="93"/>
      <c r="J149" s="93"/>
    </row>
    <row r="150" spans="1:10" s="65" customFormat="1" ht="14" x14ac:dyDescent="0.35">
      <c r="A150" s="145"/>
      <c r="B150" s="152"/>
      <c r="C150" s="93"/>
      <c r="D150" s="93"/>
      <c r="E150" s="95"/>
      <c r="F150" s="95"/>
      <c r="G150" s="95"/>
      <c r="H150" s="93"/>
      <c r="I150" s="93"/>
      <c r="J150" s="93"/>
    </row>
    <row r="151" spans="1:10" s="65" customFormat="1" ht="14" x14ac:dyDescent="0.35">
      <c r="A151" s="145"/>
      <c r="B151" s="152"/>
      <c r="C151" s="93"/>
      <c r="D151" s="93"/>
      <c r="E151" s="95"/>
      <c r="F151" s="95"/>
      <c r="G151" s="95"/>
      <c r="H151" s="93"/>
      <c r="I151" s="93"/>
      <c r="J151" s="93"/>
    </row>
    <row r="152" spans="1:10" s="65" customFormat="1" ht="14" x14ac:dyDescent="0.35">
      <c r="A152" s="145"/>
      <c r="B152" s="152"/>
      <c r="C152" s="93"/>
      <c r="D152" s="93"/>
      <c r="E152" s="95"/>
      <c r="F152" s="95"/>
      <c r="G152" s="95"/>
      <c r="H152" s="93"/>
      <c r="I152" s="93"/>
      <c r="J152" s="93"/>
    </row>
    <row r="153" spans="1:10" s="65" customFormat="1" ht="14" x14ac:dyDescent="0.35">
      <c r="A153" s="145"/>
      <c r="B153" s="152"/>
      <c r="C153" s="93"/>
      <c r="D153" s="93"/>
      <c r="E153" s="95"/>
      <c r="F153" s="95"/>
      <c r="G153" s="95"/>
      <c r="H153" s="93"/>
      <c r="I153" s="93"/>
      <c r="J153" s="93"/>
    </row>
    <row r="154" spans="1:10" s="65" customFormat="1" ht="14" x14ac:dyDescent="0.35">
      <c r="A154" s="145"/>
      <c r="B154" s="152"/>
      <c r="C154" s="93"/>
      <c r="D154" s="93"/>
      <c r="E154" s="95"/>
      <c r="F154" s="95"/>
      <c r="G154" s="95"/>
      <c r="H154" s="93"/>
      <c r="I154" s="93"/>
      <c r="J154" s="93"/>
    </row>
    <row r="155" spans="1:10" s="65" customFormat="1" ht="14" x14ac:dyDescent="0.35">
      <c r="A155" s="145"/>
      <c r="B155" s="152"/>
      <c r="C155" s="93"/>
      <c r="D155" s="93"/>
      <c r="E155" s="95"/>
      <c r="F155" s="95"/>
      <c r="G155" s="95"/>
      <c r="H155" s="93"/>
      <c r="I155" s="93"/>
      <c r="J155" s="93"/>
    </row>
    <row r="156" spans="1:10" s="65" customFormat="1" ht="14" x14ac:dyDescent="0.35">
      <c r="A156" s="145"/>
      <c r="B156" s="152"/>
      <c r="C156" s="93"/>
      <c r="D156" s="93"/>
      <c r="E156" s="95"/>
      <c r="F156" s="95"/>
      <c r="G156" s="95"/>
      <c r="H156" s="93"/>
      <c r="I156" s="93"/>
      <c r="J156" s="93"/>
    </row>
    <row r="157" spans="1:10" s="65" customFormat="1" ht="14" x14ac:dyDescent="0.35">
      <c r="A157" s="145"/>
      <c r="B157" s="152"/>
      <c r="C157" s="93"/>
      <c r="D157" s="93"/>
      <c r="E157" s="95"/>
      <c r="F157" s="95"/>
      <c r="G157" s="95"/>
      <c r="H157" s="93"/>
      <c r="I157" s="93"/>
      <c r="J157" s="93"/>
    </row>
    <row r="158" spans="1:10" s="65" customFormat="1" ht="14" x14ac:dyDescent="0.35">
      <c r="A158" s="145"/>
      <c r="B158" s="152"/>
      <c r="C158" s="93"/>
      <c r="D158" s="93"/>
      <c r="E158" s="95"/>
      <c r="F158" s="95"/>
      <c r="G158" s="95"/>
      <c r="H158" s="93"/>
      <c r="I158" s="93"/>
      <c r="J158" s="93"/>
    </row>
    <row r="159" spans="1:10" s="65" customFormat="1" ht="14" x14ac:dyDescent="0.35">
      <c r="A159" s="145"/>
      <c r="B159" s="152"/>
      <c r="C159" s="93"/>
      <c r="D159" s="93"/>
      <c r="E159" s="95"/>
      <c r="F159" s="95"/>
      <c r="G159" s="95"/>
      <c r="H159" s="93"/>
      <c r="I159" s="93"/>
      <c r="J159" s="93"/>
    </row>
    <row r="160" spans="1:10" s="65" customFormat="1" ht="14" x14ac:dyDescent="0.35">
      <c r="A160" s="145"/>
      <c r="B160" s="152"/>
      <c r="C160" s="93"/>
      <c r="D160" s="93"/>
      <c r="E160" s="95"/>
      <c r="F160" s="95"/>
      <c r="G160" s="95"/>
      <c r="H160" s="93"/>
      <c r="I160" s="93"/>
      <c r="J160" s="93"/>
    </row>
    <row r="161" spans="1:10" s="65" customFormat="1" ht="14" x14ac:dyDescent="0.35">
      <c r="A161" s="145"/>
      <c r="B161" s="152"/>
      <c r="C161" s="93"/>
      <c r="D161" s="93"/>
      <c r="E161" s="95"/>
      <c r="F161" s="95"/>
      <c r="G161" s="95"/>
      <c r="H161" s="93"/>
      <c r="I161" s="93"/>
      <c r="J161" s="93"/>
    </row>
    <row r="162" spans="1:10" s="65" customFormat="1" ht="14" x14ac:dyDescent="0.35">
      <c r="A162" s="145"/>
      <c r="B162" s="152"/>
      <c r="C162" s="93"/>
      <c r="D162" s="93"/>
      <c r="E162" s="95"/>
      <c r="F162" s="95"/>
      <c r="G162" s="95"/>
      <c r="H162" s="93"/>
      <c r="I162" s="93"/>
      <c r="J162" s="93"/>
    </row>
    <row r="163" spans="1:10" s="65" customFormat="1" ht="14" x14ac:dyDescent="0.35">
      <c r="A163" s="145"/>
      <c r="B163" s="152"/>
      <c r="C163" s="93"/>
      <c r="D163" s="93"/>
      <c r="E163" s="95"/>
      <c r="F163" s="95"/>
      <c r="G163" s="95"/>
      <c r="H163" s="93"/>
      <c r="I163" s="93"/>
      <c r="J163" s="93"/>
    </row>
    <row r="164" spans="1:10" s="65" customFormat="1" ht="14" x14ac:dyDescent="0.35">
      <c r="A164" s="145"/>
      <c r="B164" s="152"/>
      <c r="C164" s="93"/>
      <c r="D164" s="93"/>
      <c r="E164" s="95"/>
      <c r="F164" s="95"/>
      <c r="G164" s="95"/>
      <c r="H164" s="93"/>
      <c r="I164" s="93"/>
      <c r="J164" s="93"/>
    </row>
    <row r="165" spans="1:10" s="65" customFormat="1" ht="14" x14ac:dyDescent="0.35">
      <c r="A165" s="145"/>
      <c r="B165" s="152"/>
      <c r="C165" s="93"/>
      <c r="D165" s="93"/>
      <c r="E165" s="95"/>
      <c r="F165" s="95"/>
      <c r="G165" s="95"/>
      <c r="H165" s="93"/>
      <c r="I165" s="93"/>
      <c r="J165" s="93"/>
    </row>
    <row r="166" spans="1:10" s="65" customFormat="1" ht="14" x14ac:dyDescent="0.35">
      <c r="A166" s="145"/>
      <c r="B166" s="152"/>
      <c r="C166" s="93"/>
      <c r="D166" s="93"/>
      <c r="E166" s="95"/>
      <c r="F166" s="95"/>
      <c r="G166" s="95"/>
      <c r="H166" s="93"/>
      <c r="I166" s="93"/>
      <c r="J166" s="93"/>
    </row>
    <row r="167" spans="1:10" s="65" customFormat="1" ht="14" x14ac:dyDescent="0.35">
      <c r="A167" s="145"/>
      <c r="B167" s="152"/>
      <c r="C167" s="93"/>
      <c r="D167" s="93"/>
      <c r="E167" s="95"/>
      <c r="F167" s="95"/>
      <c r="G167" s="95"/>
      <c r="H167" s="93"/>
      <c r="I167" s="93"/>
      <c r="J167" s="93"/>
    </row>
    <row r="168" spans="1:10" s="65" customFormat="1" ht="14" x14ac:dyDescent="0.35">
      <c r="A168" s="145"/>
      <c r="B168" s="152"/>
      <c r="C168" s="93"/>
      <c r="D168" s="93"/>
      <c r="E168" s="95"/>
      <c r="F168" s="95"/>
      <c r="G168" s="95"/>
      <c r="H168" s="93"/>
      <c r="I168" s="93"/>
      <c r="J168" s="93"/>
    </row>
    <row r="169" spans="1:10" s="65" customFormat="1" ht="14" x14ac:dyDescent="0.35">
      <c r="A169" s="145"/>
      <c r="B169" s="152"/>
      <c r="C169" s="93"/>
      <c r="D169" s="93"/>
      <c r="E169" s="95"/>
      <c r="F169" s="95"/>
      <c r="G169" s="95"/>
      <c r="H169" s="93"/>
      <c r="I169" s="93"/>
      <c r="J169" s="93"/>
    </row>
    <row r="170" spans="1:10" s="65" customFormat="1" ht="14" x14ac:dyDescent="0.35">
      <c r="A170" s="145"/>
      <c r="B170" s="152"/>
      <c r="C170" s="93"/>
      <c r="D170" s="93"/>
      <c r="E170" s="95"/>
      <c r="F170" s="95"/>
      <c r="G170" s="95"/>
      <c r="H170" s="93"/>
      <c r="I170" s="93"/>
      <c r="J170" s="93"/>
    </row>
    <row r="171" spans="1:10" s="65" customFormat="1" ht="14" x14ac:dyDescent="0.35">
      <c r="A171" s="145"/>
      <c r="B171" s="152"/>
      <c r="C171" s="93"/>
      <c r="D171" s="93"/>
      <c r="E171" s="95"/>
      <c r="F171" s="95"/>
      <c r="G171" s="95"/>
      <c r="H171" s="93"/>
      <c r="I171" s="93"/>
      <c r="J171" s="93"/>
    </row>
    <row r="172" spans="1:10" s="65" customFormat="1" ht="14" x14ac:dyDescent="0.35">
      <c r="A172" s="145"/>
      <c r="B172" s="152"/>
      <c r="C172" s="93"/>
      <c r="D172" s="93"/>
      <c r="E172" s="95"/>
      <c r="F172" s="95"/>
      <c r="G172" s="95"/>
      <c r="H172" s="93"/>
      <c r="I172" s="93"/>
      <c r="J172" s="93"/>
    </row>
    <row r="173" spans="1:10" s="65" customFormat="1" ht="14" x14ac:dyDescent="0.35">
      <c r="A173" s="145"/>
      <c r="B173" s="152"/>
      <c r="C173" s="93"/>
      <c r="D173" s="93"/>
      <c r="E173" s="95"/>
      <c r="F173" s="95"/>
      <c r="G173" s="95"/>
      <c r="H173" s="93"/>
      <c r="I173" s="93"/>
      <c r="J173" s="93"/>
    </row>
    <row r="174" spans="1:10" s="65" customFormat="1" ht="14" x14ac:dyDescent="0.35">
      <c r="A174" s="145"/>
      <c r="B174" s="152"/>
      <c r="C174" s="93"/>
      <c r="D174" s="93"/>
      <c r="E174" s="95"/>
      <c r="F174" s="95"/>
      <c r="G174" s="95"/>
      <c r="H174" s="93"/>
      <c r="I174" s="93"/>
      <c r="J174" s="93"/>
    </row>
    <row r="175" spans="1:10" s="65" customFormat="1" ht="14" x14ac:dyDescent="0.35">
      <c r="A175" s="145"/>
      <c r="B175" s="152"/>
      <c r="C175" s="93"/>
      <c r="D175" s="93"/>
      <c r="E175" s="95"/>
      <c r="F175" s="95"/>
      <c r="G175" s="95"/>
      <c r="H175" s="93"/>
      <c r="I175" s="93"/>
      <c r="J175" s="93"/>
    </row>
    <row r="176" spans="1:10" s="65" customFormat="1" ht="14" x14ac:dyDescent="0.35">
      <c r="A176" s="145"/>
      <c r="B176" s="152"/>
      <c r="C176" s="93"/>
      <c r="D176" s="93"/>
      <c r="E176" s="95"/>
      <c r="F176" s="95"/>
      <c r="G176" s="95"/>
      <c r="H176" s="93"/>
      <c r="I176" s="93"/>
      <c r="J176" s="93"/>
    </row>
    <row r="177" spans="1:10" s="65" customFormat="1" ht="14" x14ac:dyDescent="0.35">
      <c r="A177" s="145"/>
      <c r="B177" s="152"/>
      <c r="C177" s="93"/>
      <c r="D177" s="93"/>
      <c r="E177" s="95"/>
      <c r="F177" s="95"/>
      <c r="G177" s="95"/>
      <c r="H177" s="93"/>
      <c r="I177" s="93"/>
      <c r="J177" s="93"/>
    </row>
    <row r="178" spans="1:10" s="65" customFormat="1" ht="14" x14ac:dyDescent="0.35">
      <c r="A178" s="145"/>
      <c r="B178" s="152"/>
      <c r="C178" s="93"/>
      <c r="D178" s="93"/>
      <c r="E178" s="95"/>
      <c r="F178" s="95"/>
      <c r="G178" s="95"/>
      <c r="H178" s="93"/>
      <c r="I178" s="93"/>
      <c r="J178" s="93"/>
    </row>
    <row r="179" spans="1:10" s="65" customFormat="1" ht="14" x14ac:dyDescent="0.35">
      <c r="A179" s="145"/>
      <c r="B179" s="152"/>
      <c r="C179" s="93"/>
      <c r="D179" s="93"/>
      <c r="E179" s="95"/>
      <c r="F179" s="95"/>
      <c r="G179" s="95"/>
      <c r="H179" s="93"/>
      <c r="I179" s="93"/>
      <c r="J179" s="93"/>
    </row>
    <row r="180" spans="1:10" s="65" customFormat="1" ht="14" x14ac:dyDescent="0.35">
      <c r="A180" s="145"/>
      <c r="B180" s="152"/>
      <c r="C180" s="93"/>
      <c r="D180" s="93"/>
      <c r="E180" s="95"/>
      <c r="F180" s="95"/>
      <c r="G180" s="95"/>
      <c r="H180" s="93"/>
      <c r="I180" s="93"/>
      <c r="J180" s="93"/>
    </row>
    <row r="181" spans="1:10" s="65" customFormat="1" ht="14" x14ac:dyDescent="0.35">
      <c r="A181" s="145"/>
      <c r="B181" s="152"/>
      <c r="C181" s="93"/>
      <c r="D181" s="93"/>
      <c r="E181" s="95"/>
      <c r="F181" s="95"/>
      <c r="G181" s="95"/>
      <c r="H181" s="93"/>
      <c r="I181" s="93"/>
      <c r="J181" s="93"/>
    </row>
    <row r="182" spans="1:10" s="65" customFormat="1" ht="14" x14ac:dyDescent="0.35">
      <c r="A182" s="145"/>
      <c r="B182" s="152"/>
      <c r="C182" s="93"/>
      <c r="D182" s="93"/>
      <c r="E182" s="95"/>
      <c r="F182" s="95"/>
      <c r="G182" s="95"/>
      <c r="H182" s="93"/>
      <c r="I182" s="93"/>
      <c r="J182" s="93"/>
    </row>
    <row r="183" spans="1:10" s="65" customFormat="1" ht="14" x14ac:dyDescent="0.35">
      <c r="A183" s="145"/>
      <c r="B183" s="152"/>
      <c r="C183" s="93"/>
      <c r="D183" s="93"/>
      <c r="E183" s="95"/>
      <c r="F183" s="95"/>
      <c r="G183" s="95"/>
      <c r="H183" s="93"/>
      <c r="I183" s="93"/>
      <c r="J183" s="93"/>
    </row>
    <row r="184" spans="1:10" s="65" customFormat="1" ht="14" x14ac:dyDescent="0.35">
      <c r="A184" s="145"/>
      <c r="B184" s="152"/>
      <c r="C184" s="93"/>
      <c r="D184" s="93"/>
      <c r="E184" s="95"/>
      <c r="F184" s="95"/>
      <c r="G184" s="95"/>
      <c r="H184" s="93"/>
      <c r="I184" s="93"/>
      <c r="J184" s="93"/>
    </row>
    <row r="185" spans="1:10" s="65" customFormat="1" ht="14" x14ac:dyDescent="0.35">
      <c r="A185" s="145"/>
      <c r="B185" s="152"/>
      <c r="C185" s="93"/>
      <c r="D185" s="93"/>
      <c r="E185" s="95"/>
      <c r="F185" s="95"/>
      <c r="G185" s="95"/>
      <c r="H185" s="93"/>
      <c r="I185" s="93"/>
      <c r="J185" s="93"/>
    </row>
    <row r="186" spans="1:10" s="65" customFormat="1" ht="14" x14ac:dyDescent="0.35">
      <c r="A186" s="145"/>
      <c r="B186" s="152"/>
      <c r="C186" s="93"/>
      <c r="D186" s="93"/>
      <c r="E186" s="95"/>
      <c r="F186" s="95"/>
      <c r="G186" s="95"/>
      <c r="H186" s="93"/>
      <c r="I186" s="93"/>
      <c r="J186" s="93"/>
    </row>
    <row r="187" spans="1:10" s="65" customFormat="1" ht="14" x14ac:dyDescent="0.35">
      <c r="A187" s="145"/>
      <c r="B187" s="152"/>
      <c r="C187" s="93"/>
      <c r="D187" s="93"/>
      <c r="E187" s="95"/>
      <c r="F187" s="95"/>
      <c r="G187" s="95"/>
      <c r="H187" s="93"/>
      <c r="I187" s="93"/>
      <c r="J187" s="93"/>
    </row>
    <row r="188" spans="1:10" s="65" customFormat="1" ht="14" x14ac:dyDescent="0.35">
      <c r="A188" s="145"/>
      <c r="B188" s="152"/>
      <c r="C188" s="93"/>
      <c r="D188" s="93"/>
      <c r="E188" s="95"/>
      <c r="F188" s="95"/>
      <c r="G188" s="95"/>
      <c r="H188" s="93"/>
      <c r="I188" s="93"/>
      <c r="J188" s="93"/>
    </row>
    <row r="189" spans="1:10" s="65" customFormat="1" ht="14" x14ac:dyDescent="0.35">
      <c r="A189" s="145"/>
      <c r="B189" s="152"/>
      <c r="C189" s="93"/>
      <c r="D189" s="93"/>
      <c r="E189" s="95"/>
      <c r="F189" s="95"/>
      <c r="G189" s="95"/>
      <c r="H189" s="93"/>
      <c r="I189" s="93"/>
      <c r="J189" s="93"/>
    </row>
    <row r="190" spans="1:10" s="65" customFormat="1" ht="14" x14ac:dyDescent="0.35">
      <c r="A190" s="145"/>
      <c r="B190" s="152"/>
      <c r="C190" s="93"/>
      <c r="D190" s="93"/>
      <c r="E190" s="95"/>
      <c r="F190" s="95"/>
      <c r="G190" s="95"/>
      <c r="H190" s="93"/>
      <c r="I190" s="93"/>
      <c r="J190" s="93"/>
    </row>
    <row r="191" spans="1:10" s="65" customFormat="1" ht="14" x14ac:dyDescent="0.35">
      <c r="A191" s="145"/>
      <c r="B191" s="152"/>
      <c r="C191" s="93"/>
      <c r="D191" s="93"/>
      <c r="E191" s="95"/>
      <c r="F191" s="95"/>
      <c r="G191" s="95"/>
      <c r="H191" s="93"/>
      <c r="I191" s="93"/>
      <c r="J191" s="93"/>
    </row>
    <row r="192" spans="1:10" s="65" customFormat="1" ht="14" x14ac:dyDescent="0.35">
      <c r="A192" s="145"/>
      <c r="B192" s="152"/>
      <c r="C192" s="93"/>
      <c r="D192" s="93"/>
      <c r="E192" s="95"/>
      <c r="F192" s="95"/>
      <c r="G192" s="95"/>
      <c r="H192" s="93"/>
      <c r="I192" s="93"/>
      <c r="J192" s="93"/>
    </row>
    <row r="193" spans="1:10" s="65" customFormat="1" ht="14" x14ac:dyDescent="0.35">
      <c r="A193" s="145"/>
      <c r="B193" s="152"/>
      <c r="C193" s="93"/>
      <c r="D193" s="93"/>
      <c r="E193" s="95"/>
      <c r="F193" s="95"/>
      <c r="G193" s="95"/>
      <c r="H193" s="93"/>
      <c r="I193" s="93"/>
      <c r="J193" s="93"/>
    </row>
    <row r="194" spans="1:10" s="65" customFormat="1" ht="14" x14ac:dyDescent="0.35">
      <c r="A194" s="145"/>
      <c r="B194" s="152"/>
      <c r="C194" s="93"/>
      <c r="D194" s="93"/>
      <c r="E194" s="95"/>
      <c r="F194" s="95"/>
      <c r="G194" s="95"/>
      <c r="H194" s="93"/>
      <c r="I194" s="93"/>
      <c r="J194" s="93"/>
    </row>
    <row r="195" spans="1:10" s="65" customFormat="1" ht="14" x14ac:dyDescent="0.35">
      <c r="A195" s="145"/>
      <c r="B195" s="152"/>
      <c r="C195" s="93"/>
      <c r="D195" s="93"/>
      <c r="E195" s="95"/>
      <c r="F195" s="95"/>
      <c r="G195" s="95"/>
      <c r="H195" s="93"/>
      <c r="I195" s="93"/>
      <c r="J195" s="93"/>
    </row>
    <row r="196" spans="1:10" s="65" customFormat="1" ht="14" x14ac:dyDescent="0.35">
      <c r="A196" s="145"/>
      <c r="B196" s="152"/>
      <c r="C196" s="93"/>
      <c r="D196" s="93"/>
      <c r="E196" s="95"/>
      <c r="F196" s="95"/>
      <c r="G196" s="95"/>
      <c r="H196" s="93"/>
      <c r="I196" s="93"/>
      <c r="J196" s="93"/>
    </row>
    <row r="197" spans="1:10" s="65" customFormat="1" ht="14" x14ac:dyDescent="0.35">
      <c r="A197" s="145"/>
      <c r="B197" s="152"/>
      <c r="C197" s="93"/>
      <c r="D197" s="93"/>
      <c r="E197" s="95"/>
      <c r="F197" s="95"/>
      <c r="G197" s="95"/>
      <c r="H197" s="93"/>
      <c r="I197" s="93"/>
      <c r="J197" s="93"/>
    </row>
    <row r="198" spans="1:10" s="65" customFormat="1" ht="14" x14ac:dyDescent="0.35">
      <c r="A198" s="145"/>
      <c r="B198" s="152"/>
      <c r="C198" s="93"/>
      <c r="D198" s="93"/>
      <c r="E198" s="95"/>
      <c r="F198" s="95"/>
      <c r="G198" s="95"/>
      <c r="H198" s="93"/>
      <c r="I198" s="93"/>
      <c r="J198" s="93"/>
    </row>
    <row r="199" spans="1:10" s="65" customFormat="1" ht="14" x14ac:dyDescent="0.35">
      <c r="A199" s="145"/>
      <c r="B199" s="152"/>
      <c r="C199" s="93"/>
      <c r="D199" s="93"/>
      <c r="E199" s="95"/>
      <c r="F199" s="95"/>
      <c r="G199" s="95"/>
      <c r="H199" s="93"/>
      <c r="I199" s="93"/>
      <c r="J199" s="93"/>
    </row>
    <row r="200" spans="1:10" s="65" customFormat="1" ht="14" x14ac:dyDescent="0.35">
      <c r="A200" s="145"/>
      <c r="B200" s="152"/>
      <c r="C200" s="93"/>
      <c r="D200" s="93"/>
      <c r="E200" s="95"/>
      <c r="F200" s="95"/>
      <c r="G200" s="95"/>
      <c r="H200" s="93"/>
      <c r="I200" s="93"/>
      <c r="J200" s="93"/>
    </row>
    <row r="201" spans="1:10" s="65" customFormat="1" ht="14" x14ac:dyDescent="0.35">
      <c r="A201" s="145"/>
      <c r="B201" s="152"/>
      <c r="C201" s="93"/>
      <c r="D201" s="93"/>
      <c r="E201" s="95"/>
      <c r="F201" s="95"/>
      <c r="G201" s="95"/>
      <c r="H201" s="93"/>
      <c r="I201" s="93"/>
      <c r="J201" s="93"/>
    </row>
    <row r="202" spans="1:10" s="65" customFormat="1" ht="14" x14ac:dyDescent="0.35">
      <c r="A202" s="145"/>
      <c r="B202" s="152"/>
      <c r="C202" s="93"/>
      <c r="D202" s="93"/>
      <c r="E202" s="95"/>
      <c r="F202" s="95"/>
      <c r="G202" s="95"/>
      <c r="H202" s="93"/>
      <c r="I202" s="93"/>
      <c r="J202" s="93"/>
    </row>
    <row r="203" spans="1:10" s="65" customFormat="1" ht="14" x14ac:dyDescent="0.35">
      <c r="A203" s="145"/>
      <c r="B203" s="152"/>
      <c r="C203" s="93"/>
      <c r="D203" s="93"/>
      <c r="E203" s="95"/>
      <c r="F203" s="95"/>
      <c r="G203" s="95"/>
      <c r="H203" s="93"/>
      <c r="I203" s="93"/>
      <c r="J203" s="93"/>
    </row>
    <row r="204" spans="1:10" s="65" customFormat="1" ht="14" x14ac:dyDescent="0.35">
      <c r="A204" s="145"/>
      <c r="B204" s="152"/>
      <c r="C204" s="93"/>
      <c r="D204" s="93"/>
      <c r="E204" s="95"/>
      <c r="F204" s="95"/>
      <c r="G204" s="95"/>
      <c r="H204" s="93"/>
      <c r="I204" s="93"/>
      <c r="J204" s="93"/>
    </row>
    <row r="205" spans="1:10" s="65" customFormat="1" ht="14" x14ac:dyDescent="0.35">
      <c r="A205" s="145"/>
      <c r="B205" s="152"/>
      <c r="C205" s="93"/>
      <c r="D205" s="93"/>
      <c r="E205" s="95"/>
      <c r="F205" s="95"/>
      <c r="G205" s="95"/>
      <c r="H205" s="93"/>
      <c r="I205" s="93"/>
      <c r="J205" s="93"/>
    </row>
    <row r="206" spans="1:10" s="65" customFormat="1" ht="14" x14ac:dyDescent="0.35">
      <c r="A206" s="145"/>
      <c r="B206" s="152"/>
      <c r="C206" s="93"/>
      <c r="D206" s="93"/>
      <c r="E206" s="95"/>
      <c r="F206" s="95"/>
      <c r="G206" s="95"/>
      <c r="H206" s="93"/>
      <c r="I206" s="93"/>
      <c r="J206" s="93"/>
    </row>
    <row r="207" spans="1:10" s="65" customFormat="1" ht="14" x14ac:dyDescent="0.35">
      <c r="A207" s="145"/>
      <c r="B207" s="152"/>
      <c r="C207" s="93"/>
      <c r="D207" s="93"/>
      <c r="E207" s="95"/>
      <c r="F207" s="95"/>
      <c r="G207" s="95"/>
      <c r="H207" s="93"/>
      <c r="I207" s="93"/>
      <c r="J207" s="93"/>
    </row>
    <row r="208" spans="1:10" s="65" customFormat="1" ht="14" x14ac:dyDescent="0.35">
      <c r="A208" s="145"/>
      <c r="B208" s="152"/>
      <c r="C208" s="93"/>
      <c r="D208" s="93"/>
      <c r="E208" s="95"/>
      <c r="F208" s="95"/>
      <c r="G208" s="95"/>
      <c r="H208" s="93"/>
      <c r="I208" s="93"/>
      <c r="J208" s="93"/>
    </row>
    <row r="209" spans="1:10" s="65" customFormat="1" ht="14" x14ac:dyDescent="0.35">
      <c r="A209" s="145"/>
      <c r="B209" s="152"/>
      <c r="C209" s="93"/>
      <c r="D209" s="93"/>
      <c r="E209" s="95"/>
      <c r="F209" s="95"/>
      <c r="G209" s="95"/>
      <c r="H209" s="93"/>
      <c r="I209" s="93"/>
      <c r="J209" s="93"/>
    </row>
    <row r="210" spans="1:10" s="65" customFormat="1" ht="14" x14ac:dyDescent="0.35">
      <c r="A210" s="145"/>
      <c r="B210" s="152"/>
      <c r="C210" s="93"/>
      <c r="D210" s="93"/>
      <c r="E210" s="95"/>
      <c r="F210" s="95"/>
      <c r="G210" s="95"/>
      <c r="H210" s="93"/>
      <c r="I210" s="93"/>
      <c r="J210" s="93"/>
    </row>
    <row r="211" spans="1:10" s="65" customFormat="1" ht="14" x14ac:dyDescent="0.35">
      <c r="A211" s="145"/>
      <c r="B211" s="152"/>
      <c r="C211" s="93"/>
      <c r="D211" s="93"/>
      <c r="E211" s="95"/>
      <c r="F211" s="95"/>
      <c r="G211" s="95"/>
      <c r="H211" s="93"/>
      <c r="I211" s="93"/>
      <c r="J211" s="93"/>
    </row>
    <row r="212" spans="1:10" s="65" customFormat="1" ht="14" x14ac:dyDescent="0.35">
      <c r="A212" s="145"/>
      <c r="B212" s="152"/>
      <c r="C212" s="93"/>
      <c r="D212" s="93"/>
      <c r="E212" s="95"/>
      <c r="F212" s="95"/>
      <c r="G212" s="95"/>
      <c r="H212" s="93"/>
      <c r="I212" s="93"/>
      <c r="J212" s="93"/>
    </row>
    <row r="213" spans="1:10" s="65" customFormat="1" ht="14" x14ac:dyDescent="0.35">
      <c r="A213" s="145"/>
      <c r="B213" s="152"/>
      <c r="C213" s="93"/>
      <c r="D213" s="93"/>
      <c r="E213" s="95"/>
      <c r="F213" s="95"/>
      <c r="G213" s="95"/>
      <c r="H213" s="93"/>
      <c r="I213" s="93"/>
      <c r="J213" s="93"/>
    </row>
    <row r="214" spans="1:10" s="65" customFormat="1" ht="14" x14ac:dyDescent="0.35">
      <c r="A214" s="145"/>
      <c r="B214" s="152"/>
      <c r="C214" s="93"/>
      <c r="D214" s="93"/>
      <c r="E214" s="95"/>
      <c r="F214" s="95"/>
      <c r="G214" s="95"/>
      <c r="H214" s="93"/>
      <c r="I214" s="93"/>
      <c r="J214" s="93"/>
    </row>
    <row r="215" spans="1:10" s="65" customFormat="1" ht="14" x14ac:dyDescent="0.35">
      <c r="A215" s="145"/>
      <c r="B215" s="152"/>
      <c r="C215" s="93"/>
      <c r="D215" s="93"/>
      <c r="E215" s="95"/>
      <c r="F215" s="95"/>
      <c r="G215" s="95"/>
      <c r="H215" s="93"/>
      <c r="I215" s="93"/>
      <c r="J215" s="93"/>
    </row>
    <row r="216" spans="1:10" s="65" customFormat="1" ht="14" x14ac:dyDescent="0.35">
      <c r="A216" s="145"/>
      <c r="B216" s="152"/>
      <c r="C216" s="93"/>
      <c r="D216" s="93"/>
      <c r="E216" s="95"/>
      <c r="F216" s="95"/>
      <c r="G216" s="95"/>
      <c r="H216" s="93"/>
      <c r="I216" s="93"/>
      <c r="J216" s="93"/>
    </row>
    <row r="217" spans="1:10" s="65" customFormat="1" ht="14" x14ac:dyDescent="0.35">
      <c r="A217" s="145"/>
      <c r="B217" s="152"/>
      <c r="C217" s="93"/>
      <c r="D217" s="93"/>
      <c r="E217" s="95"/>
      <c r="F217" s="95"/>
      <c r="G217" s="95"/>
      <c r="H217" s="93"/>
      <c r="I217" s="93"/>
      <c r="J217" s="93"/>
    </row>
    <row r="218" spans="1:10" s="65" customFormat="1" ht="14" x14ac:dyDescent="0.35">
      <c r="A218" s="145"/>
      <c r="B218" s="152"/>
      <c r="C218" s="93"/>
      <c r="D218" s="93"/>
      <c r="E218" s="95"/>
      <c r="F218" s="95"/>
      <c r="G218" s="95"/>
      <c r="H218" s="93"/>
      <c r="I218" s="93"/>
      <c r="J218" s="93"/>
    </row>
    <row r="219" spans="1:10" s="65" customFormat="1" ht="14" x14ac:dyDescent="0.35">
      <c r="A219" s="145"/>
      <c r="B219" s="152"/>
      <c r="C219" s="93"/>
      <c r="D219" s="93"/>
      <c r="E219" s="95"/>
      <c r="F219" s="95"/>
      <c r="G219" s="95"/>
      <c r="H219" s="93"/>
      <c r="I219" s="93"/>
      <c r="J219" s="93"/>
    </row>
    <row r="220" spans="1:10" s="65" customFormat="1" ht="14" x14ac:dyDescent="0.35">
      <c r="A220" s="145"/>
      <c r="B220" s="152"/>
      <c r="C220" s="93"/>
      <c r="D220" s="93"/>
      <c r="E220" s="95"/>
      <c r="F220" s="95"/>
      <c r="G220" s="95"/>
      <c r="H220" s="93"/>
      <c r="I220" s="93"/>
      <c r="J220" s="93"/>
    </row>
    <row r="221" spans="1:10" s="65" customFormat="1" ht="14" x14ac:dyDescent="0.35">
      <c r="A221" s="145"/>
      <c r="B221" s="152"/>
      <c r="C221" s="93"/>
      <c r="D221" s="93"/>
      <c r="E221" s="95"/>
      <c r="F221" s="95"/>
      <c r="G221" s="95"/>
      <c r="H221" s="93"/>
      <c r="I221" s="93"/>
      <c r="J221" s="93"/>
    </row>
    <row r="222" spans="1:10" s="65" customFormat="1" ht="14" x14ac:dyDescent="0.35">
      <c r="A222" s="145"/>
      <c r="B222" s="152"/>
      <c r="C222" s="93"/>
      <c r="D222" s="93"/>
      <c r="E222" s="95"/>
      <c r="F222" s="95"/>
      <c r="G222" s="95"/>
      <c r="H222" s="93"/>
      <c r="I222" s="93"/>
      <c r="J222" s="93"/>
    </row>
    <row r="223" spans="1:10" s="65" customFormat="1" ht="14" x14ac:dyDescent="0.35">
      <c r="A223" s="145"/>
      <c r="B223" s="152"/>
      <c r="C223" s="93"/>
      <c r="D223" s="93"/>
      <c r="E223" s="95"/>
      <c r="F223" s="95"/>
      <c r="G223" s="95"/>
      <c r="H223" s="93"/>
      <c r="I223" s="93"/>
      <c r="J223" s="93"/>
    </row>
    <row r="224" spans="1:10" s="65" customFormat="1" ht="14" x14ac:dyDescent="0.35">
      <c r="A224" s="145"/>
      <c r="B224" s="152"/>
      <c r="C224" s="93"/>
      <c r="D224" s="93"/>
      <c r="E224" s="95"/>
      <c r="F224" s="95"/>
      <c r="G224" s="95"/>
      <c r="H224" s="93"/>
      <c r="I224" s="93"/>
      <c r="J224" s="93"/>
    </row>
    <row r="225" spans="1:10" s="65" customFormat="1" ht="14" x14ac:dyDescent="0.35">
      <c r="A225" s="145"/>
      <c r="B225" s="152"/>
      <c r="C225" s="93"/>
      <c r="D225" s="93"/>
      <c r="E225" s="95"/>
      <c r="F225" s="95"/>
      <c r="G225" s="95"/>
      <c r="H225" s="93"/>
      <c r="I225" s="93"/>
      <c r="J225" s="93"/>
    </row>
    <row r="226" spans="1:10" s="65" customFormat="1" ht="14" x14ac:dyDescent="0.35">
      <c r="A226" s="145"/>
      <c r="B226" s="152"/>
      <c r="C226" s="93"/>
      <c r="D226" s="93"/>
      <c r="E226" s="95"/>
      <c r="F226" s="95"/>
      <c r="G226" s="95"/>
      <c r="H226" s="93"/>
      <c r="I226" s="93"/>
      <c r="J226" s="93"/>
    </row>
    <row r="227" spans="1:10" s="65" customFormat="1" ht="14" x14ac:dyDescent="0.35">
      <c r="A227" s="145"/>
      <c r="B227" s="152"/>
      <c r="C227" s="93"/>
      <c r="D227" s="93"/>
      <c r="E227" s="95"/>
      <c r="F227" s="95"/>
      <c r="G227" s="95"/>
      <c r="H227" s="93"/>
      <c r="I227" s="93"/>
      <c r="J227" s="93"/>
    </row>
    <row r="228" spans="1:10" s="65" customFormat="1" ht="14" x14ac:dyDescent="0.35">
      <c r="A228" s="145"/>
      <c r="B228" s="152"/>
      <c r="C228" s="93"/>
      <c r="D228" s="93"/>
      <c r="E228" s="95"/>
      <c r="F228" s="95"/>
      <c r="G228" s="95"/>
      <c r="H228" s="93"/>
      <c r="I228" s="93"/>
      <c r="J228" s="93"/>
    </row>
    <row r="229" spans="1:10" s="65" customFormat="1" ht="14" x14ac:dyDescent="0.35">
      <c r="A229" s="145"/>
      <c r="B229" s="152"/>
      <c r="C229" s="93"/>
      <c r="D229" s="93"/>
      <c r="E229" s="95"/>
      <c r="F229" s="95"/>
      <c r="G229" s="95"/>
      <c r="H229" s="93"/>
      <c r="I229" s="93"/>
      <c r="J229" s="93"/>
    </row>
    <row r="230" spans="1:10" s="65" customFormat="1" ht="14" x14ac:dyDescent="0.35">
      <c r="A230" s="145"/>
      <c r="B230" s="152"/>
      <c r="C230" s="93"/>
      <c r="D230" s="93"/>
      <c r="E230" s="95"/>
      <c r="F230" s="95"/>
      <c r="G230" s="95"/>
      <c r="H230" s="93"/>
      <c r="I230" s="93"/>
      <c r="J230" s="93"/>
    </row>
    <row r="231" spans="1:10" s="65" customFormat="1" ht="14" x14ac:dyDescent="0.35">
      <c r="A231" s="145"/>
      <c r="B231" s="152"/>
      <c r="C231" s="93"/>
      <c r="D231" s="93"/>
      <c r="E231" s="95"/>
      <c r="F231" s="95"/>
      <c r="G231" s="95"/>
      <c r="H231" s="93"/>
      <c r="I231" s="93"/>
      <c r="J231" s="93"/>
    </row>
    <row r="232" spans="1:10" s="65" customFormat="1" ht="14" x14ac:dyDescent="0.35">
      <c r="A232" s="145"/>
      <c r="B232" s="152"/>
      <c r="C232" s="93"/>
      <c r="D232" s="93"/>
      <c r="E232" s="95"/>
      <c r="F232" s="95"/>
      <c r="G232" s="95"/>
      <c r="H232" s="93"/>
      <c r="I232" s="93"/>
      <c r="J232" s="93"/>
    </row>
    <row r="233" spans="1:10" s="65" customFormat="1" ht="14" x14ac:dyDescent="0.35">
      <c r="A233" s="145"/>
      <c r="B233" s="152"/>
      <c r="C233" s="93"/>
      <c r="D233" s="93"/>
      <c r="E233" s="95"/>
      <c r="F233" s="95"/>
      <c r="G233" s="95"/>
      <c r="H233" s="93"/>
      <c r="I233" s="93"/>
      <c r="J233" s="93"/>
    </row>
    <row r="234" spans="1:10" s="65" customFormat="1" ht="14" x14ac:dyDescent="0.35">
      <c r="A234" s="145"/>
      <c r="B234" s="152"/>
      <c r="C234" s="93"/>
      <c r="D234" s="93"/>
      <c r="E234" s="95"/>
      <c r="F234" s="95"/>
      <c r="G234" s="95"/>
      <c r="H234" s="93"/>
      <c r="I234" s="93"/>
      <c r="J234" s="93"/>
    </row>
    <row r="235" spans="1:10" s="65" customFormat="1" ht="14" x14ac:dyDescent="0.35">
      <c r="A235" s="145"/>
      <c r="B235" s="152"/>
      <c r="C235" s="93"/>
      <c r="D235" s="93"/>
      <c r="E235" s="95"/>
      <c r="F235" s="95"/>
      <c r="G235" s="95"/>
      <c r="H235" s="93"/>
      <c r="I235" s="93"/>
      <c r="J235" s="93"/>
    </row>
    <row r="236" spans="1:10" s="65" customFormat="1" ht="14" x14ac:dyDescent="0.35">
      <c r="A236" s="145"/>
      <c r="B236" s="152"/>
      <c r="C236" s="93"/>
      <c r="D236" s="93"/>
      <c r="E236" s="95"/>
      <c r="F236" s="95"/>
      <c r="G236" s="95"/>
      <c r="H236" s="93"/>
      <c r="I236" s="93"/>
      <c r="J236" s="93"/>
    </row>
    <row r="237" spans="1:10" s="65" customFormat="1" ht="14" x14ac:dyDescent="0.35">
      <c r="A237" s="145"/>
      <c r="B237" s="152"/>
      <c r="C237" s="93"/>
      <c r="D237" s="93"/>
      <c r="E237" s="95"/>
      <c r="F237" s="95"/>
      <c r="G237" s="95"/>
      <c r="H237" s="93"/>
      <c r="I237" s="93"/>
      <c r="J237" s="93"/>
    </row>
    <row r="238" spans="1:10" s="65" customFormat="1" ht="14" x14ac:dyDescent="0.35">
      <c r="A238" s="145"/>
      <c r="B238" s="152"/>
      <c r="C238" s="93"/>
      <c r="D238" s="93"/>
      <c r="E238" s="95"/>
      <c r="F238" s="95"/>
      <c r="G238" s="95"/>
      <c r="H238" s="93"/>
      <c r="I238" s="93"/>
      <c r="J238" s="93"/>
    </row>
    <row r="239" spans="1:10" s="65" customFormat="1" ht="14" x14ac:dyDescent="0.35">
      <c r="A239" s="145"/>
      <c r="B239" s="152"/>
      <c r="C239" s="93"/>
      <c r="D239" s="93"/>
      <c r="E239" s="95"/>
      <c r="F239" s="95"/>
      <c r="G239" s="95"/>
      <c r="H239" s="93"/>
      <c r="I239" s="93"/>
      <c r="J239" s="93"/>
    </row>
    <row r="240" spans="1:10" s="65" customFormat="1" ht="14" x14ac:dyDescent="0.35">
      <c r="A240" s="145"/>
      <c r="B240" s="152"/>
      <c r="C240" s="93"/>
      <c r="D240" s="93"/>
      <c r="E240" s="95"/>
      <c r="F240" s="95"/>
      <c r="G240" s="95"/>
      <c r="H240" s="93"/>
      <c r="I240" s="93"/>
      <c r="J240" s="93"/>
    </row>
    <row r="241" spans="1:10" s="65" customFormat="1" ht="14" x14ac:dyDescent="0.35">
      <c r="A241" s="145"/>
      <c r="B241" s="152"/>
      <c r="C241" s="93"/>
      <c r="D241" s="93"/>
      <c r="E241" s="95"/>
      <c r="F241" s="95"/>
      <c r="G241" s="95"/>
      <c r="H241" s="93"/>
      <c r="I241" s="93"/>
      <c r="J241" s="93"/>
    </row>
    <row r="242" spans="1:10" s="65" customFormat="1" ht="14" x14ac:dyDescent="0.35">
      <c r="A242" s="145"/>
      <c r="B242" s="152"/>
      <c r="C242" s="93"/>
      <c r="D242" s="93"/>
      <c r="E242" s="95"/>
      <c r="F242" s="95"/>
      <c r="G242" s="95"/>
      <c r="H242" s="93"/>
      <c r="I242" s="93"/>
      <c r="J242" s="93"/>
    </row>
    <row r="243" spans="1:10" s="65" customFormat="1" ht="14" x14ac:dyDescent="0.35">
      <c r="A243" s="145"/>
      <c r="B243" s="152"/>
      <c r="C243" s="93"/>
      <c r="D243" s="93"/>
      <c r="E243" s="95"/>
      <c r="F243" s="95"/>
      <c r="G243" s="95"/>
      <c r="H243" s="93"/>
      <c r="I243" s="93"/>
      <c r="J243" s="93"/>
    </row>
    <row r="244" spans="1:10" s="65" customFormat="1" ht="14" x14ac:dyDescent="0.35">
      <c r="A244" s="145"/>
      <c r="B244" s="152"/>
      <c r="C244" s="93"/>
      <c r="D244" s="93"/>
      <c r="E244" s="95"/>
      <c r="F244" s="95"/>
      <c r="G244" s="95"/>
      <c r="H244" s="93"/>
      <c r="I244" s="93"/>
      <c r="J244" s="93"/>
    </row>
    <row r="245" spans="1:10" s="65" customFormat="1" ht="14" x14ac:dyDescent="0.35">
      <c r="A245" s="145"/>
      <c r="B245" s="152"/>
      <c r="C245" s="93"/>
      <c r="D245" s="93"/>
      <c r="E245" s="95"/>
      <c r="F245" s="95"/>
      <c r="G245" s="95"/>
      <c r="H245" s="93"/>
      <c r="I245" s="93"/>
      <c r="J245" s="93"/>
    </row>
    <row r="246" spans="1:10" s="65" customFormat="1" ht="14" x14ac:dyDescent="0.35">
      <c r="A246" s="145"/>
      <c r="B246" s="152"/>
      <c r="C246" s="93"/>
      <c r="D246" s="93"/>
      <c r="E246" s="95"/>
      <c r="F246" s="95"/>
      <c r="G246" s="95"/>
      <c r="H246" s="93"/>
      <c r="I246" s="93"/>
      <c r="J246" s="93"/>
    </row>
    <row r="247" spans="1:10" s="65" customFormat="1" ht="14" x14ac:dyDescent="0.35">
      <c r="A247" s="145"/>
      <c r="B247" s="152"/>
      <c r="C247" s="93"/>
      <c r="D247" s="93"/>
      <c r="E247" s="95"/>
      <c r="F247" s="95"/>
      <c r="G247" s="95"/>
      <c r="H247" s="93"/>
      <c r="I247" s="93"/>
      <c r="J247" s="93"/>
    </row>
    <row r="248" spans="1:10" s="65" customFormat="1" ht="14" x14ac:dyDescent="0.35">
      <c r="A248" s="145"/>
      <c r="B248" s="152"/>
      <c r="C248" s="93"/>
      <c r="D248" s="93"/>
      <c r="E248" s="95"/>
      <c r="F248" s="95"/>
      <c r="G248" s="95"/>
      <c r="H248" s="93"/>
      <c r="I248" s="93"/>
      <c r="J248" s="93"/>
    </row>
    <row r="249" spans="1:10" s="65" customFormat="1" ht="14" x14ac:dyDescent="0.35">
      <c r="A249" s="145"/>
      <c r="B249" s="152"/>
      <c r="C249" s="93"/>
      <c r="D249" s="93"/>
      <c r="E249" s="95"/>
      <c r="F249" s="95"/>
      <c r="G249" s="95"/>
      <c r="H249" s="93"/>
      <c r="I249" s="93"/>
      <c r="J249" s="93"/>
    </row>
    <row r="250" spans="1:10" s="65" customFormat="1" ht="14" x14ac:dyDescent="0.35">
      <c r="A250" s="145"/>
      <c r="B250" s="152"/>
      <c r="C250" s="93"/>
      <c r="D250" s="93"/>
      <c r="E250" s="95"/>
      <c r="F250" s="95"/>
      <c r="G250" s="95"/>
      <c r="H250" s="93"/>
      <c r="I250" s="93"/>
      <c r="J250" s="93"/>
    </row>
    <row r="251" spans="1:10" s="65" customFormat="1" ht="14" x14ac:dyDescent="0.35">
      <c r="A251" s="145"/>
      <c r="B251" s="152"/>
      <c r="C251" s="93"/>
      <c r="D251" s="93"/>
      <c r="E251" s="95"/>
      <c r="F251" s="95"/>
      <c r="G251" s="95"/>
      <c r="H251" s="93"/>
      <c r="I251" s="93"/>
      <c r="J251" s="93"/>
    </row>
    <row r="252" spans="1:10" s="65" customFormat="1" ht="14" x14ac:dyDescent="0.35">
      <c r="A252" s="145"/>
      <c r="B252" s="152"/>
      <c r="C252" s="93"/>
      <c r="D252" s="93"/>
      <c r="E252" s="95"/>
      <c r="F252" s="95"/>
      <c r="G252" s="95"/>
      <c r="H252" s="93"/>
      <c r="I252" s="93"/>
      <c r="J252" s="93"/>
    </row>
    <row r="253" spans="1:10" s="65" customFormat="1" ht="14" x14ac:dyDescent="0.35">
      <c r="A253" s="145"/>
      <c r="B253" s="152"/>
      <c r="C253" s="93"/>
      <c r="D253" s="93"/>
      <c r="E253" s="95"/>
      <c r="F253" s="95"/>
      <c r="G253" s="95"/>
      <c r="H253" s="93"/>
      <c r="I253" s="93"/>
      <c r="J253" s="93"/>
    </row>
    <row r="254" spans="1:10" s="65" customFormat="1" ht="14" x14ac:dyDescent="0.35">
      <c r="A254" s="145"/>
      <c r="B254" s="152"/>
      <c r="C254" s="93"/>
      <c r="D254" s="93"/>
      <c r="E254" s="95"/>
      <c r="F254" s="95"/>
      <c r="G254" s="95"/>
      <c r="H254" s="93"/>
      <c r="I254" s="93"/>
      <c r="J254" s="93"/>
    </row>
    <row r="255" spans="1:10" s="65" customFormat="1" ht="14" x14ac:dyDescent="0.35">
      <c r="A255" s="145"/>
      <c r="B255" s="152"/>
      <c r="C255" s="93"/>
      <c r="D255" s="93"/>
      <c r="E255" s="95"/>
      <c r="F255" s="95"/>
      <c r="G255" s="95"/>
      <c r="H255" s="93"/>
      <c r="I255" s="93"/>
      <c r="J255" s="93"/>
    </row>
    <row r="256" spans="1:10" s="65" customFormat="1" ht="14" x14ac:dyDescent="0.35">
      <c r="A256" s="145"/>
      <c r="B256" s="152"/>
      <c r="C256" s="93"/>
      <c r="D256" s="93"/>
      <c r="E256" s="95"/>
      <c r="F256" s="95"/>
      <c r="G256" s="95"/>
      <c r="H256" s="93"/>
      <c r="I256" s="93"/>
      <c r="J256" s="93"/>
    </row>
    <row r="257" spans="1:10" s="65" customFormat="1" ht="14" x14ac:dyDescent="0.35">
      <c r="A257" s="145"/>
      <c r="B257" s="152"/>
      <c r="C257" s="93"/>
      <c r="D257" s="93"/>
      <c r="E257" s="95"/>
      <c r="F257" s="95"/>
      <c r="G257" s="95"/>
      <c r="H257" s="93"/>
      <c r="I257" s="93"/>
      <c r="J257" s="93"/>
    </row>
    <row r="258" spans="1:10" s="65" customFormat="1" ht="14" x14ac:dyDescent="0.35">
      <c r="A258" s="145"/>
      <c r="B258" s="152"/>
      <c r="C258" s="93"/>
      <c r="D258" s="93"/>
      <c r="E258" s="95"/>
      <c r="F258" s="95"/>
      <c r="G258" s="95"/>
      <c r="H258" s="93"/>
      <c r="I258" s="93"/>
      <c r="J258" s="93"/>
    </row>
    <row r="259" spans="1:10" s="65" customFormat="1" ht="14" x14ac:dyDescent="0.35">
      <c r="A259" s="145"/>
      <c r="B259" s="152"/>
      <c r="C259" s="93"/>
      <c r="D259" s="93"/>
      <c r="E259" s="95"/>
      <c r="F259" s="95"/>
      <c r="G259" s="95"/>
      <c r="H259" s="93"/>
      <c r="I259" s="93"/>
      <c r="J259" s="93"/>
    </row>
    <row r="260" spans="1:10" s="65" customFormat="1" ht="14" x14ac:dyDescent="0.35">
      <c r="A260" s="145"/>
      <c r="B260" s="152"/>
      <c r="C260" s="93"/>
      <c r="D260" s="93"/>
      <c r="E260" s="95"/>
      <c r="F260" s="95"/>
      <c r="G260" s="95"/>
      <c r="H260" s="93"/>
      <c r="I260" s="93"/>
      <c r="J260" s="93"/>
    </row>
    <row r="261" spans="1:10" s="65" customFormat="1" ht="14" x14ac:dyDescent="0.35">
      <c r="A261" s="145"/>
      <c r="B261" s="152"/>
      <c r="C261" s="93"/>
      <c r="D261" s="93"/>
      <c r="E261" s="95"/>
      <c r="F261" s="95"/>
      <c r="G261" s="95"/>
      <c r="H261" s="93"/>
      <c r="I261" s="93"/>
      <c r="J261" s="93"/>
    </row>
    <row r="262" spans="1:10" s="65" customFormat="1" ht="14" x14ac:dyDescent="0.35">
      <c r="A262" s="145"/>
      <c r="B262" s="152"/>
      <c r="C262" s="93"/>
      <c r="D262" s="93"/>
      <c r="E262" s="95"/>
      <c r="F262" s="95"/>
      <c r="G262" s="95"/>
      <c r="H262" s="93"/>
      <c r="I262" s="93"/>
      <c r="J262" s="93"/>
    </row>
    <row r="263" spans="1:10" s="65" customFormat="1" ht="14" x14ac:dyDescent="0.35">
      <c r="A263" s="145"/>
      <c r="B263" s="152"/>
      <c r="C263" s="93"/>
      <c r="D263" s="93"/>
      <c r="E263" s="95"/>
      <c r="F263" s="95"/>
      <c r="G263" s="95"/>
      <c r="H263" s="93"/>
      <c r="I263" s="93"/>
      <c r="J263" s="93"/>
    </row>
    <row r="264" spans="1:10" s="65" customFormat="1" ht="14" x14ac:dyDescent="0.35">
      <c r="A264" s="145"/>
      <c r="B264" s="152"/>
      <c r="C264" s="93"/>
      <c r="D264" s="93"/>
      <c r="E264" s="95"/>
      <c r="F264" s="95"/>
      <c r="G264" s="95"/>
      <c r="H264" s="93"/>
      <c r="I264" s="93"/>
      <c r="J264" s="93"/>
    </row>
    <row r="265" spans="1:10" s="65" customFormat="1" ht="14" x14ac:dyDescent="0.35">
      <c r="A265" s="145"/>
      <c r="B265" s="152"/>
      <c r="C265" s="93"/>
      <c r="D265" s="93"/>
      <c r="E265" s="95"/>
      <c r="F265" s="95"/>
      <c r="G265" s="95"/>
      <c r="H265" s="93"/>
      <c r="I265" s="93"/>
      <c r="J265" s="93"/>
    </row>
    <row r="266" spans="1:10" s="65" customFormat="1" ht="14" x14ac:dyDescent="0.35">
      <c r="A266" s="145"/>
      <c r="B266" s="152"/>
      <c r="C266" s="93"/>
      <c r="D266" s="93"/>
      <c r="E266" s="95"/>
      <c r="F266" s="95"/>
      <c r="G266" s="95"/>
      <c r="H266" s="93"/>
      <c r="I266" s="93"/>
      <c r="J266" s="93"/>
    </row>
    <row r="267" spans="1:10" s="65" customFormat="1" ht="14" x14ac:dyDescent="0.35">
      <c r="A267" s="145"/>
      <c r="B267" s="152"/>
      <c r="C267" s="93"/>
      <c r="D267" s="93"/>
      <c r="E267" s="95"/>
      <c r="F267" s="95"/>
      <c r="G267" s="95"/>
      <c r="H267" s="93"/>
      <c r="I267" s="93"/>
      <c r="J267" s="93"/>
    </row>
    <row r="268" spans="1:10" s="65" customFormat="1" ht="14" x14ac:dyDescent="0.35">
      <c r="A268" s="145"/>
      <c r="B268" s="152"/>
      <c r="C268" s="93"/>
      <c r="D268" s="93"/>
      <c r="E268" s="95"/>
      <c r="F268" s="95"/>
      <c r="G268" s="95"/>
      <c r="H268" s="93"/>
      <c r="I268" s="93"/>
      <c r="J268" s="93"/>
    </row>
    <row r="269" spans="1:10" s="65" customFormat="1" ht="14" x14ac:dyDescent="0.35">
      <c r="A269" s="145"/>
      <c r="B269" s="152"/>
      <c r="C269" s="93"/>
      <c r="D269" s="93"/>
      <c r="E269" s="95"/>
      <c r="F269" s="95"/>
      <c r="G269" s="95"/>
      <c r="H269" s="93"/>
      <c r="I269" s="93"/>
      <c r="J269" s="93"/>
    </row>
    <row r="270" spans="1:10" s="65" customFormat="1" ht="14" x14ac:dyDescent="0.35">
      <c r="A270" s="145"/>
      <c r="B270" s="152"/>
      <c r="C270" s="93"/>
      <c r="D270" s="93"/>
      <c r="E270" s="95"/>
      <c r="F270" s="95"/>
      <c r="G270" s="95"/>
      <c r="H270" s="93"/>
      <c r="I270" s="93"/>
      <c r="J270" s="93"/>
    </row>
    <row r="271" spans="1:10" s="65" customFormat="1" ht="14" x14ac:dyDescent="0.35">
      <c r="A271" s="145"/>
      <c r="B271" s="152"/>
      <c r="C271" s="93"/>
      <c r="D271" s="93"/>
      <c r="E271" s="95"/>
      <c r="F271" s="95"/>
      <c r="G271" s="95"/>
      <c r="H271" s="93"/>
      <c r="I271" s="93"/>
      <c r="J271" s="93"/>
    </row>
    <row r="272" spans="1:10" s="65" customFormat="1" ht="14" x14ac:dyDescent="0.35">
      <c r="A272" s="145"/>
      <c r="B272" s="152"/>
      <c r="C272" s="93"/>
      <c r="D272" s="93"/>
      <c r="E272" s="95"/>
      <c r="F272" s="95"/>
      <c r="G272" s="95"/>
      <c r="H272" s="93"/>
      <c r="I272" s="93"/>
      <c r="J272" s="93"/>
    </row>
    <row r="273" spans="1:10" s="65" customFormat="1" ht="14" x14ac:dyDescent="0.35">
      <c r="A273" s="145"/>
      <c r="B273" s="152"/>
      <c r="C273" s="93"/>
      <c r="D273" s="93"/>
      <c r="E273" s="95"/>
      <c r="F273" s="95"/>
      <c r="G273" s="95"/>
      <c r="H273" s="93"/>
      <c r="I273" s="93"/>
      <c r="J273" s="93"/>
    </row>
    <row r="274" spans="1:10" s="65" customFormat="1" ht="14" x14ac:dyDescent="0.35">
      <c r="A274" s="145"/>
      <c r="B274" s="152"/>
      <c r="C274" s="93"/>
      <c r="D274" s="93"/>
      <c r="E274" s="95"/>
      <c r="F274" s="95"/>
      <c r="G274" s="95"/>
      <c r="H274" s="93"/>
      <c r="I274" s="93"/>
      <c r="J274" s="93"/>
    </row>
    <row r="275" spans="1:10" s="65" customFormat="1" ht="14" x14ac:dyDescent="0.35">
      <c r="A275" s="145"/>
      <c r="B275" s="152"/>
      <c r="C275" s="93"/>
      <c r="D275" s="93"/>
      <c r="E275" s="95"/>
      <c r="F275" s="95"/>
      <c r="G275" s="95"/>
      <c r="H275" s="93"/>
      <c r="I275" s="93"/>
      <c r="J275" s="93"/>
    </row>
    <row r="276" spans="1:10" s="65" customFormat="1" ht="14" x14ac:dyDescent="0.35">
      <c r="A276" s="145"/>
      <c r="B276" s="152"/>
      <c r="C276" s="93"/>
      <c r="D276" s="93"/>
      <c r="E276" s="95"/>
      <c r="F276" s="95"/>
      <c r="G276" s="95"/>
      <c r="H276" s="93"/>
      <c r="I276" s="93"/>
      <c r="J276" s="93"/>
    </row>
    <row r="277" spans="1:10" s="65" customFormat="1" ht="14" x14ac:dyDescent="0.35">
      <c r="A277" s="145"/>
      <c r="B277" s="152"/>
      <c r="C277" s="93"/>
      <c r="D277" s="93"/>
      <c r="E277" s="95"/>
      <c r="F277" s="95"/>
      <c r="G277" s="95"/>
      <c r="H277" s="93"/>
      <c r="I277" s="93"/>
      <c r="J277" s="93"/>
    </row>
    <row r="278" spans="1:10" s="65" customFormat="1" ht="14" x14ac:dyDescent="0.35">
      <c r="A278" s="145"/>
      <c r="B278" s="152"/>
      <c r="C278" s="93"/>
      <c r="D278" s="93"/>
      <c r="E278" s="95"/>
      <c r="F278" s="95"/>
      <c r="G278" s="95"/>
      <c r="H278" s="93"/>
      <c r="I278" s="93"/>
      <c r="J278" s="93"/>
    </row>
    <row r="279" spans="1:10" s="65" customFormat="1" ht="14" x14ac:dyDescent="0.35">
      <c r="A279" s="145"/>
      <c r="B279" s="152"/>
      <c r="C279" s="93"/>
      <c r="D279" s="93"/>
      <c r="E279" s="95"/>
      <c r="F279" s="95"/>
      <c r="G279" s="95"/>
      <c r="H279" s="93"/>
      <c r="I279" s="93"/>
      <c r="J279" s="93"/>
    </row>
    <row r="280" spans="1:10" s="65" customFormat="1" ht="14" x14ac:dyDescent="0.35">
      <c r="A280" s="145"/>
      <c r="B280" s="152"/>
      <c r="C280" s="93"/>
      <c r="D280" s="93"/>
      <c r="E280" s="95"/>
      <c r="F280" s="95"/>
      <c r="G280" s="95"/>
      <c r="H280" s="93"/>
      <c r="I280" s="93"/>
      <c r="J280" s="93"/>
    </row>
    <row r="281" spans="1:10" s="65" customFormat="1" ht="14" x14ac:dyDescent="0.35">
      <c r="A281" s="145"/>
      <c r="B281" s="152"/>
      <c r="C281" s="93"/>
      <c r="D281" s="93"/>
      <c r="E281" s="95"/>
      <c r="F281" s="95"/>
      <c r="G281" s="95"/>
      <c r="H281" s="93"/>
      <c r="I281" s="93"/>
      <c r="J281" s="93"/>
    </row>
    <row r="282" spans="1:10" s="65" customFormat="1" ht="14" x14ac:dyDescent="0.35">
      <c r="A282" s="145"/>
      <c r="B282" s="152"/>
      <c r="C282" s="93"/>
      <c r="D282" s="93"/>
      <c r="E282" s="95"/>
      <c r="F282" s="95"/>
      <c r="G282" s="95"/>
      <c r="H282" s="93"/>
      <c r="I282" s="93"/>
      <c r="J282" s="93"/>
    </row>
    <row r="283" spans="1:10" s="65" customFormat="1" ht="14" x14ac:dyDescent="0.35">
      <c r="A283" s="145"/>
      <c r="B283" s="152"/>
      <c r="C283" s="93"/>
      <c r="D283" s="93"/>
      <c r="E283" s="95"/>
      <c r="F283" s="95"/>
      <c r="G283" s="95"/>
      <c r="H283" s="93"/>
      <c r="I283" s="93"/>
      <c r="J283" s="93"/>
    </row>
    <row r="284" spans="1:10" s="65" customFormat="1" ht="14" x14ac:dyDescent="0.35">
      <c r="A284" s="145"/>
      <c r="B284" s="152"/>
      <c r="C284" s="93"/>
      <c r="D284" s="93"/>
      <c r="E284" s="95"/>
      <c r="F284" s="95"/>
      <c r="G284" s="95"/>
      <c r="H284" s="93"/>
      <c r="I284" s="93"/>
      <c r="J284" s="93"/>
    </row>
    <row r="285" spans="1:10" s="65" customFormat="1" ht="14" x14ac:dyDescent="0.35">
      <c r="A285" s="145"/>
      <c r="B285" s="152"/>
      <c r="C285" s="93"/>
      <c r="D285" s="93"/>
      <c r="E285" s="95"/>
      <c r="F285" s="95"/>
      <c r="G285" s="95"/>
      <c r="H285" s="93"/>
      <c r="I285" s="93"/>
      <c r="J285" s="93"/>
    </row>
    <row r="286" spans="1:10" s="65" customFormat="1" ht="14" x14ac:dyDescent="0.35">
      <c r="A286" s="145"/>
      <c r="B286" s="152"/>
      <c r="C286" s="93"/>
      <c r="D286" s="93"/>
      <c r="E286" s="95"/>
      <c r="F286" s="95"/>
      <c r="G286" s="95"/>
      <c r="H286" s="93"/>
      <c r="I286" s="93"/>
      <c r="J286" s="93"/>
    </row>
    <row r="287" spans="1:10" s="65" customFormat="1" ht="14" x14ac:dyDescent="0.35">
      <c r="A287" s="145"/>
      <c r="B287" s="152"/>
      <c r="C287" s="93"/>
      <c r="D287" s="93"/>
      <c r="E287" s="95"/>
      <c r="F287" s="95"/>
      <c r="G287" s="95"/>
      <c r="H287" s="93"/>
      <c r="I287" s="93"/>
      <c r="J287" s="93"/>
    </row>
    <row r="288" spans="1:10" s="65" customFormat="1" ht="14" x14ac:dyDescent="0.35">
      <c r="A288" s="145"/>
      <c r="B288" s="152"/>
      <c r="C288" s="93"/>
      <c r="D288" s="93"/>
      <c r="E288" s="95"/>
      <c r="F288" s="95"/>
      <c r="G288" s="95"/>
      <c r="H288" s="93"/>
      <c r="I288" s="93"/>
      <c r="J288" s="93"/>
    </row>
    <row r="289" spans="1:10" s="65" customFormat="1" ht="14" x14ac:dyDescent="0.35">
      <c r="A289" s="145"/>
      <c r="B289" s="152"/>
      <c r="C289" s="93"/>
      <c r="D289" s="93"/>
      <c r="E289" s="95"/>
      <c r="F289" s="95"/>
      <c r="G289" s="95"/>
      <c r="H289" s="93"/>
      <c r="I289" s="93"/>
      <c r="J289" s="93"/>
    </row>
    <row r="290" spans="1:10" s="65" customFormat="1" ht="14" x14ac:dyDescent="0.35">
      <c r="A290" s="145"/>
      <c r="B290" s="152"/>
      <c r="C290" s="93"/>
      <c r="D290" s="93"/>
      <c r="E290" s="95"/>
      <c r="F290" s="95"/>
      <c r="G290" s="95"/>
      <c r="H290" s="93"/>
      <c r="I290" s="93"/>
      <c r="J290" s="93"/>
    </row>
    <row r="291" spans="1:10" s="65" customFormat="1" ht="14" x14ac:dyDescent="0.35">
      <c r="A291" s="145"/>
      <c r="B291" s="152"/>
      <c r="C291" s="93"/>
      <c r="D291" s="93"/>
      <c r="E291" s="95"/>
      <c r="F291" s="95"/>
      <c r="G291" s="95"/>
      <c r="H291" s="93"/>
      <c r="I291" s="93"/>
      <c r="J291" s="93"/>
    </row>
    <row r="292" spans="1:10" s="65" customFormat="1" ht="14" x14ac:dyDescent="0.35">
      <c r="A292" s="145"/>
      <c r="B292" s="152"/>
      <c r="C292" s="93"/>
      <c r="D292" s="93"/>
      <c r="E292" s="95"/>
      <c r="F292" s="95"/>
      <c r="G292" s="95"/>
      <c r="H292" s="93"/>
      <c r="I292" s="93"/>
      <c r="J292" s="93"/>
    </row>
    <row r="293" spans="1:10" s="65" customFormat="1" ht="14" x14ac:dyDescent="0.35">
      <c r="A293" s="145"/>
      <c r="B293" s="152"/>
      <c r="C293" s="93"/>
      <c r="D293" s="93"/>
      <c r="E293" s="95"/>
      <c r="F293" s="95"/>
      <c r="G293" s="95"/>
      <c r="H293" s="93"/>
      <c r="I293" s="93"/>
      <c r="J293" s="93"/>
    </row>
    <row r="294" spans="1:10" s="65" customFormat="1" ht="14" x14ac:dyDescent="0.35">
      <c r="A294" s="145"/>
      <c r="B294" s="152"/>
      <c r="C294" s="93"/>
      <c r="D294" s="93"/>
      <c r="E294" s="95"/>
      <c r="F294" s="95"/>
      <c r="G294" s="95"/>
      <c r="H294" s="93"/>
      <c r="I294" s="93"/>
      <c r="J294" s="93"/>
    </row>
    <row r="295" spans="1:10" s="65" customFormat="1" ht="14" x14ac:dyDescent="0.35">
      <c r="A295" s="145"/>
      <c r="B295" s="152"/>
      <c r="C295" s="93"/>
      <c r="D295" s="93"/>
      <c r="E295" s="95"/>
      <c r="F295" s="95"/>
      <c r="G295" s="95"/>
      <c r="H295" s="93"/>
      <c r="I295" s="93"/>
      <c r="J295" s="93"/>
    </row>
    <row r="296" spans="1:10" s="65" customFormat="1" ht="14" x14ac:dyDescent="0.35">
      <c r="A296" s="145"/>
      <c r="B296" s="152"/>
      <c r="C296" s="93"/>
      <c r="D296" s="93"/>
      <c r="E296" s="95"/>
      <c r="F296" s="95"/>
      <c r="G296" s="95"/>
      <c r="H296" s="93"/>
      <c r="I296" s="93"/>
      <c r="J296" s="93"/>
    </row>
    <row r="297" spans="1:10" s="65" customFormat="1" ht="14" x14ac:dyDescent="0.35">
      <c r="A297" s="145"/>
      <c r="B297" s="152"/>
      <c r="C297" s="93"/>
      <c r="D297" s="93"/>
      <c r="E297" s="95"/>
      <c r="F297" s="95"/>
      <c r="G297" s="95"/>
      <c r="H297" s="93"/>
      <c r="I297" s="93"/>
      <c r="J297" s="93"/>
    </row>
    <row r="298" spans="1:10" s="65" customFormat="1" ht="14" x14ac:dyDescent="0.35">
      <c r="A298" s="145"/>
      <c r="B298" s="152"/>
      <c r="C298" s="93"/>
      <c r="D298" s="93"/>
      <c r="E298" s="95"/>
      <c r="F298" s="95"/>
      <c r="G298" s="95"/>
      <c r="H298" s="93"/>
      <c r="I298" s="93"/>
      <c r="J298" s="93"/>
    </row>
    <row r="299" spans="1:10" s="65" customFormat="1" ht="14" x14ac:dyDescent="0.35">
      <c r="A299" s="145"/>
      <c r="B299" s="152"/>
      <c r="C299" s="93"/>
      <c r="D299" s="93"/>
      <c r="E299" s="95"/>
      <c r="F299" s="95"/>
      <c r="G299" s="95"/>
      <c r="H299" s="93"/>
      <c r="I299" s="93"/>
      <c r="J299" s="93"/>
    </row>
    <row r="300" spans="1:10" s="65" customFormat="1" ht="14" x14ac:dyDescent="0.35">
      <c r="A300" s="145"/>
      <c r="B300" s="152"/>
      <c r="C300" s="93"/>
      <c r="D300" s="93"/>
      <c r="E300" s="95"/>
      <c r="F300" s="95"/>
      <c r="G300" s="95"/>
      <c r="H300" s="93"/>
      <c r="I300" s="93"/>
      <c r="J300" s="93"/>
    </row>
    <row r="301" spans="1:10" s="65" customFormat="1" ht="14" x14ac:dyDescent="0.35">
      <c r="A301" s="145"/>
      <c r="B301" s="152"/>
      <c r="C301" s="93"/>
      <c r="D301" s="93"/>
      <c r="E301" s="95"/>
      <c r="F301" s="95"/>
      <c r="G301" s="95"/>
      <c r="H301" s="93"/>
      <c r="I301" s="93"/>
      <c r="J301" s="93"/>
    </row>
    <row r="302" spans="1:10" s="65" customFormat="1" ht="14" x14ac:dyDescent="0.35">
      <c r="A302" s="145"/>
      <c r="B302" s="152"/>
      <c r="C302" s="93"/>
      <c r="D302" s="93"/>
      <c r="E302" s="95"/>
      <c r="F302" s="95"/>
      <c r="G302" s="95"/>
      <c r="H302" s="93"/>
      <c r="I302" s="93"/>
      <c r="J302" s="93"/>
    </row>
    <row r="303" spans="1:10" s="65" customFormat="1" ht="14" x14ac:dyDescent="0.35">
      <c r="A303" s="145"/>
      <c r="B303" s="152"/>
      <c r="C303" s="93"/>
      <c r="D303" s="93"/>
      <c r="E303" s="95"/>
      <c r="F303" s="95"/>
      <c r="G303" s="95"/>
      <c r="H303" s="93"/>
      <c r="I303" s="93"/>
      <c r="J303" s="93"/>
    </row>
    <row r="304" spans="1:10" s="65" customFormat="1" ht="14" x14ac:dyDescent="0.35">
      <c r="A304" s="145"/>
      <c r="B304" s="152"/>
      <c r="C304" s="93"/>
      <c r="D304" s="93"/>
      <c r="E304" s="95"/>
      <c r="F304" s="95"/>
      <c r="G304" s="95"/>
      <c r="H304" s="93"/>
      <c r="I304" s="93"/>
      <c r="J304" s="93"/>
    </row>
    <row r="305" spans="1:10" s="65" customFormat="1" ht="14" x14ac:dyDescent="0.35">
      <c r="A305" s="145"/>
      <c r="B305" s="152"/>
      <c r="C305" s="93"/>
      <c r="D305" s="93"/>
      <c r="E305" s="95"/>
      <c r="F305" s="95"/>
      <c r="G305" s="95"/>
      <c r="H305" s="93"/>
      <c r="I305" s="93"/>
      <c r="J305" s="93"/>
    </row>
    <row r="306" spans="1:10" s="65" customFormat="1" ht="14" x14ac:dyDescent="0.35">
      <c r="A306" s="145"/>
      <c r="B306" s="152"/>
      <c r="C306" s="93"/>
      <c r="D306" s="93"/>
      <c r="E306" s="95"/>
      <c r="F306" s="95"/>
      <c r="G306" s="95"/>
      <c r="H306" s="93"/>
      <c r="I306" s="93"/>
      <c r="J306" s="93"/>
    </row>
    <row r="307" spans="1:10" s="65" customFormat="1" ht="14" x14ac:dyDescent="0.35">
      <c r="A307" s="145"/>
      <c r="B307" s="152"/>
      <c r="C307" s="93"/>
      <c r="D307" s="93"/>
      <c r="E307" s="95"/>
      <c r="F307" s="95"/>
      <c r="G307" s="95"/>
      <c r="H307" s="93"/>
      <c r="I307" s="93"/>
      <c r="J307" s="93"/>
    </row>
    <row r="308" spans="1:10" s="65" customFormat="1" ht="14" x14ac:dyDescent="0.35">
      <c r="A308" s="145"/>
      <c r="B308" s="152"/>
      <c r="C308" s="93"/>
      <c r="D308" s="93"/>
      <c r="E308" s="95"/>
      <c r="F308" s="95"/>
      <c r="G308" s="95"/>
      <c r="H308" s="93"/>
      <c r="I308" s="93"/>
      <c r="J308" s="93"/>
    </row>
    <row r="309" spans="1:10" s="65" customFormat="1" ht="14" x14ac:dyDescent="0.35">
      <c r="A309" s="145"/>
      <c r="B309" s="152"/>
      <c r="C309" s="93"/>
      <c r="D309" s="93"/>
      <c r="E309" s="95"/>
      <c r="F309" s="95"/>
      <c r="G309" s="95"/>
      <c r="H309" s="93"/>
      <c r="I309" s="93"/>
      <c r="J309" s="93"/>
    </row>
    <row r="310" spans="1:10" s="65" customFormat="1" ht="14" x14ac:dyDescent="0.35">
      <c r="A310" s="145"/>
      <c r="B310" s="152"/>
      <c r="C310" s="93"/>
      <c r="D310" s="93"/>
      <c r="E310" s="95"/>
      <c r="F310" s="95"/>
      <c r="G310" s="95"/>
      <c r="H310" s="93"/>
      <c r="I310" s="93"/>
      <c r="J310" s="93"/>
    </row>
    <row r="311" spans="1:10" s="65" customFormat="1" ht="14" x14ac:dyDescent="0.35">
      <c r="A311" s="145"/>
      <c r="B311" s="152"/>
      <c r="C311" s="93"/>
      <c r="D311" s="93"/>
      <c r="E311" s="95"/>
      <c r="F311" s="95"/>
      <c r="G311" s="95"/>
      <c r="H311" s="93"/>
      <c r="I311" s="93"/>
      <c r="J311" s="93"/>
    </row>
    <row r="312" spans="1:10" s="65" customFormat="1" ht="14" x14ac:dyDescent="0.35">
      <c r="A312" s="145"/>
      <c r="B312" s="152"/>
      <c r="C312" s="93"/>
      <c r="D312" s="93"/>
      <c r="E312" s="95"/>
      <c r="F312" s="95"/>
      <c r="G312" s="95"/>
      <c r="H312" s="93"/>
      <c r="I312" s="93"/>
      <c r="J312" s="93"/>
    </row>
    <row r="313" spans="1:10" s="65" customFormat="1" ht="14" x14ac:dyDescent="0.35">
      <c r="A313" s="145"/>
      <c r="B313" s="152"/>
      <c r="C313" s="93"/>
      <c r="D313" s="93"/>
      <c r="E313" s="95"/>
      <c r="F313" s="95"/>
      <c r="G313" s="95"/>
      <c r="H313" s="93"/>
      <c r="I313" s="93"/>
      <c r="J313" s="93"/>
    </row>
    <row r="314" spans="1:10" s="65" customFormat="1" ht="14" x14ac:dyDescent="0.35">
      <c r="A314" s="145"/>
      <c r="B314" s="152"/>
      <c r="C314" s="93"/>
      <c r="D314" s="93"/>
      <c r="E314" s="95"/>
      <c r="F314" s="95"/>
      <c r="G314" s="95"/>
      <c r="H314" s="93"/>
      <c r="I314" s="93"/>
      <c r="J314" s="93"/>
    </row>
    <row r="315" spans="1:10" s="65" customFormat="1" ht="14" x14ac:dyDescent="0.35">
      <c r="A315" s="145"/>
      <c r="B315" s="152"/>
      <c r="C315" s="93"/>
      <c r="D315" s="93"/>
      <c r="E315" s="95"/>
      <c r="F315" s="95"/>
      <c r="G315" s="95"/>
      <c r="H315" s="93"/>
      <c r="I315" s="93"/>
      <c r="J315" s="93"/>
    </row>
    <row r="316" spans="1:10" s="65" customFormat="1" ht="14" x14ac:dyDescent="0.35">
      <c r="A316" s="145"/>
      <c r="B316" s="152"/>
      <c r="C316" s="93"/>
      <c r="D316" s="93"/>
      <c r="E316" s="95"/>
      <c r="F316" s="95"/>
      <c r="G316" s="95"/>
      <c r="H316" s="93"/>
      <c r="I316" s="93"/>
      <c r="J316" s="93"/>
    </row>
    <row r="317" spans="1:10" s="65" customFormat="1" ht="14" x14ac:dyDescent="0.35">
      <c r="A317" s="145"/>
      <c r="B317" s="152"/>
      <c r="C317" s="93"/>
      <c r="D317" s="93"/>
      <c r="E317" s="95"/>
      <c r="F317" s="95"/>
      <c r="G317" s="95"/>
      <c r="H317" s="93"/>
      <c r="I317" s="93"/>
      <c r="J317" s="93"/>
    </row>
    <row r="318" spans="1:10" s="65" customFormat="1" ht="14" x14ac:dyDescent="0.35">
      <c r="A318" s="145"/>
      <c r="B318" s="152"/>
      <c r="C318" s="93"/>
      <c r="D318" s="93"/>
      <c r="E318" s="95"/>
      <c r="F318" s="95"/>
      <c r="G318" s="95"/>
      <c r="H318" s="93"/>
      <c r="I318" s="93"/>
      <c r="J318" s="93"/>
    </row>
    <row r="319" spans="1:10" s="65" customFormat="1" ht="14" x14ac:dyDescent="0.35">
      <c r="A319" s="145"/>
      <c r="B319" s="152"/>
      <c r="C319" s="93"/>
      <c r="D319" s="93"/>
      <c r="E319" s="95"/>
      <c r="F319" s="95"/>
      <c r="G319" s="95"/>
      <c r="H319" s="93"/>
      <c r="I319" s="93"/>
      <c r="J319" s="93"/>
    </row>
    <row r="320" spans="1:10" s="65" customFormat="1" ht="14" x14ac:dyDescent="0.35">
      <c r="A320" s="145"/>
      <c r="B320" s="152"/>
      <c r="C320" s="93"/>
      <c r="D320" s="93"/>
      <c r="E320" s="95"/>
      <c r="F320" s="95"/>
      <c r="G320" s="95"/>
      <c r="H320" s="93"/>
      <c r="I320" s="93"/>
      <c r="J320" s="93"/>
    </row>
    <row r="321" spans="1:10" s="65" customFormat="1" ht="14" x14ac:dyDescent="0.35">
      <c r="A321" s="145"/>
      <c r="B321" s="152"/>
      <c r="C321" s="93"/>
      <c r="D321" s="93"/>
      <c r="E321" s="95"/>
      <c r="F321" s="95"/>
      <c r="G321" s="95"/>
      <c r="H321" s="93"/>
      <c r="I321" s="93"/>
      <c r="J321" s="93"/>
    </row>
    <row r="322" spans="1:10" s="65" customFormat="1" ht="14" x14ac:dyDescent="0.35">
      <c r="A322" s="145"/>
      <c r="B322" s="152"/>
      <c r="C322" s="93"/>
      <c r="D322" s="93"/>
      <c r="E322" s="95"/>
      <c r="F322" s="95"/>
      <c r="G322" s="95"/>
      <c r="H322" s="93"/>
      <c r="I322" s="93"/>
      <c r="J322" s="93"/>
    </row>
    <row r="323" spans="1:10" s="65" customFormat="1" ht="14" x14ac:dyDescent="0.35">
      <c r="A323" s="145"/>
      <c r="B323" s="152"/>
      <c r="C323" s="93"/>
      <c r="D323" s="93"/>
      <c r="E323" s="95"/>
      <c r="F323" s="95"/>
      <c r="G323" s="95"/>
      <c r="H323" s="93"/>
      <c r="I323" s="93"/>
      <c r="J323" s="93"/>
    </row>
    <row r="324" spans="1:10" s="65" customFormat="1" ht="14" x14ac:dyDescent="0.35">
      <c r="A324" s="145"/>
      <c r="B324" s="152"/>
      <c r="C324" s="93"/>
      <c r="D324" s="93"/>
      <c r="E324" s="95"/>
      <c r="F324" s="95"/>
      <c r="G324" s="95"/>
      <c r="H324" s="93"/>
      <c r="I324" s="93"/>
      <c r="J324" s="93"/>
    </row>
    <row r="325" spans="1:10" s="65" customFormat="1" ht="14" x14ac:dyDescent="0.35">
      <c r="A325" s="145"/>
      <c r="B325" s="152"/>
      <c r="C325" s="93"/>
      <c r="D325" s="93"/>
      <c r="E325" s="95"/>
      <c r="F325" s="95"/>
      <c r="G325" s="95"/>
      <c r="H325" s="93"/>
      <c r="I325" s="93"/>
      <c r="J325" s="93"/>
    </row>
    <row r="326" spans="1:10" s="65" customFormat="1" ht="14" x14ac:dyDescent="0.35">
      <c r="A326" s="145"/>
      <c r="B326" s="152"/>
      <c r="C326" s="93"/>
      <c r="D326" s="93"/>
      <c r="E326" s="95"/>
      <c r="F326" s="95"/>
      <c r="G326" s="95"/>
      <c r="H326" s="93"/>
      <c r="I326" s="93"/>
      <c r="J326" s="93"/>
    </row>
    <row r="327" spans="1:10" s="65" customFormat="1" ht="14" x14ac:dyDescent="0.35">
      <c r="A327" s="145"/>
      <c r="B327" s="152"/>
      <c r="C327" s="93"/>
      <c r="D327" s="93"/>
      <c r="E327" s="95"/>
      <c r="F327" s="95"/>
      <c r="G327" s="95"/>
      <c r="H327" s="93"/>
      <c r="I327" s="93"/>
      <c r="J327" s="93"/>
    </row>
    <row r="328" spans="1:10" s="65" customFormat="1" ht="14" x14ac:dyDescent="0.35">
      <c r="A328" s="145"/>
      <c r="B328" s="152"/>
      <c r="C328" s="93"/>
      <c r="D328" s="93"/>
      <c r="E328" s="95"/>
      <c r="F328" s="95"/>
      <c r="G328" s="95"/>
      <c r="H328" s="93"/>
      <c r="I328" s="93"/>
      <c r="J328" s="93"/>
    </row>
    <row r="329" spans="1:10" s="65" customFormat="1" ht="14" x14ac:dyDescent="0.35">
      <c r="A329" s="145"/>
      <c r="B329" s="152"/>
      <c r="C329" s="93"/>
      <c r="D329" s="93"/>
      <c r="E329" s="95"/>
      <c r="F329" s="95"/>
      <c r="G329" s="95"/>
      <c r="H329" s="93"/>
      <c r="I329" s="93"/>
      <c r="J329" s="93"/>
    </row>
    <row r="330" spans="1:10" s="65" customFormat="1" ht="14" x14ac:dyDescent="0.35">
      <c r="A330" s="145"/>
      <c r="B330" s="152"/>
      <c r="C330" s="93"/>
      <c r="D330" s="93"/>
      <c r="E330" s="95"/>
      <c r="F330" s="95"/>
      <c r="G330" s="95"/>
      <c r="H330" s="93"/>
      <c r="I330" s="93"/>
      <c r="J330" s="93"/>
    </row>
    <row r="331" spans="1:10" s="65" customFormat="1" ht="14" x14ac:dyDescent="0.35">
      <c r="A331" s="145"/>
      <c r="B331" s="152"/>
      <c r="C331" s="93"/>
      <c r="D331" s="93"/>
      <c r="E331" s="95"/>
      <c r="F331" s="95"/>
      <c r="G331" s="95"/>
      <c r="H331" s="93"/>
      <c r="I331" s="93"/>
      <c r="J331" s="93"/>
    </row>
    <row r="332" spans="1:10" s="65" customFormat="1" ht="14" x14ac:dyDescent="0.35">
      <c r="A332" s="145"/>
      <c r="B332" s="152"/>
      <c r="C332" s="93"/>
      <c r="D332" s="93"/>
      <c r="E332" s="95"/>
      <c r="F332" s="95"/>
      <c r="G332" s="95"/>
      <c r="H332" s="93"/>
      <c r="I332" s="93"/>
      <c r="J332" s="93"/>
    </row>
    <row r="333" spans="1:10" s="65" customFormat="1" ht="14" x14ac:dyDescent="0.35">
      <c r="A333" s="145"/>
      <c r="B333" s="152"/>
      <c r="C333" s="93"/>
      <c r="D333" s="93"/>
      <c r="E333" s="95"/>
      <c r="F333" s="95"/>
      <c r="G333" s="95"/>
      <c r="H333" s="93"/>
      <c r="I333" s="93"/>
      <c r="J333" s="93"/>
    </row>
    <row r="334" spans="1:10" s="65" customFormat="1" ht="14" x14ac:dyDescent="0.35">
      <c r="A334" s="145"/>
      <c r="B334" s="152"/>
      <c r="C334" s="93"/>
      <c r="D334" s="93"/>
      <c r="E334" s="95"/>
      <c r="F334" s="95"/>
      <c r="G334" s="95"/>
      <c r="H334" s="93"/>
      <c r="I334" s="93"/>
      <c r="J334" s="93"/>
    </row>
    <row r="335" spans="1:10" s="65" customFormat="1" ht="14" x14ac:dyDescent="0.35">
      <c r="A335" s="145"/>
      <c r="B335" s="152"/>
      <c r="C335" s="93"/>
      <c r="D335" s="93"/>
      <c r="E335" s="95"/>
      <c r="F335" s="95"/>
      <c r="G335" s="95"/>
      <c r="H335" s="93"/>
      <c r="I335" s="93"/>
      <c r="J335" s="93"/>
    </row>
    <row r="336" spans="1:10" s="65" customFormat="1" ht="14" x14ac:dyDescent="0.35">
      <c r="A336" s="145"/>
      <c r="B336" s="152"/>
      <c r="C336" s="93"/>
      <c r="D336" s="93"/>
      <c r="E336" s="95"/>
      <c r="F336" s="95"/>
      <c r="G336" s="95"/>
      <c r="H336" s="93"/>
      <c r="I336" s="93"/>
      <c r="J336" s="93"/>
    </row>
    <row r="337" spans="1:10" s="65" customFormat="1" ht="14" x14ac:dyDescent="0.35">
      <c r="A337" s="145"/>
      <c r="B337" s="152"/>
      <c r="C337" s="93"/>
      <c r="D337" s="93"/>
      <c r="E337" s="95"/>
      <c r="F337" s="95"/>
      <c r="G337" s="95"/>
      <c r="H337" s="93"/>
      <c r="I337" s="93"/>
      <c r="J337" s="93"/>
    </row>
    <row r="338" spans="1:10" s="65" customFormat="1" ht="14" x14ac:dyDescent="0.35">
      <c r="A338" s="145"/>
      <c r="B338" s="152"/>
      <c r="C338" s="93"/>
      <c r="D338" s="93"/>
      <c r="E338" s="95"/>
      <c r="F338" s="95"/>
      <c r="G338" s="95"/>
      <c r="H338" s="93"/>
      <c r="I338" s="93"/>
      <c r="J338" s="93"/>
    </row>
    <row r="339" spans="1:10" s="65" customFormat="1" ht="14" x14ac:dyDescent="0.35">
      <c r="A339" s="145"/>
      <c r="B339" s="152"/>
      <c r="C339" s="93"/>
      <c r="D339" s="93"/>
      <c r="E339" s="95"/>
      <c r="F339" s="95"/>
      <c r="G339" s="95"/>
      <c r="H339" s="93"/>
      <c r="I339" s="93"/>
      <c r="J339" s="93"/>
    </row>
    <row r="340" spans="1:10" s="65" customFormat="1" ht="14" x14ac:dyDescent="0.35">
      <c r="A340" s="145"/>
      <c r="B340" s="152"/>
      <c r="C340" s="93"/>
      <c r="D340" s="93"/>
      <c r="E340" s="95"/>
      <c r="F340" s="95"/>
      <c r="G340" s="95"/>
      <c r="H340" s="93"/>
      <c r="I340" s="93"/>
      <c r="J340" s="93"/>
    </row>
    <row r="341" spans="1:10" s="65" customFormat="1" ht="14" x14ac:dyDescent="0.35">
      <c r="A341" s="145"/>
      <c r="B341" s="152"/>
      <c r="C341" s="93"/>
      <c r="D341" s="93"/>
      <c r="E341" s="95"/>
      <c r="F341" s="95"/>
      <c r="G341" s="95"/>
      <c r="H341" s="93"/>
      <c r="I341" s="93"/>
      <c r="J341" s="93"/>
    </row>
    <row r="342" spans="1:10" s="65" customFormat="1" ht="14" x14ac:dyDescent="0.35">
      <c r="A342" s="145"/>
      <c r="B342" s="152"/>
      <c r="C342" s="93"/>
      <c r="D342" s="93"/>
      <c r="E342" s="95"/>
      <c r="F342" s="95"/>
      <c r="G342" s="95"/>
      <c r="H342" s="93"/>
      <c r="I342" s="93"/>
      <c r="J342" s="93"/>
    </row>
    <row r="343" spans="1:10" s="65" customFormat="1" ht="14" x14ac:dyDescent="0.35">
      <c r="A343" s="145"/>
      <c r="B343" s="152"/>
      <c r="C343" s="93"/>
      <c r="D343" s="93"/>
      <c r="E343" s="95"/>
      <c r="F343" s="95"/>
      <c r="G343" s="95"/>
      <c r="H343" s="93"/>
      <c r="I343" s="93"/>
      <c r="J343" s="93"/>
    </row>
    <row r="344" spans="1:10" s="65" customFormat="1" ht="14" x14ac:dyDescent="0.35">
      <c r="A344" s="145"/>
      <c r="B344" s="152"/>
      <c r="C344" s="93"/>
      <c r="D344" s="93"/>
      <c r="E344" s="95"/>
      <c r="F344" s="95"/>
      <c r="G344" s="95"/>
      <c r="H344" s="93"/>
      <c r="I344" s="93"/>
      <c r="J344" s="93"/>
    </row>
    <row r="345" spans="1:10" s="65" customFormat="1" ht="14" x14ac:dyDescent="0.35">
      <c r="A345" s="145"/>
      <c r="B345" s="152"/>
      <c r="C345" s="93"/>
      <c r="D345" s="93"/>
      <c r="E345" s="95"/>
      <c r="F345" s="95"/>
      <c r="G345" s="95"/>
      <c r="H345" s="93"/>
      <c r="I345" s="93"/>
      <c r="J345" s="93"/>
    </row>
    <row r="346" spans="1:10" s="65" customFormat="1" ht="14" x14ac:dyDescent="0.35">
      <c r="A346" s="145"/>
      <c r="B346" s="152"/>
      <c r="C346" s="93"/>
      <c r="D346" s="93"/>
      <c r="E346" s="95"/>
      <c r="F346" s="95"/>
      <c r="G346" s="95"/>
      <c r="H346" s="93"/>
      <c r="I346" s="93"/>
      <c r="J346" s="93"/>
    </row>
    <row r="347" spans="1:10" s="65" customFormat="1" ht="14" x14ac:dyDescent="0.35">
      <c r="A347" s="145"/>
      <c r="B347" s="152"/>
      <c r="C347" s="93"/>
      <c r="D347" s="93"/>
      <c r="E347" s="95"/>
      <c r="F347" s="95"/>
      <c r="G347" s="95"/>
      <c r="H347" s="93"/>
      <c r="I347" s="93"/>
      <c r="J347" s="93"/>
    </row>
    <row r="348" spans="1:10" s="65" customFormat="1" ht="14" x14ac:dyDescent="0.35">
      <c r="A348" s="145"/>
      <c r="B348" s="152"/>
      <c r="C348" s="93"/>
      <c r="D348" s="93"/>
      <c r="E348" s="95"/>
      <c r="F348" s="95"/>
      <c r="G348" s="95"/>
      <c r="H348" s="93"/>
      <c r="I348" s="93"/>
      <c r="J348" s="93"/>
    </row>
    <row r="349" spans="1:10" s="65" customFormat="1" ht="14" x14ac:dyDescent="0.35">
      <c r="A349" s="145"/>
      <c r="B349" s="152"/>
      <c r="C349" s="93"/>
      <c r="D349" s="93"/>
      <c r="E349" s="95"/>
      <c r="F349" s="95"/>
      <c r="G349" s="95"/>
      <c r="H349" s="93"/>
      <c r="I349" s="93"/>
      <c r="J349" s="93"/>
    </row>
    <row r="350" spans="1:10" s="65" customFormat="1" ht="14" x14ac:dyDescent="0.35">
      <c r="A350" s="145"/>
      <c r="B350" s="152"/>
      <c r="C350" s="93"/>
      <c r="D350" s="93"/>
      <c r="E350" s="95"/>
      <c r="F350" s="95"/>
      <c r="G350" s="95"/>
      <c r="H350" s="93"/>
      <c r="I350" s="93"/>
      <c r="J350" s="93"/>
    </row>
    <row r="351" spans="1:10" s="65" customFormat="1" ht="14" x14ac:dyDescent="0.35">
      <c r="A351" s="145"/>
      <c r="B351" s="152"/>
      <c r="C351" s="93"/>
      <c r="D351" s="93"/>
      <c r="E351" s="95"/>
      <c r="F351" s="95"/>
      <c r="G351" s="95"/>
      <c r="H351" s="93"/>
      <c r="I351" s="93"/>
      <c r="J351" s="93"/>
    </row>
    <row r="352" spans="1:10" s="65" customFormat="1" ht="14" x14ac:dyDescent="0.35">
      <c r="A352" s="145"/>
      <c r="B352" s="152"/>
      <c r="C352" s="93"/>
      <c r="D352" s="93"/>
      <c r="E352" s="95"/>
      <c r="F352" s="95"/>
      <c r="G352" s="95"/>
      <c r="H352" s="93"/>
      <c r="I352" s="93"/>
      <c r="J352" s="93"/>
    </row>
    <row r="353" spans="1:10" s="65" customFormat="1" ht="14" x14ac:dyDescent="0.35">
      <c r="A353" s="145"/>
      <c r="B353" s="152"/>
      <c r="C353" s="93"/>
      <c r="D353" s="93"/>
      <c r="E353" s="95"/>
      <c r="F353" s="95"/>
      <c r="G353" s="95"/>
      <c r="H353" s="93"/>
      <c r="I353" s="93"/>
      <c r="J353" s="93"/>
    </row>
    <row r="354" spans="1:10" s="65" customFormat="1" ht="14" x14ac:dyDescent="0.35">
      <c r="A354" s="145"/>
      <c r="B354" s="152"/>
      <c r="C354" s="93"/>
      <c r="D354" s="93"/>
      <c r="E354" s="95"/>
      <c r="F354" s="95"/>
      <c r="G354" s="95"/>
      <c r="H354" s="93"/>
      <c r="I354" s="93"/>
      <c r="J354" s="93"/>
    </row>
    <row r="355" spans="1:10" s="65" customFormat="1" ht="14" x14ac:dyDescent="0.35">
      <c r="A355" s="145"/>
      <c r="B355" s="152"/>
      <c r="C355" s="93"/>
      <c r="D355" s="93"/>
      <c r="E355" s="95"/>
      <c r="F355" s="95"/>
      <c r="G355" s="95"/>
      <c r="H355" s="93"/>
      <c r="I355" s="93"/>
      <c r="J355" s="93"/>
    </row>
    <row r="356" spans="1:10" s="65" customFormat="1" ht="14" x14ac:dyDescent="0.35">
      <c r="A356" s="145"/>
      <c r="B356" s="152"/>
      <c r="C356" s="93"/>
      <c r="D356" s="93"/>
      <c r="E356" s="95"/>
      <c r="F356" s="95"/>
      <c r="G356" s="95"/>
      <c r="H356" s="93"/>
      <c r="I356" s="93"/>
      <c r="J356" s="93"/>
    </row>
    <row r="357" spans="1:10" s="65" customFormat="1" ht="14" x14ac:dyDescent="0.35">
      <c r="A357" s="145"/>
      <c r="B357" s="152"/>
      <c r="C357" s="93"/>
      <c r="D357" s="93"/>
      <c r="E357" s="95"/>
      <c r="F357" s="95"/>
      <c r="G357" s="95"/>
      <c r="H357" s="93"/>
      <c r="I357" s="93"/>
      <c r="J357" s="93"/>
    </row>
    <row r="358" spans="1:10" s="65" customFormat="1" ht="14" x14ac:dyDescent="0.35">
      <c r="A358" s="145"/>
      <c r="B358" s="152"/>
      <c r="C358" s="93"/>
      <c r="D358" s="93"/>
      <c r="E358" s="95"/>
      <c r="F358" s="95"/>
      <c r="G358" s="95"/>
      <c r="H358" s="93"/>
      <c r="I358" s="93"/>
      <c r="J358" s="93"/>
    </row>
    <row r="359" spans="1:10" s="65" customFormat="1" ht="14" x14ac:dyDescent="0.35">
      <c r="A359" s="145"/>
      <c r="B359" s="152"/>
      <c r="C359" s="93"/>
      <c r="D359" s="93"/>
      <c r="E359" s="95"/>
      <c r="F359" s="95"/>
      <c r="G359" s="95"/>
      <c r="H359" s="93"/>
      <c r="I359" s="93"/>
      <c r="J359" s="93"/>
    </row>
    <row r="360" spans="1:10" s="65" customFormat="1" ht="14" x14ac:dyDescent="0.35">
      <c r="A360" s="145"/>
      <c r="B360" s="152"/>
      <c r="C360" s="93"/>
      <c r="D360" s="93"/>
      <c r="E360" s="95"/>
      <c r="F360" s="95"/>
      <c r="G360" s="95"/>
      <c r="H360" s="93"/>
      <c r="I360" s="93"/>
      <c r="J360" s="93"/>
    </row>
    <row r="361" spans="1:10" s="65" customFormat="1" ht="14" x14ac:dyDescent="0.35">
      <c r="A361" s="145"/>
      <c r="B361" s="152"/>
      <c r="C361" s="93"/>
      <c r="D361" s="93"/>
      <c r="E361" s="95"/>
      <c r="F361" s="95"/>
      <c r="G361" s="95"/>
      <c r="H361" s="93"/>
      <c r="I361" s="93"/>
      <c r="J361" s="93"/>
    </row>
    <row r="362" spans="1:10" s="65" customFormat="1" ht="14" x14ac:dyDescent="0.35">
      <c r="A362" s="145"/>
      <c r="B362" s="152"/>
      <c r="C362" s="93"/>
      <c r="D362" s="93"/>
      <c r="E362" s="95"/>
      <c r="F362" s="95"/>
      <c r="G362" s="95"/>
      <c r="H362" s="93"/>
      <c r="I362" s="93"/>
      <c r="J362" s="93"/>
    </row>
    <row r="363" spans="1:10" s="65" customFormat="1" ht="14" x14ac:dyDescent="0.35">
      <c r="A363" s="145"/>
      <c r="B363" s="152"/>
      <c r="C363" s="93"/>
      <c r="D363" s="93"/>
      <c r="E363" s="95"/>
      <c r="F363" s="95"/>
      <c r="G363" s="95"/>
      <c r="H363" s="93"/>
      <c r="I363" s="93"/>
      <c r="J363" s="93"/>
    </row>
    <row r="364" spans="1:10" s="65" customFormat="1" ht="14" x14ac:dyDescent="0.35">
      <c r="A364" s="145"/>
      <c r="B364" s="152"/>
      <c r="C364" s="93"/>
      <c r="D364" s="93"/>
      <c r="E364" s="95"/>
      <c r="F364" s="95"/>
      <c r="G364" s="95"/>
      <c r="H364" s="93"/>
      <c r="I364" s="93"/>
      <c r="J364" s="93"/>
    </row>
    <row r="365" spans="1:10" s="65" customFormat="1" ht="14" x14ac:dyDescent="0.35">
      <c r="A365" s="145"/>
      <c r="B365" s="152"/>
      <c r="C365" s="93"/>
      <c r="D365" s="93"/>
      <c r="E365" s="95"/>
      <c r="F365" s="95"/>
      <c r="G365" s="95"/>
      <c r="H365" s="93"/>
      <c r="I365" s="93"/>
      <c r="J365" s="93"/>
    </row>
    <row r="366" spans="1:10" s="65" customFormat="1" ht="14" x14ac:dyDescent="0.35">
      <c r="A366" s="145"/>
      <c r="B366" s="152"/>
      <c r="C366" s="93"/>
      <c r="D366" s="93"/>
      <c r="E366" s="95"/>
      <c r="F366" s="95"/>
      <c r="G366" s="95"/>
      <c r="H366" s="93"/>
      <c r="I366" s="93"/>
      <c r="J366" s="93"/>
    </row>
    <row r="367" spans="1:10" s="65" customFormat="1" ht="14" x14ac:dyDescent="0.35">
      <c r="A367" s="145"/>
      <c r="B367" s="152"/>
      <c r="C367" s="93"/>
      <c r="D367" s="93"/>
      <c r="E367" s="95"/>
      <c r="F367" s="95"/>
      <c r="G367" s="95"/>
      <c r="H367" s="93"/>
      <c r="I367" s="93"/>
      <c r="J367" s="93"/>
    </row>
    <row r="368" spans="1:10" s="65" customFormat="1" ht="14" x14ac:dyDescent="0.35">
      <c r="A368" s="145"/>
      <c r="B368" s="152"/>
      <c r="C368" s="93"/>
      <c r="D368" s="93"/>
      <c r="E368" s="95"/>
      <c r="F368" s="95"/>
      <c r="G368" s="95"/>
      <c r="H368" s="93"/>
      <c r="I368" s="93"/>
      <c r="J368" s="93"/>
    </row>
    <row r="369" spans="1:10" s="65" customFormat="1" ht="14" x14ac:dyDescent="0.35">
      <c r="A369" s="145"/>
      <c r="B369" s="152"/>
      <c r="C369" s="93"/>
      <c r="D369" s="93"/>
      <c r="E369" s="95"/>
      <c r="F369" s="95"/>
      <c r="G369" s="95"/>
      <c r="H369" s="93"/>
      <c r="I369" s="93"/>
      <c r="J369" s="93"/>
    </row>
    <row r="370" spans="1:10" s="65" customFormat="1" ht="14" x14ac:dyDescent="0.35">
      <c r="A370" s="145"/>
      <c r="B370" s="152"/>
      <c r="C370" s="93"/>
      <c r="D370" s="93"/>
      <c r="E370" s="95"/>
      <c r="F370" s="95"/>
      <c r="G370" s="95"/>
      <c r="H370" s="93"/>
      <c r="I370" s="93"/>
      <c r="J370" s="93"/>
    </row>
    <row r="371" spans="1:10" s="65" customFormat="1" ht="14" x14ac:dyDescent="0.35">
      <c r="A371" s="145"/>
      <c r="B371" s="152"/>
      <c r="C371" s="93"/>
      <c r="D371" s="93"/>
      <c r="E371" s="95"/>
      <c r="F371" s="95"/>
      <c r="G371" s="95"/>
      <c r="H371" s="93"/>
      <c r="I371" s="93"/>
      <c r="J371" s="93"/>
    </row>
    <row r="372" spans="1:10" s="65" customFormat="1" ht="14" x14ac:dyDescent="0.35">
      <c r="A372" s="145"/>
      <c r="B372" s="152"/>
      <c r="C372" s="93"/>
      <c r="D372" s="93"/>
      <c r="E372" s="95"/>
      <c r="F372" s="95"/>
      <c r="G372" s="95"/>
      <c r="H372" s="93"/>
      <c r="I372" s="93"/>
      <c r="J372" s="93"/>
    </row>
    <row r="373" spans="1:10" s="65" customFormat="1" ht="14" x14ac:dyDescent="0.35">
      <c r="A373" s="145"/>
      <c r="B373" s="152"/>
      <c r="C373" s="93"/>
      <c r="D373" s="93"/>
      <c r="E373" s="95"/>
      <c r="F373" s="95"/>
      <c r="G373" s="95"/>
      <c r="H373" s="93"/>
      <c r="I373" s="93"/>
      <c r="J373" s="93"/>
    </row>
    <row r="374" spans="1:10" s="65" customFormat="1" ht="14" x14ac:dyDescent="0.35">
      <c r="A374" s="145"/>
      <c r="B374" s="152"/>
      <c r="C374" s="93"/>
      <c r="D374" s="93"/>
      <c r="E374" s="95"/>
      <c r="F374" s="95"/>
      <c r="G374" s="95"/>
      <c r="H374" s="93"/>
      <c r="I374" s="93"/>
      <c r="J374" s="93"/>
    </row>
    <row r="375" spans="1:10" s="65" customFormat="1" ht="14" x14ac:dyDescent="0.35">
      <c r="A375" s="145"/>
      <c r="B375" s="152"/>
      <c r="C375" s="93"/>
      <c r="D375" s="93"/>
      <c r="E375" s="95"/>
      <c r="F375" s="95"/>
      <c r="G375" s="95"/>
      <c r="H375" s="93"/>
      <c r="I375" s="93"/>
      <c r="J375" s="93"/>
    </row>
    <row r="376" spans="1:10" s="65" customFormat="1" ht="14" x14ac:dyDescent="0.35">
      <c r="A376" s="145"/>
      <c r="B376" s="152"/>
      <c r="C376" s="93"/>
      <c r="D376" s="93"/>
      <c r="E376" s="95"/>
      <c r="F376" s="95"/>
      <c r="G376" s="95"/>
      <c r="H376" s="93"/>
      <c r="I376" s="93"/>
      <c r="J376" s="93"/>
    </row>
    <row r="377" spans="1:10" s="65" customFormat="1" ht="14" x14ac:dyDescent="0.35">
      <c r="A377" s="145"/>
      <c r="B377" s="152"/>
      <c r="C377" s="93"/>
      <c r="D377" s="93"/>
      <c r="E377" s="95"/>
      <c r="F377" s="95"/>
      <c r="G377" s="95"/>
      <c r="H377" s="93"/>
      <c r="I377" s="93"/>
      <c r="J377" s="93"/>
    </row>
    <row r="378" spans="1:10" s="65" customFormat="1" ht="14" x14ac:dyDescent="0.35">
      <c r="A378" s="145"/>
      <c r="B378" s="152"/>
      <c r="C378" s="93"/>
      <c r="D378" s="93"/>
      <c r="E378" s="95"/>
      <c r="F378" s="95"/>
      <c r="G378" s="95"/>
      <c r="H378" s="93"/>
      <c r="I378" s="93"/>
      <c r="J378" s="93"/>
    </row>
    <row r="379" spans="1:10" s="65" customFormat="1" ht="14" x14ac:dyDescent="0.35">
      <c r="A379" s="145"/>
      <c r="B379" s="152"/>
      <c r="C379" s="93"/>
      <c r="D379" s="93"/>
      <c r="E379" s="95"/>
      <c r="F379" s="95"/>
      <c r="G379" s="95"/>
      <c r="H379" s="93"/>
      <c r="I379" s="93"/>
      <c r="J379" s="93"/>
    </row>
    <row r="380" spans="1:10" s="65" customFormat="1" ht="14" x14ac:dyDescent="0.35">
      <c r="A380" s="145"/>
      <c r="B380" s="152"/>
      <c r="C380" s="93"/>
      <c r="D380" s="93"/>
      <c r="E380" s="95"/>
      <c r="F380" s="95"/>
      <c r="G380" s="95"/>
      <c r="H380" s="93"/>
      <c r="I380" s="93"/>
      <c r="J380" s="93"/>
    </row>
    <row r="381" spans="1:10" s="65" customFormat="1" ht="14" x14ac:dyDescent="0.35">
      <c r="A381" s="145"/>
      <c r="B381" s="152"/>
      <c r="C381" s="93"/>
      <c r="D381" s="93"/>
      <c r="E381" s="95"/>
      <c r="F381" s="95"/>
      <c r="G381" s="95"/>
      <c r="H381" s="93"/>
      <c r="I381" s="93"/>
      <c r="J381" s="93"/>
    </row>
    <row r="382" spans="1:10" s="65" customFormat="1" ht="14" x14ac:dyDescent="0.35">
      <c r="A382" s="145"/>
      <c r="B382" s="152"/>
      <c r="C382" s="93"/>
      <c r="D382" s="93"/>
      <c r="E382" s="95"/>
      <c r="F382" s="95"/>
      <c r="G382" s="95"/>
      <c r="H382" s="93"/>
      <c r="I382" s="93"/>
      <c r="J382" s="93"/>
    </row>
    <row r="383" spans="1:10" s="65" customFormat="1" ht="14" x14ac:dyDescent="0.35">
      <c r="A383" s="145"/>
      <c r="B383" s="152"/>
      <c r="C383" s="93"/>
      <c r="D383" s="93"/>
      <c r="E383" s="95"/>
      <c r="F383" s="95"/>
      <c r="G383" s="95"/>
      <c r="H383" s="93"/>
      <c r="I383" s="93"/>
      <c r="J383" s="93"/>
    </row>
    <row r="384" spans="1:10" s="65" customFormat="1" ht="14" x14ac:dyDescent="0.35">
      <c r="A384" s="145"/>
      <c r="B384" s="152"/>
      <c r="C384" s="93"/>
      <c r="D384" s="93"/>
      <c r="E384" s="95"/>
      <c r="F384" s="95"/>
      <c r="G384" s="95"/>
      <c r="H384" s="93"/>
      <c r="I384" s="93"/>
      <c r="J384" s="93"/>
    </row>
    <row r="385" spans="1:10" s="65" customFormat="1" ht="14" x14ac:dyDescent="0.35">
      <c r="A385" s="145"/>
      <c r="B385" s="152"/>
      <c r="C385" s="93"/>
      <c r="D385" s="93"/>
      <c r="E385" s="95"/>
      <c r="F385" s="95"/>
      <c r="G385" s="95"/>
      <c r="H385" s="93"/>
      <c r="I385" s="93"/>
      <c r="J385" s="93"/>
    </row>
    <row r="386" spans="1:10" s="65" customFormat="1" ht="14" x14ac:dyDescent="0.35">
      <c r="A386" s="145"/>
      <c r="B386" s="152"/>
      <c r="C386" s="93"/>
      <c r="D386" s="93"/>
      <c r="E386" s="95"/>
      <c r="F386" s="95"/>
      <c r="G386" s="95"/>
      <c r="H386" s="93"/>
      <c r="I386" s="93"/>
      <c r="J386" s="93"/>
    </row>
    <row r="387" spans="1:10" s="65" customFormat="1" ht="14" x14ac:dyDescent="0.35">
      <c r="A387" s="145"/>
      <c r="B387" s="152"/>
      <c r="C387" s="93"/>
      <c r="D387" s="93"/>
      <c r="E387" s="95"/>
      <c r="F387" s="95"/>
      <c r="G387" s="95"/>
      <c r="H387" s="93"/>
      <c r="I387" s="93"/>
      <c r="J387" s="93"/>
    </row>
    <row r="388" spans="1:10" s="65" customFormat="1" ht="14" x14ac:dyDescent="0.35">
      <c r="A388" s="145"/>
      <c r="B388" s="152"/>
      <c r="C388" s="93"/>
      <c r="D388" s="93"/>
      <c r="E388" s="95"/>
      <c r="F388" s="95"/>
      <c r="G388" s="95"/>
      <c r="H388" s="93"/>
      <c r="I388" s="93"/>
      <c r="J388" s="93"/>
    </row>
    <row r="389" spans="1:10" s="65" customFormat="1" ht="14" x14ac:dyDescent="0.35">
      <c r="A389" s="145"/>
      <c r="B389" s="152"/>
      <c r="C389" s="93"/>
      <c r="D389" s="93"/>
      <c r="E389" s="95"/>
      <c r="F389" s="95"/>
      <c r="G389" s="95"/>
      <c r="H389" s="93"/>
      <c r="I389" s="93"/>
      <c r="J389" s="93"/>
    </row>
    <row r="390" spans="1:10" s="65" customFormat="1" ht="14" x14ac:dyDescent="0.35">
      <c r="A390" s="145"/>
      <c r="B390" s="152"/>
      <c r="C390" s="93"/>
      <c r="D390" s="93"/>
      <c r="E390" s="95"/>
      <c r="F390" s="95"/>
      <c r="G390" s="95"/>
      <c r="H390" s="93"/>
      <c r="I390" s="93"/>
      <c r="J390" s="93"/>
    </row>
    <row r="391" spans="1:10" s="65" customFormat="1" ht="14" x14ac:dyDescent="0.35">
      <c r="A391" s="145"/>
      <c r="B391" s="152"/>
      <c r="C391" s="93"/>
      <c r="D391" s="93"/>
      <c r="E391" s="95"/>
      <c r="F391" s="95"/>
      <c r="G391" s="95"/>
      <c r="H391" s="93"/>
      <c r="I391" s="93"/>
      <c r="J391" s="93"/>
    </row>
    <row r="392" spans="1:10" s="65" customFormat="1" ht="14" x14ac:dyDescent="0.35">
      <c r="A392" s="145"/>
      <c r="B392" s="152"/>
      <c r="C392" s="93"/>
      <c r="D392" s="93"/>
      <c r="E392" s="95"/>
      <c r="F392" s="95"/>
      <c r="G392" s="95"/>
      <c r="H392" s="93"/>
      <c r="I392" s="93"/>
      <c r="J392" s="93"/>
    </row>
    <row r="393" spans="1:10" s="65" customFormat="1" ht="14" x14ac:dyDescent="0.35">
      <c r="A393" s="145"/>
      <c r="B393" s="152"/>
      <c r="C393" s="93"/>
      <c r="D393" s="93"/>
      <c r="E393" s="95"/>
      <c r="F393" s="95"/>
      <c r="G393" s="95"/>
      <c r="H393" s="93"/>
      <c r="I393" s="93"/>
      <c r="J393" s="93"/>
    </row>
    <row r="394" spans="1:10" s="65" customFormat="1" ht="14" x14ac:dyDescent="0.35">
      <c r="A394" s="145"/>
      <c r="B394" s="152"/>
      <c r="C394" s="93"/>
      <c r="D394" s="93"/>
      <c r="E394" s="95"/>
      <c r="F394" s="95"/>
      <c r="G394" s="95"/>
      <c r="H394" s="93"/>
      <c r="I394" s="93"/>
      <c r="J394" s="93"/>
    </row>
    <row r="395" spans="1:10" s="65" customFormat="1" ht="14" x14ac:dyDescent="0.35">
      <c r="A395" s="145"/>
      <c r="B395" s="152"/>
      <c r="C395" s="93"/>
      <c r="D395" s="93"/>
      <c r="E395" s="95"/>
      <c r="F395" s="95"/>
      <c r="G395" s="95"/>
      <c r="H395" s="93"/>
      <c r="I395" s="93"/>
      <c r="J395" s="93"/>
    </row>
    <row r="396" spans="1:10" s="65" customFormat="1" ht="14" x14ac:dyDescent="0.35">
      <c r="A396" s="145"/>
      <c r="B396" s="152"/>
      <c r="C396" s="93"/>
      <c r="D396" s="93"/>
      <c r="E396" s="95"/>
      <c r="F396" s="95"/>
      <c r="G396" s="95"/>
      <c r="H396" s="93"/>
      <c r="I396" s="93"/>
      <c r="J396" s="93"/>
    </row>
    <row r="397" spans="1:10" s="65" customFormat="1" ht="14" x14ac:dyDescent="0.35">
      <c r="A397" s="145"/>
      <c r="B397" s="152"/>
      <c r="C397" s="93"/>
      <c r="D397" s="93"/>
      <c r="E397" s="95"/>
      <c r="F397" s="95"/>
      <c r="G397" s="95"/>
      <c r="H397" s="93"/>
      <c r="I397" s="93"/>
      <c r="J397" s="93"/>
    </row>
    <row r="398" spans="1:10" s="65" customFormat="1" ht="14" x14ac:dyDescent="0.35">
      <c r="A398" s="145"/>
      <c r="B398" s="152"/>
      <c r="C398" s="93"/>
      <c r="D398" s="93"/>
      <c r="E398" s="95"/>
      <c r="F398" s="95"/>
      <c r="G398" s="95"/>
      <c r="H398" s="93"/>
      <c r="I398" s="93"/>
      <c r="J398" s="93"/>
    </row>
    <row r="399" spans="1:10" s="65" customFormat="1" ht="14" x14ac:dyDescent="0.35">
      <c r="A399" s="145"/>
      <c r="B399" s="152"/>
      <c r="C399" s="93"/>
      <c r="D399" s="93"/>
      <c r="E399" s="95"/>
      <c r="F399" s="95"/>
      <c r="G399" s="95"/>
      <c r="H399" s="93"/>
      <c r="I399" s="93"/>
      <c r="J399" s="93"/>
    </row>
    <row r="400" spans="1:10" s="65" customFormat="1" ht="14" x14ac:dyDescent="0.35">
      <c r="A400" s="145"/>
      <c r="B400" s="152"/>
      <c r="C400" s="93"/>
      <c r="D400" s="93"/>
      <c r="E400" s="95"/>
      <c r="F400" s="95"/>
      <c r="G400" s="95"/>
      <c r="H400" s="93"/>
      <c r="I400" s="93"/>
      <c r="J400" s="93"/>
    </row>
    <row r="401" spans="1:10" s="65" customFormat="1" ht="14" x14ac:dyDescent="0.35">
      <c r="A401" s="145"/>
      <c r="B401" s="152"/>
      <c r="C401" s="93"/>
      <c r="D401" s="93"/>
      <c r="E401" s="95"/>
      <c r="F401" s="95"/>
      <c r="G401" s="95"/>
      <c r="H401" s="93"/>
      <c r="I401" s="93"/>
      <c r="J401" s="93"/>
    </row>
    <row r="402" spans="1:10" s="65" customFormat="1" ht="14" x14ac:dyDescent="0.35">
      <c r="A402" s="145"/>
      <c r="B402" s="152"/>
      <c r="C402" s="93"/>
      <c r="D402" s="93"/>
      <c r="E402" s="95"/>
      <c r="F402" s="95"/>
      <c r="G402" s="95"/>
      <c r="H402" s="93"/>
      <c r="I402" s="93"/>
      <c r="J402" s="93"/>
    </row>
    <row r="403" spans="1:10" s="65" customFormat="1" ht="14" x14ac:dyDescent="0.35">
      <c r="A403" s="145"/>
      <c r="B403" s="152"/>
      <c r="C403" s="93"/>
      <c r="D403" s="93"/>
      <c r="E403" s="95"/>
      <c r="F403" s="95"/>
      <c r="G403" s="95"/>
      <c r="H403" s="93"/>
      <c r="I403" s="93"/>
      <c r="J403" s="93"/>
    </row>
    <row r="404" spans="1:10" s="65" customFormat="1" ht="14" x14ac:dyDescent="0.35">
      <c r="A404" s="145"/>
      <c r="B404" s="152"/>
      <c r="C404" s="93"/>
      <c r="D404" s="93"/>
      <c r="E404" s="95"/>
      <c r="F404" s="95"/>
      <c r="G404" s="95"/>
      <c r="H404" s="93"/>
      <c r="I404" s="93"/>
      <c r="J404" s="93"/>
    </row>
    <row r="405" spans="1:10" s="65" customFormat="1" ht="14" x14ac:dyDescent="0.35">
      <c r="A405" s="145"/>
      <c r="B405" s="152"/>
      <c r="C405" s="93"/>
      <c r="D405" s="93"/>
      <c r="E405" s="95"/>
      <c r="F405" s="95"/>
      <c r="G405" s="95"/>
      <c r="H405" s="93"/>
      <c r="I405" s="93"/>
      <c r="J405" s="93"/>
    </row>
    <row r="406" spans="1:10" s="65" customFormat="1" ht="14" x14ac:dyDescent="0.35">
      <c r="A406" s="145"/>
      <c r="B406" s="152"/>
      <c r="C406" s="93"/>
      <c r="D406" s="93"/>
      <c r="E406" s="95"/>
      <c r="F406" s="95"/>
      <c r="G406" s="95"/>
      <c r="H406" s="93"/>
      <c r="I406" s="93"/>
      <c r="J406" s="93"/>
    </row>
    <row r="407" spans="1:10" s="65" customFormat="1" ht="14" x14ac:dyDescent="0.35">
      <c r="A407" s="145"/>
      <c r="B407" s="152"/>
      <c r="C407" s="93"/>
      <c r="D407" s="93"/>
      <c r="E407" s="95"/>
      <c r="F407" s="95"/>
      <c r="G407" s="95"/>
      <c r="H407" s="93"/>
      <c r="I407" s="93"/>
      <c r="J407" s="93"/>
    </row>
    <row r="408" spans="1:10" s="65" customFormat="1" ht="14" x14ac:dyDescent="0.35">
      <c r="A408" s="145"/>
      <c r="B408" s="152"/>
      <c r="C408" s="93"/>
      <c r="D408" s="93"/>
      <c r="E408" s="95"/>
      <c r="F408" s="95"/>
      <c r="G408" s="95"/>
      <c r="H408" s="93"/>
      <c r="I408" s="93"/>
      <c r="J408" s="93"/>
    </row>
    <row r="409" spans="1:10" s="65" customFormat="1" ht="14" x14ac:dyDescent="0.35">
      <c r="A409" s="145"/>
      <c r="B409" s="152"/>
      <c r="C409" s="93"/>
      <c r="D409" s="93"/>
      <c r="E409" s="95"/>
      <c r="F409" s="95"/>
      <c r="G409" s="95"/>
      <c r="H409" s="93"/>
      <c r="I409" s="93"/>
      <c r="J409" s="93"/>
    </row>
    <row r="410" spans="1:10" s="65" customFormat="1" ht="14" x14ac:dyDescent="0.35">
      <c r="A410" s="145"/>
      <c r="B410" s="152"/>
      <c r="C410" s="93"/>
      <c r="D410" s="93"/>
      <c r="E410" s="95"/>
      <c r="F410" s="95"/>
      <c r="G410" s="95"/>
      <c r="H410" s="93"/>
      <c r="I410" s="93"/>
      <c r="J410" s="93"/>
    </row>
    <row r="411" spans="1:10" s="65" customFormat="1" ht="14" x14ac:dyDescent="0.35">
      <c r="A411" s="145"/>
      <c r="B411" s="152"/>
      <c r="C411" s="93"/>
      <c r="D411" s="93"/>
      <c r="E411" s="95"/>
      <c r="F411" s="95"/>
      <c r="G411" s="95"/>
      <c r="H411" s="93"/>
      <c r="I411" s="93"/>
      <c r="J411" s="93"/>
    </row>
    <row r="412" spans="1:10" s="65" customFormat="1" ht="14" x14ac:dyDescent="0.35">
      <c r="A412" s="145"/>
      <c r="B412" s="152"/>
      <c r="C412" s="93"/>
      <c r="D412" s="93"/>
      <c r="E412" s="95"/>
      <c r="F412" s="95"/>
      <c r="G412" s="95"/>
      <c r="H412" s="93"/>
      <c r="I412" s="93"/>
      <c r="J412" s="93"/>
    </row>
    <row r="413" spans="1:10" s="65" customFormat="1" ht="14" x14ac:dyDescent="0.35">
      <c r="A413" s="145"/>
      <c r="B413" s="152"/>
      <c r="C413" s="93"/>
      <c r="D413" s="93"/>
      <c r="E413" s="95"/>
      <c r="F413" s="95"/>
      <c r="G413" s="95"/>
      <c r="H413" s="93"/>
      <c r="I413" s="93"/>
      <c r="J413" s="93"/>
    </row>
    <row r="414" spans="1:10" s="65" customFormat="1" ht="14" x14ac:dyDescent="0.35">
      <c r="A414" s="145"/>
      <c r="B414" s="152"/>
      <c r="C414" s="93"/>
      <c r="D414" s="93"/>
      <c r="E414" s="95"/>
      <c r="F414" s="95"/>
      <c r="G414" s="95"/>
      <c r="H414" s="93"/>
      <c r="I414" s="93"/>
      <c r="J414" s="93"/>
    </row>
    <row r="415" spans="1:10" s="65" customFormat="1" ht="14" x14ac:dyDescent="0.35">
      <c r="A415" s="145"/>
      <c r="B415" s="152"/>
      <c r="C415" s="93"/>
      <c r="D415" s="93"/>
      <c r="E415" s="95"/>
      <c r="F415" s="95"/>
      <c r="G415" s="95"/>
      <c r="H415" s="93"/>
      <c r="I415" s="93"/>
      <c r="J415" s="93"/>
    </row>
    <row r="416" spans="1:10" s="65" customFormat="1" ht="14" x14ac:dyDescent="0.35">
      <c r="A416" s="145"/>
      <c r="B416" s="152"/>
      <c r="C416" s="93"/>
      <c r="D416" s="93"/>
      <c r="E416" s="95"/>
      <c r="F416" s="95"/>
      <c r="G416" s="95"/>
      <c r="H416" s="93"/>
      <c r="I416" s="93"/>
      <c r="J416" s="93"/>
    </row>
    <row r="417" spans="1:10" s="65" customFormat="1" ht="14" x14ac:dyDescent="0.35">
      <c r="A417" s="145"/>
      <c r="B417" s="152"/>
      <c r="C417" s="93"/>
      <c r="D417" s="93"/>
      <c r="E417" s="95"/>
      <c r="F417" s="95"/>
      <c r="G417" s="95"/>
      <c r="H417" s="93"/>
      <c r="I417" s="93"/>
      <c r="J417" s="93"/>
    </row>
    <row r="418" spans="1:10" s="65" customFormat="1" ht="14" x14ac:dyDescent="0.35">
      <c r="A418" s="145"/>
      <c r="B418" s="152"/>
      <c r="C418" s="93"/>
      <c r="D418" s="93"/>
      <c r="E418" s="95"/>
      <c r="F418" s="95"/>
      <c r="G418" s="95"/>
      <c r="H418" s="93"/>
      <c r="I418" s="93"/>
      <c r="J418" s="93"/>
    </row>
    <row r="419" spans="1:10" s="65" customFormat="1" ht="14" x14ac:dyDescent="0.35">
      <c r="A419" s="145"/>
      <c r="B419" s="152"/>
      <c r="C419" s="93"/>
      <c r="D419" s="93"/>
      <c r="E419" s="95"/>
      <c r="F419" s="95"/>
      <c r="G419" s="95"/>
      <c r="H419" s="93"/>
      <c r="I419" s="93"/>
      <c r="J419" s="93"/>
    </row>
    <row r="420" spans="1:10" s="65" customFormat="1" ht="14" x14ac:dyDescent="0.35">
      <c r="A420" s="145"/>
      <c r="B420" s="152"/>
      <c r="C420" s="93"/>
      <c r="D420" s="93"/>
      <c r="E420" s="95"/>
      <c r="F420" s="95"/>
      <c r="G420" s="95"/>
      <c r="H420" s="93"/>
      <c r="I420" s="93"/>
      <c r="J420" s="93"/>
    </row>
    <row r="421" spans="1:10" s="65" customFormat="1" ht="14" x14ac:dyDescent="0.35">
      <c r="A421" s="145"/>
      <c r="B421" s="152"/>
      <c r="C421" s="93"/>
      <c r="D421" s="93"/>
      <c r="E421" s="95"/>
      <c r="F421" s="95"/>
      <c r="G421" s="95"/>
      <c r="H421" s="93"/>
      <c r="I421" s="93"/>
      <c r="J421" s="93"/>
    </row>
    <row r="422" spans="1:10" s="65" customFormat="1" ht="14" x14ac:dyDescent="0.35">
      <c r="A422" s="145"/>
      <c r="B422" s="152"/>
      <c r="C422" s="93"/>
      <c r="D422" s="93"/>
      <c r="E422" s="95"/>
      <c r="F422" s="95"/>
      <c r="G422" s="95"/>
      <c r="H422" s="93"/>
      <c r="I422" s="93"/>
      <c r="J422" s="93"/>
    </row>
    <row r="423" spans="1:10" s="65" customFormat="1" ht="14" x14ac:dyDescent="0.35">
      <c r="A423" s="145"/>
      <c r="B423" s="152"/>
      <c r="C423" s="93"/>
      <c r="D423" s="93"/>
      <c r="E423" s="95"/>
      <c r="F423" s="95"/>
      <c r="G423" s="95"/>
      <c r="H423" s="93"/>
      <c r="I423" s="93"/>
      <c r="J423" s="93"/>
    </row>
    <row r="424" spans="1:10" s="65" customFormat="1" ht="14" x14ac:dyDescent="0.35">
      <c r="A424" s="145"/>
      <c r="B424" s="152"/>
      <c r="C424" s="93"/>
      <c r="D424" s="93"/>
      <c r="E424" s="95"/>
      <c r="F424" s="95"/>
      <c r="G424" s="95"/>
      <c r="H424" s="93"/>
      <c r="I424" s="93"/>
      <c r="J424" s="93"/>
    </row>
    <row r="425" spans="1:10" s="65" customFormat="1" ht="14" x14ac:dyDescent="0.35">
      <c r="A425" s="145"/>
      <c r="B425" s="152"/>
      <c r="C425" s="93"/>
      <c r="D425" s="93"/>
      <c r="E425" s="95"/>
      <c r="F425" s="95"/>
      <c r="G425" s="95"/>
      <c r="H425" s="93"/>
      <c r="I425" s="93"/>
      <c r="J425" s="93"/>
    </row>
    <row r="426" spans="1:10" s="65" customFormat="1" ht="14" x14ac:dyDescent="0.35">
      <c r="A426" s="145"/>
      <c r="B426" s="152"/>
      <c r="C426" s="93"/>
      <c r="D426" s="93"/>
      <c r="E426" s="95"/>
      <c r="F426" s="95"/>
      <c r="G426" s="95"/>
      <c r="H426" s="93"/>
      <c r="I426" s="93"/>
      <c r="J426" s="93"/>
    </row>
    <row r="427" spans="1:10" s="65" customFormat="1" ht="14" x14ac:dyDescent="0.35">
      <c r="A427" s="145"/>
      <c r="B427" s="152"/>
      <c r="C427" s="93"/>
      <c r="D427" s="93"/>
      <c r="E427" s="95"/>
      <c r="F427" s="95"/>
      <c r="G427" s="95"/>
      <c r="H427" s="93"/>
      <c r="I427" s="93"/>
      <c r="J427" s="93"/>
    </row>
    <row r="428" spans="1:10" s="65" customFormat="1" ht="14" x14ac:dyDescent="0.35">
      <c r="A428" s="145"/>
      <c r="B428" s="152"/>
      <c r="C428" s="93"/>
      <c r="D428" s="93"/>
      <c r="E428" s="95"/>
      <c r="F428" s="95"/>
      <c r="G428" s="95"/>
      <c r="H428" s="93"/>
      <c r="I428" s="93"/>
      <c r="J428" s="93"/>
    </row>
    <row r="429" spans="1:10" s="65" customFormat="1" ht="14" x14ac:dyDescent="0.35">
      <c r="A429" s="145"/>
      <c r="B429" s="152"/>
      <c r="C429" s="93"/>
      <c r="D429" s="93"/>
      <c r="E429" s="95"/>
      <c r="F429" s="95"/>
      <c r="G429" s="95"/>
      <c r="H429" s="93"/>
      <c r="I429" s="93"/>
      <c r="J429" s="93"/>
    </row>
    <row r="430" spans="1:10" s="65" customFormat="1" ht="14" x14ac:dyDescent="0.35">
      <c r="A430" s="145"/>
      <c r="B430" s="152"/>
      <c r="C430" s="93"/>
      <c r="D430" s="93"/>
      <c r="E430" s="95"/>
      <c r="F430" s="95"/>
      <c r="G430" s="95"/>
      <c r="H430" s="93"/>
      <c r="I430" s="93"/>
      <c r="J430" s="93"/>
    </row>
    <row r="431" spans="1:10" s="65" customFormat="1" ht="14" x14ac:dyDescent="0.35">
      <c r="A431" s="145"/>
      <c r="B431" s="152"/>
      <c r="C431" s="93"/>
      <c r="D431" s="93"/>
      <c r="E431" s="95"/>
      <c r="F431" s="95"/>
      <c r="G431" s="95"/>
      <c r="H431" s="93"/>
      <c r="I431" s="93"/>
      <c r="J431" s="93"/>
    </row>
    <row r="432" spans="1:10" s="65" customFormat="1" ht="14" x14ac:dyDescent="0.35">
      <c r="A432" s="145"/>
      <c r="B432" s="152"/>
      <c r="C432" s="93"/>
      <c r="D432" s="93"/>
      <c r="E432" s="95"/>
      <c r="F432" s="95"/>
      <c r="G432" s="95"/>
      <c r="H432" s="93"/>
      <c r="I432" s="93"/>
      <c r="J432" s="93"/>
    </row>
    <row r="433" spans="1:10" s="65" customFormat="1" ht="14" x14ac:dyDescent="0.35">
      <c r="A433" s="145"/>
      <c r="B433" s="152"/>
      <c r="C433" s="93"/>
      <c r="D433" s="93"/>
      <c r="E433" s="95"/>
      <c r="F433" s="95"/>
      <c r="G433" s="95"/>
      <c r="H433" s="93"/>
      <c r="I433" s="93"/>
      <c r="J433" s="93"/>
    </row>
    <row r="434" spans="1:10" s="65" customFormat="1" ht="14" x14ac:dyDescent="0.35">
      <c r="A434" s="145"/>
      <c r="B434" s="152"/>
      <c r="C434" s="93"/>
      <c r="D434" s="93"/>
      <c r="E434" s="95"/>
      <c r="F434" s="95"/>
      <c r="G434" s="95"/>
      <c r="H434" s="93"/>
      <c r="I434" s="93"/>
      <c r="J434" s="93"/>
    </row>
    <row r="435" spans="1:10" s="65" customFormat="1" ht="14" x14ac:dyDescent="0.35">
      <c r="A435" s="145"/>
      <c r="B435" s="152"/>
      <c r="C435" s="93"/>
      <c r="D435" s="93"/>
      <c r="E435" s="95"/>
      <c r="F435" s="95"/>
      <c r="G435" s="95"/>
      <c r="H435" s="93"/>
      <c r="I435" s="93"/>
      <c r="J435" s="93"/>
    </row>
    <row r="436" spans="1:10" s="65" customFormat="1" ht="14" x14ac:dyDescent="0.35">
      <c r="A436" s="145"/>
      <c r="B436" s="152"/>
      <c r="C436" s="93"/>
      <c r="D436" s="93"/>
      <c r="E436" s="95"/>
      <c r="F436" s="95"/>
      <c r="G436" s="95"/>
      <c r="H436" s="93"/>
      <c r="I436" s="93"/>
      <c r="J436" s="93"/>
    </row>
    <row r="437" spans="1:10" s="65" customFormat="1" ht="14" x14ac:dyDescent="0.35">
      <c r="A437" s="145"/>
      <c r="B437" s="152"/>
      <c r="C437" s="93"/>
      <c r="D437" s="93"/>
      <c r="E437" s="95"/>
      <c r="F437" s="95"/>
      <c r="G437" s="95"/>
      <c r="H437" s="93"/>
      <c r="I437" s="93"/>
      <c r="J437" s="93"/>
    </row>
    <row r="438" spans="1:10" s="65" customFormat="1" ht="14" x14ac:dyDescent="0.35">
      <c r="A438" s="145"/>
      <c r="B438" s="152"/>
      <c r="C438" s="93"/>
      <c r="D438" s="93"/>
      <c r="E438" s="95"/>
      <c r="F438" s="95"/>
      <c r="G438" s="95"/>
      <c r="H438" s="93"/>
      <c r="I438" s="93"/>
      <c r="J438" s="93"/>
    </row>
    <row r="439" spans="1:10" s="65" customFormat="1" ht="14" x14ac:dyDescent="0.35">
      <c r="A439" s="145"/>
      <c r="B439" s="152"/>
      <c r="C439" s="93"/>
      <c r="D439" s="93"/>
      <c r="E439" s="95"/>
      <c r="F439" s="95"/>
      <c r="G439" s="95"/>
      <c r="H439" s="93"/>
      <c r="I439" s="93"/>
      <c r="J439" s="93"/>
    </row>
    <row r="440" spans="1:10" s="65" customFormat="1" ht="14" x14ac:dyDescent="0.35">
      <c r="A440" s="145"/>
      <c r="B440" s="152"/>
      <c r="C440" s="93"/>
      <c r="D440" s="93"/>
      <c r="E440" s="95"/>
      <c r="F440" s="95"/>
      <c r="G440" s="95"/>
      <c r="H440" s="93"/>
      <c r="I440" s="93"/>
      <c r="J440" s="93"/>
    </row>
    <row r="441" spans="1:10" s="65" customFormat="1" ht="14" x14ac:dyDescent="0.35">
      <c r="A441" s="145"/>
      <c r="B441" s="152"/>
      <c r="C441" s="93"/>
      <c r="D441" s="93"/>
      <c r="E441" s="95"/>
      <c r="F441" s="95"/>
      <c r="G441" s="95"/>
      <c r="H441" s="93"/>
      <c r="I441" s="93"/>
      <c r="J441" s="93"/>
    </row>
    <row r="442" spans="1:10" s="65" customFormat="1" ht="14" x14ac:dyDescent="0.35">
      <c r="A442" s="145"/>
      <c r="B442" s="152"/>
      <c r="C442" s="93"/>
      <c r="D442" s="93"/>
      <c r="E442" s="95"/>
      <c r="F442" s="95"/>
      <c r="G442" s="95"/>
      <c r="H442" s="93"/>
      <c r="I442" s="93"/>
      <c r="J442" s="93"/>
    </row>
    <row r="443" spans="1:10" s="65" customFormat="1" ht="14" x14ac:dyDescent="0.35">
      <c r="A443" s="145"/>
      <c r="B443" s="152"/>
      <c r="C443" s="93"/>
      <c r="D443" s="93"/>
      <c r="E443" s="95"/>
      <c r="F443" s="95"/>
      <c r="G443" s="95"/>
      <c r="H443" s="93"/>
      <c r="I443" s="93"/>
      <c r="J443" s="93"/>
    </row>
    <row r="444" spans="1:10" s="65" customFormat="1" ht="14" x14ac:dyDescent="0.35">
      <c r="A444" s="145"/>
      <c r="B444" s="152"/>
      <c r="C444" s="93"/>
      <c r="D444" s="93"/>
      <c r="E444" s="95"/>
      <c r="F444" s="95"/>
      <c r="G444" s="95"/>
      <c r="H444" s="93"/>
      <c r="I444" s="93"/>
      <c r="J444" s="93"/>
    </row>
    <row r="445" spans="1:10" s="65" customFormat="1" ht="14" x14ac:dyDescent="0.35">
      <c r="A445" s="145"/>
      <c r="B445" s="152"/>
      <c r="C445" s="93"/>
      <c r="D445" s="93"/>
      <c r="E445" s="95"/>
      <c r="F445" s="95"/>
      <c r="G445" s="95"/>
      <c r="H445" s="93"/>
      <c r="I445" s="93"/>
      <c r="J445" s="93"/>
    </row>
    <row r="446" spans="1:10" s="65" customFormat="1" ht="14" x14ac:dyDescent="0.35">
      <c r="A446" s="145"/>
      <c r="B446" s="152"/>
      <c r="C446" s="93"/>
      <c r="D446" s="93"/>
      <c r="E446" s="95"/>
      <c r="F446" s="95"/>
      <c r="G446" s="95"/>
      <c r="H446" s="93"/>
      <c r="I446" s="93"/>
      <c r="J446" s="93"/>
    </row>
    <row r="447" spans="1:10" s="65" customFormat="1" ht="14" x14ac:dyDescent="0.35">
      <c r="A447" s="145"/>
      <c r="B447" s="152"/>
      <c r="C447" s="93"/>
      <c r="D447" s="93"/>
      <c r="E447" s="95"/>
      <c r="F447" s="95"/>
      <c r="G447" s="95"/>
      <c r="H447" s="93"/>
      <c r="I447" s="93"/>
      <c r="J447" s="93"/>
    </row>
    <row r="448" spans="1:10" s="65" customFormat="1" ht="14" x14ac:dyDescent="0.35">
      <c r="A448" s="145"/>
      <c r="B448" s="152"/>
      <c r="C448" s="93"/>
      <c r="D448" s="93"/>
      <c r="E448" s="95"/>
      <c r="F448" s="95"/>
      <c r="G448" s="95"/>
      <c r="H448" s="93"/>
      <c r="I448" s="93"/>
      <c r="J448" s="93"/>
    </row>
    <row r="449" spans="1:10" s="65" customFormat="1" ht="14" x14ac:dyDescent="0.35">
      <c r="A449" s="145"/>
      <c r="B449" s="152"/>
      <c r="C449" s="93"/>
      <c r="D449" s="93"/>
      <c r="E449" s="95"/>
      <c r="F449" s="95"/>
      <c r="G449" s="95"/>
      <c r="H449" s="93"/>
      <c r="I449" s="93"/>
      <c r="J449" s="93"/>
    </row>
    <row r="450" spans="1:10" s="65" customFormat="1" ht="14" x14ac:dyDescent="0.35">
      <c r="A450" s="145"/>
      <c r="B450" s="152"/>
      <c r="C450" s="93"/>
      <c r="D450" s="93"/>
      <c r="E450" s="95"/>
      <c r="F450" s="95"/>
      <c r="G450" s="95"/>
      <c r="H450" s="93"/>
      <c r="I450" s="93"/>
      <c r="J450" s="93"/>
    </row>
    <row r="451" spans="1:10" s="65" customFormat="1" ht="14" x14ac:dyDescent="0.35">
      <c r="A451" s="145"/>
      <c r="B451" s="152"/>
      <c r="C451" s="93"/>
      <c r="D451" s="93"/>
      <c r="E451" s="95"/>
      <c r="F451" s="95"/>
      <c r="G451" s="95"/>
      <c r="H451" s="93"/>
      <c r="I451" s="93"/>
      <c r="J451" s="93"/>
    </row>
    <row r="452" spans="1:10" s="65" customFormat="1" ht="14" x14ac:dyDescent="0.35">
      <c r="A452" s="145"/>
      <c r="B452" s="152"/>
      <c r="C452" s="93"/>
      <c r="D452" s="93"/>
      <c r="E452" s="95"/>
      <c r="F452" s="95"/>
      <c r="G452" s="95"/>
      <c r="H452" s="93"/>
      <c r="I452" s="93"/>
      <c r="J452" s="93"/>
    </row>
    <row r="453" spans="1:10" s="65" customFormat="1" ht="14" x14ac:dyDescent="0.35">
      <c r="A453" s="145"/>
      <c r="B453" s="152"/>
      <c r="C453" s="93"/>
      <c r="D453" s="93"/>
      <c r="E453" s="95"/>
      <c r="F453" s="95"/>
      <c r="G453" s="95"/>
      <c r="H453" s="93"/>
      <c r="I453" s="93"/>
      <c r="J453" s="93"/>
    </row>
    <row r="454" spans="1:10" s="65" customFormat="1" ht="14" x14ac:dyDescent="0.35">
      <c r="A454" s="145"/>
      <c r="B454" s="152"/>
      <c r="C454" s="93"/>
      <c r="D454" s="93"/>
      <c r="E454" s="95"/>
      <c r="F454" s="95"/>
      <c r="G454" s="95"/>
      <c r="H454" s="93"/>
      <c r="I454" s="93"/>
      <c r="J454" s="93"/>
    </row>
    <row r="455" spans="1:10" s="65" customFormat="1" ht="14" x14ac:dyDescent="0.35">
      <c r="A455" s="145"/>
      <c r="B455" s="152"/>
      <c r="C455" s="93"/>
      <c r="D455" s="93"/>
      <c r="E455" s="95"/>
      <c r="F455" s="95"/>
      <c r="G455" s="95"/>
      <c r="H455" s="93"/>
      <c r="I455" s="93"/>
      <c r="J455" s="93"/>
    </row>
    <row r="456" spans="1:10" s="65" customFormat="1" ht="14" x14ac:dyDescent="0.35">
      <c r="A456" s="145"/>
      <c r="B456" s="152"/>
      <c r="C456" s="93"/>
      <c r="D456" s="93"/>
      <c r="E456" s="95"/>
      <c r="F456" s="95"/>
      <c r="G456" s="95"/>
      <c r="H456" s="93"/>
      <c r="I456" s="93"/>
      <c r="J456" s="93"/>
    </row>
    <row r="457" spans="1:10" s="65" customFormat="1" ht="14" x14ac:dyDescent="0.35">
      <c r="A457" s="145"/>
      <c r="B457" s="152"/>
      <c r="C457" s="93"/>
      <c r="D457" s="93"/>
      <c r="E457" s="95"/>
      <c r="F457" s="95"/>
      <c r="G457" s="95"/>
      <c r="H457" s="93"/>
      <c r="I457" s="93"/>
      <c r="J457" s="93"/>
    </row>
    <row r="458" spans="1:10" s="65" customFormat="1" ht="14" x14ac:dyDescent="0.35">
      <c r="A458" s="145"/>
      <c r="B458" s="152"/>
      <c r="C458" s="93"/>
      <c r="D458" s="93"/>
      <c r="E458" s="95"/>
      <c r="F458" s="95"/>
      <c r="G458" s="95"/>
      <c r="H458" s="93"/>
      <c r="I458" s="93"/>
      <c r="J458" s="93"/>
    </row>
    <row r="459" spans="1:10" s="65" customFormat="1" ht="14" x14ac:dyDescent="0.35">
      <c r="A459" s="145"/>
      <c r="B459" s="152"/>
      <c r="C459" s="93"/>
      <c r="D459" s="93"/>
      <c r="E459" s="95"/>
      <c r="F459" s="95"/>
      <c r="G459" s="95"/>
      <c r="H459" s="93"/>
      <c r="I459" s="93"/>
      <c r="J459" s="93"/>
    </row>
    <row r="460" spans="1:10" s="65" customFormat="1" ht="14" x14ac:dyDescent="0.35">
      <c r="A460" s="145"/>
      <c r="B460" s="152"/>
      <c r="C460" s="93"/>
      <c r="D460" s="93"/>
      <c r="E460" s="95"/>
      <c r="F460" s="95"/>
      <c r="G460" s="95"/>
      <c r="H460" s="93"/>
      <c r="I460" s="93"/>
      <c r="J460" s="93"/>
    </row>
    <row r="461" spans="1:10" s="65" customFormat="1" ht="14" x14ac:dyDescent="0.35">
      <c r="A461" s="145"/>
      <c r="B461" s="152"/>
      <c r="C461" s="93"/>
      <c r="D461" s="93"/>
      <c r="E461" s="95"/>
      <c r="F461" s="95"/>
      <c r="G461" s="95"/>
      <c r="H461" s="93"/>
      <c r="I461" s="93"/>
      <c r="J461" s="93"/>
    </row>
    <row r="462" spans="1:10" s="65" customFormat="1" ht="14" x14ac:dyDescent="0.35">
      <c r="A462" s="145"/>
      <c r="B462" s="152"/>
      <c r="C462" s="93"/>
      <c r="D462" s="93"/>
      <c r="E462" s="95"/>
      <c r="F462" s="95"/>
      <c r="G462" s="95"/>
      <c r="H462" s="93"/>
      <c r="I462" s="93"/>
      <c r="J462" s="93"/>
    </row>
    <row r="463" spans="1:10" s="65" customFormat="1" ht="14" x14ac:dyDescent="0.35">
      <c r="A463" s="145"/>
      <c r="B463" s="152"/>
      <c r="C463" s="93"/>
      <c r="D463" s="93"/>
      <c r="E463" s="95"/>
      <c r="F463" s="95"/>
      <c r="G463" s="95"/>
      <c r="H463" s="93"/>
      <c r="I463" s="93"/>
      <c r="J463" s="93"/>
    </row>
    <row r="464" spans="1:10" s="65" customFormat="1" ht="14" x14ac:dyDescent="0.35">
      <c r="A464" s="145"/>
      <c r="B464" s="152"/>
      <c r="C464" s="93"/>
      <c r="D464" s="93"/>
      <c r="E464" s="95"/>
      <c r="F464" s="95"/>
      <c r="G464" s="95"/>
      <c r="H464" s="93"/>
      <c r="I464" s="93"/>
      <c r="J464" s="93"/>
    </row>
    <row r="465" spans="1:10" s="65" customFormat="1" ht="14" x14ac:dyDescent="0.35">
      <c r="A465" s="145"/>
      <c r="B465" s="152"/>
      <c r="C465" s="93"/>
      <c r="D465" s="93"/>
      <c r="E465" s="95"/>
      <c r="F465" s="95"/>
      <c r="G465" s="95"/>
      <c r="H465" s="93"/>
      <c r="I465" s="93"/>
      <c r="J465" s="93"/>
    </row>
    <row r="466" spans="1:10" s="65" customFormat="1" ht="14" x14ac:dyDescent="0.35">
      <c r="A466" s="145"/>
      <c r="B466" s="152"/>
      <c r="C466" s="93"/>
      <c r="D466" s="93"/>
      <c r="E466" s="95"/>
      <c r="F466" s="95"/>
      <c r="G466" s="95"/>
      <c r="H466" s="93"/>
      <c r="I466" s="93"/>
      <c r="J466" s="93"/>
    </row>
    <row r="467" spans="1:10" s="65" customFormat="1" ht="14" x14ac:dyDescent="0.35">
      <c r="A467" s="145"/>
      <c r="B467" s="152"/>
      <c r="C467" s="93"/>
      <c r="D467" s="93"/>
      <c r="E467" s="95"/>
      <c r="F467" s="95"/>
      <c r="G467" s="95"/>
      <c r="H467" s="93"/>
      <c r="I467" s="93"/>
      <c r="J467" s="93"/>
    </row>
    <row r="468" spans="1:10" s="65" customFormat="1" ht="14" x14ac:dyDescent="0.35">
      <c r="A468" s="145"/>
      <c r="B468" s="152"/>
      <c r="C468" s="93"/>
      <c r="D468" s="93"/>
      <c r="E468" s="95"/>
      <c r="F468" s="95"/>
      <c r="G468" s="95"/>
      <c r="H468" s="93"/>
      <c r="I468" s="93"/>
      <c r="J468" s="93"/>
    </row>
    <row r="469" spans="1:10" s="65" customFormat="1" ht="14" x14ac:dyDescent="0.35">
      <c r="A469" s="145"/>
      <c r="B469" s="152"/>
      <c r="C469" s="93"/>
      <c r="D469" s="93"/>
      <c r="E469" s="95"/>
      <c r="F469" s="95"/>
      <c r="G469" s="95"/>
      <c r="H469" s="93"/>
      <c r="I469" s="93"/>
      <c r="J469" s="93"/>
    </row>
    <row r="470" spans="1:10" s="65" customFormat="1" ht="14" x14ac:dyDescent="0.35">
      <c r="A470" s="145"/>
      <c r="B470" s="152"/>
      <c r="C470" s="93"/>
      <c r="D470" s="93"/>
      <c r="E470" s="95"/>
      <c r="F470" s="95"/>
      <c r="G470" s="95"/>
      <c r="H470" s="93"/>
      <c r="I470" s="93"/>
      <c r="J470" s="93"/>
    </row>
    <row r="471" spans="1:10" s="65" customFormat="1" ht="14" x14ac:dyDescent="0.35">
      <c r="A471" s="145"/>
      <c r="B471" s="152"/>
      <c r="C471" s="93"/>
      <c r="D471" s="93"/>
      <c r="E471" s="95"/>
      <c r="F471" s="95"/>
      <c r="G471" s="95"/>
      <c r="H471" s="93"/>
      <c r="I471" s="93"/>
      <c r="J471" s="93"/>
    </row>
    <row r="472" spans="1:10" s="65" customFormat="1" ht="14" x14ac:dyDescent="0.35">
      <c r="A472" s="145"/>
      <c r="B472" s="152"/>
      <c r="C472" s="93"/>
      <c r="D472" s="93"/>
      <c r="E472" s="95"/>
      <c r="F472" s="95"/>
      <c r="G472" s="95"/>
      <c r="H472" s="93"/>
      <c r="I472" s="93"/>
      <c r="J472" s="93"/>
    </row>
    <row r="473" spans="1:10" s="65" customFormat="1" ht="14" x14ac:dyDescent="0.35">
      <c r="A473" s="145"/>
      <c r="B473" s="152"/>
      <c r="C473" s="93"/>
      <c r="D473" s="93"/>
      <c r="E473" s="95"/>
      <c r="F473" s="95"/>
      <c r="G473" s="95"/>
      <c r="H473" s="93"/>
      <c r="I473" s="93"/>
      <c r="J473" s="93"/>
    </row>
    <row r="474" spans="1:10" s="65" customFormat="1" ht="14" x14ac:dyDescent="0.35">
      <c r="A474" s="145"/>
      <c r="B474" s="152"/>
      <c r="C474" s="93"/>
      <c r="D474" s="93"/>
      <c r="E474" s="95"/>
      <c r="F474" s="95"/>
      <c r="G474" s="95"/>
      <c r="H474" s="93"/>
      <c r="I474" s="93"/>
      <c r="J474" s="93"/>
    </row>
    <row r="475" spans="1:10" s="65" customFormat="1" ht="14" x14ac:dyDescent="0.35">
      <c r="A475" s="145"/>
      <c r="B475" s="152"/>
      <c r="C475" s="93"/>
      <c r="D475" s="93"/>
      <c r="E475" s="95"/>
      <c r="F475" s="95"/>
      <c r="G475" s="95"/>
      <c r="H475" s="93"/>
      <c r="I475" s="93"/>
      <c r="J475" s="93"/>
    </row>
    <row r="476" spans="1:10" s="65" customFormat="1" ht="14" x14ac:dyDescent="0.35">
      <c r="A476" s="145"/>
      <c r="B476" s="152"/>
      <c r="C476" s="93"/>
      <c r="D476" s="93"/>
      <c r="E476" s="95"/>
      <c r="F476" s="95"/>
      <c r="G476" s="95"/>
      <c r="H476" s="93"/>
      <c r="I476" s="93"/>
      <c r="J476" s="93"/>
    </row>
    <row r="477" spans="1:10" s="65" customFormat="1" ht="14" x14ac:dyDescent="0.35">
      <c r="A477" s="145"/>
      <c r="B477" s="152"/>
      <c r="C477" s="93"/>
      <c r="D477" s="93"/>
      <c r="E477" s="95"/>
      <c r="F477" s="95"/>
      <c r="G477" s="95"/>
      <c r="H477" s="93"/>
      <c r="I477" s="93"/>
      <c r="J477" s="93"/>
    </row>
    <row r="478" spans="1:10" s="65" customFormat="1" ht="14" x14ac:dyDescent="0.35">
      <c r="A478" s="145"/>
      <c r="B478" s="152"/>
      <c r="C478" s="93"/>
      <c r="D478" s="93"/>
      <c r="E478" s="95"/>
      <c r="F478" s="95"/>
      <c r="G478" s="95"/>
      <c r="H478" s="93"/>
      <c r="I478" s="93"/>
      <c r="J478" s="93"/>
    </row>
    <row r="479" spans="1:10" s="65" customFormat="1" ht="14" x14ac:dyDescent="0.35">
      <c r="A479" s="145"/>
      <c r="B479" s="152"/>
      <c r="C479" s="93"/>
      <c r="D479" s="93"/>
      <c r="E479" s="95"/>
      <c r="F479" s="95"/>
      <c r="G479" s="95"/>
      <c r="H479" s="93"/>
      <c r="I479" s="93"/>
      <c r="J479" s="93"/>
    </row>
    <row r="480" spans="1:10" s="65" customFormat="1" ht="14" x14ac:dyDescent="0.35">
      <c r="A480" s="145"/>
      <c r="B480" s="152"/>
      <c r="C480" s="93"/>
      <c r="D480" s="93"/>
      <c r="E480" s="95"/>
      <c r="F480" s="95"/>
      <c r="G480" s="95"/>
      <c r="H480" s="93"/>
      <c r="I480" s="93"/>
      <c r="J480" s="93"/>
    </row>
    <row r="481" spans="1:10" s="65" customFormat="1" ht="14" x14ac:dyDescent="0.35">
      <c r="A481" s="145"/>
      <c r="B481" s="152"/>
      <c r="C481" s="93"/>
      <c r="D481" s="93"/>
      <c r="E481" s="95"/>
      <c r="F481" s="95"/>
      <c r="G481" s="95"/>
      <c r="H481" s="93"/>
      <c r="I481" s="93"/>
      <c r="J481" s="93"/>
    </row>
    <row r="482" spans="1:10" s="65" customFormat="1" ht="14" x14ac:dyDescent="0.35">
      <c r="A482" s="145"/>
      <c r="B482" s="152"/>
      <c r="C482" s="93"/>
      <c r="D482" s="93"/>
      <c r="E482" s="95"/>
      <c r="F482" s="95"/>
      <c r="G482" s="95"/>
      <c r="H482" s="93"/>
      <c r="I482" s="93"/>
      <c r="J482" s="93"/>
    </row>
    <row r="483" spans="1:10" s="65" customFormat="1" ht="14" x14ac:dyDescent="0.35">
      <c r="A483" s="145"/>
      <c r="B483" s="152"/>
      <c r="C483" s="93"/>
      <c r="D483" s="93"/>
      <c r="E483" s="95"/>
      <c r="F483" s="95"/>
      <c r="G483" s="95"/>
      <c r="H483" s="93"/>
      <c r="I483" s="93"/>
      <c r="J483" s="93"/>
    </row>
    <row r="484" spans="1:10" s="65" customFormat="1" ht="14" x14ac:dyDescent="0.35">
      <c r="A484" s="145"/>
      <c r="B484" s="152"/>
      <c r="C484" s="93"/>
      <c r="D484" s="93"/>
      <c r="E484" s="95"/>
      <c r="F484" s="95"/>
      <c r="G484" s="95"/>
      <c r="H484" s="93"/>
      <c r="I484" s="93"/>
      <c r="J484" s="93"/>
    </row>
    <row r="485" spans="1:10" s="65" customFormat="1" ht="14" x14ac:dyDescent="0.35">
      <c r="A485" s="145"/>
      <c r="B485" s="152"/>
      <c r="C485" s="93"/>
      <c r="D485" s="93"/>
      <c r="E485" s="95"/>
      <c r="F485" s="95"/>
      <c r="G485" s="95"/>
      <c r="H485" s="93"/>
      <c r="I485" s="93"/>
      <c r="J485" s="93"/>
    </row>
    <row r="486" spans="1:10" s="65" customFormat="1" ht="14" x14ac:dyDescent="0.35">
      <c r="A486" s="145"/>
      <c r="B486" s="152"/>
      <c r="C486" s="93"/>
      <c r="D486" s="93"/>
      <c r="E486" s="95"/>
      <c r="F486" s="95"/>
      <c r="G486" s="95"/>
      <c r="H486" s="93"/>
      <c r="I486" s="93"/>
      <c r="J486" s="93"/>
    </row>
    <row r="487" spans="1:10" s="65" customFormat="1" ht="14" x14ac:dyDescent="0.35">
      <c r="A487" s="145"/>
      <c r="B487" s="152"/>
      <c r="C487" s="93"/>
      <c r="D487" s="93"/>
      <c r="E487" s="95"/>
      <c r="F487" s="95"/>
      <c r="G487" s="95"/>
      <c r="H487" s="93"/>
      <c r="I487" s="93"/>
      <c r="J487" s="93"/>
    </row>
    <row r="488" spans="1:10" s="65" customFormat="1" ht="14" x14ac:dyDescent="0.35">
      <c r="A488" s="145"/>
      <c r="B488" s="152"/>
      <c r="C488" s="93"/>
      <c r="D488" s="93"/>
      <c r="E488" s="95"/>
      <c r="F488" s="95"/>
      <c r="G488" s="95"/>
      <c r="H488" s="93"/>
      <c r="I488" s="93"/>
      <c r="J488" s="93"/>
    </row>
    <row r="489" spans="1:10" s="65" customFormat="1" ht="14" x14ac:dyDescent="0.35">
      <c r="A489" s="145"/>
      <c r="B489" s="152"/>
      <c r="C489" s="93"/>
      <c r="D489" s="93"/>
      <c r="E489" s="95"/>
      <c r="F489" s="95"/>
      <c r="G489" s="95"/>
      <c r="H489" s="93"/>
      <c r="I489" s="93"/>
      <c r="J489" s="93"/>
    </row>
    <row r="490" spans="1:10" s="65" customFormat="1" ht="14" x14ac:dyDescent="0.35">
      <c r="A490" s="145"/>
      <c r="B490" s="152"/>
      <c r="C490" s="93"/>
      <c r="D490" s="93"/>
      <c r="E490" s="95"/>
      <c r="F490" s="95"/>
      <c r="G490" s="95"/>
      <c r="H490" s="93"/>
      <c r="I490" s="93"/>
      <c r="J490" s="93"/>
    </row>
    <row r="491" spans="1:10" s="65" customFormat="1" ht="14" x14ac:dyDescent="0.35">
      <c r="A491" s="145"/>
      <c r="B491" s="152"/>
      <c r="C491" s="93"/>
      <c r="D491" s="93"/>
      <c r="E491" s="95"/>
      <c r="F491" s="95"/>
      <c r="G491" s="95"/>
      <c r="H491" s="93"/>
      <c r="I491" s="93"/>
      <c r="J491" s="93"/>
    </row>
    <row r="492" spans="1:10" s="65" customFormat="1" ht="14" x14ac:dyDescent="0.35">
      <c r="A492" s="145"/>
      <c r="B492" s="152"/>
      <c r="C492" s="93"/>
      <c r="D492" s="93"/>
      <c r="E492" s="95"/>
      <c r="F492" s="95"/>
      <c r="G492" s="95"/>
      <c r="H492" s="93"/>
      <c r="I492" s="93"/>
      <c r="J492" s="93"/>
    </row>
    <row r="493" spans="1:10" s="65" customFormat="1" ht="14" x14ac:dyDescent="0.35">
      <c r="A493" s="145"/>
      <c r="B493" s="152"/>
      <c r="C493" s="93"/>
      <c r="D493" s="93"/>
      <c r="E493" s="95"/>
      <c r="F493" s="95"/>
      <c r="G493" s="95"/>
      <c r="H493" s="93"/>
      <c r="I493" s="93"/>
      <c r="J493" s="93"/>
    </row>
    <row r="494" spans="1:10" s="65" customFormat="1" ht="14" x14ac:dyDescent="0.35">
      <c r="A494" s="145"/>
      <c r="B494" s="152"/>
      <c r="C494" s="93"/>
      <c r="D494" s="93"/>
      <c r="E494" s="95"/>
      <c r="F494" s="95"/>
      <c r="G494" s="95"/>
      <c r="H494" s="93"/>
      <c r="I494" s="93"/>
      <c r="J494" s="93"/>
    </row>
    <row r="495" spans="1:10" s="65" customFormat="1" ht="14" x14ac:dyDescent="0.35">
      <c r="A495" s="145"/>
      <c r="B495" s="152"/>
      <c r="C495" s="93"/>
      <c r="D495" s="93"/>
      <c r="E495" s="95"/>
      <c r="F495" s="95"/>
      <c r="G495" s="95"/>
      <c r="H495" s="93"/>
      <c r="I495" s="93"/>
      <c r="J495" s="93"/>
    </row>
    <row r="496" spans="1:10" s="65" customFormat="1" ht="14" x14ac:dyDescent="0.35">
      <c r="A496" s="145"/>
      <c r="B496" s="152"/>
      <c r="C496" s="93"/>
      <c r="D496" s="93"/>
      <c r="E496" s="95"/>
      <c r="F496" s="95"/>
      <c r="G496" s="95"/>
      <c r="H496" s="93"/>
      <c r="I496" s="93"/>
      <c r="J496" s="93"/>
    </row>
    <row r="497" spans="1:10" s="65" customFormat="1" ht="14" x14ac:dyDescent="0.35">
      <c r="A497" s="145"/>
      <c r="B497" s="152"/>
      <c r="C497" s="93"/>
      <c r="D497" s="93"/>
      <c r="E497" s="95"/>
      <c r="F497" s="95"/>
      <c r="G497" s="95"/>
      <c r="H497" s="93"/>
      <c r="I497" s="93"/>
      <c r="J497" s="93"/>
    </row>
    <row r="498" spans="1:10" s="65" customFormat="1" ht="14" x14ac:dyDescent="0.35">
      <c r="A498" s="145"/>
      <c r="B498" s="152"/>
      <c r="C498" s="93"/>
      <c r="D498" s="93"/>
      <c r="E498" s="95"/>
      <c r="F498" s="95"/>
      <c r="G498" s="95"/>
      <c r="H498" s="93"/>
      <c r="I498" s="93"/>
      <c r="J498" s="93"/>
    </row>
    <row r="499" spans="1:10" s="65" customFormat="1" ht="14" x14ac:dyDescent="0.35">
      <c r="A499" s="145"/>
      <c r="B499" s="152"/>
      <c r="C499" s="93"/>
      <c r="D499" s="93"/>
      <c r="E499" s="95"/>
      <c r="F499" s="95"/>
      <c r="G499" s="95"/>
      <c r="H499" s="93"/>
      <c r="I499" s="93"/>
      <c r="J499" s="93"/>
    </row>
    <row r="500" spans="1:10" s="65" customFormat="1" ht="14" x14ac:dyDescent="0.35">
      <c r="A500" s="145"/>
      <c r="B500" s="152"/>
      <c r="C500" s="93"/>
      <c r="D500" s="93"/>
      <c r="E500" s="95"/>
      <c r="F500" s="95"/>
      <c r="G500" s="95"/>
      <c r="H500" s="93"/>
      <c r="I500" s="93"/>
      <c r="J500" s="93"/>
    </row>
    <row r="501" spans="1:10" s="65" customFormat="1" ht="14" x14ac:dyDescent="0.35">
      <c r="A501" s="145"/>
      <c r="B501" s="152"/>
      <c r="C501" s="93"/>
      <c r="D501" s="93"/>
      <c r="E501" s="95"/>
      <c r="F501" s="95"/>
      <c r="G501" s="95"/>
      <c r="H501" s="93"/>
      <c r="I501" s="93"/>
      <c r="J501" s="93"/>
    </row>
    <row r="502" spans="1:10" s="65" customFormat="1" ht="14" x14ac:dyDescent="0.35">
      <c r="A502" s="145"/>
      <c r="B502" s="152"/>
      <c r="C502" s="93"/>
      <c r="D502" s="93"/>
      <c r="E502" s="95"/>
      <c r="F502" s="95"/>
      <c r="G502" s="95"/>
      <c r="H502" s="93"/>
      <c r="I502" s="93"/>
      <c r="J502" s="93"/>
    </row>
    <row r="503" spans="1:10" s="65" customFormat="1" ht="14" x14ac:dyDescent="0.35">
      <c r="A503" s="145"/>
      <c r="B503" s="152"/>
      <c r="C503" s="93"/>
      <c r="D503" s="93"/>
      <c r="E503" s="95"/>
      <c r="F503" s="95"/>
      <c r="G503" s="95"/>
      <c r="H503" s="93"/>
      <c r="I503" s="93"/>
      <c r="J503" s="93"/>
    </row>
    <row r="504" spans="1:10" s="65" customFormat="1" ht="14" x14ac:dyDescent="0.35">
      <c r="A504" s="145"/>
      <c r="B504" s="152"/>
      <c r="C504" s="93"/>
      <c r="D504" s="93"/>
      <c r="E504" s="95"/>
      <c r="F504" s="95"/>
      <c r="G504" s="95"/>
      <c r="H504" s="93"/>
      <c r="I504" s="93"/>
      <c r="J504" s="93"/>
    </row>
    <row r="505" spans="1:10" s="65" customFormat="1" ht="14" x14ac:dyDescent="0.35">
      <c r="A505" s="145"/>
      <c r="B505" s="152"/>
      <c r="C505" s="93"/>
      <c r="D505" s="93"/>
      <c r="E505" s="95"/>
      <c r="F505" s="95"/>
      <c r="G505" s="95"/>
      <c r="H505" s="93"/>
      <c r="I505" s="93"/>
      <c r="J505" s="93"/>
    </row>
    <row r="506" spans="1:10" s="65" customFormat="1" ht="14" x14ac:dyDescent="0.35">
      <c r="A506" s="145"/>
      <c r="B506" s="152"/>
      <c r="C506" s="93"/>
      <c r="D506" s="93"/>
      <c r="E506" s="95"/>
      <c r="F506" s="95"/>
      <c r="G506" s="95"/>
      <c r="H506" s="93"/>
      <c r="I506" s="93"/>
      <c r="J506" s="93"/>
    </row>
    <row r="507" spans="1:10" s="65" customFormat="1" ht="14" x14ac:dyDescent="0.35">
      <c r="A507" s="145"/>
      <c r="B507" s="152"/>
      <c r="C507" s="93"/>
      <c r="D507" s="93"/>
      <c r="E507" s="95"/>
      <c r="F507" s="95"/>
      <c r="G507" s="95"/>
      <c r="H507" s="93"/>
      <c r="I507" s="93"/>
      <c r="J507" s="93"/>
    </row>
    <row r="508" spans="1:10" s="65" customFormat="1" ht="14" x14ac:dyDescent="0.35">
      <c r="A508" s="145"/>
      <c r="B508" s="152"/>
      <c r="C508" s="93"/>
      <c r="D508" s="93"/>
      <c r="E508" s="95"/>
      <c r="F508" s="95"/>
      <c r="G508" s="95"/>
      <c r="H508" s="93"/>
      <c r="I508" s="93"/>
      <c r="J508" s="93"/>
    </row>
    <row r="509" spans="1:10" s="65" customFormat="1" ht="14" x14ac:dyDescent="0.35">
      <c r="A509" s="145"/>
      <c r="B509" s="152"/>
      <c r="C509" s="93"/>
      <c r="D509" s="93"/>
      <c r="E509" s="95"/>
      <c r="F509" s="95"/>
      <c r="G509" s="95"/>
      <c r="H509" s="93"/>
      <c r="I509" s="93"/>
      <c r="J509" s="93"/>
    </row>
    <row r="510" spans="1:10" s="65" customFormat="1" ht="14" x14ac:dyDescent="0.35">
      <c r="A510" s="145"/>
      <c r="B510" s="152"/>
      <c r="C510" s="93"/>
      <c r="D510" s="93"/>
      <c r="E510" s="95"/>
      <c r="F510" s="95"/>
      <c r="G510" s="95"/>
      <c r="H510" s="93"/>
      <c r="I510" s="93"/>
      <c r="J510" s="93"/>
    </row>
    <row r="511" spans="1:10" s="65" customFormat="1" ht="14" x14ac:dyDescent="0.35">
      <c r="A511" s="145"/>
      <c r="B511" s="152"/>
      <c r="C511" s="93"/>
      <c r="D511" s="93"/>
      <c r="E511" s="95"/>
      <c r="F511" s="95"/>
      <c r="G511" s="95"/>
      <c r="H511" s="93"/>
      <c r="I511" s="93"/>
      <c r="J511" s="93"/>
    </row>
    <row r="512" spans="1:10" s="65" customFormat="1" ht="14" x14ac:dyDescent="0.35">
      <c r="A512" s="145"/>
      <c r="B512" s="152"/>
      <c r="C512" s="93"/>
      <c r="D512" s="93"/>
      <c r="E512" s="95"/>
      <c r="F512" s="95"/>
      <c r="G512" s="95"/>
      <c r="H512" s="93"/>
      <c r="I512" s="93"/>
      <c r="J512" s="93"/>
    </row>
    <row r="513" spans="1:10" s="65" customFormat="1" ht="14" x14ac:dyDescent="0.35">
      <c r="A513" s="145"/>
      <c r="B513" s="152"/>
      <c r="C513" s="93"/>
      <c r="D513" s="93"/>
      <c r="E513" s="95"/>
      <c r="F513" s="95"/>
      <c r="G513" s="95"/>
      <c r="H513" s="93"/>
      <c r="I513" s="93"/>
      <c r="J513" s="93"/>
    </row>
    <row r="514" spans="1:10" s="65" customFormat="1" ht="14" x14ac:dyDescent="0.35">
      <c r="A514" s="145"/>
      <c r="B514" s="152"/>
      <c r="C514" s="93"/>
      <c r="D514" s="93"/>
      <c r="E514" s="95"/>
      <c r="F514" s="95"/>
      <c r="G514" s="95"/>
      <c r="H514" s="93"/>
      <c r="I514" s="93"/>
      <c r="J514" s="93"/>
    </row>
    <row r="515" spans="1:10" s="65" customFormat="1" ht="14" x14ac:dyDescent="0.35">
      <c r="A515" s="145"/>
      <c r="B515" s="152"/>
      <c r="C515" s="93"/>
      <c r="D515" s="93"/>
      <c r="E515" s="95"/>
      <c r="F515" s="95"/>
      <c r="G515" s="95"/>
      <c r="H515" s="93"/>
      <c r="I515" s="93"/>
      <c r="J515" s="93"/>
    </row>
    <row r="516" spans="1:10" s="65" customFormat="1" ht="14" x14ac:dyDescent="0.35">
      <c r="A516" s="145"/>
      <c r="B516" s="152"/>
      <c r="C516" s="93"/>
      <c r="D516" s="93"/>
      <c r="E516" s="95"/>
      <c r="F516" s="95"/>
      <c r="G516" s="95"/>
      <c r="H516" s="93"/>
      <c r="I516" s="93"/>
      <c r="J516" s="93"/>
    </row>
    <row r="517" spans="1:10" s="65" customFormat="1" ht="14" x14ac:dyDescent="0.35">
      <c r="A517" s="145"/>
      <c r="B517" s="152"/>
      <c r="C517" s="93"/>
      <c r="D517" s="93"/>
      <c r="E517" s="95"/>
      <c r="F517" s="95"/>
      <c r="G517" s="95"/>
      <c r="H517" s="93"/>
      <c r="I517" s="93"/>
      <c r="J517" s="93"/>
    </row>
    <row r="518" spans="1:10" s="65" customFormat="1" ht="14" x14ac:dyDescent="0.35">
      <c r="A518" s="145"/>
      <c r="B518" s="152"/>
      <c r="C518" s="93"/>
      <c r="D518" s="93"/>
      <c r="E518" s="95"/>
      <c r="F518" s="95"/>
      <c r="G518" s="95"/>
      <c r="H518" s="93"/>
      <c r="I518" s="93"/>
      <c r="J518" s="93"/>
    </row>
    <row r="519" spans="1:10" s="65" customFormat="1" ht="14" x14ac:dyDescent="0.35">
      <c r="A519" s="145"/>
      <c r="B519" s="152"/>
      <c r="C519" s="93"/>
      <c r="D519" s="93"/>
      <c r="E519" s="95"/>
      <c r="F519" s="95"/>
      <c r="G519" s="95"/>
      <c r="H519" s="93"/>
      <c r="I519" s="93"/>
      <c r="J519" s="93"/>
    </row>
    <row r="520" spans="1:10" s="65" customFormat="1" ht="14" x14ac:dyDescent="0.35">
      <c r="A520" s="145"/>
      <c r="B520" s="152"/>
      <c r="C520" s="93"/>
      <c r="D520" s="93"/>
      <c r="E520" s="95"/>
      <c r="F520" s="95"/>
      <c r="G520" s="95"/>
      <c r="H520" s="93"/>
      <c r="I520" s="93"/>
      <c r="J520" s="93"/>
    </row>
    <row r="521" spans="1:10" s="65" customFormat="1" ht="14" x14ac:dyDescent="0.35">
      <c r="A521" s="145"/>
      <c r="B521" s="152"/>
      <c r="C521" s="93"/>
      <c r="D521" s="93"/>
      <c r="E521" s="95"/>
      <c r="F521" s="95"/>
      <c r="G521" s="95"/>
      <c r="H521" s="93"/>
      <c r="I521" s="93"/>
      <c r="J521" s="93"/>
    </row>
    <row r="522" spans="1:10" s="65" customFormat="1" ht="14" x14ac:dyDescent="0.35">
      <c r="A522" s="145"/>
      <c r="B522" s="152"/>
      <c r="C522" s="93"/>
      <c r="D522" s="93"/>
      <c r="E522" s="95"/>
      <c r="F522" s="95"/>
      <c r="G522" s="95"/>
      <c r="H522" s="93"/>
      <c r="I522" s="93"/>
      <c r="J522" s="93"/>
    </row>
    <row r="523" spans="1:10" s="65" customFormat="1" ht="14" x14ac:dyDescent="0.35">
      <c r="A523" s="145"/>
      <c r="B523" s="152"/>
      <c r="C523" s="93"/>
      <c r="D523" s="93"/>
      <c r="E523" s="95"/>
      <c r="F523" s="95"/>
      <c r="G523" s="95"/>
      <c r="H523" s="93"/>
      <c r="I523" s="93"/>
      <c r="J523" s="93"/>
    </row>
    <row r="524" spans="1:10" s="65" customFormat="1" ht="14" x14ac:dyDescent="0.35">
      <c r="A524" s="145"/>
      <c r="B524" s="152"/>
      <c r="C524" s="93"/>
      <c r="D524" s="93"/>
      <c r="E524" s="95"/>
      <c r="F524" s="95"/>
      <c r="G524" s="95"/>
      <c r="H524" s="93"/>
      <c r="I524" s="93"/>
      <c r="J524" s="93"/>
    </row>
    <row r="525" spans="1:10" s="65" customFormat="1" ht="14" x14ac:dyDescent="0.35">
      <c r="A525" s="145"/>
      <c r="B525" s="152"/>
      <c r="C525" s="93"/>
      <c r="D525" s="93"/>
      <c r="E525" s="95"/>
      <c r="F525" s="95"/>
      <c r="G525" s="95"/>
      <c r="H525" s="93"/>
      <c r="I525" s="93"/>
      <c r="J525" s="93"/>
    </row>
    <row r="526" spans="1:10" s="65" customFormat="1" ht="14" x14ac:dyDescent="0.35">
      <c r="A526" s="145"/>
      <c r="B526" s="152"/>
      <c r="C526" s="93"/>
      <c r="D526" s="93"/>
      <c r="E526" s="95"/>
      <c r="F526" s="95"/>
      <c r="G526" s="95"/>
      <c r="H526" s="93"/>
      <c r="I526" s="93"/>
      <c r="J526" s="93"/>
    </row>
    <row r="527" spans="1:10" s="65" customFormat="1" ht="14" x14ac:dyDescent="0.35">
      <c r="A527" s="145"/>
      <c r="B527" s="152"/>
      <c r="C527" s="93"/>
      <c r="D527" s="93"/>
      <c r="E527" s="95"/>
      <c r="F527" s="95"/>
      <c r="G527" s="95"/>
      <c r="H527" s="93"/>
      <c r="I527" s="93"/>
      <c r="J527" s="93"/>
    </row>
    <row r="528" spans="1:10" s="65" customFormat="1" ht="14" x14ac:dyDescent="0.35">
      <c r="A528" s="145"/>
      <c r="B528" s="152"/>
      <c r="C528" s="93"/>
      <c r="D528" s="93"/>
      <c r="E528" s="95"/>
      <c r="F528" s="95"/>
      <c r="G528" s="95"/>
      <c r="H528" s="93"/>
      <c r="I528" s="93"/>
      <c r="J528" s="93"/>
    </row>
    <row r="529" spans="1:10" s="65" customFormat="1" ht="14" x14ac:dyDescent="0.35">
      <c r="A529" s="145"/>
      <c r="B529" s="152"/>
      <c r="C529" s="93"/>
      <c r="D529" s="93"/>
      <c r="E529" s="95"/>
      <c r="F529" s="95"/>
      <c r="G529" s="95"/>
      <c r="H529" s="93"/>
      <c r="I529" s="93"/>
      <c r="J529" s="93"/>
    </row>
    <row r="530" spans="1:10" s="65" customFormat="1" ht="14" x14ac:dyDescent="0.35">
      <c r="A530" s="145"/>
      <c r="B530" s="152"/>
      <c r="C530" s="93"/>
      <c r="D530" s="93"/>
      <c r="E530" s="95"/>
      <c r="F530" s="95"/>
      <c r="G530" s="95"/>
      <c r="H530" s="93"/>
      <c r="I530" s="93"/>
      <c r="J530" s="93"/>
    </row>
    <row r="531" spans="1:10" s="65" customFormat="1" ht="14" x14ac:dyDescent="0.35">
      <c r="A531" s="145"/>
      <c r="B531" s="152"/>
      <c r="C531" s="93"/>
      <c r="D531" s="93"/>
      <c r="E531" s="95"/>
      <c r="F531" s="95"/>
      <c r="G531" s="95"/>
      <c r="H531" s="93"/>
      <c r="I531" s="93"/>
      <c r="J531" s="93"/>
    </row>
    <row r="532" spans="1:10" s="65" customFormat="1" ht="14" x14ac:dyDescent="0.35">
      <c r="A532" s="145"/>
      <c r="B532" s="152"/>
      <c r="C532" s="93"/>
      <c r="D532" s="93"/>
      <c r="E532" s="95"/>
      <c r="F532" s="95"/>
      <c r="G532" s="95"/>
      <c r="H532" s="93"/>
      <c r="I532" s="93"/>
      <c r="J532" s="93"/>
    </row>
    <row r="533" spans="1:10" s="65" customFormat="1" ht="14" x14ac:dyDescent="0.35">
      <c r="A533" s="145"/>
      <c r="B533" s="152"/>
      <c r="C533" s="93"/>
      <c r="D533" s="93"/>
      <c r="E533" s="95"/>
      <c r="F533" s="95"/>
      <c r="G533" s="95"/>
      <c r="H533" s="93"/>
      <c r="I533" s="93"/>
      <c r="J533" s="93"/>
    </row>
    <row r="534" spans="1:10" s="65" customFormat="1" ht="14" x14ac:dyDescent="0.35">
      <c r="A534" s="145"/>
      <c r="B534" s="152"/>
      <c r="C534" s="93"/>
      <c r="D534" s="93"/>
      <c r="E534" s="95"/>
      <c r="F534" s="95"/>
      <c r="G534" s="95"/>
      <c r="H534" s="93"/>
      <c r="I534" s="93"/>
      <c r="J534" s="93"/>
    </row>
    <row r="535" spans="1:10" s="65" customFormat="1" ht="14" x14ac:dyDescent="0.35">
      <c r="A535" s="145"/>
      <c r="B535" s="152"/>
      <c r="C535" s="93"/>
      <c r="D535" s="93"/>
      <c r="E535" s="95"/>
      <c r="F535" s="95"/>
      <c r="G535" s="95"/>
      <c r="H535" s="93"/>
      <c r="I535" s="93"/>
      <c r="J535" s="93"/>
    </row>
    <row r="536" spans="1:10" s="65" customFormat="1" ht="14" x14ac:dyDescent="0.35">
      <c r="A536" s="145"/>
      <c r="B536" s="152"/>
      <c r="C536" s="93"/>
      <c r="D536" s="93"/>
      <c r="E536" s="95"/>
      <c r="F536" s="95"/>
      <c r="G536" s="95"/>
      <c r="H536" s="93"/>
      <c r="I536" s="93"/>
      <c r="J536" s="93"/>
    </row>
    <row r="537" spans="1:10" s="65" customFormat="1" ht="14" x14ac:dyDescent="0.35">
      <c r="A537" s="145"/>
      <c r="B537" s="152"/>
      <c r="C537" s="93"/>
      <c r="D537" s="93"/>
      <c r="E537" s="95"/>
      <c r="F537" s="95"/>
      <c r="G537" s="95"/>
      <c r="H537" s="93"/>
      <c r="I537" s="93"/>
      <c r="J537" s="93"/>
    </row>
    <row r="538" spans="1:10" s="65" customFormat="1" ht="14" x14ac:dyDescent="0.35">
      <c r="A538" s="145"/>
      <c r="B538" s="152"/>
      <c r="C538" s="93"/>
      <c r="D538" s="93"/>
      <c r="E538" s="95"/>
      <c r="F538" s="95"/>
      <c r="G538" s="95"/>
      <c r="H538" s="93"/>
      <c r="I538" s="93"/>
      <c r="J538" s="93"/>
    </row>
    <row r="539" spans="1:10" s="65" customFormat="1" ht="14" x14ac:dyDescent="0.35">
      <c r="A539" s="145"/>
      <c r="B539" s="152"/>
      <c r="C539" s="93"/>
      <c r="D539" s="93"/>
      <c r="E539" s="95"/>
      <c r="F539" s="95"/>
      <c r="G539" s="95"/>
      <c r="H539" s="93"/>
      <c r="I539" s="93"/>
      <c r="J539" s="93"/>
    </row>
    <row r="540" spans="1:10" s="65" customFormat="1" ht="14" x14ac:dyDescent="0.35">
      <c r="A540" s="145"/>
      <c r="B540" s="152"/>
      <c r="C540" s="93"/>
      <c r="D540" s="93"/>
      <c r="E540" s="95"/>
      <c r="F540" s="95"/>
      <c r="G540" s="95"/>
      <c r="H540" s="93"/>
      <c r="I540" s="93"/>
      <c r="J540" s="93"/>
    </row>
    <row r="541" spans="1:10" s="65" customFormat="1" ht="14" x14ac:dyDescent="0.35">
      <c r="A541" s="145"/>
      <c r="B541" s="152"/>
      <c r="C541" s="93"/>
      <c r="D541" s="93"/>
      <c r="E541" s="95"/>
      <c r="F541" s="95"/>
      <c r="G541" s="95"/>
      <c r="H541" s="93"/>
      <c r="I541" s="93"/>
      <c r="J541" s="93"/>
    </row>
    <row r="542" spans="1:10" s="65" customFormat="1" ht="14" x14ac:dyDescent="0.35">
      <c r="A542" s="145"/>
      <c r="B542" s="152"/>
      <c r="C542" s="93"/>
      <c r="D542" s="93"/>
      <c r="E542" s="95"/>
      <c r="F542" s="95"/>
      <c r="G542" s="95"/>
      <c r="H542" s="93"/>
      <c r="I542" s="93"/>
      <c r="J542" s="93"/>
    </row>
    <row r="543" spans="1:10" s="65" customFormat="1" ht="14" x14ac:dyDescent="0.35">
      <c r="A543" s="145"/>
      <c r="B543" s="152"/>
      <c r="C543" s="93"/>
      <c r="D543" s="93"/>
      <c r="E543" s="95"/>
      <c r="F543" s="95"/>
      <c r="G543" s="95"/>
      <c r="H543" s="93"/>
      <c r="I543" s="93"/>
      <c r="J543" s="93"/>
    </row>
    <row r="544" spans="1:10" s="65" customFormat="1" ht="14" x14ac:dyDescent="0.35">
      <c r="A544" s="145"/>
      <c r="B544" s="152"/>
      <c r="C544" s="93"/>
      <c r="D544" s="93"/>
      <c r="E544" s="95"/>
      <c r="F544" s="95"/>
      <c r="G544" s="95"/>
      <c r="H544" s="93"/>
      <c r="I544" s="93"/>
      <c r="J544" s="93"/>
    </row>
    <row r="545" spans="1:10" s="65" customFormat="1" ht="14" x14ac:dyDescent="0.35">
      <c r="A545" s="145"/>
      <c r="B545" s="152"/>
      <c r="C545" s="93"/>
      <c r="D545" s="93"/>
      <c r="E545" s="95"/>
      <c r="F545" s="95"/>
      <c r="G545" s="95"/>
      <c r="H545" s="93"/>
      <c r="I545" s="93"/>
      <c r="J545" s="93"/>
    </row>
    <row r="546" spans="1:10" s="65" customFormat="1" ht="14" x14ac:dyDescent="0.35">
      <c r="A546" s="145"/>
      <c r="B546" s="152"/>
      <c r="C546" s="93"/>
      <c r="D546" s="93"/>
      <c r="E546" s="95"/>
      <c r="F546" s="95"/>
      <c r="G546" s="95"/>
      <c r="H546" s="93"/>
      <c r="I546" s="93"/>
      <c r="J546" s="93"/>
    </row>
    <row r="547" spans="1:10" s="65" customFormat="1" ht="14" x14ac:dyDescent="0.35">
      <c r="A547" s="145"/>
      <c r="B547" s="152"/>
      <c r="C547" s="93"/>
      <c r="D547" s="93"/>
      <c r="E547" s="95"/>
      <c r="F547" s="95"/>
      <c r="G547" s="95"/>
      <c r="H547" s="93"/>
      <c r="I547" s="93"/>
      <c r="J547" s="93"/>
    </row>
    <row r="548" spans="1:10" s="65" customFormat="1" ht="14" x14ac:dyDescent="0.35">
      <c r="A548" s="145"/>
      <c r="B548" s="152"/>
      <c r="C548" s="93"/>
      <c r="D548" s="93"/>
      <c r="E548" s="95"/>
      <c r="F548" s="95"/>
      <c r="G548" s="95"/>
      <c r="H548" s="93"/>
      <c r="I548" s="93"/>
      <c r="J548" s="93"/>
    </row>
    <row r="549" spans="1:10" s="65" customFormat="1" ht="14" x14ac:dyDescent="0.35">
      <c r="A549" s="145"/>
      <c r="B549" s="152"/>
      <c r="C549" s="93"/>
      <c r="D549" s="93"/>
      <c r="E549" s="95"/>
      <c r="F549" s="95"/>
      <c r="G549" s="95"/>
      <c r="H549" s="93"/>
      <c r="I549" s="93"/>
      <c r="J549" s="93"/>
    </row>
    <row r="550" spans="1:10" s="65" customFormat="1" ht="14" x14ac:dyDescent="0.35">
      <c r="A550" s="145"/>
      <c r="B550" s="152"/>
      <c r="C550" s="93"/>
      <c r="D550" s="93"/>
      <c r="E550" s="95"/>
      <c r="F550" s="95"/>
      <c r="G550" s="95"/>
      <c r="H550" s="93"/>
      <c r="I550" s="93"/>
      <c r="J550" s="93"/>
    </row>
    <row r="551" spans="1:10" s="65" customFormat="1" ht="14" x14ac:dyDescent="0.35">
      <c r="A551" s="145"/>
      <c r="B551" s="152"/>
      <c r="C551" s="93"/>
      <c r="D551" s="93"/>
      <c r="E551" s="95"/>
      <c r="F551" s="95"/>
      <c r="G551" s="95"/>
      <c r="H551" s="93"/>
      <c r="I551" s="93"/>
      <c r="J551" s="93"/>
    </row>
    <row r="552" spans="1:10" s="65" customFormat="1" ht="14" x14ac:dyDescent="0.35">
      <c r="A552" s="145"/>
      <c r="B552" s="152"/>
      <c r="C552" s="93"/>
      <c r="D552" s="93"/>
      <c r="E552" s="95"/>
      <c r="F552" s="95"/>
      <c r="G552" s="95"/>
      <c r="H552" s="93"/>
      <c r="I552" s="93"/>
      <c r="J552" s="93"/>
    </row>
    <row r="553" spans="1:10" s="65" customFormat="1" ht="14" x14ac:dyDescent="0.35">
      <c r="A553" s="145"/>
      <c r="B553" s="152"/>
      <c r="C553" s="93"/>
      <c r="D553" s="93"/>
      <c r="E553" s="95"/>
      <c r="F553" s="95"/>
      <c r="G553" s="95"/>
      <c r="H553" s="93"/>
      <c r="I553" s="93"/>
      <c r="J553" s="93"/>
    </row>
    <row r="554" spans="1:10" s="65" customFormat="1" ht="14" x14ac:dyDescent="0.35">
      <c r="A554" s="145"/>
      <c r="B554" s="152"/>
      <c r="C554" s="93"/>
      <c r="D554" s="93"/>
      <c r="E554" s="95"/>
      <c r="F554" s="95"/>
      <c r="G554" s="95"/>
      <c r="H554" s="93"/>
      <c r="I554" s="93"/>
      <c r="J554" s="93"/>
    </row>
    <row r="555" spans="1:10" s="65" customFormat="1" ht="14" x14ac:dyDescent="0.35">
      <c r="A555" s="145"/>
      <c r="B555" s="152"/>
      <c r="C555" s="93"/>
      <c r="D555" s="93"/>
      <c r="E555" s="95"/>
      <c r="F555" s="95"/>
      <c r="G555" s="95"/>
      <c r="H555" s="93"/>
      <c r="I555" s="93"/>
      <c r="J555" s="93"/>
    </row>
    <row r="556" spans="1:10" s="65" customFormat="1" ht="14" x14ac:dyDescent="0.35">
      <c r="A556" s="145"/>
      <c r="B556" s="152"/>
      <c r="C556" s="93"/>
      <c r="D556" s="93"/>
      <c r="E556" s="95"/>
      <c r="F556" s="95"/>
      <c r="G556" s="95"/>
      <c r="H556" s="93"/>
      <c r="I556" s="93"/>
      <c r="J556" s="93"/>
    </row>
    <row r="557" spans="1:10" s="65" customFormat="1" ht="14" x14ac:dyDescent="0.35">
      <c r="A557" s="145"/>
      <c r="B557" s="152"/>
      <c r="C557" s="93"/>
      <c r="D557" s="93"/>
      <c r="E557" s="95"/>
      <c r="F557" s="95"/>
      <c r="G557" s="95"/>
      <c r="H557" s="93"/>
      <c r="I557" s="93"/>
      <c r="J557" s="93"/>
    </row>
    <row r="558" spans="1:10" s="65" customFormat="1" ht="14" x14ac:dyDescent="0.35">
      <c r="A558" s="145"/>
      <c r="B558" s="152"/>
      <c r="C558" s="93"/>
      <c r="D558" s="93"/>
      <c r="E558" s="95"/>
      <c r="F558" s="95"/>
      <c r="G558" s="95"/>
      <c r="H558" s="93"/>
      <c r="I558" s="93"/>
      <c r="J558" s="93"/>
    </row>
    <row r="559" spans="1:10" s="65" customFormat="1" ht="14" x14ac:dyDescent="0.35">
      <c r="A559" s="145"/>
      <c r="B559" s="152"/>
      <c r="C559" s="93"/>
      <c r="D559" s="93"/>
      <c r="E559" s="95"/>
      <c r="F559" s="95"/>
      <c r="G559" s="95"/>
      <c r="H559" s="93"/>
      <c r="I559" s="93"/>
      <c r="J559" s="93"/>
    </row>
    <row r="560" spans="1:10" s="65" customFormat="1" ht="14" x14ac:dyDescent="0.35">
      <c r="A560" s="145"/>
      <c r="B560" s="152"/>
      <c r="C560" s="93"/>
      <c r="D560" s="93"/>
      <c r="E560" s="95"/>
      <c r="F560" s="95"/>
      <c r="G560" s="95"/>
      <c r="H560" s="93"/>
      <c r="I560" s="93"/>
      <c r="J560" s="93"/>
    </row>
    <row r="561" spans="1:10" s="65" customFormat="1" ht="14" x14ac:dyDescent="0.35">
      <c r="A561" s="145"/>
      <c r="B561" s="152"/>
      <c r="C561" s="93"/>
      <c r="D561" s="93"/>
      <c r="E561" s="95"/>
      <c r="F561" s="95"/>
      <c r="G561" s="95"/>
      <c r="H561" s="93"/>
      <c r="I561" s="93"/>
      <c r="J561" s="93"/>
    </row>
    <row r="562" spans="1:10" s="65" customFormat="1" ht="14" x14ac:dyDescent="0.35">
      <c r="A562" s="145"/>
      <c r="B562" s="152"/>
      <c r="C562" s="93"/>
      <c r="D562" s="93"/>
      <c r="E562" s="95"/>
      <c r="F562" s="95"/>
      <c r="G562" s="95"/>
      <c r="H562" s="93"/>
      <c r="I562" s="93"/>
      <c r="J562" s="93"/>
    </row>
    <row r="563" spans="1:10" s="65" customFormat="1" ht="14" x14ac:dyDescent="0.35">
      <c r="A563" s="145"/>
      <c r="B563" s="152"/>
      <c r="C563" s="93"/>
      <c r="D563" s="93"/>
      <c r="E563" s="95"/>
      <c r="F563" s="95"/>
      <c r="G563" s="95"/>
      <c r="H563" s="93"/>
      <c r="I563" s="93"/>
      <c r="J563" s="93"/>
    </row>
    <row r="564" spans="1:10" s="65" customFormat="1" ht="14" x14ac:dyDescent="0.35">
      <c r="A564" s="145"/>
      <c r="B564" s="152"/>
      <c r="C564" s="93"/>
      <c r="D564" s="93"/>
      <c r="E564" s="95"/>
      <c r="F564" s="95"/>
      <c r="G564" s="95"/>
      <c r="H564" s="93"/>
      <c r="I564" s="93"/>
      <c r="J564" s="93"/>
    </row>
    <row r="565" spans="1:10" s="65" customFormat="1" ht="14" x14ac:dyDescent="0.35">
      <c r="A565" s="145"/>
      <c r="B565" s="152"/>
      <c r="C565" s="93"/>
      <c r="D565" s="93"/>
      <c r="E565" s="95"/>
      <c r="F565" s="95"/>
      <c r="G565" s="95"/>
      <c r="H565" s="93"/>
      <c r="I565" s="93"/>
      <c r="J565" s="93"/>
    </row>
    <row r="566" spans="1:10" s="65" customFormat="1" ht="14" x14ac:dyDescent="0.35">
      <c r="A566" s="145"/>
      <c r="B566" s="152"/>
      <c r="C566" s="93"/>
      <c r="D566" s="93"/>
      <c r="E566" s="95"/>
      <c r="F566" s="95"/>
      <c r="G566" s="95"/>
      <c r="H566" s="93"/>
      <c r="I566" s="93"/>
      <c r="J566" s="93"/>
    </row>
    <row r="567" spans="1:10" s="65" customFormat="1" ht="14" x14ac:dyDescent="0.35">
      <c r="A567" s="145"/>
      <c r="B567" s="152"/>
      <c r="C567" s="93"/>
      <c r="D567" s="93"/>
      <c r="E567" s="95"/>
      <c r="F567" s="95"/>
      <c r="G567" s="95"/>
      <c r="H567" s="93"/>
      <c r="I567" s="93"/>
      <c r="J567" s="93"/>
    </row>
    <row r="568" spans="1:10" s="65" customFormat="1" ht="14" x14ac:dyDescent="0.35">
      <c r="A568" s="145"/>
      <c r="B568" s="152"/>
      <c r="C568" s="93"/>
      <c r="D568" s="93"/>
      <c r="E568" s="95"/>
      <c r="F568" s="95"/>
      <c r="G568" s="95"/>
      <c r="H568" s="93"/>
      <c r="I568" s="93"/>
      <c r="J568" s="93"/>
    </row>
    <row r="569" spans="1:10" s="65" customFormat="1" ht="14" x14ac:dyDescent="0.35">
      <c r="A569" s="145"/>
      <c r="B569" s="152"/>
      <c r="C569" s="93"/>
      <c r="D569" s="93"/>
      <c r="E569" s="95"/>
      <c r="F569" s="95"/>
      <c r="G569" s="95"/>
      <c r="H569" s="93"/>
      <c r="I569" s="93"/>
      <c r="J569" s="93"/>
    </row>
    <row r="570" spans="1:10" s="65" customFormat="1" ht="14" x14ac:dyDescent="0.35">
      <c r="A570" s="145"/>
      <c r="B570" s="152"/>
      <c r="C570" s="93"/>
      <c r="D570" s="93"/>
      <c r="E570" s="95"/>
      <c r="F570" s="95"/>
      <c r="G570" s="95"/>
      <c r="H570" s="93"/>
      <c r="I570" s="93"/>
      <c r="J570" s="93"/>
    </row>
    <row r="571" spans="1:10" s="65" customFormat="1" ht="14" x14ac:dyDescent="0.35">
      <c r="A571" s="145"/>
      <c r="B571" s="152"/>
      <c r="C571" s="93"/>
      <c r="D571" s="93"/>
      <c r="E571" s="95"/>
      <c r="F571" s="95"/>
      <c r="G571" s="95"/>
      <c r="H571" s="93"/>
      <c r="I571" s="93"/>
      <c r="J571" s="93"/>
    </row>
    <row r="572" spans="1:10" s="65" customFormat="1" ht="14" x14ac:dyDescent="0.35">
      <c r="A572" s="145"/>
      <c r="B572" s="152"/>
      <c r="C572" s="93"/>
      <c r="D572" s="93"/>
      <c r="E572" s="95"/>
      <c r="F572" s="95"/>
      <c r="G572" s="95"/>
      <c r="H572" s="93"/>
      <c r="I572" s="93"/>
      <c r="J572" s="93"/>
    </row>
    <row r="573" spans="1:10" s="65" customFormat="1" ht="14" x14ac:dyDescent="0.35">
      <c r="A573" s="145"/>
      <c r="B573" s="152"/>
      <c r="C573" s="93"/>
      <c r="D573" s="93"/>
      <c r="E573" s="95"/>
      <c r="F573" s="95"/>
      <c r="G573" s="95"/>
      <c r="H573" s="93"/>
      <c r="I573" s="93"/>
      <c r="J573" s="93"/>
    </row>
    <row r="574" spans="1:10" s="65" customFormat="1" ht="14" x14ac:dyDescent="0.35">
      <c r="A574" s="145"/>
      <c r="B574" s="152"/>
      <c r="C574" s="93"/>
      <c r="D574" s="93"/>
      <c r="E574" s="95"/>
      <c r="F574" s="95"/>
      <c r="G574" s="95"/>
      <c r="H574" s="93"/>
      <c r="I574" s="93"/>
      <c r="J574" s="93"/>
    </row>
    <row r="575" spans="1:10" s="65" customFormat="1" ht="14" x14ac:dyDescent="0.35">
      <c r="A575" s="145"/>
      <c r="B575" s="152"/>
      <c r="C575" s="93"/>
      <c r="D575" s="93"/>
      <c r="E575" s="95"/>
      <c r="F575" s="95"/>
      <c r="G575" s="95"/>
      <c r="H575" s="93"/>
      <c r="I575" s="93"/>
      <c r="J575" s="93"/>
    </row>
    <row r="576" spans="1:10" s="65" customFormat="1" ht="14" x14ac:dyDescent="0.35">
      <c r="A576" s="145"/>
      <c r="B576" s="152"/>
      <c r="C576" s="93"/>
      <c r="D576" s="93"/>
      <c r="E576" s="95"/>
      <c r="F576" s="95"/>
      <c r="G576" s="95"/>
      <c r="H576" s="93"/>
      <c r="I576" s="93"/>
      <c r="J576" s="93"/>
    </row>
    <row r="577" spans="1:10" s="65" customFormat="1" ht="14" x14ac:dyDescent="0.35">
      <c r="A577" s="145"/>
      <c r="B577" s="152"/>
      <c r="C577" s="93"/>
      <c r="D577" s="93"/>
      <c r="E577" s="95"/>
      <c r="F577" s="95"/>
      <c r="G577" s="95"/>
      <c r="H577" s="93"/>
      <c r="I577" s="93"/>
      <c r="J577" s="93"/>
    </row>
    <row r="578" spans="1:10" s="65" customFormat="1" ht="14" x14ac:dyDescent="0.35">
      <c r="A578" s="145"/>
      <c r="B578" s="152"/>
      <c r="C578" s="93"/>
      <c r="D578" s="93"/>
      <c r="E578" s="95"/>
      <c r="F578" s="95"/>
      <c r="G578" s="95"/>
      <c r="H578" s="93"/>
      <c r="I578" s="93"/>
      <c r="J578" s="93"/>
    </row>
    <row r="579" spans="1:10" s="65" customFormat="1" ht="14" x14ac:dyDescent="0.35">
      <c r="A579" s="145"/>
      <c r="B579" s="152"/>
      <c r="C579" s="93"/>
      <c r="D579" s="93"/>
      <c r="E579" s="95"/>
      <c r="F579" s="95"/>
      <c r="G579" s="95"/>
      <c r="H579" s="93"/>
      <c r="I579" s="93"/>
      <c r="J579" s="93"/>
    </row>
    <row r="580" spans="1:10" s="65" customFormat="1" ht="14" x14ac:dyDescent="0.35">
      <c r="A580" s="145"/>
      <c r="B580" s="152"/>
      <c r="C580" s="93"/>
      <c r="D580" s="93"/>
      <c r="E580" s="95"/>
      <c r="F580" s="95"/>
      <c r="G580" s="95"/>
      <c r="H580" s="93"/>
      <c r="I580" s="93"/>
      <c r="J580" s="93"/>
    </row>
    <row r="581" spans="1:10" s="65" customFormat="1" ht="14" x14ac:dyDescent="0.35">
      <c r="A581" s="145"/>
      <c r="B581" s="152"/>
      <c r="C581" s="93"/>
      <c r="D581" s="93"/>
      <c r="E581" s="95"/>
      <c r="F581" s="95"/>
      <c r="G581" s="95"/>
      <c r="H581" s="93"/>
      <c r="I581" s="93"/>
      <c r="J581" s="93"/>
    </row>
    <row r="582" spans="1:10" s="65" customFormat="1" ht="14" x14ac:dyDescent="0.35">
      <c r="A582" s="145"/>
      <c r="B582" s="152"/>
      <c r="C582" s="93"/>
      <c r="D582" s="93"/>
      <c r="E582" s="95"/>
      <c r="F582" s="95"/>
      <c r="G582" s="95"/>
      <c r="H582" s="93"/>
      <c r="I582" s="93"/>
      <c r="J582" s="93"/>
    </row>
    <row r="583" spans="1:10" s="65" customFormat="1" ht="14" x14ac:dyDescent="0.35">
      <c r="A583" s="145"/>
      <c r="B583" s="152"/>
      <c r="C583" s="93"/>
      <c r="D583" s="93"/>
      <c r="E583" s="95"/>
      <c r="F583" s="95"/>
      <c r="G583" s="95"/>
      <c r="H583" s="93"/>
      <c r="I583" s="93"/>
      <c r="J583" s="93"/>
    </row>
    <row r="584" spans="1:10" s="65" customFormat="1" ht="14" x14ac:dyDescent="0.35">
      <c r="A584" s="145"/>
      <c r="B584" s="152"/>
      <c r="C584" s="93"/>
      <c r="D584" s="93"/>
      <c r="E584" s="95"/>
      <c r="F584" s="95"/>
      <c r="G584" s="95"/>
      <c r="H584" s="93"/>
      <c r="I584" s="93"/>
      <c r="J584" s="93"/>
    </row>
    <row r="585" spans="1:10" s="65" customFormat="1" ht="14" x14ac:dyDescent="0.35">
      <c r="A585" s="145"/>
      <c r="B585" s="152"/>
      <c r="C585" s="93"/>
      <c r="D585" s="93"/>
      <c r="E585" s="95"/>
      <c r="F585" s="95"/>
      <c r="G585" s="95"/>
      <c r="H585" s="93"/>
      <c r="I585" s="93"/>
      <c r="J585" s="93"/>
    </row>
    <row r="586" spans="1:10" s="65" customFormat="1" ht="14" x14ac:dyDescent="0.35">
      <c r="A586" s="145"/>
      <c r="B586" s="152"/>
      <c r="C586" s="93"/>
      <c r="D586" s="93"/>
      <c r="E586" s="95"/>
      <c r="F586" s="95"/>
      <c r="G586" s="95"/>
      <c r="H586" s="93"/>
      <c r="I586" s="93"/>
      <c r="J586" s="93"/>
    </row>
    <row r="587" spans="1:10" s="65" customFormat="1" ht="14" x14ac:dyDescent="0.35">
      <c r="A587" s="145"/>
      <c r="B587" s="152"/>
      <c r="C587" s="93"/>
      <c r="D587" s="93"/>
      <c r="E587" s="95"/>
      <c r="F587" s="95"/>
      <c r="G587" s="95"/>
      <c r="H587" s="93"/>
      <c r="I587" s="93"/>
      <c r="J587" s="93"/>
    </row>
    <row r="588" spans="1:10" s="65" customFormat="1" ht="14" x14ac:dyDescent="0.35">
      <c r="A588" s="145"/>
      <c r="B588" s="152"/>
      <c r="C588" s="93"/>
      <c r="D588" s="93"/>
      <c r="E588" s="95"/>
      <c r="F588" s="95"/>
      <c r="G588" s="95"/>
      <c r="H588" s="93"/>
      <c r="I588" s="93"/>
      <c r="J588" s="93"/>
    </row>
    <row r="589" spans="1:10" s="65" customFormat="1" ht="14" x14ac:dyDescent="0.35">
      <c r="A589" s="145"/>
      <c r="B589" s="152"/>
      <c r="C589" s="93"/>
      <c r="D589" s="93"/>
      <c r="E589" s="95"/>
      <c r="F589" s="95"/>
      <c r="G589" s="95"/>
      <c r="H589" s="93"/>
      <c r="I589" s="93"/>
      <c r="J589" s="93"/>
    </row>
    <row r="590" spans="1:10" s="65" customFormat="1" ht="14" x14ac:dyDescent="0.35">
      <c r="A590" s="145"/>
      <c r="B590" s="152"/>
      <c r="C590" s="93"/>
      <c r="D590" s="93"/>
      <c r="E590" s="95"/>
      <c r="F590" s="95"/>
      <c r="G590" s="95"/>
      <c r="H590" s="93"/>
      <c r="I590" s="93"/>
      <c r="J590" s="93"/>
    </row>
    <row r="591" spans="1:10" s="65" customFormat="1" ht="14" x14ac:dyDescent="0.35">
      <c r="A591" s="145"/>
      <c r="B591" s="152"/>
      <c r="C591" s="93"/>
      <c r="D591" s="93"/>
      <c r="E591" s="95"/>
      <c r="F591" s="95"/>
      <c r="G591" s="95"/>
      <c r="H591" s="93"/>
      <c r="I591" s="93"/>
      <c r="J591" s="93"/>
    </row>
    <row r="592" spans="1:10" s="65" customFormat="1" ht="14" x14ac:dyDescent="0.35">
      <c r="A592" s="145"/>
      <c r="B592" s="152"/>
      <c r="C592" s="93"/>
      <c r="D592" s="93"/>
      <c r="E592" s="95"/>
      <c r="F592" s="95"/>
      <c r="G592" s="95"/>
      <c r="H592" s="93"/>
      <c r="I592" s="93"/>
      <c r="J592" s="93"/>
    </row>
    <row r="593" spans="1:10" s="65" customFormat="1" ht="14" x14ac:dyDescent="0.35">
      <c r="A593" s="145"/>
      <c r="B593" s="152"/>
      <c r="C593" s="93"/>
      <c r="D593" s="93"/>
      <c r="E593" s="95"/>
      <c r="F593" s="95"/>
      <c r="G593" s="95"/>
      <c r="H593" s="93"/>
      <c r="I593" s="93"/>
      <c r="J593" s="93"/>
    </row>
    <row r="594" spans="1:10" s="65" customFormat="1" ht="14" x14ac:dyDescent="0.35">
      <c r="A594" s="145"/>
      <c r="B594" s="152"/>
      <c r="C594" s="93"/>
      <c r="D594" s="93"/>
      <c r="E594" s="95"/>
      <c r="F594" s="95"/>
      <c r="G594" s="95"/>
      <c r="H594" s="93"/>
      <c r="I594" s="93"/>
      <c r="J594" s="93"/>
    </row>
    <row r="595" spans="1:10" s="65" customFormat="1" ht="14" x14ac:dyDescent="0.35">
      <c r="A595" s="145"/>
      <c r="B595" s="152"/>
      <c r="C595" s="93"/>
      <c r="D595" s="93"/>
      <c r="E595" s="95"/>
      <c r="F595" s="95"/>
      <c r="G595" s="95"/>
      <c r="H595" s="93"/>
      <c r="I595" s="93"/>
      <c r="J595" s="93"/>
    </row>
    <row r="596" spans="1:10" s="65" customFormat="1" ht="14" x14ac:dyDescent="0.35">
      <c r="A596" s="145"/>
      <c r="B596" s="152"/>
      <c r="C596" s="93"/>
      <c r="D596" s="93"/>
      <c r="E596" s="95"/>
      <c r="F596" s="95"/>
      <c r="G596" s="95"/>
      <c r="H596" s="93"/>
      <c r="I596" s="93"/>
      <c r="J596" s="93"/>
    </row>
    <row r="597" spans="1:10" s="65" customFormat="1" ht="14" x14ac:dyDescent="0.35">
      <c r="A597" s="145"/>
      <c r="B597" s="152"/>
      <c r="C597" s="93"/>
      <c r="D597" s="93"/>
      <c r="E597" s="95"/>
      <c r="F597" s="95"/>
      <c r="G597" s="95"/>
      <c r="H597" s="93"/>
      <c r="I597" s="93"/>
      <c r="J597" s="93"/>
    </row>
    <row r="598" spans="1:10" s="65" customFormat="1" ht="14" x14ac:dyDescent="0.35">
      <c r="A598" s="145"/>
      <c r="B598" s="152"/>
      <c r="C598" s="93"/>
      <c r="D598" s="93"/>
      <c r="E598" s="95"/>
      <c r="F598" s="95"/>
      <c r="G598" s="95"/>
      <c r="H598" s="93"/>
      <c r="I598" s="93"/>
      <c r="J598" s="93"/>
    </row>
    <row r="599" spans="1:10" s="65" customFormat="1" ht="14" x14ac:dyDescent="0.35">
      <c r="A599" s="145"/>
      <c r="B599" s="152"/>
      <c r="C599" s="93"/>
      <c r="D599" s="93"/>
      <c r="E599" s="95"/>
      <c r="F599" s="95"/>
      <c r="G599" s="95"/>
      <c r="H599" s="93"/>
      <c r="I599" s="93"/>
      <c r="J599" s="93"/>
    </row>
    <row r="600" spans="1:10" s="65" customFormat="1" ht="14" x14ac:dyDescent="0.35">
      <c r="A600" s="145"/>
      <c r="B600" s="152"/>
      <c r="C600" s="93"/>
      <c r="D600" s="93"/>
      <c r="E600" s="95"/>
      <c r="F600" s="95"/>
      <c r="G600" s="95"/>
      <c r="H600" s="93"/>
      <c r="I600" s="93"/>
      <c r="J600" s="93"/>
    </row>
    <row r="601" spans="1:10" s="65" customFormat="1" ht="14" x14ac:dyDescent="0.35">
      <c r="A601" s="145"/>
      <c r="B601" s="152"/>
      <c r="C601" s="93"/>
      <c r="D601" s="93"/>
      <c r="E601" s="95"/>
      <c r="F601" s="95"/>
      <c r="G601" s="95"/>
      <c r="H601" s="93"/>
      <c r="I601" s="93"/>
      <c r="J601" s="93"/>
    </row>
    <row r="602" spans="1:10" s="65" customFormat="1" ht="14" x14ac:dyDescent="0.35">
      <c r="A602" s="145"/>
      <c r="B602" s="152"/>
      <c r="C602" s="93"/>
      <c r="D602" s="93"/>
      <c r="E602" s="95"/>
      <c r="F602" s="95"/>
      <c r="G602" s="95"/>
      <c r="H602" s="93"/>
      <c r="I602" s="93"/>
      <c r="J602" s="93"/>
    </row>
    <row r="603" spans="1:10" s="65" customFormat="1" ht="14" x14ac:dyDescent="0.35">
      <c r="A603" s="145"/>
      <c r="B603" s="152"/>
      <c r="C603" s="93"/>
      <c r="D603" s="93"/>
      <c r="E603" s="95"/>
      <c r="F603" s="95"/>
      <c r="G603" s="95"/>
      <c r="H603" s="93"/>
      <c r="I603" s="93"/>
      <c r="J603" s="93"/>
    </row>
    <row r="604" spans="1:10" s="65" customFormat="1" ht="14" x14ac:dyDescent="0.35">
      <c r="A604" s="145"/>
      <c r="B604" s="152"/>
      <c r="C604" s="93"/>
      <c r="D604" s="93"/>
      <c r="E604" s="95"/>
      <c r="F604" s="95"/>
      <c r="G604" s="95"/>
      <c r="H604" s="93"/>
      <c r="I604" s="93"/>
      <c r="J604" s="93"/>
    </row>
    <row r="605" spans="1:10" s="65" customFormat="1" ht="14" x14ac:dyDescent="0.35">
      <c r="A605" s="145"/>
      <c r="B605" s="152"/>
      <c r="C605" s="93"/>
      <c r="D605" s="93"/>
      <c r="E605" s="95"/>
      <c r="F605" s="95"/>
      <c r="G605" s="95"/>
      <c r="H605" s="93"/>
      <c r="I605" s="93"/>
      <c r="J605" s="93"/>
    </row>
    <row r="606" spans="1:10" s="65" customFormat="1" ht="14" x14ac:dyDescent="0.35">
      <c r="A606" s="145"/>
      <c r="B606" s="152"/>
      <c r="C606" s="93"/>
      <c r="D606" s="93"/>
      <c r="E606" s="95"/>
      <c r="F606" s="95"/>
      <c r="G606" s="95"/>
      <c r="H606" s="93"/>
      <c r="I606" s="93"/>
      <c r="J606" s="93"/>
    </row>
    <row r="607" spans="1:10" s="65" customFormat="1" ht="14" x14ac:dyDescent="0.35">
      <c r="A607" s="145"/>
      <c r="B607" s="152"/>
      <c r="C607" s="93"/>
      <c r="D607" s="93"/>
      <c r="E607" s="95"/>
      <c r="F607" s="95"/>
      <c r="G607" s="95"/>
      <c r="H607" s="93"/>
      <c r="I607" s="93"/>
      <c r="J607" s="93"/>
    </row>
    <row r="608" spans="1:10" s="65" customFormat="1" ht="14" x14ac:dyDescent="0.35">
      <c r="A608" s="145"/>
      <c r="B608" s="152"/>
      <c r="C608" s="93"/>
      <c r="D608" s="93"/>
      <c r="E608" s="95"/>
      <c r="F608" s="95"/>
      <c r="G608" s="95"/>
      <c r="H608" s="93"/>
      <c r="I608" s="93"/>
      <c r="J608" s="93"/>
    </row>
    <row r="609" spans="1:10" s="65" customFormat="1" ht="14" x14ac:dyDescent="0.35">
      <c r="A609" s="145"/>
      <c r="B609" s="152"/>
      <c r="C609" s="93"/>
      <c r="D609" s="93"/>
      <c r="E609" s="95"/>
      <c r="F609" s="95"/>
      <c r="G609" s="95"/>
      <c r="H609" s="93"/>
      <c r="I609" s="93"/>
      <c r="J609" s="93"/>
    </row>
    <row r="610" spans="1:10" s="65" customFormat="1" ht="14" x14ac:dyDescent="0.35">
      <c r="A610" s="145"/>
      <c r="B610" s="152"/>
      <c r="C610" s="93"/>
      <c r="D610" s="93"/>
      <c r="E610" s="95"/>
      <c r="F610" s="95"/>
      <c r="G610" s="95"/>
      <c r="H610" s="93"/>
      <c r="I610" s="93"/>
      <c r="J610" s="93"/>
    </row>
    <row r="611" spans="1:10" s="65" customFormat="1" ht="14" x14ac:dyDescent="0.35">
      <c r="A611" s="145"/>
      <c r="B611" s="152"/>
      <c r="C611" s="93"/>
      <c r="D611" s="93"/>
      <c r="E611" s="95"/>
      <c r="F611" s="95"/>
      <c r="G611" s="95"/>
      <c r="H611" s="93"/>
      <c r="I611" s="93"/>
      <c r="J611" s="93"/>
    </row>
    <row r="612" spans="1:10" s="65" customFormat="1" ht="14" x14ac:dyDescent="0.35">
      <c r="A612" s="145"/>
      <c r="B612" s="152"/>
      <c r="C612" s="93"/>
      <c r="D612" s="93"/>
      <c r="E612" s="95"/>
      <c r="F612" s="95"/>
      <c r="G612" s="95"/>
      <c r="H612" s="93"/>
      <c r="I612" s="93"/>
      <c r="J612" s="93"/>
    </row>
    <row r="613" spans="1:10" s="65" customFormat="1" ht="14" x14ac:dyDescent="0.35">
      <c r="A613" s="145"/>
      <c r="B613" s="152"/>
      <c r="C613" s="93"/>
      <c r="D613" s="93"/>
      <c r="E613" s="95"/>
      <c r="F613" s="95"/>
      <c r="G613" s="95"/>
      <c r="H613" s="93"/>
      <c r="I613" s="93"/>
      <c r="J613" s="93"/>
    </row>
    <row r="614" spans="1:10" s="65" customFormat="1" ht="14" x14ac:dyDescent="0.35">
      <c r="A614" s="145"/>
      <c r="B614" s="152"/>
      <c r="C614" s="93"/>
      <c r="D614" s="93"/>
      <c r="E614" s="95"/>
      <c r="F614" s="95"/>
      <c r="G614" s="95"/>
      <c r="H614" s="93"/>
      <c r="I614" s="93"/>
      <c r="J614" s="93"/>
    </row>
    <row r="615" spans="1:10" s="65" customFormat="1" ht="14" x14ac:dyDescent="0.35">
      <c r="A615" s="145"/>
      <c r="B615" s="152"/>
      <c r="C615" s="93"/>
      <c r="D615" s="93"/>
      <c r="E615" s="95"/>
      <c r="F615" s="95"/>
      <c r="G615" s="95"/>
      <c r="H615" s="93"/>
      <c r="I615" s="93"/>
      <c r="J615" s="93"/>
    </row>
    <row r="616" spans="1:10" s="65" customFormat="1" ht="14" x14ac:dyDescent="0.35">
      <c r="A616" s="145"/>
      <c r="B616" s="152"/>
      <c r="C616" s="93"/>
      <c r="D616" s="93"/>
      <c r="E616" s="95"/>
      <c r="F616" s="95"/>
      <c r="G616" s="95"/>
      <c r="H616" s="93"/>
      <c r="I616" s="93"/>
      <c r="J616" s="93"/>
    </row>
    <row r="617" spans="1:10" s="65" customFormat="1" ht="14" x14ac:dyDescent="0.35">
      <c r="A617" s="145"/>
      <c r="B617" s="152"/>
      <c r="C617" s="93"/>
      <c r="D617" s="93"/>
      <c r="E617" s="95"/>
      <c r="F617" s="95"/>
      <c r="G617" s="95"/>
      <c r="H617" s="93"/>
      <c r="I617" s="93"/>
      <c r="J617" s="93"/>
    </row>
    <row r="618" spans="1:10" s="65" customFormat="1" ht="14" x14ac:dyDescent="0.35">
      <c r="A618" s="145"/>
      <c r="B618" s="152"/>
      <c r="C618" s="93"/>
      <c r="D618" s="93"/>
      <c r="E618" s="95"/>
      <c r="F618" s="95"/>
      <c r="G618" s="95"/>
      <c r="H618" s="93"/>
      <c r="I618" s="93"/>
      <c r="J618" s="93"/>
    </row>
    <row r="619" spans="1:10" s="65" customFormat="1" ht="14" x14ac:dyDescent="0.35">
      <c r="A619" s="145"/>
      <c r="B619" s="152"/>
      <c r="C619" s="93"/>
      <c r="D619" s="93"/>
      <c r="E619" s="95"/>
      <c r="F619" s="95"/>
      <c r="G619" s="95"/>
      <c r="H619" s="93"/>
      <c r="I619" s="93"/>
      <c r="J619" s="93"/>
    </row>
    <row r="620" spans="1:10" s="65" customFormat="1" ht="14" x14ac:dyDescent="0.35">
      <c r="A620" s="145"/>
      <c r="B620" s="152"/>
      <c r="C620" s="93"/>
      <c r="D620" s="93"/>
      <c r="E620" s="95"/>
      <c r="F620" s="95"/>
      <c r="G620" s="95"/>
      <c r="H620" s="93"/>
      <c r="I620" s="93"/>
      <c r="J620" s="93"/>
    </row>
    <row r="621" spans="1:10" s="65" customFormat="1" ht="14" x14ac:dyDescent="0.35">
      <c r="A621" s="145"/>
      <c r="B621" s="152"/>
      <c r="C621" s="93"/>
      <c r="D621" s="93"/>
      <c r="E621" s="95"/>
      <c r="F621" s="95"/>
      <c r="G621" s="95"/>
      <c r="H621" s="93"/>
      <c r="I621" s="93"/>
      <c r="J621" s="93"/>
    </row>
    <row r="622" spans="1:10" s="65" customFormat="1" ht="14" x14ac:dyDescent="0.35">
      <c r="A622" s="145"/>
      <c r="B622" s="152"/>
      <c r="C622" s="93"/>
      <c r="D622" s="93"/>
      <c r="E622" s="95"/>
      <c r="F622" s="95"/>
      <c r="G622" s="95"/>
      <c r="H622" s="93"/>
      <c r="I622" s="93"/>
      <c r="J622" s="93"/>
    </row>
    <row r="623" spans="1:10" s="65" customFormat="1" ht="14" x14ac:dyDescent="0.35">
      <c r="A623" s="145"/>
      <c r="B623" s="152"/>
      <c r="C623" s="93"/>
      <c r="D623" s="93"/>
      <c r="E623" s="95"/>
      <c r="F623" s="95"/>
      <c r="G623" s="95"/>
      <c r="H623" s="93"/>
      <c r="I623" s="93"/>
      <c r="J623" s="93"/>
    </row>
    <row r="624" spans="1:10" s="65" customFormat="1" ht="14" x14ac:dyDescent="0.35">
      <c r="A624" s="145"/>
      <c r="B624" s="152"/>
      <c r="C624" s="93"/>
      <c r="D624" s="93"/>
      <c r="E624" s="95"/>
      <c r="F624" s="95"/>
      <c r="G624" s="95"/>
      <c r="H624" s="93"/>
      <c r="I624" s="93"/>
      <c r="J624" s="93"/>
    </row>
    <row r="625" spans="1:10" s="65" customFormat="1" ht="14" x14ac:dyDescent="0.35">
      <c r="A625" s="145"/>
      <c r="B625" s="152"/>
      <c r="C625" s="93"/>
      <c r="D625" s="93"/>
      <c r="E625" s="95"/>
      <c r="F625" s="95"/>
      <c r="G625" s="95"/>
      <c r="H625" s="93"/>
      <c r="I625" s="93"/>
      <c r="J625" s="93"/>
    </row>
    <row r="626" spans="1:10" s="65" customFormat="1" ht="14" x14ac:dyDescent="0.35">
      <c r="A626" s="145"/>
      <c r="B626" s="152"/>
      <c r="C626" s="93"/>
      <c r="D626" s="93"/>
      <c r="E626" s="95"/>
      <c r="F626" s="95"/>
      <c r="G626" s="95"/>
      <c r="H626" s="93"/>
      <c r="I626" s="93"/>
      <c r="J626" s="93"/>
    </row>
    <row r="627" spans="1:10" s="65" customFormat="1" ht="14" x14ac:dyDescent="0.35">
      <c r="A627" s="145"/>
      <c r="B627" s="152"/>
      <c r="C627" s="93"/>
      <c r="D627" s="93"/>
      <c r="E627" s="95"/>
      <c r="F627" s="95"/>
      <c r="G627" s="95"/>
      <c r="H627" s="93"/>
      <c r="I627" s="93"/>
      <c r="J627" s="93"/>
    </row>
    <row r="628" spans="1:10" s="65" customFormat="1" ht="14" x14ac:dyDescent="0.35">
      <c r="A628" s="145"/>
      <c r="B628" s="152"/>
      <c r="C628" s="93"/>
      <c r="D628" s="93"/>
      <c r="E628" s="95"/>
      <c r="F628" s="95"/>
      <c r="G628" s="95"/>
      <c r="H628" s="93"/>
      <c r="I628" s="93"/>
      <c r="J628" s="93"/>
    </row>
    <row r="629" spans="1:10" s="65" customFormat="1" ht="14" x14ac:dyDescent="0.35">
      <c r="A629" s="145"/>
      <c r="B629" s="152"/>
      <c r="C629" s="93"/>
      <c r="D629" s="93"/>
      <c r="E629" s="95"/>
      <c r="F629" s="95"/>
      <c r="G629" s="95"/>
      <c r="H629" s="93"/>
      <c r="I629" s="93"/>
      <c r="J629" s="93"/>
    </row>
    <row r="630" spans="1:10" s="65" customFormat="1" ht="14" x14ac:dyDescent="0.35">
      <c r="A630" s="145"/>
      <c r="B630" s="152"/>
      <c r="C630" s="93"/>
      <c r="D630" s="93"/>
      <c r="E630" s="95"/>
      <c r="F630" s="95"/>
      <c r="G630" s="95"/>
      <c r="H630" s="93"/>
      <c r="I630" s="93"/>
      <c r="J630" s="93"/>
    </row>
    <row r="631" spans="1:10" s="65" customFormat="1" ht="14" x14ac:dyDescent="0.35">
      <c r="A631" s="145"/>
      <c r="B631" s="152"/>
      <c r="C631" s="93"/>
      <c r="D631" s="93"/>
      <c r="E631" s="95"/>
      <c r="F631" s="95"/>
      <c r="G631" s="95"/>
      <c r="H631" s="93"/>
      <c r="I631" s="93"/>
      <c r="J631" s="93"/>
    </row>
    <row r="632" spans="1:10" s="65" customFormat="1" ht="14" x14ac:dyDescent="0.35">
      <c r="A632" s="145"/>
      <c r="B632" s="152"/>
      <c r="C632" s="93"/>
      <c r="D632" s="93"/>
      <c r="E632" s="95"/>
      <c r="F632" s="95"/>
      <c r="G632" s="95"/>
      <c r="H632" s="93"/>
      <c r="I632" s="93"/>
      <c r="J632" s="93"/>
    </row>
    <row r="633" spans="1:10" s="65" customFormat="1" ht="14" x14ac:dyDescent="0.35">
      <c r="A633" s="145"/>
      <c r="B633" s="152"/>
      <c r="C633" s="93"/>
      <c r="D633" s="93"/>
      <c r="E633" s="95"/>
      <c r="F633" s="95"/>
      <c r="G633" s="95"/>
      <c r="H633" s="93"/>
      <c r="I633" s="93"/>
      <c r="J633" s="93"/>
    </row>
    <row r="634" spans="1:10" s="65" customFormat="1" ht="14" x14ac:dyDescent="0.35">
      <c r="A634" s="145"/>
      <c r="B634" s="152"/>
      <c r="C634" s="93"/>
      <c r="D634" s="93"/>
      <c r="E634" s="95"/>
      <c r="F634" s="95"/>
      <c r="G634" s="95"/>
      <c r="H634" s="93"/>
      <c r="I634" s="93"/>
      <c r="J634" s="93"/>
    </row>
    <row r="635" spans="1:10" s="65" customFormat="1" ht="14" x14ac:dyDescent="0.35">
      <c r="A635" s="145"/>
      <c r="B635" s="152"/>
      <c r="C635" s="93"/>
      <c r="D635" s="93"/>
      <c r="E635" s="95"/>
      <c r="F635" s="95"/>
      <c r="G635" s="95"/>
      <c r="H635" s="93"/>
      <c r="I635" s="93"/>
      <c r="J635" s="93"/>
    </row>
    <row r="636" spans="1:10" s="65" customFormat="1" ht="14" x14ac:dyDescent="0.35">
      <c r="A636" s="145"/>
      <c r="B636" s="152"/>
      <c r="C636" s="93"/>
      <c r="D636" s="93"/>
      <c r="E636" s="95"/>
      <c r="F636" s="95"/>
      <c r="G636" s="95"/>
      <c r="H636" s="93"/>
      <c r="I636" s="93"/>
      <c r="J636" s="93"/>
    </row>
    <row r="637" spans="1:10" s="65" customFormat="1" ht="14" x14ac:dyDescent="0.35">
      <c r="A637" s="145"/>
      <c r="B637" s="152"/>
      <c r="C637" s="93"/>
      <c r="D637" s="93"/>
      <c r="E637" s="95"/>
      <c r="F637" s="95"/>
      <c r="G637" s="95"/>
      <c r="H637" s="93"/>
      <c r="I637" s="93"/>
      <c r="J637" s="93"/>
    </row>
    <row r="638" spans="1:10" s="65" customFormat="1" ht="14" x14ac:dyDescent="0.35">
      <c r="A638" s="145"/>
      <c r="B638" s="152"/>
      <c r="C638" s="93"/>
      <c r="D638" s="93"/>
      <c r="E638" s="95"/>
      <c r="F638" s="95"/>
      <c r="G638" s="95"/>
      <c r="H638" s="93"/>
      <c r="I638" s="93"/>
      <c r="J638" s="93"/>
    </row>
    <row r="639" spans="1:10" s="65" customFormat="1" ht="14" x14ac:dyDescent="0.35">
      <c r="A639" s="145"/>
      <c r="B639" s="152"/>
      <c r="C639" s="93"/>
      <c r="D639" s="93"/>
      <c r="E639" s="95"/>
      <c r="F639" s="95"/>
      <c r="G639" s="95"/>
      <c r="H639" s="93"/>
      <c r="I639" s="93"/>
      <c r="J639" s="93"/>
    </row>
    <row r="640" spans="1:10" s="65" customFormat="1" ht="14" x14ac:dyDescent="0.35">
      <c r="A640" s="145"/>
      <c r="B640" s="152"/>
      <c r="C640" s="93"/>
      <c r="D640" s="93"/>
      <c r="E640" s="95"/>
      <c r="F640" s="95"/>
      <c r="G640" s="95"/>
      <c r="H640" s="93"/>
      <c r="I640" s="93"/>
      <c r="J640" s="93"/>
    </row>
    <row r="641" spans="1:10" s="65" customFormat="1" ht="14" x14ac:dyDescent="0.35">
      <c r="A641" s="145"/>
      <c r="B641" s="152"/>
      <c r="C641" s="93"/>
      <c r="D641" s="93"/>
      <c r="E641" s="95"/>
      <c r="F641" s="95"/>
      <c r="G641" s="95"/>
      <c r="H641" s="93"/>
      <c r="I641" s="93"/>
      <c r="J641" s="93"/>
    </row>
    <row r="642" spans="1:10" s="65" customFormat="1" ht="14" x14ac:dyDescent="0.35">
      <c r="A642" s="145"/>
      <c r="B642" s="152"/>
      <c r="C642" s="93"/>
      <c r="D642" s="93"/>
      <c r="E642" s="95"/>
      <c r="F642" s="95"/>
      <c r="G642" s="95"/>
      <c r="H642" s="93"/>
      <c r="I642" s="93"/>
      <c r="J642" s="93"/>
    </row>
    <row r="643" spans="1:10" s="65" customFormat="1" ht="14" x14ac:dyDescent="0.35">
      <c r="A643" s="145"/>
      <c r="B643" s="152"/>
      <c r="C643" s="93"/>
      <c r="D643" s="93"/>
      <c r="E643" s="95"/>
      <c r="F643" s="95"/>
      <c r="G643" s="95"/>
      <c r="H643" s="93"/>
      <c r="I643" s="93"/>
      <c r="J643" s="93"/>
    </row>
    <row r="644" spans="1:10" s="65" customFormat="1" ht="14" x14ac:dyDescent="0.35">
      <c r="A644" s="145"/>
      <c r="B644" s="152"/>
      <c r="C644" s="93"/>
      <c r="D644" s="93"/>
      <c r="E644" s="95"/>
      <c r="F644" s="95"/>
      <c r="G644" s="95"/>
      <c r="H644" s="93"/>
      <c r="I644" s="93"/>
      <c r="J644" s="93"/>
    </row>
    <row r="645" spans="1:10" s="65" customFormat="1" ht="14" x14ac:dyDescent="0.35">
      <c r="A645" s="145"/>
      <c r="B645" s="152"/>
      <c r="C645" s="93"/>
      <c r="D645" s="93"/>
      <c r="E645" s="95"/>
      <c r="F645" s="95"/>
      <c r="G645" s="95"/>
      <c r="H645" s="93"/>
      <c r="I645" s="93"/>
      <c r="J645" s="93"/>
    </row>
    <row r="646" spans="1:10" s="65" customFormat="1" ht="14" x14ac:dyDescent="0.35">
      <c r="A646" s="145"/>
      <c r="B646" s="152"/>
      <c r="C646" s="93"/>
      <c r="D646" s="93"/>
      <c r="E646" s="95"/>
      <c r="F646" s="95"/>
      <c r="G646" s="95"/>
      <c r="H646" s="93"/>
      <c r="I646" s="93"/>
      <c r="J646" s="93"/>
    </row>
    <row r="647" spans="1:10" s="65" customFormat="1" ht="14" x14ac:dyDescent="0.35">
      <c r="A647" s="145"/>
      <c r="B647" s="152"/>
      <c r="C647" s="93"/>
      <c r="D647" s="93"/>
      <c r="E647" s="95"/>
      <c r="F647" s="95"/>
      <c r="G647" s="95"/>
      <c r="H647" s="93"/>
      <c r="I647" s="93"/>
      <c r="J647" s="93"/>
    </row>
    <row r="648" spans="1:10" s="65" customFormat="1" ht="14" x14ac:dyDescent="0.35">
      <c r="A648" s="145"/>
      <c r="B648" s="152"/>
      <c r="C648" s="93"/>
      <c r="D648" s="93"/>
      <c r="E648" s="95"/>
      <c r="F648" s="95"/>
      <c r="G648" s="95"/>
      <c r="H648" s="93"/>
      <c r="I648" s="93"/>
      <c r="J648" s="93"/>
    </row>
    <row r="649" spans="1:10" s="65" customFormat="1" ht="14" x14ac:dyDescent="0.35">
      <c r="A649" s="145"/>
      <c r="B649" s="152"/>
      <c r="C649" s="93"/>
      <c r="D649" s="93"/>
      <c r="E649" s="95"/>
      <c r="F649" s="95"/>
      <c r="G649" s="95"/>
      <c r="H649" s="93"/>
      <c r="I649" s="93"/>
      <c r="J649" s="93"/>
    </row>
    <row r="650" spans="1:10" s="65" customFormat="1" ht="14" x14ac:dyDescent="0.35">
      <c r="A650" s="145"/>
      <c r="B650" s="152"/>
      <c r="C650" s="93"/>
      <c r="D650" s="93"/>
      <c r="E650" s="95"/>
      <c r="F650" s="95"/>
      <c r="G650" s="95"/>
      <c r="H650" s="93"/>
      <c r="I650" s="93"/>
      <c r="J650" s="93"/>
    </row>
    <row r="651" spans="1:10" s="65" customFormat="1" ht="14" x14ac:dyDescent="0.35">
      <c r="A651" s="145"/>
      <c r="B651" s="152"/>
      <c r="C651" s="93"/>
      <c r="D651" s="93"/>
      <c r="E651" s="95"/>
      <c r="F651" s="95"/>
      <c r="G651" s="95"/>
      <c r="H651" s="93"/>
      <c r="I651" s="93"/>
      <c r="J651" s="93"/>
    </row>
    <row r="652" spans="1:10" s="65" customFormat="1" ht="14" x14ac:dyDescent="0.35">
      <c r="A652" s="145"/>
      <c r="B652" s="152"/>
      <c r="C652" s="93"/>
      <c r="D652" s="93"/>
      <c r="E652" s="95"/>
      <c r="F652" s="95"/>
      <c r="G652" s="95"/>
      <c r="H652" s="93"/>
      <c r="I652" s="93"/>
      <c r="J652" s="93"/>
    </row>
    <row r="653" spans="1:10" s="65" customFormat="1" ht="14" x14ac:dyDescent="0.35">
      <c r="A653" s="145"/>
      <c r="B653" s="152"/>
      <c r="C653" s="93"/>
      <c r="D653" s="93"/>
      <c r="E653" s="95"/>
      <c r="F653" s="95"/>
      <c r="G653" s="95"/>
      <c r="H653" s="93"/>
      <c r="I653" s="93"/>
      <c r="J653" s="93"/>
    </row>
    <row r="654" spans="1:10" s="65" customFormat="1" ht="14" x14ac:dyDescent="0.35">
      <c r="A654" s="145"/>
      <c r="B654" s="152"/>
      <c r="C654" s="93"/>
      <c r="D654" s="93"/>
      <c r="E654" s="95"/>
      <c r="F654" s="95"/>
      <c r="G654" s="95"/>
      <c r="H654" s="93"/>
      <c r="I654" s="93"/>
      <c r="J654" s="93"/>
    </row>
    <row r="655" spans="1:10" s="65" customFormat="1" ht="14" x14ac:dyDescent="0.35">
      <c r="A655" s="145"/>
      <c r="B655" s="152"/>
      <c r="C655" s="93"/>
      <c r="D655" s="93"/>
      <c r="E655" s="95"/>
      <c r="F655" s="95"/>
      <c r="G655" s="95"/>
      <c r="H655" s="93"/>
      <c r="I655" s="93"/>
      <c r="J655" s="93"/>
    </row>
    <row r="656" spans="1:10" s="65" customFormat="1" ht="14" x14ac:dyDescent="0.35">
      <c r="A656" s="145"/>
      <c r="B656" s="152"/>
      <c r="C656" s="93"/>
      <c r="D656" s="93"/>
      <c r="E656" s="95"/>
      <c r="F656" s="95"/>
      <c r="G656" s="95"/>
      <c r="H656" s="93"/>
      <c r="I656" s="93"/>
      <c r="J656" s="93"/>
    </row>
    <row r="657" spans="1:10" s="65" customFormat="1" ht="14" x14ac:dyDescent="0.35">
      <c r="A657" s="145"/>
      <c r="B657" s="152"/>
      <c r="C657" s="93"/>
      <c r="D657" s="93"/>
      <c r="E657" s="95"/>
      <c r="F657" s="95"/>
      <c r="G657" s="95"/>
      <c r="H657" s="93"/>
      <c r="I657" s="93"/>
      <c r="J657" s="93"/>
    </row>
    <row r="658" spans="1:10" s="65" customFormat="1" ht="14" x14ac:dyDescent="0.35">
      <c r="A658" s="145"/>
      <c r="B658" s="152"/>
      <c r="C658" s="93"/>
      <c r="D658" s="93"/>
      <c r="E658" s="95"/>
      <c r="F658" s="95"/>
      <c r="G658" s="95"/>
      <c r="H658" s="93"/>
      <c r="I658" s="93"/>
      <c r="J658" s="93"/>
    </row>
    <row r="659" spans="1:10" s="65" customFormat="1" ht="14" x14ac:dyDescent="0.35">
      <c r="A659" s="145"/>
      <c r="B659" s="152"/>
      <c r="C659" s="93"/>
      <c r="D659" s="93"/>
      <c r="E659" s="95"/>
      <c r="F659" s="95"/>
      <c r="G659" s="95"/>
      <c r="H659" s="93"/>
      <c r="I659" s="93"/>
      <c r="J659" s="93"/>
    </row>
    <row r="660" spans="1:10" s="65" customFormat="1" ht="14" x14ac:dyDescent="0.35">
      <c r="A660" s="145"/>
      <c r="B660" s="152"/>
      <c r="C660" s="93"/>
      <c r="D660" s="93"/>
      <c r="E660" s="95"/>
      <c r="F660" s="95"/>
      <c r="G660" s="95"/>
      <c r="H660" s="93"/>
      <c r="I660" s="93"/>
      <c r="J660" s="93"/>
    </row>
    <row r="661" spans="1:10" s="65" customFormat="1" ht="14" x14ac:dyDescent="0.35">
      <c r="A661" s="145"/>
      <c r="B661" s="152"/>
      <c r="C661" s="93"/>
      <c r="D661" s="93"/>
      <c r="E661" s="95"/>
      <c r="F661" s="95"/>
      <c r="G661" s="95"/>
      <c r="H661" s="93"/>
      <c r="I661" s="93"/>
      <c r="J661" s="93"/>
    </row>
    <row r="662" spans="1:10" s="65" customFormat="1" ht="14" x14ac:dyDescent="0.35">
      <c r="A662" s="145"/>
      <c r="B662" s="152"/>
      <c r="C662" s="93"/>
      <c r="D662" s="93"/>
      <c r="E662" s="95"/>
      <c r="F662" s="95"/>
      <c r="G662" s="95"/>
      <c r="H662" s="93"/>
      <c r="I662" s="93"/>
      <c r="J662" s="93"/>
    </row>
    <row r="663" spans="1:10" s="65" customFormat="1" ht="14" x14ac:dyDescent="0.35">
      <c r="A663" s="145"/>
      <c r="B663" s="152"/>
      <c r="C663" s="93"/>
      <c r="D663" s="93"/>
      <c r="E663" s="95"/>
      <c r="F663" s="95"/>
      <c r="G663" s="95"/>
      <c r="H663" s="93"/>
      <c r="I663" s="93"/>
      <c r="J663" s="93"/>
    </row>
    <row r="664" spans="1:10" s="65" customFormat="1" ht="14" x14ac:dyDescent="0.35">
      <c r="A664" s="145"/>
      <c r="B664" s="152"/>
      <c r="C664" s="93"/>
      <c r="D664" s="93"/>
      <c r="E664" s="95"/>
      <c r="F664" s="95"/>
      <c r="G664" s="95"/>
      <c r="H664" s="93"/>
      <c r="I664" s="93"/>
      <c r="J664" s="93"/>
    </row>
    <row r="665" spans="1:10" s="65" customFormat="1" ht="14" x14ac:dyDescent="0.35">
      <c r="A665" s="145"/>
      <c r="B665" s="152"/>
      <c r="C665" s="93"/>
      <c r="D665" s="93"/>
      <c r="E665" s="95"/>
      <c r="F665" s="95"/>
      <c r="G665" s="95"/>
      <c r="H665" s="93"/>
      <c r="I665" s="93"/>
      <c r="J665" s="93"/>
    </row>
    <row r="666" spans="1:10" s="65" customFormat="1" ht="14" x14ac:dyDescent="0.35">
      <c r="A666" s="145"/>
      <c r="B666" s="152"/>
      <c r="C666" s="93"/>
      <c r="D666" s="93"/>
      <c r="E666" s="95"/>
      <c r="F666" s="95"/>
      <c r="G666" s="95"/>
      <c r="H666" s="93"/>
      <c r="I666" s="93"/>
      <c r="J666" s="93"/>
    </row>
    <row r="667" spans="1:10" s="65" customFormat="1" ht="14" x14ac:dyDescent="0.35">
      <c r="A667" s="145"/>
      <c r="B667" s="152"/>
      <c r="C667" s="93"/>
      <c r="D667" s="93"/>
      <c r="E667" s="95"/>
      <c r="F667" s="95"/>
      <c r="G667" s="95"/>
      <c r="H667" s="93"/>
      <c r="I667" s="93"/>
      <c r="J667" s="93"/>
    </row>
    <row r="668" spans="1:10" s="65" customFormat="1" ht="14" x14ac:dyDescent="0.35">
      <c r="A668" s="145"/>
      <c r="B668" s="152"/>
      <c r="C668" s="93"/>
      <c r="D668" s="93"/>
      <c r="E668" s="95"/>
      <c r="F668" s="95"/>
      <c r="G668" s="95"/>
      <c r="H668" s="93"/>
      <c r="I668" s="93"/>
      <c r="J668" s="93"/>
    </row>
    <row r="669" spans="1:10" s="65" customFormat="1" ht="14" x14ac:dyDescent="0.35">
      <c r="A669" s="145"/>
      <c r="B669" s="152"/>
      <c r="C669" s="93"/>
      <c r="D669" s="93"/>
      <c r="E669" s="95"/>
      <c r="F669" s="95"/>
      <c r="G669" s="95"/>
      <c r="H669" s="93"/>
      <c r="I669" s="93"/>
      <c r="J669" s="93"/>
    </row>
    <row r="670" spans="1:10" s="65" customFormat="1" ht="14" x14ac:dyDescent="0.35">
      <c r="A670" s="145"/>
      <c r="B670" s="152"/>
      <c r="C670" s="93"/>
      <c r="D670" s="93"/>
      <c r="E670" s="95"/>
      <c r="F670" s="95"/>
      <c r="G670" s="95"/>
      <c r="H670" s="93"/>
      <c r="I670" s="93"/>
      <c r="J670" s="93"/>
    </row>
    <row r="671" spans="1:10" s="65" customFormat="1" ht="14" x14ac:dyDescent="0.35">
      <c r="A671" s="145"/>
      <c r="B671" s="152"/>
      <c r="C671" s="93"/>
      <c r="D671" s="93"/>
      <c r="E671" s="95"/>
      <c r="F671" s="95"/>
      <c r="G671" s="95"/>
      <c r="H671" s="93"/>
      <c r="I671" s="93"/>
      <c r="J671" s="93"/>
    </row>
    <row r="672" spans="1:10" s="65" customFormat="1" ht="14" x14ac:dyDescent="0.35">
      <c r="A672" s="145"/>
      <c r="B672" s="152"/>
      <c r="C672" s="93"/>
      <c r="D672" s="93"/>
      <c r="E672" s="95"/>
      <c r="F672" s="95"/>
      <c r="G672" s="95"/>
      <c r="H672" s="93"/>
      <c r="I672" s="93"/>
      <c r="J672" s="93"/>
    </row>
    <row r="673" spans="1:10" s="65" customFormat="1" ht="14" x14ac:dyDescent="0.35">
      <c r="A673" s="145"/>
      <c r="B673" s="152"/>
      <c r="C673" s="93"/>
      <c r="D673" s="93"/>
      <c r="E673" s="95"/>
      <c r="F673" s="95"/>
      <c r="G673" s="95"/>
      <c r="H673" s="93"/>
      <c r="I673" s="93"/>
      <c r="J673" s="93"/>
    </row>
    <row r="674" spans="1:10" s="65" customFormat="1" ht="14" x14ac:dyDescent="0.35">
      <c r="A674" s="145"/>
      <c r="B674" s="152"/>
      <c r="C674" s="93"/>
      <c r="D674" s="93"/>
      <c r="E674" s="95"/>
      <c r="F674" s="95"/>
      <c r="G674" s="95"/>
      <c r="H674" s="93"/>
      <c r="I674" s="93"/>
      <c r="J674" s="93"/>
    </row>
    <row r="675" spans="1:10" s="65" customFormat="1" ht="14" x14ac:dyDescent="0.35">
      <c r="A675" s="145"/>
      <c r="B675" s="152"/>
      <c r="C675" s="93"/>
      <c r="D675" s="93"/>
      <c r="E675" s="95"/>
      <c r="F675" s="95"/>
      <c r="G675" s="95"/>
      <c r="H675" s="93"/>
      <c r="I675" s="93"/>
      <c r="J675" s="93"/>
    </row>
    <row r="676" spans="1:10" s="65" customFormat="1" ht="14" x14ac:dyDescent="0.35">
      <c r="A676" s="145"/>
      <c r="B676" s="152"/>
      <c r="C676" s="93"/>
      <c r="D676" s="93"/>
      <c r="E676" s="95"/>
      <c r="F676" s="95"/>
      <c r="G676" s="95"/>
      <c r="H676" s="93"/>
      <c r="I676" s="93"/>
      <c r="J676" s="93"/>
    </row>
    <row r="677" spans="1:10" s="65" customFormat="1" ht="14" x14ac:dyDescent="0.35">
      <c r="A677" s="145"/>
      <c r="B677" s="152"/>
      <c r="C677" s="93"/>
      <c r="D677" s="93"/>
      <c r="E677" s="95"/>
      <c r="F677" s="95"/>
      <c r="G677" s="95"/>
      <c r="H677" s="93"/>
      <c r="I677" s="93"/>
      <c r="J677" s="93"/>
    </row>
    <row r="678" spans="1:10" s="65" customFormat="1" ht="14" x14ac:dyDescent="0.35">
      <c r="A678" s="145"/>
      <c r="B678" s="152"/>
      <c r="C678" s="93"/>
      <c r="D678" s="93"/>
      <c r="E678" s="95"/>
      <c r="F678" s="95"/>
      <c r="G678" s="95"/>
      <c r="H678" s="93"/>
      <c r="I678" s="93"/>
      <c r="J678" s="93"/>
    </row>
    <row r="679" spans="1:10" s="65" customFormat="1" ht="14" x14ac:dyDescent="0.35">
      <c r="A679" s="145"/>
      <c r="B679" s="152"/>
      <c r="C679" s="93"/>
      <c r="D679" s="93"/>
      <c r="E679" s="95"/>
      <c r="F679" s="95"/>
      <c r="G679" s="95"/>
      <c r="H679" s="93"/>
      <c r="I679" s="93"/>
      <c r="J679" s="93"/>
    </row>
    <row r="680" spans="1:10" s="65" customFormat="1" ht="14" x14ac:dyDescent="0.35">
      <c r="A680" s="145"/>
      <c r="B680" s="152"/>
      <c r="C680" s="93"/>
      <c r="D680" s="93"/>
      <c r="E680" s="95"/>
      <c r="F680" s="95"/>
      <c r="G680" s="95"/>
      <c r="H680" s="93"/>
      <c r="I680" s="93"/>
      <c r="J680" s="93"/>
    </row>
    <row r="681" spans="1:10" s="65" customFormat="1" ht="14" x14ac:dyDescent="0.35">
      <c r="A681" s="145"/>
      <c r="B681" s="152"/>
      <c r="C681" s="93"/>
      <c r="D681" s="93"/>
      <c r="E681" s="95"/>
      <c r="F681" s="95"/>
      <c r="G681" s="95"/>
      <c r="H681" s="93"/>
      <c r="I681" s="93"/>
      <c r="J681" s="93"/>
    </row>
    <row r="682" spans="1:10" s="65" customFormat="1" ht="14" x14ac:dyDescent="0.35">
      <c r="A682" s="145"/>
      <c r="B682" s="152"/>
      <c r="C682" s="93"/>
      <c r="D682" s="93"/>
      <c r="E682" s="95"/>
      <c r="F682" s="95"/>
      <c r="G682" s="95"/>
      <c r="H682" s="93"/>
      <c r="I682" s="93"/>
      <c r="J682" s="93"/>
    </row>
    <row r="683" spans="1:10" s="65" customFormat="1" ht="14" x14ac:dyDescent="0.35">
      <c r="A683" s="145"/>
      <c r="B683" s="152"/>
      <c r="C683" s="93"/>
      <c r="D683" s="93"/>
      <c r="E683" s="95"/>
      <c r="F683" s="95"/>
      <c r="G683" s="95"/>
      <c r="H683" s="93"/>
      <c r="I683" s="93"/>
      <c r="J683" s="93"/>
    </row>
    <row r="684" spans="1:10" s="65" customFormat="1" ht="14" x14ac:dyDescent="0.35">
      <c r="A684" s="145"/>
      <c r="B684" s="152"/>
      <c r="C684" s="93"/>
      <c r="D684" s="93"/>
      <c r="E684" s="95"/>
      <c r="F684" s="95"/>
      <c r="G684" s="95"/>
      <c r="H684" s="93"/>
      <c r="I684" s="93"/>
      <c r="J684" s="93"/>
    </row>
    <row r="685" spans="1:10" s="65" customFormat="1" ht="14" x14ac:dyDescent="0.35">
      <c r="A685" s="145"/>
      <c r="B685" s="152"/>
      <c r="C685" s="93"/>
      <c r="D685" s="93"/>
      <c r="E685" s="95"/>
      <c r="F685" s="95"/>
      <c r="G685" s="95"/>
      <c r="H685" s="93"/>
      <c r="I685" s="93"/>
      <c r="J685" s="93"/>
    </row>
    <row r="686" spans="1:10" s="65" customFormat="1" ht="14" x14ac:dyDescent="0.35">
      <c r="A686" s="145"/>
      <c r="B686" s="152"/>
      <c r="C686" s="93"/>
      <c r="D686" s="93"/>
      <c r="E686" s="95"/>
      <c r="F686" s="95"/>
      <c r="G686" s="95"/>
      <c r="H686" s="93"/>
      <c r="I686" s="93"/>
      <c r="J686" s="93"/>
    </row>
    <row r="687" spans="1:10" s="65" customFormat="1" ht="14" x14ac:dyDescent="0.35">
      <c r="A687" s="145"/>
      <c r="B687" s="152"/>
      <c r="C687" s="93"/>
      <c r="D687" s="93"/>
      <c r="E687" s="95"/>
      <c r="F687" s="95"/>
      <c r="G687" s="95"/>
      <c r="H687" s="93"/>
      <c r="I687" s="93"/>
      <c r="J687" s="93"/>
    </row>
    <row r="688" spans="1:10" s="65" customFormat="1" ht="14" x14ac:dyDescent="0.35">
      <c r="A688" s="145"/>
      <c r="B688" s="152"/>
      <c r="C688" s="93"/>
      <c r="D688" s="93"/>
      <c r="E688" s="95"/>
      <c r="F688" s="95"/>
      <c r="G688" s="95"/>
      <c r="H688" s="93"/>
      <c r="I688" s="93"/>
      <c r="J688" s="93"/>
    </row>
    <row r="689" spans="1:10" s="65" customFormat="1" ht="14" x14ac:dyDescent="0.35">
      <c r="A689" s="145"/>
      <c r="B689" s="152"/>
      <c r="C689" s="93"/>
      <c r="D689" s="93"/>
      <c r="E689" s="95"/>
      <c r="F689" s="95"/>
      <c r="G689" s="95"/>
      <c r="H689" s="93"/>
      <c r="I689" s="93"/>
      <c r="J689" s="93"/>
    </row>
    <row r="690" spans="1:10" s="65" customFormat="1" ht="14" x14ac:dyDescent="0.35">
      <c r="A690" s="145"/>
      <c r="B690" s="152"/>
      <c r="C690" s="93"/>
      <c r="D690" s="93"/>
      <c r="E690" s="95"/>
      <c r="F690" s="95"/>
      <c r="G690" s="95"/>
      <c r="H690" s="93"/>
      <c r="I690" s="93"/>
      <c r="J690" s="93"/>
    </row>
    <row r="691" spans="1:10" s="65" customFormat="1" ht="14" x14ac:dyDescent="0.35">
      <c r="A691" s="145"/>
      <c r="B691" s="152"/>
      <c r="C691" s="93"/>
      <c r="D691" s="93"/>
      <c r="E691" s="95"/>
      <c r="F691" s="95"/>
      <c r="G691" s="95"/>
      <c r="H691" s="93"/>
      <c r="I691" s="93"/>
      <c r="J691" s="93"/>
    </row>
    <row r="692" spans="1:10" s="65" customFormat="1" ht="14" x14ac:dyDescent="0.35">
      <c r="A692" s="145"/>
      <c r="B692" s="152"/>
      <c r="C692" s="93"/>
      <c r="D692" s="93"/>
      <c r="E692" s="95"/>
      <c r="F692" s="95"/>
      <c r="G692" s="95"/>
      <c r="H692" s="93"/>
      <c r="I692" s="93"/>
      <c r="J692" s="93"/>
    </row>
    <row r="693" spans="1:10" s="65" customFormat="1" ht="14" x14ac:dyDescent="0.35">
      <c r="A693" s="145"/>
      <c r="B693" s="152"/>
      <c r="C693" s="93"/>
      <c r="D693" s="93"/>
      <c r="E693" s="95"/>
      <c r="F693" s="95"/>
      <c r="G693" s="95"/>
      <c r="H693" s="93"/>
      <c r="I693" s="93"/>
      <c r="J693" s="93"/>
    </row>
    <row r="694" spans="1:10" s="65" customFormat="1" ht="14" x14ac:dyDescent="0.35">
      <c r="A694" s="145"/>
      <c r="B694" s="152"/>
      <c r="C694" s="93"/>
      <c r="D694" s="93"/>
      <c r="E694" s="95"/>
      <c r="F694" s="95"/>
      <c r="G694" s="95"/>
      <c r="H694" s="93"/>
      <c r="I694" s="93"/>
      <c r="J694" s="93"/>
    </row>
    <row r="695" spans="1:10" s="65" customFormat="1" ht="14" x14ac:dyDescent="0.35">
      <c r="A695" s="145"/>
      <c r="B695" s="152"/>
      <c r="C695" s="93"/>
      <c r="D695" s="93"/>
      <c r="E695" s="95"/>
      <c r="F695" s="95"/>
      <c r="G695" s="95"/>
      <c r="H695" s="93"/>
      <c r="I695" s="93"/>
      <c r="J695" s="93"/>
    </row>
    <row r="696" spans="1:10" s="65" customFormat="1" ht="14" x14ac:dyDescent="0.35">
      <c r="A696" s="145"/>
      <c r="B696" s="152"/>
      <c r="C696" s="93"/>
      <c r="D696" s="93"/>
      <c r="E696" s="95"/>
      <c r="F696" s="95"/>
      <c r="G696" s="95"/>
      <c r="H696" s="93"/>
      <c r="I696" s="93"/>
      <c r="J696" s="93"/>
    </row>
    <row r="697" spans="1:10" s="65" customFormat="1" ht="14" x14ac:dyDescent="0.35">
      <c r="A697" s="145"/>
      <c r="B697" s="152"/>
      <c r="C697" s="93"/>
      <c r="D697" s="93"/>
      <c r="E697" s="95"/>
      <c r="F697" s="95"/>
      <c r="G697" s="95"/>
      <c r="H697" s="93"/>
      <c r="I697" s="93"/>
      <c r="J697" s="93"/>
    </row>
    <row r="698" spans="1:10" s="65" customFormat="1" ht="14" x14ac:dyDescent="0.35">
      <c r="A698" s="145"/>
      <c r="B698" s="152"/>
      <c r="C698" s="93"/>
      <c r="D698" s="93"/>
      <c r="E698" s="95"/>
      <c r="F698" s="95"/>
      <c r="G698" s="95"/>
      <c r="H698" s="93"/>
      <c r="I698" s="93"/>
      <c r="J698" s="93"/>
    </row>
    <row r="699" spans="1:10" s="65" customFormat="1" ht="14" x14ac:dyDescent="0.35">
      <c r="A699" s="145"/>
      <c r="B699" s="152"/>
      <c r="C699" s="93"/>
      <c r="D699" s="93"/>
      <c r="E699" s="95"/>
      <c r="F699" s="95"/>
      <c r="G699" s="95"/>
      <c r="H699" s="93"/>
      <c r="I699" s="93"/>
      <c r="J699" s="93"/>
    </row>
    <row r="700" spans="1:10" s="65" customFormat="1" ht="14" x14ac:dyDescent="0.35">
      <c r="A700" s="145"/>
      <c r="B700" s="152"/>
      <c r="C700" s="93"/>
      <c r="D700" s="93"/>
      <c r="E700" s="95"/>
      <c r="F700" s="95"/>
      <c r="G700" s="95"/>
      <c r="H700" s="93"/>
      <c r="I700" s="93"/>
      <c r="J700" s="93"/>
    </row>
    <row r="701" spans="1:10" s="65" customFormat="1" ht="14" x14ac:dyDescent="0.35">
      <c r="A701" s="145"/>
      <c r="B701" s="152"/>
      <c r="C701" s="93"/>
      <c r="D701" s="93"/>
      <c r="E701" s="95"/>
      <c r="F701" s="95"/>
      <c r="G701" s="95"/>
      <c r="H701" s="93"/>
      <c r="I701" s="93"/>
      <c r="J701" s="93"/>
    </row>
    <row r="702" spans="1:10" s="65" customFormat="1" ht="14" x14ac:dyDescent="0.35">
      <c r="A702" s="145"/>
      <c r="B702" s="152"/>
      <c r="C702" s="93"/>
      <c r="D702" s="93"/>
      <c r="E702" s="95"/>
      <c r="F702" s="95"/>
      <c r="G702" s="95"/>
      <c r="H702" s="93"/>
      <c r="I702" s="93"/>
      <c r="J702" s="93"/>
    </row>
    <row r="703" spans="1:10" s="65" customFormat="1" ht="14" x14ac:dyDescent="0.35">
      <c r="A703" s="145"/>
      <c r="B703" s="152"/>
      <c r="C703" s="93"/>
      <c r="D703" s="93"/>
      <c r="E703" s="95"/>
      <c r="F703" s="95"/>
      <c r="G703" s="95"/>
      <c r="H703" s="93"/>
      <c r="I703" s="93"/>
      <c r="J703" s="93"/>
    </row>
    <row r="704" spans="1:10" s="65" customFormat="1" ht="14" x14ac:dyDescent="0.35">
      <c r="A704" s="145"/>
      <c r="B704" s="152"/>
      <c r="C704" s="93"/>
      <c r="D704" s="93"/>
      <c r="E704" s="95"/>
      <c r="F704" s="95"/>
      <c r="G704" s="95"/>
      <c r="H704" s="93"/>
      <c r="I704" s="93"/>
      <c r="J704" s="93"/>
    </row>
    <row r="705" spans="1:10" s="65" customFormat="1" ht="14" x14ac:dyDescent="0.35">
      <c r="A705" s="145"/>
      <c r="B705" s="152"/>
      <c r="C705" s="93"/>
      <c r="D705" s="93"/>
      <c r="E705" s="95"/>
      <c r="F705" s="95"/>
      <c r="G705" s="95"/>
      <c r="H705" s="93"/>
      <c r="I705" s="93"/>
      <c r="J705" s="93"/>
    </row>
    <row r="706" spans="1:10" s="65" customFormat="1" ht="14" x14ac:dyDescent="0.35">
      <c r="A706" s="145"/>
      <c r="B706" s="152"/>
      <c r="C706" s="93"/>
      <c r="D706" s="93"/>
      <c r="E706" s="95"/>
      <c r="F706" s="95"/>
      <c r="G706" s="95"/>
      <c r="H706" s="93"/>
      <c r="I706" s="93"/>
      <c r="J706" s="93"/>
    </row>
    <row r="707" spans="1:10" s="65" customFormat="1" ht="14" x14ac:dyDescent="0.35">
      <c r="A707" s="145"/>
      <c r="B707" s="152"/>
      <c r="C707" s="93"/>
      <c r="D707" s="93"/>
      <c r="E707" s="95"/>
      <c r="F707" s="95"/>
      <c r="G707" s="95"/>
      <c r="H707" s="93"/>
      <c r="I707" s="93"/>
      <c r="J707" s="93"/>
    </row>
    <row r="708" spans="1:10" s="65" customFormat="1" ht="14" x14ac:dyDescent="0.35">
      <c r="A708" s="145"/>
      <c r="B708" s="152"/>
      <c r="C708" s="93"/>
      <c r="D708" s="93"/>
      <c r="E708" s="95"/>
      <c r="F708" s="95"/>
      <c r="G708" s="95"/>
      <c r="H708" s="93"/>
      <c r="I708" s="93"/>
      <c r="J708" s="93"/>
    </row>
    <row r="709" spans="1:10" s="65" customFormat="1" ht="14" x14ac:dyDescent="0.35">
      <c r="A709" s="145"/>
      <c r="B709" s="152"/>
      <c r="C709" s="93"/>
      <c r="D709" s="93"/>
      <c r="E709" s="95"/>
      <c r="F709" s="95"/>
      <c r="G709" s="95"/>
      <c r="H709" s="93"/>
      <c r="I709" s="93"/>
      <c r="J709" s="93"/>
    </row>
    <row r="710" spans="1:10" s="65" customFormat="1" ht="14" x14ac:dyDescent="0.35">
      <c r="A710" s="145"/>
      <c r="B710" s="152"/>
      <c r="C710" s="93"/>
      <c r="D710" s="93"/>
      <c r="E710" s="95"/>
      <c r="F710" s="95"/>
      <c r="G710" s="95"/>
      <c r="H710" s="93"/>
      <c r="I710" s="93"/>
      <c r="J710" s="93"/>
    </row>
    <row r="711" spans="1:10" s="65" customFormat="1" ht="14" x14ac:dyDescent="0.35">
      <c r="A711" s="145"/>
      <c r="B711" s="152"/>
      <c r="C711" s="93"/>
      <c r="D711" s="93"/>
      <c r="E711" s="95"/>
      <c r="F711" s="95"/>
      <c r="G711" s="95"/>
      <c r="H711" s="93"/>
      <c r="I711" s="93"/>
      <c r="J711" s="93"/>
    </row>
    <row r="712" spans="1:10" s="65" customFormat="1" ht="14" x14ac:dyDescent="0.35">
      <c r="A712" s="145"/>
      <c r="B712" s="152"/>
      <c r="C712" s="93"/>
      <c r="D712" s="93"/>
      <c r="E712" s="95"/>
      <c r="F712" s="95"/>
      <c r="G712" s="95"/>
      <c r="H712" s="93"/>
      <c r="I712" s="93"/>
      <c r="J712" s="93"/>
    </row>
    <row r="713" spans="1:10" s="65" customFormat="1" ht="14" x14ac:dyDescent="0.35">
      <c r="A713" s="145"/>
      <c r="B713" s="152"/>
      <c r="C713" s="93"/>
      <c r="D713" s="93"/>
      <c r="E713" s="95"/>
      <c r="F713" s="95"/>
      <c r="G713" s="95"/>
      <c r="H713" s="93"/>
      <c r="I713" s="93"/>
      <c r="J713" s="93"/>
    </row>
    <row r="714" spans="1:10" s="65" customFormat="1" ht="14" x14ac:dyDescent="0.35">
      <c r="A714" s="145"/>
      <c r="B714" s="152"/>
      <c r="C714" s="93"/>
      <c r="D714" s="93"/>
      <c r="E714" s="95"/>
      <c r="F714" s="95"/>
      <c r="G714" s="95"/>
      <c r="H714" s="93"/>
      <c r="I714" s="93"/>
      <c r="J714" s="93"/>
    </row>
    <row r="715" spans="1:10" s="65" customFormat="1" ht="14" x14ac:dyDescent="0.35">
      <c r="A715" s="145"/>
      <c r="B715" s="152"/>
      <c r="C715" s="93"/>
      <c r="D715" s="93"/>
      <c r="E715" s="95"/>
      <c r="F715" s="95"/>
      <c r="G715" s="95"/>
      <c r="H715" s="93"/>
      <c r="I715" s="93"/>
      <c r="J715" s="93"/>
    </row>
    <row r="716" spans="1:10" s="65" customFormat="1" ht="14" x14ac:dyDescent="0.35">
      <c r="A716" s="145"/>
      <c r="B716" s="152"/>
      <c r="C716" s="93"/>
      <c r="D716" s="93"/>
      <c r="E716" s="95"/>
      <c r="F716" s="95"/>
      <c r="G716" s="95"/>
      <c r="H716" s="93"/>
      <c r="I716" s="93"/>
      <c r="J716" s="93"/>
    </row>
    <row r="717" spans="1:10" s="65" customFormat="1" ht="14" x14ac:dyDescent="0.35">
      <c r="A717" s="145"/>
      <c r="B717" s="152"/>
      <c r="C717" s="93"/>
      <c r="D717" s="93"/>
      <c r="E717" s="95"/>
      <c r="F717" s="95"/>
      <c r="G717" s="95"/>
      <c r="H717" s="93"/>
      <c r="I717" s="93"/>
      <c r="J717" s="93"/>
    </row>
    <row r="718" spans="1:10" s="65" customFormat="1" ht="14" x14ac:dyDescent="0.35">
      <c r="A718" s="145"/>
      <c r="B718" s="152"/>
      <c r="C718" s="93"/>
      <c r="D718" s="93"/>
      <c r="E718" s="95"/>
      <c r="F718" s="95"/>
      <c r="G718" s="95"/>
      <c r="H718" s="93"/>
      <c r="I718" s="93"/>
      <c r="J718" s="93"/>
    </row>
    <row r="719" spans="1:10" s="65" customFormat="1" ht="14" x14ac:dyDescent="0.35">
      <c r="A719" s="145"/>
      <c r="B719" s="152"/>
      <c r="C719" s="93"/>
      <c r="D719" s="93"/>
      <c r="E719" s="95"/>
      <c r="F719" s="95"/>
      <c r="G719" s="95"/>
      <c r="H719" s="93"/>
      <c r="I719" s="93"/>
      <c r="J719" s="93"/>
    </row>
    <row r="720" spans="1:10" s="65" customFormat="1" ht="14" x14ac:dyDescent="0.35">
      <c r="A720" s="145"/>
      <c r="B720" s="152"/>
      <c r="C720" s="93"/>
      <c r="D720" s="93"/>
      <c r="E720" s="95"/>
      <c r="F720" s="95"/>
      <c r="G720" s="95"/>
      <c r="H720" s="93"/>
      <c r="I720" s="93"/>
      <c r="J720" s="93"/>
    </row>
    <row r="721" spans="1:10" s="65" customFormat="1" ht="14" x14ac:dyDescent="0.35">
      <c r="A721" s="145"/>
      <c r="B721" s="152"/>
      <c r="C721" s="93"/>
      <c r="D721" s="93"/>
      <c r="E721" s="95"/>
      <c r="F721" s="95"/>
      <c r="G721" s="95"/>
      <c r="H721" s="93"/>
      <c r="I721" s="93"/>
      <c r="J721" s="93"/>
    </row>
    <row r="722" spans="1:10" s="65" customFormat="1" ht="14" x14ac:dyDescent="0.35">
      <c r="A722" s="145"/>
      <c r="B722" s="152"/>
      <c r="C722" s="93"/>
      <c r="D722" s="93"/>
      <c r="E722" s="95"/>
      <c r="F722" s="95"/>
      <c r="G722" s="95"/>
      <c r="H722" s="93"/>
      <c r="I722" s="93"/>
      <c r="J722" s="93"/>
    </row>
    <row r="723" spans="1:10" s="65" customFormat="1" ht="14" x14ac:dyDescent="0.35">
      <c r="A723" s="145"/>
      <c r="B723" s="152"/>
      <c r="C723" s="93"/>
      <c r="D723" s="93"/>
      <c r="E723" s="95"/>
      <c r="F723" s="95"/>
      <c r="G723" s="95"/>
      <c r="H723" s="93"/>
      <c r="I723" s="93"/>
      <c r="J723" s="93"/>
    </row>
    <row r="724" spans="1:10" s="65" customFormat="1" ht="14" x14ac:dyDescent="0.35">
      <c r="A724" s="145"/>
      <c r="B724" s="152"/>
      <c r="C724" s="93"/>
      <c r="D724" s="93"/>
      <c r="E724" s="95"/>
      <c r="F724" s="95"/>
      <c r="G724" s="95"/>
      <c r="H724" s="93"/>
      <c r="I724" s="93"/>
      <c r="J724" s="93"/>
    </row>
    <row r="725" spans="1:10" s="65" customFormat="1" ht="14" x14ac:dyDescent="0.35">
      <c r="A725" s="145"/>
      <c r="B725" s="152"/>
      <c r="C725" s="93"/>
      <c r="D725" s="93"/>
      <c r="E725" s="95"/>
      <c r="F725" s="95"/>
      <c r="G725" s="95"/>
      <c r="H725" s="93"/>
      <c r="I725" s="93"/>
      <c r="J725" s="93"/>
    </row>
    <row r="726" spans="1:10" s="65" customFormat="1" ht="14" x14ac:dyDescent="0.35">
      <c r="A726" s="145"/>
      <c r="B726" s="152"/>
      <c r="C726" s="93"/>
      <c r="D726" s="93"/>
      <c r="E726" s="95"/>
      <c r="F726" s="95"/>
      <c r="G726" s="95"/>
      <c r="H726" s="93"/>
      <c r="I726" s="93"/>
      <c r="J726" s="93"/>
    </row>
    <row r="727" spans="1:10" s="65" customFormat="1" ht="14" x14ac:dyDescent="0.35">
      <c r="A727" s="145"/>
      <c r="B727" s="152"/>
      <c r="C727" s="93"/>
      <c r="D727" s="93"/>
      <c r="E727" s="95"/>
      <c r="F727" s="95"/>
      <c r="G727" s="95"/>
      <c r="H727" s="93"/>
      <c r="I727" s="93"/>
      <c r="J727" s="93"/>
    </row>
    <row r="728" spans="1:10" s="65" customFormat="1" ht="14" x14ac:dyDescent="0.35">
      <c r="A728" s="145"/>
      <c r="B728" s="152"/>
      <c r="C728" s="93"/>
      <c r="D728" s="93"/>
      <c r="E728" s="95"/>
      <c r="F728" s="95"/>
      <c r="G728" s="95"/>
      <c r="H728" s="93"/>
      <c r="I728" s="93"/>
      <c r="J728" s="93"/>
    </row>
    <row r="729" spans="1:10" s="65" customFormat="1" ht="14" x14ac:dyDescent="0.35">
      <c r="A729" s="145"/>
      <c r="B729" s="152"/>
      <c r="C729" s="93"/>
      <c r="D729" s="93"/>
      <c r="E729" s="95"/>
      <c r="F729" s="95"/>
      <c r="G729" s="95"/>
      <c r="H729" s="93"/>
      <c r="I729" s="93"/>
      <c r="J729" s="93"/>
    </row>
    <row r="730" spans="1:10" s="65" customFormat="1" ht="14" x14ac:dyDescent="0.35">
      <c r="A730" s="145"/>
      <c r="B730" s="152"/>
      <c r="C730" s="93"/>
      <c r="D730" s="93"/>
      <c r="E730" s="95"/>
      <c r="F730" s="95"/>
      <c r="G730" s="95"/>
      <c r="H730" s="93"/>
      <c r="I730" s="93"/>
      <c r="J730" s="93"/>
    </row>
    <row r="731" spans="1:10" s="65" customFormat="1" ht="14" x14ac:dyDescent="0.35">
      <c r="A731" s="145"/>
      <c r="B731" s="152"/>
      <c r="C731" s="93"/>
      <c r="D731" s="93"/>
      <c r="E731" s="95"/>
      <c r="F731" s="95"/>
      <c r="G731" s="95"/>
      <c r="H731" s="93"/>
      <c r="I731" s="93"/>
      <c r="J731" s="93"/>
    </row>
    <row r="732" spans="1:10" s="65" customFormat="1" ht="14" x14ac:dyDescent="0.35">
      <c r="A732" s="145"/>
      <c r="B732" s="152"/>
      <c r="C732" s="93"/>
      <c r="D732" s="93"/>
      <c r="E732" s="95"/>
      <c r="F732" s="95"/>
      <c r="G732" s="95"/>
      <c r="H732" s="93"/>
      <c r="I732" s="93"/>
      <c r="J732" s="93"/>
    </row>
    <row r="733" spans="1:10" s="65" customFormat="1" ht="14" x14ac:dyDescent="0.35">
      <c r="A733" s="145"/>
      <c r="B733" s="152"/>
      <c r="C733" s="93"/>
      <c r="D733" s="93"/>
      <c r="E733" s="95"/>
      <c r="F733" s="95"/>
      <c r="G733" s="95"/>
      <c r="H733" s="93"/>
      <c r="I733" s="93"/>
      <c r="J733" s="93"/>
    </row>
    <row r="734" spans="1:10" s="65" customFormat="1" ht="14" x14ac:dyDescent="0.35">
      <c r="A734" s="145"/>
      <c r="B734" s="152"/>
      <c r="C734" s="93"/>
      <c r="D734" s="93"/>
      <c r="E734" s="95"/>
      <c r="F734" s="95"/>
      <c r="G734" s="95"/>
      <c r="H734" s="93"/>
      <c r="I734" s="93"/>
      <c r="J734" s="93"/>
    </row>
    <row r="735" spans="1:10" s="65" customFormat="1" ht="14" x14ac:dyDescent="0.35">
      <c r="A735" s="145"/>
      <c r="B735" s="152"/>
      <c r="C735" s="93"/>
      <c r="D735" s="93"/>
      <c r="E735" s="95"/>
      <c r="F735" s="95"/>
      <c r="G735" s="95"/>
      <c r="H735" s="93"/>
      <c r="I735" s="93"/>
      <c r="J735" s="93"/>
    </row>
    <row r="736" spans="1:10" s="65" customFormat="1" ht="14" x14ac:dyDescent="0.35">
      <c r="A736" s="145"/>
      <c r="B736" s="152"/>
      <c r="C736" s="93"/>
      <c r="D736" s="93"/>
      <c r="E736" s="95"/>
      <c r="F736" s="95"/>
      <c r="G736" s="95"/>
      <c r="H736" s="93"/>
      <c r="I736" s="93"/>
      <c r="J736" s="93"/>
    </row>
    <row r="737" spans="1:10" s="65" customFormat="1" ht="14" x14ac:dyDescent="0.35">
      <c r="A737" s="145"/>
      <c r="B737" s="152"/>
      <c r="C737" s="93"/>
      <c r="D737" s="93"/>
      <c r="E737" s="95"/>
      <c r="F737" s="95"/>
      <c r="G737" s="95"/>
      <c r="H737" s="93"/>
      <c r="I737" s="93"/>
      <c r="J737" s="93"/>
    </row>
    <row r="738" spans="1:10" s="65" customFormat="1" ht="14" x14ac:dyDescent="0.35">
      <c r="A738" s="145"/>
      <c r="B738" s="152"/>
      <c r="C738" s="93"/>
      <c r="D738" s="93"/>
      <c r="E738" s="95"/>
      <c r="F738" s="95"/>
      <c r="G738" s="95"/>
      <c r="H738" s="93"/>
      <c r="I738" s="93"/>
      <c r="J738" s="93"/>
    </row>
    <row r="739" spans="1:10" s="65" customFormat="1" ht="14" x14ac:dyDescent="0.35">
      <c r="A739" s="145"/>
      <c r="B739" s="152"/>
      <c r="C739" s="93"/>
      <c r="D739" s="93"/>
      <c r="E739" s="95"/>
      <c r="F739" s="95"/>
      <c r="G739" s="95"/>
      <c r="H739" s="93"/>
      <c r="I739" s="93"/>
      <c r="J739" s="93"/>
    </row>
    <row r="740" spans="1:10" s="65" customFormat="1" ht="14" x14ac:dyDescent="0.35">
      <c r="A740" s="145"/>
      <c r="B740" s="152"/>
      <c r="C740" s="93"/>
      <c r="D740" s="93"/>
      <c r="E740" s="95"/>
      <c r="F740" s="95"/>
      <c r="G740" s="95"/>
      <c r="H740" s="93"/>
      <c r="I740" s="93"/>
      <c r="J740" s="93"/>
    </row>
    <row r="741" spans="1:10" s="65" customFormat="1" ht="14" x14ac:dyDescent="0.35">
      <c r="A741" s="145"/>
      <c r="B741" s="152"/>
      <c r="C741" s="93"/>
      <c r="D741" s="93"/>
      <c r="E741" s="95"/>
      <c r="F741" s="95"/>
      <c r="G741" s="95"/>
      <c r="H741" s="93"/>
      <c r="I741" s="93"/>
      <c r="J741" s="93"/>
    </row>
    <row r="742" spans="1:10" s="65" customFormat="1" ht="14" x14ac:dyDescent="0.35">
      <c r="A742" s="145"/>
      <c r="B742" s="152"/>
      <c r="C742" s="93"/>
      <c r="D742" s="93"/>
      <c r="E742" s="95"/>
      <c r="F742" s="95"/>
      <c r="G742" s="95"/>
      <c r="H742" s="93"/>
      <c r="I742" s="93"/>
      <c r="J742" s="93"/>
    </row>
    <row r="743" spans="1:10" s="65" customFormat="1" ht="14" x14ac:dyDescent="0.35">
      <c r="A743" s="145"/>
      <c r="B743" s="152"/>
      <c r="C743" s="93"/>
      <c r="D743" s="93"/>
      <c r="E743" s="95"/>
      <c r="F743" s="95"/>
      <c r="G743" s="95"/>
      <c r="H743" s="93"/>
      <c r="I743" s="93"/>
      <c r="J743" s="93"/>
    </row>
    <row r="744" spans="1:10" s="65" customFormat="1" ht="14" x14ac:dyDescent="0.35">
      <c r="A744" s="145"/>
      <c r="B744" s="152"/>
      <c r="C744" s="93"/>
      <c r="D744" s="93"/>
      <c r="E744" s="95"/>
      <c r="F744" s="95"/>
      <c r="G744" s="95"/>
      <c r="H744" s="93"/>
      <c r="I744" s="93"/>
      <c r="J744" s="93"/>
    </row>
    <row r="745" spans="1:10" s="65" customFormat="1" ht="14" x14ac:dyDescent="0.35">
      <c r="A745" s="145"/>
      <c r="B745" s="152"/>
      <c r="C745" s="93"/>
      <c r="D745" s="93"/>
      <c r="E745" s="95"/>
      <c r="F745" s="95"/>
      <c r="G745" s="95"/>
      <c r="H745" s="93"/>
      <c r="I745" s="93"/>
      <c r="J745" s="93"/>
    </row>
    <row r="746" spans="1:10" s="65" customFormat="1" ht="14" x14ac:dyDescent="0.35">
      <c r="A746" s="145"/>
      <c r="B746" s="152"/>
      <c r="C746" s="93"/>
      <c r="D746" s="93"/>
      <c r="E746" s="95"/>
      <c r="F746" s="95"/>
      <c r="G746" s="95"/>
      <c r="H746" s="93"/>
      <c r="I746" s="93"/>
      <c r="J746" s="93"/>
    </row>
    <row r="747" spans="1:10" s="65" customFormat="1" ht="14" x14ac:dyDescent="0.35">
      <c r="A747" s="145"/>
      <c r="B747" s="152"/>
      <c r="C747" s="93"/>
      <c r="D747" s="93"/>
      <c r="E747" s="95"/>
      <c r="F747" s="95"/>
      <c r="G747" s="95"/>
      <c r="H747" s="93"/>
      <c r="I747" s="93"/>
      <c r="J747" s="93"/>
    </row>
    <row r="748" spans="1:10" s="65" customFormat="1" ht="14" x14ac:dyDescent="0.35">
      <c r="A748" s="145"/>
      <c r="B748" s="152"/>
      <c r="C748" s="93"/>
      <c r="D748" s="93"/>
      <c r="E748" s="95"/>
      <c r="F748" s="95"/>
      <c r="G748" s="95"/>
      <c r="H748" s="93"/>
      <c r="I748" s="93"/>
      <c r="J748" s="93"/>
    </row>
    <row r="749" spans="1:10" s="65" customFormat="1" ht="14" x14ac:dyDescent="0.35">
      <c r="A749" s="145"/>
      <c r="B749" s="152"/>
      <c r="C749" s="93"/>
      <c r="D749" s="93"/>
      <c r="E749" s="95"/>
      <c r="F749" s="95"/>
      <c r="G749" s="95"/>
      <c r="H749" s="93"/>
      <c r="I749" s="93"/>
      <c r="J749" s="93"/>
    </row>
    <row r="750" spans="1:10" s="65" customFormat="1" ht="14" x14ac:dyDescent="0.35">
      <c r="A750" s="145"/>
      <c r="B750" s="152"/>
      <c r="C750" s="93"/>
      <c r="D750" s="93"/>
      <c r="E750" s="95"/>
      <c r="F750" s="95"/>
      <c r="G750" s="95"/>
      <c r="H750" s="93"/>
      <c r="I750" s="93"/>
      <c r="J750" s="93"/>
    </row>
    <row r="751" spans="1:10" s="65" customFormat="1" ht="14" x14ac:dyDescent="0.35">
      <c r="A751" s="145"/>
      <c r="B751" s="152"/>
      <c r="C751" s="93"/>
      <c r="D751" s="93"/>
      <c r="E751" s="95"/>
      <c r="F751" s="95"/>
      <c r="G751" s="95"/>
      <c r="H751" s="93"/>
      <c r="I751" s="93"/>
      <c r="J751" s="93"/>
    </row>
    <row r="752" spans="1:10" s="65" customFormat="1" ht="14" x14ac:dyDescent="0.35">
      <c r="A752" s="145"/>
      <c r="B752" s="152"/>
      <c r="C752" s="93"/>
      <c r="D752" s="93"/>
      <c r="E752" s="95"/>
      <c r="F752" s="95"/>
      <c r="G752" s="95"/>
      <c r="H752" s="93"/>
      <c r="I752" s="93"/>
      <c r="J752" s="93"/>
    </row>
    <row r="753" spans="1:10" s="65" customFormat="1" ht="14" x14ac:dyDescent="0.35">
      <c r="A753" s="145"/>
      <c r="B753" s="152"/>
      <c r="C753" s="93"/>
      <c r="D753" s="93"/>
      <c r="E753" s="95"/>
      <c r="F753" s="95"/>
      <c r="G753" s="95"/>
      <c r="H753" s="93"/>
      <c r="I753" s="93"/>
      <c r="J753" s="93"/>
    </row>
    <row r="754" spans="1:10" s="65" customFormat="1" ht="14" x14ac:dyDescent="0.35">
      <c r="A754" s="145"/>
      <c r="B754" s="152"/>
      <c r="C754" s="93"/>
      <c r="D754" s="93"/>
      <c r="E754" s="95"/>
      <c r="F754" s="95"/>
      <c r="G754" s="95"/>
      <c r="H754" s="93"/>
      <c r="I754" s="93"/>
      <c r="J754" s="93"/>
    </row>
    <row r="755" spans="1:10" s="65" customFormat="1" ht="14" x14ac:dyDescent="0.35">
      <c r="A755" s="145"/>
      <c r="B755" s="152"/>
      <c r="C755" s="93"/>
      <c r="D755" s="93"/>
      <c r="E755" s="95"/>
      <c r="F755" s="95"/>
      <c r="G755" s="95"/>
      <c r="H755" s="93"/>
      <c r="I755" s="93"/>
      <c r="J755" s="93"/>
    </row>
    <row r="756" spans="1:10" s="65" customFormat="1" ht="14" x14ac:dyDescent="0.35">
      <c r="A756" s="145"/>
      <c r="B756" s="152"/>
      <c r="C756" s="93"/>
      <c r="D756" s="93"/>
      <c r="E756" s="95"/>
      <c r="F756" s="95"/>
      <c r="G756" s="95"/>
      <c r="H756" s="93"/>
      <c r="I756" s="93"/>
      <c r="J756" s="93"/>
    </row>
    <row r="757" spans="1:10" s="65" customFormat="1" ht="14" x14ac:dyDescent="0.35">
      <c r="A757" s="145"/>
      <c r="B757" s="152"/>
      <c r="C757" s="93"/>
      <c r="D757" s="93"/>
      <c r="E757" s="95"/>
      <c r="F757" s="95"/>
      <c r="G757" s="95"/>
      <c r="H757" s="93"/>
      <c r="I757" s="93"/>
      <c r="J757" s="93"/>
    </row>
    <row r="758" spans="1:10" s="65" customFormat="1" ht="14" x14ac:dyDescent="0.35">
      <c r="A758" s="145"/>
      <c r="B758" s="152"/>
      <c r="C758" s="93"/>
      <c r="D758" s="93"/>
      <c r="E758" s="95"/>
      <c r="F758" s="95"/>
      <c r="G758" s="95"/>
      <c r="H758" s="93"/>
      <c r="I758" s="93"/>
      <c r="J758" s="93"/>
    </row>
    <row r="759" spans="1:10" s="65" customFormat="1" ht="14" x14ac:dyDescent="0.35">
      <c r="A759" s="145"/>
      <c r="B759" s="152"/>
      <c r="C759" s="93"/>
      <c r="D759" s="93"/>
      <c r="E759" s="95"/>
      <c r="F759" s="95"/>
      <c r="G759" s="95"/>
      <c r="H759" s="93"/>
      <c r="I759" s="93"/>
      <c r="J759" s="93"/>
    </row>
    <row r="760" spans="1:10" s="65" customFormat="1" ht="14" x14ac:dyDescent="0.35">
      <c r="A760" s="145"/>
      <c r="B760" s="152"/>
      <c r="C760" s="93"/>
      <c r="D760" s="93"/>
      <c r="E760" s="95"/>
      <c r="F760" s="95"/>
      <c r="G760" s="95"/>
      <c r="H760" s="93"/>
      <c r="I760" s="93"/>
      <c r="J760" s="93"/>
    </row>
    <row r="761" spans="1:10" s="65" customFormat="1" ht="14" x14ac:dyDescent="0.35">
      <c r="A761" s="145"/>
      <c r="B761" s="152"/>
      <c r="C761" s="93"/>
      <c r="D761" s="93"/>
      <c r="E761" s="95"/>
      <c r="F761" s="95"/>
      <c r="G761" s="95"/>
      <c r="H761" s="93"/>
      <c r="I761" s="93"/>
      <c r="J761" s="93"/>
    </row>
    <row r="762" spans="1:10" s="65" customFormat="1" ht="14" x14ac:dyDescent="0.35">
      <c r="A762" s="145"/>
      <c r="B762" s="152"/>
      <c r="C762" s="93"/>
      <c r="D762" s="93"/>
      <c r="E762" s="95"/>
      <c r="F762" s="95"/>
      <c r="G762" s="95"/>
      <c r="H762" s="93"/>
      <c r="I762" s="93"/>
      <c r="J762" s="93"/>
    </row>
    <row r="763" spans="1:10" s="65" customFormat="1" ht="14" x14ac:dyDescent="0.35">
      <c r="A763" s="145"/>
      <c r="B763" s="152"/>
      <c r="C763" s="93"/>
      <c r="D763" s="93"/>
      <c r="E763" s="95"/>
      <c r="F763" s="95"/>
      <c r="G763" s="95"/>
      <c r="H763" s="93"/>
      <c r="I763" s="93"/>
      <c r="J763" s="93"/>
    </row>
    <row r="764" spans="1:10" s="65" customFormat="1" ht="14" x14ac:dyDescent="0.35">
      <c r="A764" s="145"/>
      <c r="B764" s="152"/>
      <c r="C764" s="93"/>
      <c r="D764" s="93"/>
      <c r="E764" s="95"/>
      <c r="F764" s="95"/>
      <c r="G764" s="95"/>
      <c r="H764" s="93"/>
      <c r="I764" s="93"/>
      <c r="J764" s="93"/>
    </row>
    <row r="765" spans="1:10" s="65" customFormat="1" ht="14" x14ac:dyDescent="0.35">
      <c r="A765" s="145"/>
      <c r="B765" s="152"/>
      <c r="C765" s="93"/>
      <c r="D765" s="93"/>
      <c r="E765" s="95"/>
      <c r="F765" s="95"/>
      <c r="G765" s="95"/>
      <c r="H765" s="93"/>
      <c r="I765" s="93"/>
      <c r="J765" s="93"/>
    </row>
    <row r="766" spans="1:10" s="65" customFormat="1" ht="14" x14ac:dyDescent="0.35">
      <c r="A766" s="145"/>
      <c r="B766" s="152"/>
      <c r="C766" s="93"/>
      <c r="D766" s="93"/>
      <c r="E766" s="95"/>
      <c r="F766" s="95"/>
      <c r="G766" s="95"/>
      <c r="H766" s="93"/>
      <c r="I766" s="93"/>
      <c r="J766" s="93"/>
    </row>
    <row r="767" spans="1:10" s="65" customFormat="1" ht="14" x14ac:dyDescent="0.35">
      <c r="A767" s="145"/>
      <c r="B767" s="152"/>
      <c r="C767" s="93"/>
      <c r="D767" s="93"/>
      <c r="E767" s="95"/>
      <c r="F767" s="95"/>
      <c r="G767" s="95"/>
      <c r="H767" s="93"/>
      <c r="I767" s="93"/>
      <c r="J767" s="93"/>
    </row>
    <row r="768" spans="1:10" s="65" customFormat="1" ht="14" x14ac:dyDescent="0.35">
      <c r="A768" s="145"/>
      <c r="B768" s="152"/>
      <c r="C768" s="93"/>
      <c r="D768" s="93"/>
      <c r="E768" s="95"/>
      <c r="F768" s="95"/>
      <c r="G768" s="95"/>
      <c r="H768" s="93"/>
      <c r="I768" s="93"/>
      <c r="J768" s="93"/>
    </row>
    <row r="769" spans="1:10" s="65" customFormat="1" ht="14" x14ac:dyDescent="0.35">
      <c r="A769" s="145"/>
      <c r="B769" s="152"/>
      <c r="C769" s="93"/>
      <c r="D769" s="93"/>
      <c r="E769" s="95"/>
      <c r="F769" s="95"/>
      <c r="G769" s="95"/>
      <c r="H769" s="93"/>
      <c r="I769" s="93"/>
      <c r="J769" s="93"/>
    </row>
    <row r="770" spans="1:10" s="65" customFormat="1" ht="14" x14ac:dyDescent="0.35">
      <c r="A770" s="145"/>
      <c r="B770" s="152"/>
      <c r="C770" s="93"/>
      <c r="D770" s="93"/>
      <c r="E770" s="95"/>
      <c r="F770" s="95"/>
      <c r="G770" s="95"/>
      <c r="H770" s="93"/>
      <c r="I770" s="93"/>
      <c r="J770" s="93"/>
    </row>
    <row r="771" spans="1:10" s="65" customFormat="1" ht="14" x14ac:dyDescent="0.35">
      <c r="A771" s="145"/>
      <c r="B771" s="152"/>
      <c r="C771" s="93"/>
      <c r="D771" s="93"/>
      <c r="E771" s="95"/>
      <c r="F771" s="95"/>
      <c r="G771" s="95"/>
      <c r="H771" s="93"/>
      <c r="I771" s="93"/>
      <c r="J771" s="93"/>
    </row>
    <row r="772" spans="1:10" s="65" customFormat="1" ht="14" x14ac:dyDescent="0.35">
      <c r="A772" s="145"/>
      <c r="B772" s="152"/>
      <c r="C772" s="93"/>
      <c r="D772" s="93"/>
      <c r="E772" s="95"/>
      <c r="F772" s="95"/>
      <c r="G772" s="95"/>
      <c r="H772" s="93"/>
      <c r="I772" s="93"/>
      <c r="J772" s="93"/>
    </row>
    <row r="773" spans="1:10" s="65" customFormat="1" ht="14" x14ac:dyDescent="0.35">
      <c r="A773" s="145"/>
      <c r="B773" s="152"/>
      <c r="C773" s="93"/>
      <c r="D773" s="93"/>
      <c r="E773" s="95"/>
      <c r="F773" s="95"/>
      <c r="G773" s="95"/>
      <c r="H773" s="93"/>
      <c r="I773" s="93"/>
      <c r="J773" s="93"/>
    </row>
    <row r="774" spans="1:10" s="65" customFormat="1" ht="14" x14ac:dyDescent="0.35">
      <c r="A774" s="145"/>
      <c r="B774" s="152"/>
      <c r="C774" s="93"/>
      <c r="D774" s="93"/>
      <c r="E774" s="95"/>
      <c r="F774" s="95"/>
      <c r="G774" s="95"/>
      <c r="H774" s="93"/>
      <c r="I774" s="93"/>
      <c r="J774" s="93"/>
    </row>
    <row r="775" spans="1:10" s="65" customFormat="1" ht="14" x14ac:dyDescent="0.35">
      <c r="A775" s="145"/>
      <c r="B775" s="152"/>
      <c r="C775" s="93"/>
      <c r="D775" s="93"/>
      <c r="E775" s="95"/>
      <c r="F775" s="95"/>
      <c r="G775" s="95"/>
      <c r="H775" s="93"/>
      <c r="I775" s="93"/>
      <c r="J775" s="93"/>
    </row>
    <row r="776" spans="1:10" s="65" customFormat="1" ht="14" x14ac:dyDescent="0.35">
      <c r="A776" s="145"/>
      <c r="B776" s="152"/>
      <c r="C776" s="93"/>
      <c r="D776" s="93"/>
      <c r="E776" s="95"/>
      <c r="F776" s="95"/>
      <c r="G776" s="95"/>
      <c r="H776" s="93"/>
      <c r="I776" s="93"/>
      <c r="J776" s="93"/>
    </row>
    <row r="777" spans="1:10" s="65" customFormat="1" ht="14" x14ac:dyDescent="0.35">
      <c r="A777" s="145"/>
      <c r="B777" s="152"/>
      <c r="C777" s="93"/>
      <c r="D777" s="93"/>
      <c r="E777" s="95"/>
      <c r="F777" s="95"/>
      <c r="G777" s="95"/>
      <c r="H777" s="93"/>
      <c r="I777" s="93"/>
      <c r="J777" s="93"/>
    </row>
    <row r="778" spans="1:10" s="65" customFormat="1" ht="14" x14ac:dyDescent="0.35">
      <c r="A778" s="145"/>
      <c r="B778" s="152"/>
      <c r="C778" s="93"/>
      <c r="D778" s="93"/>
      <c r="E778" s="95"/>
      <c r="F778" s="95"/>
      <c r="G778" s="95"/>
      <c r="H778" s="93"/>
      <c r="I778" s="93"/>
      <c r="J778" s="93"/>
    </row>
    <row r="779" spans="1:10" s="65" customFormat="1" ht="14" x14ac:dyDescent="0.35">
      <c r="A779" s="145"/>
      <c r="B779" s="152"/>
      <c r="C779" s="93"/>
      <c r="D779" s="93"/>
      <c r="E779" s="95"/>
      <c r="F779" s="95"/>
      <c r="G779" s="95"/>
      <c r="H779" s="93"/>
      <c r="I779" s="93"/>
      <c r="J779" s="93"/>
    </row>
    <row r="780" spans="1:10" s="65" customFormat="1" ht="14" x14ac:dyDescent="0.35">
      <c r="A780" s="145"/>
      <c r="B780" s="152"/>
      <c r="C780" s="93"/>
      <c r="D780" s="93"/>
      <c r="E780" s="95"/>
      <c r="F780" s="95"/>
      <c r="G780" s="95"/>
      <c r="H780" s="93"/>
      <c r="I780" s="93"/>
      <c r="J780" s="93"/>
    </row>
    <row r="781" spans="1:10" s="65" customFormat="1" ht="14" x14ac:dyDescent="0.35">
      <c r="A781" s="145"/>
      <c r="B781" s="152"/>
      <c r="C781" s="93"/>
      <c r="D781" s="93"/>
      <c r="E781" s="95"/>
      <c r="F781" s="95"/>
      <c r="G781" s="95"/>
      <c r="H781" s="93"/>
      <c r="I781" s="93"/>
      <c r="J781" s="93"/>
    </row>
    <row r="782" spans="1:10" s="65" customFormat="1" ht="14" x14ac:dyDescent="0.35">
      <c r="A782" s="145"/>
      <c r="B782" s="152"/>
      <c r="C782" s="93"/>
      <c r="D782" s="93"/>
      <c r="E782" s="95"/>
      <c r="F782" s="95"/>
      <c r="G782" s="95"/>
      <c r="H782" s="93"/>
      <c r="I782" s="93"/>
      <c r="J782" s="93"/>
    </row>
    <row r="783" spans="1:10" s="65" customFormat="1" ht="14" x14ac:dyDescent="0.35">
      <c r="A783" s="145"/>
      <c r="B783" s="152"/>
      <c r="C783" s="93"/>
      <c r="D783" s="93"/>
      <c r="E783" s="95"/>
      <c r="F783" s="95"/>
      <c r="G783" s="95"/>
      <c r="H783" s="93"/>
      <c r="I783" s="93"/>
      <c r="J783" s="93"/>
    </row>
    <row r="784" spans="1:10" s="65" customFormat="1" ht="14" x14ac:dyDescent="0.35">
      <c r="A784" s="145"/>
      <c r="B784" s="152"/>
      <c r="C784" s="93"/>
      <c r="D784" s="93"/>
      <c r="E784" s="95"/>
      <c r="F784" s="95"/>
      <c r="G784" s="95"/>
      <c r="H784" s="93"/>
      <c r="I784" s="93"/>
      <c r="J784" s="93"/>
    </row>
    <row r="785" spans="1:10" s="65" customFormat="1" ht="14" x14ac:dyDescent="0.35">
      <c r="A785" s="145"/>
      <c r="B785" s="152"/>
      <c r="C785" s="93"/>
      <c r="D785" s="93"/>
      <c r="E785" s="95"/>
      <c r="F785" s="95"/>
      <c r="G785" s="95"/>
      <c r="H785" s="93"/>
      <c r="I785" s="93"/>
      <c r="J785" s="93"/>
    </row>
    <row r="786" spans="1:10" s="65" customFormat="1" ht="14" x14ac:dyDescent="0.35">
      <c r="A786" s="145"/>
      <c r="B786" s="152"/>
      <c r="C786" s="93"/>
      <c r="D786" s="93"/>
      <c r="E786" s="95"/>
      <c r="F786" s="95"/>
      <c r="G786" s="95"/>
      <c r="H786" s="93"/>
      <c r="I786" s="93"/>
      <c r="J786" s="93"/>
    </row>
    <row r="787" spans="1:10" s="65" customFormat="1" ht="14" x14ac:dyDescent="0.35">
      <c r="A787" s="145"/>
      <c r="B787" s="152"/>
      <c r="C787" s="93"/>
      <c r="D787" s="93"/>
      <c r="E787" s="95"/>
      <c r="F787" s="95"/>
      <c r="G787" s="95"/>
      <c r="H787" s="93"/>
      <c r="I787" s="93"/>
      <c r="J787" s="93"/>
    </row>
    <row r="788" spans="1:10" s="65" customFormat="1" ht="14" x14ac:dyDescent="0.35">
      <c r="A788" s="145"/>
      <c r="B788" s="152"/>
      <c r="C788" s="93"/>
      <c r="D788" s="93"/>
      <c r="E788" s="95"/>
      <c r="F788" s="95"/>
      <c r="G788" s="95"/>
      <c r="H788" s="93"/>
      <c r="I788" s="93"/>
      <c r="J788" s="93"/>
    </row>
    <row r="789" spans="1:10" s="65" customFormat="1" ht="14" x14ac:dyDescent="0.35">
      <c r="A789" s="145"/>
      <c r="B789" s="152"/>
      <c r="C789" s="93"/>
      <c r="D789" s="93"/>
      <c r="E789" s="95"/>
      <c r="F789" s="95"/>
      <c r="G789" s="95"/>
      <c r="H789" s="93"/>
      <c r="I789" s="93"/>
      <c r="J789" s="93"/>
    </row>
    <row r="790" spans="1:10" s="65" customFormat="1" ht="14" x14ac:dyDescent="0.35">
      <c r="A790" s="145"/>
      <c r="B790" s="152"/>
      <c r="C790" s="93"/>
      <c r="D790" s="93"/>
      <c r="E790" s="95"/>
      <c r="F790" s="95"/>
      <c r="G790" s="95"/>
      <c r="H790" s="93"/>
      <c r="I790" s="93"/>
      <c r="J790" s="93"/>
    </row>
    <row r="791" spans="1:10" s="65" customFormat="1" ht="14" x14ac:dyDescent="0.35">
      <c r="A791" s="145"/>
      <c r="B791" s="152"/>
      <c r="C791" s="93"/>
      <c r="D791" s="93"/>
      <c r="E791" s="95"/>
      <c r="F791" s="95"/>
      <c r="G791" s="95"/>
      <c r="H791" s="93"/>
      <c r="I791" s="93"/>
      <c r="J791" s="93"/>
    </row>
    <row r="792" spans="1:10" s="65" customFormat="1" ht="14" x14ac:dyDescent="0.35">
      <c r="A792" s="145"/>
      <c r="B792" s="152"/>
      <c r="C792" s="93"/>
      <c r="D792" s="93"/>
      <c r="E792" s="95"/>
      <c r="F792" s="95"/>
      <c r="G792" s="95"/>
      <c r="H792" s="93"/>
      <c r="I792" s="93"/>
      <c r="J792" s="93"/>
    </row>
    <row r="793" spans="1:10" s="65" customFormat="1" ht="14" x14ac:dyDescent="0.35">
      <c r="A793" s="145"/>
      <c r="B793" s="152"/>
      <c r="C793" s="93"/>
      <c r="D793" s="93"/>
      <c r="E793" s="95"/>
      <c r="F793" s="95"/>
      <c r="G793" s="95"/>
      <c r="H793" s="93"/>
      <c r="I793" s="93"/>
      <c r="J793" s="93"/>
    </row>
    <row r="794" spans="1:10" s="65" customFormat="1" ht="14" x14ac:dyDescent="0.35">
      <c r="A794" s="145"/>
      <c r="B794" s="152"/>
      <c r="C794" s="93"/>
      <c r="D794" s="93"/>
      <c r="E794" s="95"/>
      <c r="F794" s="95"/>
      <c r="G794" s="95"/>
      <c r="H794" s="93"/>
      <c r="I794" s="93"/>
      <c r="J794" s="93"/>
    </row>
    <row r="795" spans="1:10" s="65" customFormat="1" ht="14" x14ac:dyDescent="0.35">
      <c r="A795" s="145"/>
      <c r="B795" s="152"/>
      <c r="C795" s="93"/>
      <c r="D795" s="93"/>
      <c r="E795" s="95"/>
      <c r="F795" s="95"/>
      <c r="G795" s="95"/>
      <c r="H795" s="93"/>
      <c r="I795" s="93"/>
      <c r="J795" s="93"/>
    </row>
    <row r="796" spans="1:10" s="65" customFormat="1" ht="14" x14ac:dyDescent="0.35">
      <c r="A796" s="145"/>
      <c r="B796" s="152"/>
      <c r="C796" s="93"/>
      <c r="D796" s="93"/>
      <c r="E796" s="95"/>
      <c r="F796" s="95"/>
      <c r="G796" s="95"/>
      <c r="H796" s="93"/>
      <c r="I796" s="93"/>
      <c r="J796" s="93"/>
    </row>
    <row r="797" spans="1:10" s="65" customFormat="1" ht="14" x14ac:dyDescent="0.35">
      <c r="A797" s="145"/>
      <c r="B797" s="152"/>
      <c r="C797" s="93"/>
      <c r="D797" s="93"/>
      <c r="E797" s="95"/>
      <c r="F797" s="95"/>
      <c r="G797" s="95"/>
      <c r="H797" s="93"/>
      <c r="I797" s="93"/>
      <c r="J797" s="93"/>
    </row>
    <row r="798" spans="1:10" s="65" customFormat="1" ht="14" x14ac:dyDescent="0.35">
      <c r="A798" s="145"/>
      <c r="B798" s="152"/>
      <c r="C798" s="93"/>
      <c r="D798" s="93"/>
      <c r="E798" s="95"/>
      <c r="F798" s="95"/>
      <c r="G798" s="95"/>
      <c r="H798" s="93"/>
      <c r="I798" s="93"/>
      <c r="J798" s="93"/>
    </row>
    <row r="799" spans="1:10" s="65" customFormat="1" ht="14" x14ac:dyDescent="0.35">
      <c r="A799" s="145"/>
      <c r="B799" s="152"/>
      <c r="C799" s="93"/>
      <c r="D799" s="93"/>
      <c r="E799" s="95"/>
      <c r="F799" s="95"/>
      <c r="G799" s="95"/>
      <c r="H799" s="93"/>
      <c r="I799" s="93"/>
      <c r="J799" s="93"/>
    </row>
    <row r="800" spans="1:10" s="65" customFormat="1" ht="14" x14ac:dyDescent="0.35">
      <c r="A800" s="145"/>
      <c r="B800" s="152"/>
      <c r="C800" s="93"/>
      <c r="D800" s="93"/>
      <c r="E800" s="95"/>
      <c r="F800" s="95"/>
      <c r="G800" s="95"/>
      <c r="H800" s="93"/>
      <c r="I800" s="93"/>
      <c r="J800" s="93"/>
    </row>
    <row r="801" spans="1:10" s="65" customFormat="1" ht="14" x14ac:dyDescent="0.35">
      <c r="A801" s="145"/>
      <c r="B801" s="152"/>
      <c r="C801" s="93"/>
      <c r="D801" s="93"/>
      <c r="E801" s="95"/>
      <c r="F801" s="95"/>
      <c r="G801" s="95"/>
      <c r="H801" s="93"/>
      <c r="I801" s="93"/>
      <c r="J801" s="93"/>
    </row>
    <row r="802" spans="1:10" s="65" customFormat="1" ht="14" x14ac:dyDescent="0.35">
      <c r="A802" s="145"/>
      <c r="B802" s="152"/>
      <c r="C802" s="93"/>
      <c r="D802" s="93"/>
      <c r="E802" s="95"/>
      <c r="F802" s="95"/>
      <c r="G802" s="95"/>
      <c r="H802" s="93"/>
      <c r="I802" s="93"/>
      <c r="J802" s="93"/>
    </row>
    <row r="803" spans="1:10" s="65" customFormat="1" ht="14" x14ac:dyDescent="0.35">
      <c r="A803" s="145"/>
      <c r="B803" s="152"/>
      <c r="C803" s="93"/>
      <c r="D803" s="93"/>
      <c r="E803" s="95"/>
      <c r="F803" s="95"/>
      <c r="G803" s="95"/>
      <c r="H803" s="93"/>
      <c r="I803" s="93"/>
      <c r="J803" s="93"/>
    </row>
    <row r="804" spans="1:10" s="65" customFormat="1" ht="14" x14ac:dyDescent="0.35">
      <c r="A804" s="145"/>
      <c r="B804" s="152"/>
      <c r="C804" s="93"/>
      <c r="D804" s="93"/>
      <c r="E804" s="95"/>
      <c r="F804" s="95"/>
      <c r="G804" s="95"/>
      <c r="H804" s="93"/>
      <c r="I804" s="93"/>
      <c r="J804" s="93"/>
    </row>
    <row r="805" spans="1:10" s="65" customFormat="1" ht="14" x14ac:dyDescent="0.35">
      <c r="A805" s="145"/>
      <c r="B805" s="152"/>
      <c r="C805" s="93"/>
      <c r="D805" s="93"/>
      <c r="E805" s="95"/>
      <c r="F805" s="95"/>
      <c r="G805" s="95"/>
      <c r="H805" s="93"/>
      <c r="I805" s="93"/>
      <c r="J805" s="93"/>
    </row>
    <row r="806" spans="1:10" s="65" customFormat="1" ht="14" x14ac:dyDescent="0.35">
      <c r="A806" s="145"/>
      <c r="B806" s="152"/>
      <c r="C806" s="93"/>
      <c r="D806" s="93"/>
      <c r="E806" s="95"/>
      <c r="F806" s="95"/>
      <c r="G806" s="95"/>
      <c r="H806" s="93"/>
      <c r="I806" s="93"/>
      <c r="J806" s="93"/>
    </row>
    <row r="807" spans="1:10" s="65" customFormat="1" ht="14" x14ac:dyDescent="0.35">
      <c r="A807" s="145"/>
      <c r="B807" s="152"/>
      <c r="C807" s="93"/>
      <c r="D807" s="93"/>
      <c r="E807" s="95"/>
      <c r="F807" s="95"/>
      <c r="G807" s="95"/>
      <c r="H807" s="93"/>
      <c r="I807" s="93"/>
      <c r="J807" s="93"/>
    </row>
    <row r="808" spans="1:10" s="65" customFormat="1" ht="14" x14ac:dyDescent="0.35">
      <c r="A808" s="145"/>
      <c r="B808" s="152"/>
      <c r="C808" s="93"/>
      <c r="D808" s="93"/>
      <c r="E808" s="95"/>
      <c r="F808" s="95"/>
      <c r="G808" s="95"/>
      <c r="H808" s="93"/>
      <c r="I808" s="93"/>
      <c r="J808" s="93"/>
    </row>
    <row r="809" spans="1:10" s="65" customFormat="1" ht="14" x14ac:dyDescent="0.35">
      <c r="A809" s="145"/>
      <c r="B809" s="152"/>
      <c r="C809" s="93"/>
      <c r="D809" s="93"/>
      <c r="E809" s="95"/>
      <c r="F809" s="95"/>
      <c r="G809" s="95"/>
      <c r="H809" s="93"/>
      <c r="I809" s="93"/>
      <c r="J809" s="93"/>
    </row>
    <row r="810" spans="1:10" s="65" customFormat="1" ht="14" x14ac:dyDescent="0.35">
      <c r="A810" s="145"/>
      <c r="B810" s="152"/>
      <c r="C810" s="93"/>
      <c r="D810" s="93"/>
      <c r="E810" s="95"/>
      <c r="F810" s="95"/>
      <c r="G810" s="95"/>
      <c r="H810" s="93"/>
      <c r="I810" s="93"/>
      <c r="J810" s="93"/>
    </row>
    <row r="811" spans="1:10" s="65" customFormat="1" ht="14" x14ac:dyDescent="0.35">
      <c r="A811" s="145"/>
      <c r="B811" s="152"/>
      <c r="C811" s="93"/>
      <c r="D811" s="93"/>
      <c r="E811" s="95"/>
      <c r="F811" s="95"/>
      <c r="G811" s="95"/>
      <c r="H811" s="93"/>
      <c r="I811" s="93"/>
      <c r="J811" s="93"/>
    </row>
    <row r="812" spans="1:10" s="65" customFormat="1" ht="14" x14ac:dyDescent="0.35">
      <c r="A812" s="145"/>
      <c r="B812" s="152"/>
      <c r="C812" s="93"/>
      <c r="D812" s="93"/>
      <c r="E812" s="95"/>
      <c r="F812" s="95"/>
      <c r="G812" s="95"/>
      <c r="H812" s="93"/>
      <c r="I812" s="93"/>
      <c r="J812" s="93"/>
    </row>
    <row r="813" spans="1:10" s="65" customFormat="1" ht="14" x14ac:dyDescent="0.35">
      <c r="A813" s="145"/>
      <c r="B813" s="152"/>
      <c r="C813" s="93"/>
      <c r="D813" s="93"/>
      <c r="E813" s="95"/>
      <c r="F813" s="95"/>
      <c r="G813" s="95"/>
      <c r="H813" s="93"/>
      <c r="I813" s="93"/>
      <c r="J813" s="93"/>
    </row>
    <row r="814" spans="1:10" s="65" customFormat="1" ht="14" x14ac:dyDescent="0.35">
      <c r="A814" s="145"/>
      <c r="B814" s="152"/>
      <c r="C814" s="93"/>
      <c r="D814" s="93"/>
      <c r="E814" s="95"/>
      <c r="F814" s="95"/>
      <c r="G814" s="95"/>
      <c r="H814" s="93"/>
      <c r="I814" s="93"/>
      <c r="J814" s="93"/>
    </row>
    <row r="815" spans="1:10" s="65" customFormat="1" ht="14" x14ac:dyDescent="0.35">
      <c r="A815" s="145"/>
      <c r="B815" s="152"/>
      <c r="C815" s="93"/>
      <c r="D815" s="93"/>
      <c r="E815" s="95"/>
      <c r="F815" s="95"/>
      <c r="G815" s="95"/>
      <c r="H815" s="93"/>
      <c r="I815" s="93"/>
      <c r="J815" s="93"/>
    </row>
    <row r="816" spans="1:10" s="65" customFormat="1" ht="14" x14ac:dyDescent="0.35">
      <c r="A816" s="145"/>
      <c r="B816" s="152"/>
      <c r="C816" s="93"/>
      <c r="D816" s="93"/>
      <c r="E816" s="95"/>
      <c r="F816" s="95"/>
      <c r="G816" s="95"/>
      <c r="H816" s="93"/>
      <c r="I816" s="93"/>
      <c r="J816" s="93"/>
    </row>
    <row r="817" spans="1:10" s="65" customFormat="1" ht="14" x14ac:dyDescent="0.35">
      <c r="A817" s="145"/>
      <c r="B817" s="152"/>
      <c r="C817" s="93"/>
      <c r="D817" s="93"/>
      <c r="E817" s="95"/>
      <c r="F817" s="95"/>
      <c r="G817" s="95"/>
      <c r="H817" s="93"/>
      <c r="I817" s="93"/>
      <c r="J817" s="93"/>
    </row>
    <row r="818" spans="1:10" s="65" customFormat="1" ht="14" x14ac:dyDescent="0.35">
      <c r="A818" s="145"/>
      <c r="B818" s="152"/>
      <c r="C818" s="93"/>
      <c r="D818" s="93"/>
      <c r="E818" s="95"/>
      <c r="F818" s="95"/>
      <c r="G818" s="95"/>
      <c r="H818" s="93"/>
      <c r="I818" s="93"/>
      <c r="J818" s="93"/>
    </row>
    <row r="819" spans="1:10" s="65" customFormat="1" ht="14" x14ac:dyDescent="0.35">
      <c r="A819" s="145"/>
      <c r="B819" s="152"/>
      <c r="C819" s="93"/>
      <c r="D819" s="93"/>
      <c r="E819" s="95"/>
      <c r="F819" s="95"/>
      <c r="G819" s="95"/>
      <c r="H819" s="93"/>
      <c r="I819" s="93"/>
      <c r="J819" s="93"/>
    </row>
    <row r="820" spans="1:10" s="65" customFormat="1" ht="14" x14ac:dyDescent="0.35">
      <c r="A820" s="145"/>
      <c r="B820" s="152"/>
      <c r="C820" s="93"/>
      <c r="D820" s="93"/>
      <c r="E820" s="95"/>
      <c r="F820" s="95"/>
      <c r="G820" s="95"/>
      <c r="H820" s="93"/>
      <c r="I820" s="93"/>
      <c r="J820" s="93"/>
    </row>
    <row r="821" spans="1:10" s="65" customFormat="1" ht="14" x14ac:dyDescent="0.35">
      <c r="A821" s="145"/>
      <c r="B821" s="152"/>
      <c r="C821" s="93"/>
      <c r="D821" s="93"/>
      <c r="E821" s="95"/>
      <c r="F821" s="95"/>
      <c r="G821" s="95"/>
      <c r="H821" s="93"/>
      <c r="I821" s="93"/>
      <c r="J821" s="93"/>
    </row>
    <row r="822" spans="1:10" s="65" customFormat="1" ht="14" x14ac:dyDescent="0.35">
      <c r="A822" s="145"/>
      <c r="B822" s="152"/>
      <c r="C822" s="93"/>
      <c r="D822" s="93"/>
      <c r="E822" s="95"/>
      <c r="F822" s="95"/>
      <c r="G822" s="95"/>
      <c r="H822" s="93"/>
      <c r="I822" s="93"/>
      <c r="J822" s="93"/>
    </row>
    <row r="823" spans="1:10" s="65" customFormat="1" ht="14" x14ac:dyDescent="0.35">
      <c r="A823" s="145"/>
      <c r="B823" s="152"/>
      <c r="C823" s="93"/>
      <c r="D823" s="93"/>
      <c r="E823" s="95"/>
      <c r="F823" s="95"/>
      <c r="G823" s="95"/>
      <c r="H823" s="93"/>
      <c r="I823" s="93"/>
      <c r="J823" s="93"/>
    </row>
    <row r="824" spans="1:10" s="65" customFormat="1" ht="14" x14ac:dyDescent="0.35">
      <c r="A824" s="145"/>
      <c r="B824" s="152"/>
      <c r="C824" s="93"/>
      <c r="D824" s="93"/>
      <c r="E824" s="95"/>
      <c r="F824" s="95"/>
      <c r="G824" s="95"/>
      <c r="H824" s="93"/>
      <c r="I824" s="93"/>
      <c r="J824" s="93"/>
    </row>
    <row r="825" spans="1:10" s="65" customFormat="1" ht="14" x14ac:dyDescent="0.35">
      <c r="A825" s="145"/>
      <c r="B825" s="152"/>
      <c r="C825" s="93"/>
      <c r="D825" s="93"/>
      <c r="E825" s="95"/>
      <c r="F825" s="95"/>
      <c r="G825" s="95"/>
      <c r="H825" s="93"/>
      <c r="I825" s="93"/>
      <c r="J825" s="93"/>
    </row>
    <row r="826" spans="1:10" s="65" customFormat="1" ht="14" x14ac:dyDescent="0.35">
      <c r="A826" s="145"/>
      <c r="B826" s="152"/>
      <c r="C826" s="93"/>
      <c r="D826" s="93"/>
      <c r="E826" s="95"/>
      <c r="F826" s="95"/>
      <c r="G826" s="95"/>
      <c r="H826" s="93"/>
      <c r="I826" s="93"/>
      <c r="J826" s="93"/>
    </row>
    <row r="827" spans="1:10" s="65" customFormat="1" ht="14" x14ac:dyDescent="0.35">
      <c r="A827" s="145"/>
      <c r="B827" s="152"/>
      <c r="C827" s="93"/>
      <c r="D827" s="93"/>
      <c r="E827" s="95"/>
      <c r="F827" s="95"/>
      <c r="G827" s="95"/>
      <c r="H827" s="93"/>
      <c r="I827" s="93"/>
      <c r="J827" s="93"/>
    </row>
    <row r="828" spans="1:10" s="65" customFormat="1" ht="14" x14ac:dyDescent="0.35">
      <c r="A828" s="145"/>
      <c r="B828" s="152"/>
      <c r="C828" s="93"/>
      <c r="D828" s="93"/>
      <c r="E828" s="95"/>
      <c r="F828" s="95"/>
      <c r="G828" s="95"/>
      <c r="H828" s="93"/>
      <c r="I828" s="93"/>
      <c r="J828" s="93"/>
    </row>
    <row r="829" spans="1:10" s="65" customFormat="1" ht="14" x14ac:dyDescent="0.35">
      <c r="A829" s="145"/>
      <c r="B829" s="152"/>
      <c r="C829" s="93"/>
      <c r="D829" s="93"/>
      <c r="E829" s="95"/>
      <c r="F829" s="95"/>
      <c r="G829" s="95"/>
      <c r="H829" s="93"/>
      <c r="I829" s="93"/>
      <c r="J829" s="93"/>
    </row>
    <row r="830" spans="1:10" s="65" customFormat="1" ht="14" x14ac:dyDescent="0.35">
      <c r="A830" s="145"/>
      <c r="B830" s="152"/>
      <c r="C830" s="93"/>
      <c r="D830" s="93"/>
      <c r="E830" s="95"/>
      <c r="F830" s="95"/>
      <c r="G830" s="95"/>
      <c r="H830" s="93"/>
      <c r="I830" s="93"/>
      <c r="J830" s="93"/>
    </row>
    <row r="831" spans="1:10" s="65" customFormat="1" ht="14" x14ac:dyDescent="0.35">
      <c r="A831" s="145"/>
      <c r="B831" s="152"/>
      <c r="C831" s="93"/>
      <c r="D831" s="93"/>
      <c r="E831" s="95"/>
      <c r="F831" s="95"/>
      <c r="G831" s="95"/>
      <c r="H831" s="93"/>
      <c r="I831" s="93"/>
      <c r="J831" s="93"/>
    </row>
    <row r="832" spans="1:10" s="65" customFormat="1" ht="14" x14ac:dyDescent="0.35">
      <c r="A832" s="145"/>
      <c r="B832" s="152"/>
      <c r="C832" s="93"/>
      <c r="D832" s="93"/>
      <c r="E832" s="95"/>
      <c r="F832" s="95"/>
      <c r="G832" s="95"/>
      <c r="H832" s="93"/>
      <c r="I832" s="93"/>
      <c r="J832" s="93"/>
    </row>
    <row r="833" spans="1:10" s="65" customFormat="1" ht="14" x14ac:dyDescent="0.35">
      <c r="A833" s="145"/>
      <c r="B833" s="152"/>
      <c r="C833" s="93"/>
      <c r="D833" s="93"/>
      <c r="E833" s="95"/>
      <c r="F833" s="95"/>
      <c r="G833" s="95"/>
      <c r="H833" s="93"/>
      <c r="I833" s="93"/>
      <c r="J833" s="93"/>
    </row>
    <row r="834" spans="1:10" s="65" customFormat="1" ht="14" x14ac:dyDescent="0.35">
      <c r="A834" s="145"/>
      <c r="B834" s="152"/>
      <c r="C834" s="93"/>
      <c r="D834" s="93"/>
      <c r="E834" s="95"/>
      <c r="F834" s="95"/>
      <c r="G834" s="95"/>
      <c r="H834" s="93"/>
      <c r="I834" s="93"/>
      <c r="J834" s="93"/>
    </row>
    <row r="835" spans="1:10" s="65" customFormat="1" ht="14" x14ac:dyDescent="0.35">
      <c r="A835" s="145"/>
      <c r="B835" s="152"/>
      <c r="C835" s="93"/>
      <c r="D835" s="93"/>
      <c r="E835" s="95"/>
      <c r="F835" s="95"/>
      <c r="G835" s="95"/>
      <c r="H835" s="93"/>
      <c r="I835" s="93"/>
      <c r="J835" s="93"/>
    </row>
    <row r="836" spans="1:10" s="65" customFormat="1" ht="14" x14ac:dyDescent="0.35">
      <c r="A836" s="145"/>
      <c r="B836" s="152"/>
      <c r="C836" s="93"/>
      <c r="D836" s="93"/>
      <c r="E836" s="95"/>
      <c r="F836" s="95"/>
      <c r="G836" s="95"/>
      <c r="H836" s="93"/>
      <c r="I836" s="93"/>
      <c r="J836" s="93"/>
    </row>
    <row r="837" spans="1:10" s="65" customFormat="1" ht="14" x14ac:dyDescent="0.35">
      <c r="A837" s="145"/>
      <c r="B837" s="152"/>
      <c r="C837" s="93"/>
      <c r="D837" s="93"/>
      <c r="E837" s="95"/>
      <c r="F837" s="95"/>
      <c r="G837" s="95"/>
      <c r="H837" s="93"/>
      <c r="I837" s="93"/>
      <c r="J837" s="93"/>
    </row>
    <row r="838" spans="1:10" s="65" customFormat="1" ht="14" x14ac:dyDescent="0.35">
      <c r="A838" s="145"/>
      <c r="B838" s="152"/>
      <c r="C838" s="93"/>
      <c r="D838" s="93"/>
      <c r="E838" s="95"/>
      <c r="F838" s="95"/>
      <c r="G838" s="95"/>
      <c r="H838" s="93"/>
      <c r="I838" s="93"/>
      <c r="J838" s="93"/>
    </row>
    <row r="839" spans="1:10" s="65" customFormat="1" ht="14" x14ac:dyDescent="0.35">
      <c r="A839" s="145"/>
      <c r="B839" s="152"/>
      <c r="C839" s="93"/>
      <c r="D839" s="93"/>
      <c r="E839" s="95"/>
      <c r="F839" s="95"/>
      <c r="G839" s="95"/>
      <c r="H839" s="93"/>
      <c r="I839" s="93"/>
      <c r="J839" s="93"/>
    </row>
    <row r="840" spans="1:10" s="65" customFormat="1" ht="14" x14ac:dyDescent="0.35">
      <c r="A840" s="145"/>
      <c r="B840" s="152"/>
      <c r="C840" s="93"/>
      <c r="D840" s="93"/>
      <c r="E840" s="95"/>
      <c r="F840" s="95"/>
      <c r="G840" s="95"/>
      <c r="H840" s="93"/>
      <c r="I840" s="93"/>
      <c r="J840" s="93"/>
    </row>
    <row r="841" spans="1:10" s="65" customFormat="1" ht="14" x14ac:dyDescent="0.35">
      <c r="A841" s="145"/>
      <c r="B841" s="152"/>
      <c r="C841" s="93"/>
      <c r="D841" s="93"/>
      <c r="E841" s="95"/>
      <c r="F841" s="95"/>
      <c r="G841" s="95"/>
      <c r="H841" s="93"/>
      <c r="I841" s="93"/>
      <c r="J841" s="93"/>
    </row>
    <row r="842" spans="1:10" s="65" customFormat="1" ht="14" x14ac:dyDescent="0.35">
      <c r="A842" s="145"/>
      <c r="B842" s="152"/>
      <c r="C842" s="93"/>
      <c r="D842" s="93"/>
      <c r="E842" s="95"/>
      <c r="F842" s="95"/>
      <c r="G842" s="95"/>
      <c r="H842" s="93"/>
      <c r="I842" s="93"/>
      <c r="J842" s="93"/>
    </row>
    <row r="843" spans="1:10" s="65" customFormat="1" ht="14" x14ac:dyDescent="0.35">
      <c r="A843" s="145"/>
      <c r="B843" s="152"/>
      <c r="C843" s="93"/>
      <c r="D843" s="93"/>
      <c r="E843" s="95"/>
      <c r="F843" s="95"/>
      <c r="G843" s="95"/>
      <c r="H843" s="93"/>
      <c r="I843" s="93"/>
      <c r="J843" s="93"/>
    </row>
    <row r="844" spans="1:10" s="65" customFormat="1" ht="14" x14ac:dyDescent="0.35">
      <c r="A844" s="145"/>
      <c r="B844" s="152"/>
      <c r="C844" s="93"/>
      <c r="D844" s="93"/>
      <c r="E844" s="95"/>
      <c r="F844" s="95"/>
      <c r="G844" s="95"/>
      <c r="H844" s="93"/>
      <c r="I844" s="93"/>
      <c r="J844" s="93"/>
    </row>
    <row r="845" spans="1:10" s="65" customFormat="1" ht="14" x14ac:dyDescent="0.35">
      <c r="A845" s="145"/>
      <c r="B845" s="152"/>
      <c r="C845" s="93"/>
      <c r="D845" s="93"/>
      <c r="E845" s="95"/>
      <c r="F845" s="95"/>
      <c r="G845" s="95"/>
      <c r="H845" s="93"/>
      <c r="I845" s="93"/>
      <c r="J845" s="93"/>
    </row>
    <row r="846" spans="1:10" s="65" customFormat="1" ht="14" x14ac:dyDescent="0.35">
      <c r="A846" s="145"/>
      <c r="B846" s="152"/>
      <c r="C846" s="93"/>
      <c r="D846" s="93"/>
      <c r="E846" s="95"/>
      <c r="F846" s="95"/>
      <c r="G846" s="95"/>
      <c r="H846" s="93"/>
      <c r="I846" s="93"/>
      <c r="J846" s="93"/>
    </row>
    <row r="847" spans="1:10" s="65" customFormat="1" ht="14" x14ac:dyDescent="0.35">
      <c r="A847" s="145"/>
      <c r="B847" s="152"/>
      <c r="C847" s="93"/>
      <c r="D847" s="93"/>
      <c r="E847" s="95"/>
      <c r="F847" s="95"/>
      <c r="G847" s="95"/>
      <c r="H847" s="93"/>
      <c r="I847" s="93"/>
      <c r="J847" s="93"/>
    </row>
    <row r="848" spans="1:10" s="65" customFormat="1" ht="14" x14ac:dyDescent="0.35">
      <c r="A848" s="145"/>
      <c r="B848" s="152"/>
      <c r="C848" s="93"/>
      <c r="D848" s="93"/>
      <c r="E848" s="95"/>
      <c r="F848" s="95"/>
      <c r="G848" s="95"/>
      <c r="H848" s="93"/>
      <c r="I848" s="93"/>
      <c r="J848" s="93"/>
    </row>
    <row r="849" spans="1:10" s="65" customFormat="1" ht="14" x14ac:dyDescent="0.35">
      <c r="A849" s="145"/>
      <c r="B849" s="152"/>
      <c r="C849" s="93"/>
      <c r="D849" s="93"/>
      <c r="E849" s="95"/>
      <c r="F849" s="95"/>
      <c r="G849" s="95"/>
      <c r="H849" s="93"/>
      <c r="I849" s="93"/>
      <c r="J849" s="93"/>
    </row>
    <row r="850" spans="1:10" s="65" customFormat="1" ht="14" x14ac:dyDescent="0.35">
      <c r="A850" s="145"/>
      <c r="B850" s="152"/>
      <c r="C850" s="93"/>
      <c r="D850" s="93"/>
      <c r="E850" s="95"/>
      <c r="F850" s="95"/>
      <c r="G850" s="95"/>
      <c r="H850" s="93"/>
      <c r="I850" s="93"/>
      <c r="J850" s="93"/>
    </row>
    <row r="851" spans="1:10" s="65" customFormat="1" ht="14" x14ac:dyDescent="0.35">
      <c r="A851" s="145"/>
      <c r="B851" s="152"/>
      <c r="C851" s="93"/>
      <c r="D851" s="93"/>
      <c r="E851" s="95"/>
      <c r="F851" s="95"/>
      <c r="G851" s="95"/>
      <c r="H851" s="93"/>
      <c r="I851" s="93"/>
      <c r="J851" s="93"/>
    </row>
    <row r="852" spans="1:10" s="65" customFormat="1" ht="14" x14ac:dyDescent="0.35">
      <c r="A852" s="145"/>
      <c r="B852" s="152"/>
      <c r="C852" s="93"/>
      <c r="D852" s="93"/>
      <c r="E852" s="95"/>
      <c r="F852" s="95"/>
      <c r="G852" s="95"/>
      <c r="H852" s="93"/>
      <c r="I852" s="93"/>
      <c r="J852" s="93"/>
    </row>
    <row r="853" spans="1:10" s="65" customFormat="1" ht="14" x14ac:dyDescent="0.35">
      <c r="A853" s="145"/>
      <c r="B853" s="152"/>
      <c r="C853" s="93"/>
      <c r="D853" s="93"/>
      <c r="E853" s="95"/>
      <c r="F853" s="95"/>
      <c r="G853" s="95"/>
      <c r="H853" s="93"/>
      <c r="I853" s="93"/>
      <c r="J853" s="93"/>
    </row>
    <row r="854" spans="1:10" s="65" customFormat="1" ht="14" x14ac:dyDescent="0.35">
      <c r="A854" s="145"/>
      <c r="B854" s="152"/>
      <c r="C854" s="93"/>
      <c r="D854" s="93"/>
      <c r="E854" s="95"/>
      <c r="F854" s="95"/>
      <c r="G854" s="95"/>
      <c r="H854" s="93"/>
      <c r="I854" s="93"/>
      <c r="J854" s="93"/>
    </row>
    <row r="855" spans="1:10" s="65" customFormat="1" ht="14" x14ac:dyDescent="0.35">
      <c r="A855" s="145"/>
      <c r="B855" s="152"/>
      <c r="C855" s="93"/>
      <c r="D855" s="93"/>
      <c r="E855" s="95"/>
      <c r="F855" s="95"/>
      <c r="G855" s="95"/>
      <c r="H855" s="93"/>
      <c r="I855" s="93"/>
      <c r="J855" s="93"/>
    </row>
    <row r="856" spans="1:10" s="65" customFormat="1" ht="14" x14ac:dyDescent="0.35">
      <c r="A856" s="145"/>
      <c r="B856" s="152"/>
      <c r="C856" s="93"/>
      <c r="D856" s="93"/>
      <c r="E856" s="95"/>
      <c r="F856" s="95"/>
      <c r="G856" s="95"/>
      <c r="H856" s="93"/>
      <c r="I856" s="93"/>
      <c r="J856" s="93"/>
    </row>
    <row r="857" spans="1:10" s="65" customFormat="1" ht="14" x14ac:dyDescent="0.35">
      <c r="A857" s="145"/>
      <c r="B857" s="152"/>
      <c r="C857" s="93"/>
      <c r="D857" s="93"/>
      <c r="E857" s="95"/>
      <c r="F857" s="95"/>
      <c r="G857" s="95"/>
      <c r="H857" s="93"/>
      <c r="I857" s="93"/>
      <c r="J857" s="93"/>
    </row>
    <row r="858" spans="1:10" s="65" customFormat="1" ht="14" x14ac:dyDescent="0.35">
      <c r="A858" s="145"/>
      <c r="B858" s="152"/>
      <c r="C858" s="93"/>
      <c r="D858" s="93"/>
      <c r="E858" s="95"/>
      <c r="F858" s="95"/>
      <c r="G858" s="95"/>
      <c r="H858" s="93"/>
      <c r="I858" s="93"/>
      <c r="J858" s="93"/>
    </row>
    <row r="859" spans="1:10" s="65" customFormat="1" ht="14" x14ac:dyDescent="0.35">
      <c r="A859" s="145"/>
      <c r="B859" s="152"/>
      <c r="C859" s="93"/>
      <c r="D859" s="93"/>
      <c r="E859" s="95"/>
      <c r="F859" s="95"/>
      <c r="G859" s="95"/>
      <c r="H859" s="93"/>
      <c r="I859" s="93"/>
      <c r="J859" s="93"/>
    </row>
    <row r="860" spans="1:10" s="65" customFormat="1" ht="14" x14ac:dyDescent="0.35">
      <c r="A860" s="145"/>
      <c r="B860" s="152"/>
      <c r="C860" s="93"/>
      <c r="D860" s="93"/>
      <c r="E860" s="95"/>
      <c r="F860" s="95"/>
      <c r="G860" s="95"/>
      <c r="H860" s="93"/>
      <c r="I860" s="93"/>
      <c r="J860" s="93"/>
    </row>
    <row r="861" spans="1:10" s="65" customFormat="1" ht="14" x14ac:dyDescent="0.35">
      <c r="A861" s="145"/>
      <c r="B861" s="152"/>
      <c r="C861" s="93"/>
      <c r="D861" s="93"/>
      <c r="E861" s="95"/>
      <c r="F861" s="95"/>
      <c r="G861" s="95"/>
      <c r="H861" s="93"/>
      <c r="I861" s="93"/>
      <c r="J861" s="93"/>
    </row>
    <row r="862" spans="1:10" s="65" customFormat="1" ht="14" x14ac:dyDescent="0.35">
      <c r="A862" s="145"/>
      <c r="B862" s="152"/>
      <c r="C862" s="93"/>
      <c r="D862" s="93"/>
      <c r="E862" s="95"/>
      <c r="F862" s="95"/>
      <c r="G862" s="95"/>
      <c r="H862" s="93"/>
      <c r="I862" s="93"/>
      <c r="J862" s="93"/>
    </row>
    <row r="863" spans="1:10" s="65" customFormat="1" ht="14" x14ac:dyDescent="0.35">
      <c r="A863" s="145"/>
      <c r="B863" s="152"/>
      <c r="C863" s="93"/>
      <c r="D863" s="93"/>
      <c r="E863" s="95"/>
      <c r="F863" s="95"/>
      <c r="G863" s="95"/>
      <c r="H863" s="93"/>
      <c r="I863" s="93"/>
      <c r="J863" s="93"/>
    </row>
    <row r="864" spans="1:10" s="65" customFormat="1" ht="14" x14ac:dyDescent="0.35">
      <c r="A864" s="145"/>
      <c r="B864" s="152"/>
      <c r="C864" s="93"/>
      <c r="D864" s="93"/>
      <c r="E864" s="95"/>
      <c r="F864" s="95"/>
      <c r="G864" s="95"/>
      <c r="H864" s="93"/>
      <c r="I864" s="93"/>
      <c r="J864" s="93"/>
    </row>
    <row r="865" spans="1:10" s="65" customFormat="1" ht="14" x14ac:dyDescent="0.35">
      <c r="A865" s="145"/>
      <c r="B865" s="152"/>
      <c r="C865" s="93"/>
      <c r="D865" s="93"/>
      <c r="E865" s="95"/>
      <c r="F865" s="95"/>
      <c r="G865" s="95"/>
      <c r="H865" s="93"/>
      <c r="I865" s="93"/>
      <c r="J865" s="93"/>
    </row>
    <row r="866" spans="1:10" s="65" customFormat="1" ht="14" x14ac:dyDescent="0.35">
      <c r="A866" s="145"/>
      <c r="B866" s="152"/>
      <c r="C866" s="93"/>
      <c r="D866" s="93"/>
      <c r="E866" s="95"/>
      <c r="F866" s="95"/>
      <c r="G866" s="95"/>
      <c r="H866" s="93"/>
      <c r="I866" s="93"/>
      <c r="J866" s="93"/>
    </row>
    <row r="867" spans="1:10" s="65" customFormat="1" ht="14" x14ac:dyDescent="0.35">
      <c r="A867" s="145"/>
      <c r="B867" s="152"/>
      <c r="C867" s="93"/>
      <c r="D867" s="93"/>
      <c r="E867" s="95"/>
      <c r="F867" s="95"/>
      <c r="G867" s="95"/>
      <c r="H867" s="93"/>
      <c r="I867" s="93"/>
      <c r="J867" s="93"/>
    </row>
    <row r="868" spans="1:10" s="65" customFormat="1" ht="14" x14ac:dyDescent="0.35">
      <c r="A868" s="145"/>
      <c r="B868" s="152"/>
      <c r="C868" s="93"/>
      <c r="D868" s="93"/>
      <c r="E868" s="95"/>
      <c r="F868" s="95"/>
      <c r="G868" s="95"/>
      <c r="H868" s="93"/>
      <c r="I868" s="93"/>
      <c r="J868" s="93"/>
    </row>
    <row r="869" spans="1:10" s="65" customFormat="1" ht="14" x14ac:dyDescent="0.35">
      <c r="A869" s="145"/>
      <c r="B869" s="152"/>
      <c r="C869" s="93"/>
      <c r="D869" s="93"/>
      <c r="E869" s="95"/>
      <c r="F869" s="95"/>
      <c r="G869" s="95"/>
      <c r="H869" s="93"/>
      <c r="I869" s="93"/>
      <c r="J869" s="93"/>
    </row>
    <row r="870" spans="1:10" s="65" customFormat="1" ht="14" x14ac:dyDescent="0.35">
      <c r="A870" s="145"/>
      <c r="B870" s="152"/>
      <c r="C870" s="93"/>
      <c r="D870" s="93"/>
      <c r="E870" s="95"/>
      <c r="F870" s="95"/>
      <c r="G870" s="95"/>
      <c r="H870" s="93"/>
      <c r="I870" s="93"/>
      <c r="J870" s="93"/>
    </row>
    <row r="871" spans="1:10" s="65" customFormat="1" ht="14" x14ac:dyDescent="0.35">
      <c r="A871" s="145"/>
      <c r="B871" s="152"/>
      <c r="C871" s="93"/>
      <c r="D871" s="93"/>
      <c r="E871" s="95"/>
      <c r="F871" s="95"/>
      <c r="G871" s="95"/>
      <c r="H871" s="93"/>
      <c r="I871" s="93"/>
      <c r="J871" s="93"/>
    </row>
    <row r="872" spans="1:10" s="65" customFormat="1" ht="14" x14ac:dyDescent="0.35">
      <c r="A872" s="145"/>
      <c r="B872" s="152"/>
      <c r="C872" s="93"/>
      <c r="D872" s="93"/>
      <c r="E872" s="95"/>
      <c r="F872" s="95"/>
      <c r="G872" s="95"/>
      <c r="H872" s="93"/>
      <c r="I872" s="93"/>
      <c r="J872" s="93"/>
    </row>
    <row r="873" spans="1:10" s="65" customFormat="1" ht="14" x14ac:dyDescent="0.35">
      <c r="A873" s="145"/>
      <c r="B873" s="152"/>
      <c r="C873" s="93"/>
      <c r="D873" s="93"/>
      <c r="E873" s="95"/>
      <c r="F873" s="95"/>
      <c r="G873" s="95"/>
      <c r="H873" s="93"/>
      <c r="I873" s="93"/>
      <c r="J873" s="93"/>
    </row>
    <row r="874" spans="1:10" s="65" customFormat="1" ht="14" x14ac:dyDescent="0.35">
      <c r="A874" s="145"/>
      <c r="B874" s="152"/>
      <c r="C874" s="93"/>
      <c r="D874" s="93"/>
      <c r="E874" s="95"/>
      <c r="F874" s="95"/>
      <c r="G874" s="95"/>
      <c r="H874" s="93"/>
      <c r="I874" s="93"/>
      <c r="J874" s="93"/>
    </row>
    <row r="875" spans="1:10" s="65" customFormat="1" ht="14" x14ac:dyDescent="0.35">
      <c r="A875" s="145"/>
      <c r="B875" s="152"/>
      <c r="C875" s="93"/>
      <c r="D875" s="93"/>
      <c r="E875" s="95"/>
      <c r="F875" s="95"/>
      <c r="G875" s="95"/>
      <c r="H875" s="93"/>
      <c r="I875" s="93"/>
      <c r="J875" s="93"/>
    </row>
    <row r="876" spans="1:10" s="65" customFormat="1" ht="14" x14ac:dyDescent="0.35">
      <c r="A876" s="145"/>
      <c r="B876" s="152"/>
      <c r="C876" s="93"/>
      <c r="D876" s="93"/>
      <c r="E876" s="95"/>
      <c r="F876" s="95"/>
      <c r="G876" s="95"/>
      <c r="H876" s="93"/>
      <c r="I876" s="93"/>
      <c r="J876" s="93"/>
    </row>
    <row r="877" spans="1:10" s="65" customFormat="1" ht="14" x14ac:dyDescent="0.35">
      <c r="A877" s="145"/>
      <c r="B877" s="152"/>
      <c r="C877" s="93"/>
      <c r="D877" s="93"/>
      <c r="E877" s="95"/>
      <c r="F877" s="95"/>
      <c r="G877" s="95"/>
      <c r="H877" s="93"/>
      <c r="I877" s="93"/>
      <c r="J877" s="93"/>
    </row>
    <row r="878" spans="1:10" s="65" customFormat="1" ht="14" x14ac:dyDescent="0.35">
      <c r="A878" s="145"/>
      <c r="B878" s="152"/>
      <c r="C878" s="93"/>
      <c r="D878" s="93"/>
      <c r="E878" s="95"/>
      <c r="F878" s="95"/>
      <c r="G878" s="95"/>
      <c r="H878" s="93"/>
      <c r="I878" s="93"/>
      <c r="J878" s="93"/>
    </row>
    <row r="879" spans="1:10" s="65" customFormat="1" ht="14" x14ac:dyDescent="0.35">
      <c r="A879" s="145"/>
      <c r="B879" s="152"/>
      <c r="C879" s="93"/>
      <c r="D879" s="93"/>
      <c r="E879" s="95"/>
      <c r="F879" s="95"/>
      <c r="G879" s="95"/>
      <c r="H879" s="93"/>
      <c r="I879" s="93"/>
      <c r="J879" s="93"/>
    </row>
    <row r="880" spans="1:10" s="65" customFormat="1" ht="14" x14ac:dyDescent="0.35">
      <c r="A880" s="145"/>
      <c r="B880" s="152"/>
      <c r="C880" s="93"/>
      <c r="D880" s="93"/>
      <c r="E880" s="95"/>
      <c r="F880" s="95"/>
      <c r="G880" s="95"/>
      <c r="H880" s="93"/>
      <c r="I880" s="93"/>
      <c r="J880" s="93"/>
    </row>
    <row r="881" spans="1:10" s="65" customFormat="1" ht="14" x14ac:dyDescent="0.35">
      <c r="A881" s="145"/>
      <c r="B881" s="152"/>
      <c r="C881" s="93"/>
      <c r="D881" s="93"/>
      <c r="E881" s="95"/>
      <c r="F881" s="95"/>
      <c r="G881" s="95"/>
      <c r="H881" s="93"/>
      <c r="I881" s="93"/>
      <c r="J881" s="93"/>
    </row>
    <row r="882" spans="1:10" s="65" customFormat="1" ht="14" x14ac:dyDescent="0.35">
      <c r="A882" s="145"/>
      <c r="B882" s="152"/>
      <c r="C882" s="93"/>
      <c r="D882" s="93"/>
      <c r="E882" s="95"/>
      <c r="F882" s="95"/>
      <c r="G882" s="95"/>
      <c r="H882" s="93"/>
      <c r="I882" s="93"/>
      <c r="J882" s="93"/>
    </row>
    <row r="883" spans="1:10" s="65" customFormat="1" ht="14" x14ac:dyDescent="0.35">
      <c r="A883" s="145"/>
      <c r="B883" s="152"/>
      <c r="C883" s="93"/>
      <c r="D883" s="93"/>
      <c r="E883" s="95"/>
      <c r="F883" s="95"/>
      <c r="G883" s="95"/>
      <c r="H883" s="93"/>
      <c r="I883" s="93"/>
      <c r="J883" s="93"/>
    </row>
    <row r="884" spans="1:10" s="65" customFormat="1" ht="14" x14ac:dyDescent="0.35">
      <c r="A884" s="145"/>
      <c r="B884" s="152"/>
      <c r="C884" s="93"/>
      <c r="D884" s="93"/>
      <c r="E884" s="95"/>
      <c r="F884" s="95"/>
      <c r="G884" s="95"/>
      <c r="H884" s="93"/>
      <c r="I884" s="93"/>
      <c r="J884" s="93"/>
    </row>
    <row r="885" spans="1:10" s="65" customFormat="1" ht="14" x14ac:dyDescent="0.35">
      <c r="A885" s="145"/>
      <c r="B885" s="152"/>
      <c r="C885" s="93"/>
      <c r="D885" s="93"/>
      <c r="E885" s="95"/>
      <c r="F885" s="95"/>
      <c r="G885" s="95"/>
      <c r="H885" s="93"/>
      <c r="I885" s="93"/>
      <c r="J885" s="93"/>
    </row>
    <row r="886" spans="1:10" s="65" customFormat="1" ht="14" x14ac:dyDescent="0.35">
      <c r="A886" s="145"/>
      <c r="B886" s="152"/>
      <c r="C886" s="93"/>
      <c r="D886" s="93"/>
      <c r="E886" s="95"/>
      <c r="F886" s="95"/>
      <c r="G886" s="95"/>
      <c r="H886" s="93"/>
      <c r="I886" s="93"/>
      <c r="J886" s="93"/>
    </row>
    <row r="887" spans="1:10" s="65" customFormat="1" ht="14" x14ac:dyDescent="0.35">
      <c r="A887" s="145"/>
      <c r="B887" s="152"/>
      <c r="C887" s="93"/>
      <c r="D887" s="93"/>
      <c r="E887" s="95"/>
      <c r="F887" s="95"/>
      <c r="G887" s="95"/>
      <c r="H887" s="93"/>
      <c r="I887" s="93"/>
      <c r="J887" s="93"/>
    </row>
    <row r="888" spans="1:10" s="65" customFormat="1" ht="14" x14ac:dyDescent="0.35">
      <c r="A888" s="145"/>
      <c r="B888" s="152"/>
      <c r="C888" s="93"/>
      <c r="D888" s="93"/>
      <c r="E888" s="95"/>
      <c r="F888" s="95"/>
      <c r="G888" s="95"/>
      <c r="H888" s="93"/>
      <c r="I888" s="93"/>
      <c r="J888" s="93"/>
    </row>
    <row r="889" spans="1:10" s="65" customFormat="1" ht="14" x14ac:dyDescent="0.35">
      <c r="A889" s="145"/>
      <c r="B889" s="152"/>
      <c r="C889" s="93"/>
      <c r="D889" s="93"/>
      <c r="E889" s="95"/>
      <c r="F889" s="95"/>
      <c r="G889" s="95"/>
      <c r="H889" s="93"/>
      <c r="I889" s="93"/>
      <c r="J889" s="93"/>
    </row>
    <row r="890" spans="1:10" s="65" customFormat="1" ht="14" x14ac:dyDescent="0.35">
      <c r="A890" s="145"/>
      <c r="B890" s="152"/>
      <c r="C890" s="93"/>
      <c r="D890" s="93"/>
      <c r="E890" s="95"/>
      <c r="F890" s="95"/>
      <c r="G890" s="95"/>
      <c r="H890" s="93"/>
      <c r="I890" s="93"/>
      <c r="J890" s="93"/>
    </row>
    <row r="891" spans="1:10" s="65" customFormat="1" ht="14" x14ac:dyDescent="0.35">
      <c r="A891" s="145"/>
      <c r="B891" s="152"/>
      <c r="C891" s="93"/>
      <c r="D891" s="93"/>
      <c r="E891" s="95"/>
      <c r="F891" s="95"/>
      <c r="G891" s="95"/>
      <c r="H891" s="93"/>
      <c r="I891" s="93"/>
      <c r="J891" s="93"/>
    </row>
    <row r="892" spans="1:10" s="65" customFormat="1" ht="14" x14ac:dyDescent="0.35">
      <c r="A892" s="145"/>
      <c r="B892" s="152"/>
      <c r="C892" s="93"/>
      <c r="D892" s="93"/>
      <c r="E892" s="95"/>
      <c r="F892" s="95"/>
      <c r="G892" s="95"/>
      <c r="H892" s="93"/>
      <c r="I892" s="93"/>
      <c r="J892" s="93"/>
    </row>
    <row r="893" spans="1:10" s="65" customFormat="1" ht="14" x14ac:dyDescent="0.35">
      <c r="A893" s="145"/>
      <c r="B893" s="152"/>
      <c r="C893" s="93"/>
      <c r="D893" s="93"/>
      <c r="E893" s="95"/>
      <c r="F893" s="95"/>
      <c r="G893" s="95"/>
      <c r="H893" s="93"/>
      <c r="I893" s="93"/>
      <c r="J893" s="93"/>
    </row>
    <row r="894" spans="1:10" s="65" customFormat="1" ht="14" x14ac:dyDescent="0.35">
      <c r="A894" s="145"/>
      <c r="B894" s="152"/>
      <c r="C894" s="93"/>
      <c r="D894" s="93"/>
      <c r="E894" s="95"/>
      <c r="F894" s="95"/>
      <c r="G894" s="95"/>
      <c r="H894" s="93"/>
      <c r="I894" s="93"/>
      <c r="J894" s="93"/>
    </row>
    <row r="895" spans="1:10" s="65" customFormat="1" ht="14" x14ac:dyDescent="0.35">
      <c r="A895" s="145"/>
      <c r="B895" s="152"/>
      <c r="C895" s="93"/>
      <c r="D895" s="93"/>
      <c r="E895" s="95"/>
      <c r="F895" s="95"/>
      <c r="G895" s="95"/>
      <c r="H895" s="93"/>
      <c r="I895" s="93"/>
      <c r="J895" s="93"/>
    </row>
    <row r="896" spans="1:10" s="65" customFormat="1" ht="14" x14ac:dyDescent="0.35">
      <c r="A896" s="145"/>
      <c r="B896" s="152"/>
      <c r="C896" s="93"/>
      <c r="D896" s="93"/>
      <c r="E896" s="95"/>
      <c r="F896" s="95"/>
      <c r="G896" s="95"/>
      <c r="H896" s="93"/>
      <c r="I896" s="93"/>
      <c r="J896" s="93"/>
    </row>
    <row r="897" spans="1:10" s="65" customFormat="1" ht="14" x14ac:dyDescent="0.35">
      <c r="A897" s="145"/>
      <c r="B897" s="152"/>
      <c r="C897" s="93"/>
      <c r="D897" s="93"/>
      <c r="E897" s="95"/>
      <c r="F897" s="95"/>
      <c r="G897" s="95"/>
      <c r="H897" s="93"/>
      <c r="I897" s="93"/>
      <c r="J897" s="93"/>
    </row>
    <row r="898" spans="1:10" s="65" customFormat="1" ht="14" x14ac:dyDescent="0.35">
      <c r="A898" s="145"/>
      <c r="B898" s="152"/>
      <c r="C898" s="93"/>
      <c r="D898" s="93"/>
      <c r="E898" s="95"/>
      <c r="F898" s="95"/>
      <c r="G898" s="95"/>
      <c r="H898" s="93"/>
      <c r="I898" s="93"/>
      <c r="J898" s="93"/>
    </row>
    <row r="899" spans="1:10" s="65" customFormat="1" ht="14" x14ac:dyDescent="0.35">
      <c r="A899" s="145"/>
      <c r="B899" s="152"/>
      <c r="C899" s="93"/>
      <c r="D899" s="93"/>
      <c r="E899" s="95"/>
      <c r="F899" s="95"/>
      <c r="G899" s="95"/>
      <c r="H899" s="93"/>
      <c r="I899" s="93"/>
      <c r="J899" s="93"/>
    </row>
    <row r="900" spans="1:10" s="65" customFormat="1" ht="14" x14ac:dyDescent="0.35">
      <c r="A900" s="145"/>
      <c r="B900" s="152"/>
      <c r="C900" s="93"/>
      <c r="D900" s="93"/>
      <c r="E900" s="95"/>
      <c r="F900" s="95"/>
      <c r="G900" s="95"/>
      <c r="H900" s="93"/>
      <c r="I900" s="93"/>
      <c r="J900" s="93"/>
    </row>
    <row r="901" spans="1:10" s="65" customFormat="1" ht="14" x14ac:dyDescent="0.35">
      <c r="A901" s="145"/>
      <c r="B901" s="152"/>
      <c r="C901" s="93"/>
      <c r="D901" s="93"/>
      <c r="E901" s="95"/>
      <c r="F901" s="95"/>
      <c r="G901" s="95"/>
      <c r="H901" s="93"/>
      <c r="I901" s="93"/>
      <c r="J901" s="93"/>
    </row>
    <row r="902" spans="1:10" s="65" customFormat="1" ht="14" x14ac:dyDescent="0.35">
      <c r="A902" s="145"/>
      <c r="B902" s="152"/>
      <c r="C902" s="93"/>
      <c r="D902" s="93"/>
      <c r="E902" s="95"/>
      <c r="F902" s="95"/>
      <c r="G902" s="95"/>
      <c r="H902" s="93"/>
      <c r="I902" s="93"/>
      <c r="J902" s="93"/>
    </row>
    <row r="903" spans="1:10" s="65" customFormat="1" ht="14" x14ac:dyDescent="0.35">
      <c r="A903" s="145"/>
      <c r="B903" s="152"/>
      <c r="C903" s="93"/>
      <c r="D903" s="93"/>
      <c r="E903" s="95"/>
      <c r="F903" s="95"/>
      <c r="G903" s="95"/>
      <c r="H903" s="93"/>
      <c r="I903" s="93"/>
      <c r="J903" s="93"/>
    </row>
    <row r="904" spans="1:10" s="65" customFormat="1" ht="14" x14ac:dyDescent="0.35">
      <c r="A904" s="145"/>
      <c r="B904" s="152"/>
      <c r="C904" s="93"/>
      <c r="D904" s="93"/>
      <c r="E904" s="95"/>
      <c r="F904" s="95"/>
      <c r="G904" s="95"/>
      <c r="H904" s="93"/>
      <c r="I904" s="93"/>
      <c r="J904" s="93"/>
    </row>
    <row r="905" spans="1:10" s="65" customFormat="1" ht="14" x14ac:dyDescent="0.35">
      <c r="A905" s="145"/>
      <c r="B905" s="152"/>
      <c r="C905" s="93"/>
      <c r="D905" s="93"/>
      <c r="E905" s="95"/>
      <c r="F905" s="95"/>
      <c r="G905" s="95"/>
      <c r="H905" s="93"/>
      <c r="I905" s="93"/>
      <c r="J905" s="93"/>
    </row>
    <row r="906" spans="1:10" s="65" customFormat="1" ht="14" x14ac:dyDescent="0.35">
      <c r="A906" s="145"/>
      <c r="B906" s="152"/>
      <c r="C906" s="93"/>
      <c r="D906" s="93"/>
      <c r="E906" s="95"/>
      <c r="F906" s="95"/>
      <c r="G906" s="95"/>
      <c r="H906" s="93"/>
      <c r="I906" s="93"/>
      <c r="J906" s="93"/>
    </row>
    <row r="907" spans="1:10" s="65" customFormat="1" ht="14" x14ac:dyDescent="0.35">
      <c r="A907" s="145"/>
      <c r="B907" s="152"/>
      <c r="C907" s="93"/>
      <c r="D907" s="93"/>
      <c r="E907" s="95"/>
      <c r="F907" s="95"/>
      <c r="G907" s="95"/>
      <c r="H907" s="93"/>
      <c r="I907" s="93"/>
      <c r="J907" s="93"/>
    </row>
    <row r="908" spans="1:10" s="65" customFormat="1" ht="14" x14ac:dyDescent="0.35">
      <c r="A908" s="145"/>
      <c r="B908" s="152"/>
      <c r="C908" s="93"/>
      <c r="D908" s="93"/>
      <c r="E908" s="95"/>
      <c r="F908" s="95"/>
      <c r="G908" s="95"/>
      <c r="H908" s="93"/>
      <c r="I908" s="93"/>
      <c r="J908" s="93"/>
    </row>
    <row r="909" spans="1:10" s="65" customFormat="1" ht="14" x14ac:dyDescent="0.35">
      <c r="A909" s="145"/>
      <c r="B909" s="152"/>
      <c r="C909" s="93"/>
      <c r="D909" s="93"/>
      <c r="E909" s="95"/>
      <c r="F909" s="95"/>
      <c r="G909" s="95"/>
      <c r="H909" s="93"/>
      <c r="I909" s="93"/>
      <c r="J909" s="93"/>
    </row>
    <row r="910" spans="1:10" s="65" customFormat="1" ht="14" x14ac:dyDescent="0.35">
      <c r="A910" s="145"/>
      <c r="B910" s="152"/>
      <c r="C910" s="93"/>
      <c r="D910" s="93"/>
      <c r="E910" s="95"/>
      <c r="F910" s="95"/>
      <c r="G910" s="95"/>
      <c r="H910" s="93"/>
      <c r="I910" s="93"/>
      <c r="J910" s="93"/>
    </row>
    <row r="911" spans="1:10" s="65" customFormat="1" ht="14" x14ac:dyDescent="0.35">
      <c r="A911" s="145"/>
      <c r="B911" s="152"/>
      <c r="C911" s="93"/>
      <c r="D911" s="93"/>
      <c r="E911" s="95"/>
      <c r="F911" s="95"/>
      <c r="G911" s="95"/>
      <c r="H911" s="93"/>
      <c r="I911" s="93"/>
      <c r="J911" s="93"/>
    </row>
    <row r="912" spans="1:10" s="65" customFormat="1" ht="14" x14ac:dyDescent="0.35">
      <c r="A912" s="145"/>
      <c r="B912" s="152"/>
      <c r="C912" s="93"/>
      <c r="D912" s="93"/>
      <c r="E912" s="95"/>
      <c r="F912" s="95"/>
      <c r="G912" s="95"/>
      <c r="H912" s="93"/>
      <c r="I912" s="93"/>
      <c r="J912" s="93"/>
    </row>
    <row r="913" spans="1:10" s="65" customFormat="1" ht="14" x14ac:dyDescent="0.35">
      <c r="A913" s="145"/>
      <c r="B913" s="152"/>
      <c r="C913" s="93"/>
      <c r="D913" s="93"/>
      <c r="E913" s="95"/>
      <c r="F913" s="95"/>
      <c r="G913" s="95"/>
      <c r="H913" s="93"/>
      <c r="I913" s="93"/>
      <c r="J913" s="93"/>
    </row>
    <row r="914" spans="1:10" s="65" customFormat="1" ht="14" x14ac:dyDescent="0.35">
      <c r="A914" s="145"/>
      <c r="B914" s="152"/>
      <c r="C914" s="93"/>
      <c r="D914" s="93"/>
      <c r="E914" s="95"/>
      <c r="F914" s="95"/>
      <c r="G914" s="95"/>
      <c r="H914" s="93"/>
      <c r="I914" s="93"/>
      <c r="J914" s="93"/>
    </row>
    <row r="915" spans="1:10" s="65" customFormat="1" ht="14" x14ac:dyDescent="0.35">
      <c r="A915" s="145"/>
      <c r="B915" s="152"/>
      <c r="C915" s="93"/>
      <c r="D915" s="93"/>
      <c r="E915" s="95"/>
      <c r="F915" s="95"/>
      <c r="G915" s="95"/>
      <c r="H915" s="93"/>
      <c r="I915" s="93"/>
      <c r="J915" s="93"/>
    </row>
    <row r="916" spans="1:10" s="65" customFormat="1" ht="14" x14ac:dyDescent="0.35">
      <c r="A916" s="145"/>
      <c r="B916" s="152"/>
      <c r="C916" s="93"/>
      <c r="D916" s="93"/>
      <c r="E916" s="95"/>
      <c r="F916" s="95"/>
      <c r="G916" s="95"/>
      <c r="H916" s="93"/>
      <c r="I916" s="93"/>
      <c r="J916" s="93"/>
    </row>
    <row r="917" spans="1:10" s="65" customFormat="1" ht="14" x14ac:dyDescent="0.35">
      <c r="A917" s="145"/>
      <c r="B917" s="152"/>
      <c r="C917" s="93"/>
      <c r="D917" s="93"/>
      <c r="E917" s="95"/>
      <c r="F917" s="95"/>
      <c r="G917" s="95"/>
      <c r="H917" s="93"/>
      <c r="I917" s="93"/>
      <c r="J917" s="93"/>
    </row>
    <row r="918" spans="1:10" s="65" customFormat="1" ht="14" x14ac:dyDescent="0.35">
      <c r="A918" s="145"/>
      <c r="B918" s="152"/>
      <c r="C918" s="93"/>
      <c r="D918" s="93"/>
      <c r="E918" s="95"/>
      <c r="F918" s="95"/>
      <c r="G918" s="95"/>
      <c r="H918" s="93"/>
      <c r="I918" s="93"/>
      <c r="J918" s="93"/>
    </row>
    <row r="919" spans="1:10" s="65" customFormat="1" ht="14" x14ac:dyDescent="0.35">
      <c r="A919" s="145"/>
      <c r="B919" s="152"/>
      <c r="C919" s="93"/>
      <c r="D919" s="93"/>
      <c r="E919" s="95"/>
      <c r="F919" s="95"/>
      <c r="G919" s="95"/>
      <c r="H919" s="93"/>
      <c r="I919" s="93"/>
      <c r="J919" s="93"/>
    </row>
    <row r="920" spans="1:10" s="65" customFormat="1" ht="14" x14ac:dyDescent="0.35">
      <c r="A920" s="145"/>
      <c r="B920" s="152"/>
      <c r="C920" s="93"/>
      <c r="D920" s="93"/>
      <c r="E920" s="95"/>
      <c r="F920" s="95"/>
      <c r="G920" s="95"/>
      <c r="H920" s="93"/>
      <c r="I920" s="93"/>
      <c r="J920" s="93"/>
    </row>
    <row r="921" spans="1:10" s="65" customFormat="1" ht="14" x14ac:dyDescent="0.35">
      <c r="A921" s="145"/>
      <c r="B921" s="152"/>
      <c r="C921" s="93"/>
      <c r="D921" s="93"/>
      <c r="E921" s="95"/>
      <c r="F921" s="95"/>
      <c r="G921" s="95"/>
      <c r="H921" s="93"/>
      <c r="I921" s="93"/>
      <c r="J921" s="93"/>
    </row>
    <row r="922" spans="1:10" s="65" customFormat="1" ht="14" x14ac:dyDescent="0.35">
      <c r="A922" s="145"/>
      <c r="B922" s="152"/>
      <c r="C922" s="93"/>
      <c r="D922" s="93"/>
      <c r="E922" s="95"/>
      <c r="F922" s="95"/>
      <c r="G922" s="95"/>
      <c r="H922" s="93"/>
      <c r="I922" s="93"/>
      <c r="J922" s="93"/>
    </row>
    <row r="923" spans="1:10" s="65" customFormat="1" ht="14" x14ac:dyDescent="0.35">
      <c r="A923" s="145"/>
      <c r="B923" s="152"/>
      <c r="C923" s="93"/>
      <c r="D923" s="93"/>
      <c r="E923" s="95"/>
      <c r="F923" s="95"/>
      <c r="G923" s="95"/>
      <c r="H923" s="93"/>
      <c r="I923" s="93"/>
      <c r="J923" s="93"/>
    </row>
    <row r="924" spans="1:10" s="65" customFormat="1" ht="14" x14ac:dyDescent="0.35">
      <c r="A924" s="145"/>
      <c r="B924" s="152"/>
      <c r="C924" s="93"/>
      <c r="D924" s="93"/>
      <c r="E924" s="95"/>
      <c r="F924" s="95"/>
      <c r="G924" s="95"/>
      <c r="H924" s="93"/>
      <c r="I924" s="93"/>
      <c r="J924" s="93"/>
    </row>
    <row r="925" spans="1:10" s="65" customFormat="1" ht="14" x14ac:dyDescent="0.35">
      <c r="A925" s="145"/>
      <c r="B925" s="152"/>
      <c r="C925" s="93"/>
      <c r="D925" s="93"/>
      <c r="E925" s="95"/>
      <c r="F925" s="95"/>
      <c r="G925" s="95"/>
      <c r="H925" s="93"/>
      <c r="I925" s="93"/>
      <c r="J925" s="93"/>
    </row>
    <row r="926" spans="1:10" s="65" customFormat="1" ht="14" x14ac:dyDescent="0.35">
      <c r="A926" s="145"/>
      <c r="B926" s="152"/>
      <c r="C926" s="93"/>
      <c r="D926" s="93"/>
      <c r="E926" s="95"/>
      <c r="F926" s="95"/>
      <c r="G926" s="95"/>
      <c r="H926" s="93"/>
      <c r="I926" s="93"/>
      <c r="J926" s="93"/>
    </row>
    <row r="927" spans="1:10" s="65" customFormat="1" ht="14" x14ac:dyDescent="0.35">
      <c r="A927" s="145"/>
      <c r="B927" s="152"/>
      <c r="C927" s="93"/>
      <c r="D927" s="93"/>
      <c r="E927" s="95"/>
      <c r="F927" s="95"/>
      <c r="G927" s="95"/>
      <c r="H927" s="93"/>
      <c r="I927" s="93"/>
      <c r="J927" s="93"/>
    </row>
    <row r="928" spans="1:10" s="65" customFormat="1" ht="14" x14ac:dyDescent="0.35">
      <c r="A928" s="145"/>
      <c r="B928" s="152"/>
      <c r="C928" s="93"/>
      <c r="D928" s="93"/>
      <c r="E928" s="95"/>
      <c r="F928" s="95"/>
      <c r="G928" s="95"/>
      <c r="H928" s="93"/>
      <c r="I928" s="93"/>
      <c r="J928" s="93"/>
    </row>
    <row r="929" spans="1:10" s="65" customFormat="1" ht="14" x14ac:dyDescent="0.35">
      <c r="A929" s="145"/>
      <c r="B929" s="152"/>
      <c r="C929" s="93"/>
      <c r="D929" s="93"/>
      <c r="E929" s="95"/>
      <c r="F929" s="95"/>
      <c r="G929" s="95"/>
      <c r="H929" s="93"/>
      <c r="I929" s="93"/>
      <c r="J929" s="93"/>
    </row>
    <row r="930" spans="1:10" s="65" customFormat="1" ht="14" x14ac:dyDescent="0.35">
      <c r="A930" s="145"/>
      <c r="B930" s="152"/>
      <c r="C930" s="93"/>
      <c r="D930" s="93"/>
      <c r="E930" s="95"/>
      <c r="F930" s="95"/>
      <c r="G930" s="95"/>
      <c r="H930" s="93"/>
      <c r="I930" s="93"/>
      <c r="J930" s="93"/>
    </row>
    <row r="931" spans="1:10" s="65" customFormat="1" ht="14" x14ac:dyDescent="0.35">
      <c r="A931" s="145"/>
      <c r="B931" s="152"/>
      <c r="C931" s="93"/>
      <c r="D931" s="93"/>
      <c r="E931" s="95"/>
      <c r="F931" s="95"/>
      <c r="G931" s="95"/>
      <c r="H931" s="93"/>
      <c r="I931" s="93"/>
      <c r="J931" s="93"/>
    </row>
    <row r="932" spans="1:10" s="65" customFormat="1" ht="14" x14ac:dyDescent="0.35">
      <c r="A932" s="145"/>
      <c r="B932" s="152"/>
      <c r="C932" s="93"/>
      <c r="D932" s="93"/>
      <c r="E932" s="95"/>
      <c r="F932" s="95"/>
      <c r="G932" s="95"/>
      <c r="H932" s="93"/>
      <c r="I932" s="93"/>
      <c r="J932" s="93"/>
    </row>
    <row r="933" spans="1:10" s="65" customFormat="1" ht="14" x14ac:dyDescent="0.35">
      <c r="A933" s="145"/>
      <c r="B933" s="152"/>
      <c r="C933" s="93"/>
      <c r="D933" s="93"/>
      <c r="E933" s="95"/>
      <c r="F933" s="95"/>
      <c r="G933" s="95"/>
      <c r="H933" s="93"/>
      <c r="I933" s="93"/>
      <c r="J933" s="93"/>
    </row>
    <row r="934" spans="1:10" s="65" customFormat="1" ht="14" x14ac:dyDescent="0.35">
      <c r="A934" s="145"/>
      <c r="B934" s="152"/>
      <c r="C934" s="93"/>
      <c r="D934" s="93"/>
      <c r="E934" s="95"/>
      <c r="F934" s="95"/>
      <c r="G934" s="95"/>
      <c r="H934" s="93"/>
      <c r="I934" s="93"/>
      <c r="J934" s="93"/>
    </row>
    <row r="935" spans="1:10" s="65" customFormat="1" ht="14" x14ac:dyDescent="0.35">
      <c r="A935" s="145"/>
      <c r="B935" s="152"/>
      <c r="C935" s="93"/>
      <c r="D935" s="93"/>
      <c r="E935" s="95"/>
      <c r="F935" s="95"/>
      <c r="G935" s="95"/>
      <c r="H935" s="93"/>
      <c r="I935" s="93"/>
      <c r="J935" s="93"/>
    </row>
    <row r="936" spans="1:10" s="65" customFormat="1" ht="14" x14ac:dyDescent="0.35">
      <c r="A936" s="145"/>
      <c r="B936" s="152"/>
      <c r="C936" s="93"/>
      <c r="D936" s="93"/>
      <c r="E936" s="95"/>
      <c r="F936" s="95"/>
      <c r="G936" s="95"/>
      <c r="H936" s="93"/>
      <c r="I936" s="93"/>
      <c r="J936" s="93"/>
    </row>
    <row r="937" spans="1:10" s="65" customFormat="1" ht="14" x14ac:dyDescent="0.35">
      <c r="A937" s="145"/>
      <c r="B937" s="152"/>
      <c r="C937" s="93"/>
      <c r="D937" s="93"/>
      <c r="E937" s="95"/>
      <c r="F937" s="95"/>
      <c r="G937" s="95"/>
      <c r="H937" s="93"/>
      <c r="I937" s="93"/>
      <c r="J937" s="93"/>
    </row>
    <row r="938" spans="1:10" s="65" customFormat="1" ht="14" x14ac:dyDescent="0.35">
      <c r="A938" s="145"/>
      <c r="B938" s="152"/>
      <c r="C938" s="93"/>
      <c r="D938" s="93"/>
      <c r="E938" s="95"/>
      <c r="F938" s="95"/>
      <c r="G938" s="95"/>
      <c r="H938" s="93"/>
      <c r="I938" s="93"/>
      <c r="J938" s="93"/>
    </row>
    <row r="939" spans="1:10" s="65" customFormat="1" ht="14" x14ac:dyDescent="0.35">
      <c r="A939" s="145"/>
      <c r="B939" s="152"/>
      <c r="C939" s="93"/>
      <c r="D939" s="93"/>
      <c r="E939" s="95"/>
      <c r="F939" s="95"/>
      <c r="G939" s="95"/>
      <c r="H939" s="93"/>
      <c r="I939" s="93"/>
      <c r="J939" s="93"/>
    </row>
    <row r="940" spans="1:10" s="65" customFormat="1" ht="14" x14ac:dyDescent="0.35">
      <c r="A940" s="145"/>
      <c r="B940" s="152"/>
      <c r="C940" s="93"/>
      <c r="D940" s="93"/>
      <c r="E940" s="95"/>
      <c r="F940" s="95"/>
      <c r="G940" s="95"/>
      <c r="H940" s="93"/>
      <c r="I940" s="93"/>
      <c r="J940" s="93"/>
    </row>
    <row r="941" spans="1:10" s="65" customFormat="1" ht="14" x14ac:dyDescent="0.35">
      <c r="A941" s="145"/>
      <c r="B941" s="152"/>
      <c r="C941" s="93"/>
      <c r="D941" s="93"/>
      <c r="E941" s="95"/>
      <c r="F941" s="95"/>
      <c r="G941" s="95"/>
      <c r="H941" s="93"/>
      <c r="I941" s="93"/>
      <c r="J941" s="93"/>
    </row>
    <row r="942" spans="1:10" s="65" customFormat="1" ht="14" x14ac:dyDescent="0.35">
      <c r="A942" s="145"/>
      <c r="B942" s="152"/>
      <c r="C942" s="93"/>
      <c r="D942" s="93"/>
      <c r="E942" s="95"/>
      <c r="F942" s="95"/>
      <c r="G942" s="95"/>
      <c r="H942" s="93"/>
      <c r="I942" s="93"/>
      <c r="J942" s="93"/>
    </row>
    <row r="943" spans="1:10" s="65" customFormat="1" ht="14" x14ac:dyDescent="0.35">
      <c r="A943" s="145"/>
      <c r="B943" s="152"/>
      <c r="C943" s="93"/>
      <c r="D943" s="93"/>
      <c r="E943" s="95"/>
      <c r="F943" s="95"/>
      <c r="G943" s="95"/>
      <c r="H943" s="93"/>
      <c r="I943" s="93"/>
      <c r="J943" s="93"/>
    </row>
    <row r="944" spans="1:10" s="65" customFormat="1" ht="14" x14ac:dyDescent="0.35">
      <c r="A944" s="145"/>
      <c r="B944" s="152"/>
      <c r="C944" s="93"/>
      <c r="D944" s="93"/>
      <c r="E944" s="95"/>
      <c r="F944" s="95"/>
      <c r="G944" s="95"/>
      <c r="H944" s="93"/>
      <c r="I944" s="93"/>
      <c r="J944" s="93"/>
    </row>
    <row r="945" spans="1:10" s="65" customFormat="1" ht="14" x14ac:dyDescent="0.35">
      <c r="A945" s="145"/>
      <c r="B945" s="152"/>
      <c r="C945" s="93"/>
      <c r="D945" s="93"/>
      <c r="E945" s="95"/>
      <c r="F945" s="95"/>
      <c r="G945" s="95"/>
      <c r="H945" s="93"/>
      <c r="I945" s="93"/>
      <c r="J945" s="93"/>
    </row>
    <row r="946" spans="1:10" s="65" customFormat="1" ht="14" x14ac:dyDescent="0.35">
      <c r="A946" s="145"/>
      <c r="B946" s="152"/>
      <c r="C946" s="93"/>
      <c r="D946" s="93"/>
      <c r="E946" s="95"/>
      <c r="F946" s="95"/>
      <c r="G946" s="95"/>
      <c r="H946" s="93"/>
      <c r="I946" s="93"/>
      <c r="J946" s="93"/>
    </row>
    <row r="947" spans="1:10" s="65" customFormat="1" ht="14" x14ac:dyDescent="0.35">
      <c r="A947" s="145"/>
      <c r="B947" s="152"/>
      <c r="C947" s="93"/>
      <c r="D947" s="93"/>
      <c r="E947" s="95"/>
      <c r="F947" s="95"/>
      <c r="G947" s="95"/>
      <c r="H947" s="93"/>
      <c r="I947" s="93"/>
      <c r="J947" s="93"/>
    </row>
    <row r="948" spans="1:10" s="65" customFormat="1" ht="14" x14ac:dyDescent="0.35">
      <c r="A948" s="145"/>
      <c r="B948" s="152"/>
      <c r="C948" s="93"/>
      <c r="D948" s="93"/>
      <c r="E948" s="95"/>
      <c r="F948" s="95"/>
      <c r="G948" s="95"/>
      <c r="H948" s="93"/>
      <c r="I948" s="93"/>
      <c r="J948" s="93"/>
    </row>
    <row r="949" spans="1:10" s="65" customFormat="1" ht="14" x14ac:dyDescent="0.35">
      <c r="A949" s="145"/>
      <c r="B949" s="152"/>
      <c r="C949" s="93"/>
      <c r="D949" s="93"/>
      <c r="E949" s="95"/>
      <c r="F949" s="95"/>
      <c r="G949" s="95"/>
      <c r="H949" s="93"/>
      <c r="I949" s="93"/>
      <c r="J949" s="93"/>
    </row>
    <row r="950" spans="1:10" s="65" customFormat="1" ht="14" x14ac:dyDescent="0.35">
      <c r="A950" s="145"/>
      <c r="B950" s="152"/>
      <c r="C950" s="93"/>
      <c r="D950" s="93"/>
      <c r="E950" s="95"/>
      <c r="F950" s="95"/>
      <c r="G950" s="95"/>
      <c r="H950" s="93"/>
      <c r="I950" s="93"/>
      <c r="J950" s="93"/>
    </row>
    <row r="951" spans="1:10" s="65" customFormat="1" ht="14" x14ac:dyDescent="0.35">
      <c r="A951" s="145"/>
      <c r="B951" s="152"/>
      <c r="C951" s="93"/>
      <c r="D951" s="93"/>
      <c r="E951" s="95"/>
      <c r="F951" s="95"/>
      <c r="G951" s="95"/>
      <c r="H951" s="93"/>
      <c r="I951" s="93"/>
      <c r="J951" s="93"/>
    </row>
    <row r="952" spans="1:10" s="65" customFormat="1" ht="14" x14ac:dyDescent="0.35">
      <c r="A952" s="145"/>
      <c r="B952" s="152"/>
      <c r="C952" s="93"/>
      <c r="D952" s="93"/>
      <c r="E952" s="95"/>
      <c r="F952" s="95"/>
      <c r="G952" s="95"/>
      <c r="H952" s="93"/>
      <c r="I952" s="93"/>
      <c r="J952" s="93"/>
    </row>
    <row r="953" spans="1:10" s="65" customFormat="1" ht="14" x14ac:dyDescent="0.35">
      <c r="A953" s="145"/>
      <c r="B953" s="152"/>
      <c r="C953" s="93"/>
      <c r="D953" s="93"/>
      <c r="E953" s="95"/>
      <c r="F953" s="95"/>
      <c r="G953" s="95"/>
      <c r="H953" s="93"/>
      <c r="I953" s="93"/>
      <c r="J953" s="93"/>
    </row>
    <row r="954" spans="1:10" s="65" customFormat="1" ht="14" x14ac:dyDescent="0.35">
      <c r="A954" s="145"/>
      <c r="B954" s="152"/>
      <c r="C954" s="93"/>
      <c r="D954" s="93"/>
      <c r="E954" s="95"/>
      <c r="F954" s="95"/>
      <c r="G954" s="95"/>
      <c r="H954" s="93"/>
      <c r="I954" s="93"/>
      <c r="J954" s="93"/>
    </row>
    <row r="955" spans="1:10" s="65" customFormat="1" ht="14" x14ac:dyDescent="0.35">
      <c r="A955" s="145"/>
      <c r="B955" s="152"/>
      <c r="C955" s="93"/>
      <c r="D955" s="93"/>
      <c r="E955" s="95"/>
      <c r="F955" s="95"/>
      <c r="G955" s="95"/>
      <c r="H955" s="93"/>
      <c r="I955" s="93"/>
      <c r="J955" s="93"/>
    </row>
    <row r="956" spans="1:10" s="65" customFormat="1" ht="14" x14ac:dyDescent="0.35">
      <c r="A956" s="145"/>
      <c r="B956" s="152"/>
      <c r="C956" s="93"/>
      <c r="D956" s="93"/>
      <c r="E956" s="95"/>
      <c r="F956" s="95"/>
      <c r="G956" s="95"/>
      <c r="H956" s="93"/>
      <c r="I956" s="93"/>
      <c r="J956" s="93"/>
    </row>
    <row r="957" spans="1:10" s="65" customFormat="1" ht="14" x14ac:dyDescent="0.35">
      <c r="A957" s="145"/>
      <c r="B957" s="152"/>
      <c r="C957" s="93"/>
      <c r="D957" s="93"/>
      <c r="E957" s="95"/>
      <c r="F957" s="95"/>
      <c r="G957" s="95"/>
      <c r="H957" s="93"/>
      <c r="I957" s="93"/>
      <c r="J957" s="93"/>
    </row>
    <row r="958" spans="1:10" s="65" customFormat="1" ht="14" x14ac:dyDescent="0.35">
      <c r="A958" s="145"/>
      <c r="B958" s="152"/>
      <c r="C958" s="93"/>
      <c r="D958" s="93"/>
      <c r="E958" s="95"/>
      <c r="F958" s="95"/>
      <c r="G958" s="95"/>
      <c r="H958" s="93"/>
      <c r="I958" s="93"/>
      <c r="J958" s="93"/>
    </row>
    <row r="959" spans="1:10" s="65" customFormat="1" ht="14" x14ac:dyDescent="0.35">
      <c r="A959" s="145"/>
      <c r="B959" s="152"/>
      <c r="C959" s="93"/>
      <c r="D959" s="93"/>
      <c r="E959" s="95"/>
      <c r="F959" s="95"/>
      <c r="G959" s="95"/>
      <c r="H959" s="93"/>
      <c r="I959" s="93"/>
      <c r="J959" s="93"/>
    </row>
    <row r="960" spans="1:10" s="65" customFormat="1" ht="14" x14ac:dyDescent="0.35">
      <c r="A960" s="145"/>
      <c r="B960" s="152"/>
      <c r="C960" s="93"/>
      <c r="D960" s="93"/>
      <c r="E960" s="95"/>
      <c r="F960" s="95"/>
      <c r="G960" s="95"/>
      <c r="H960" s="93"/>
      <c r="I960" s="93"/>
      <c r="J960" s="93"/>
    </row>
    <row r="961" spans="1:10" s="65" customFormat="1" ht="14" x14ac:dyDescent="0.35">
      <c r="A961" s="145"/>
      <c r="B961" s="152"/>
      <c r="C961" s="93"/>
      <c r="D961" s="93"/>
      <c r="E961" s="95"/>
      <c r="F961" s="95"/>
      <c r="G961" s="95"/>
      <c r="H961" s="93"/>
      <c r="I961" s="93"/>
      <c r="J961" s="93"/>
    </row>
    <row r="962" spans="1:10" s="65" customFormat="1" ht="14" x14ac:dyDescent="0.35">
      <c r="A962" s="145"/>
      <c r="B962" s="152"/>
      <c r="C962" s="93"/>
      <c r="D962" s="93"/>
      <c r="E962" s="95"/>
      <c r="F962" s="95"/>
      <c r="G962" s="95"/>
      <c r="H962" s="93"/>
      <c r="I962" s="93"/>
      <c r="J962" s="93"/>
    </row>
    <row r="963" spans="1:10" s="65" customFormat="1" ht="14" x14ac:dyDescent="0.35">
      <c r="A963" s="145"/>
      <c r="B963" s="152"/>
      <c r="C963" s="93"/>
      <c r="D963" s="93"/>
      <c r="E963" s="95"/>
      <c r="F963" s="95"/>
      <c r="G963" s="95"/>
      <c r="H963" s="93"/>
      <c r="I963" s="93"/>
      <c r="J963" s="93"/>
    </row>
    <row r="964" spans="1:10" s="65" customFormat="1" ht="14" x14ac:dyDescent="0.35">
      <c r="A964" s="145"/>
      <c r="B964" s="152"/>
      <c r="C964" s="93"/>
      <c r="D964" s="93"/>
      <c r="E964" s="95"/>
      <c r="F964" s="95"/>
      <c r="G964" s="95"/>
      <c r="H964" s="93"/>
      <c r="I964" s="93"/>
      <c r="J964" s="93"/>
    </row>
    <row r="965" spans="1:10" s="65" customFormat="1" ht="14" x14ac:dyDescent="0.35">
      <c r="A965" s="145"/>
      <c r="B965" s="152"/>
      <c r="C965" s="93"/>
      <c r="D965" s="93"/>
      <c r="E965" s="95"/>
      <c r="F965" s="95"/>
      <c r="G965" s="95"/>
      <c r="H965" s="93"/>
      <c r="I965" s="93"/>
      <c r="J965" s="93"/>
    </row>
    <row r="966" spans="1:10" s="65" customFormat="1" ht="14" x14ac:dyDescent="0.35">
      <c r="A966" s="145"/>
      <c r="B966" s="152"/>
      <c r="C966" s="93"/>
      <c r="D966" s="93"/>
      <c r="E966" s="95"/>
      <c r="F966" s="95"/>
      <c r="G966" s="95"/>
      <c r="H966" s="93"/>
      <c r="I966" s="93"/>
      <c r="J966" s="93"/>
    </row>
    <row r="967" spans="1:10" s="65" customFormat="1" ht="14" x14ac:dyDescent="0.35">
      <c r="A967" s="145"/>
      <c r="B967" s="152"/>
      <c r="C967" s="93"/>
      <c r="D967" s="93"/>
      <c r="E967" s="95"/>
      <c r="F967" s="95"/>
      <c r="G967" s="95"/>
      <c r="H967" s="93"/>
      <c r="I967" s="93"/>
      <c r="J967" s="93"/>
    </row>
    <row r="968" spans="1:10" s="65" customFormat="1" ht="14" x14ac:dyDescent="0.35">
      <c r="A968" s="145"/>
      <c r="B968" s="152"/>
      <c r="C968" s="93"/>
      <c r="D968" s="93"/>
      <c r="E968" s="95"/>
      <c r="F968" s="95"/>
      <c r="G968" s="95"/>
      <c r="H968" s="93"/>
      <c r="I968" s="93"/>
      <c r="J968" s="93"/>
    </row>
    <row r="969" spans="1:10" s="65" customFormat="1" ht="14" x14ac:dyDescent="0.35">
      <c r="A969" s="145"/>
      <c r="B969" s="152"/>
      <c r="C969" s="93"/>
      <c r="D969" s="93"/>
      <c r="E969" s="95"/>
      <c r="F969" s="95"/>
      <c r="G969" s="95"/>
      <c r="H969" s="93"/>
      <c r="I969" s="93"/>
      <c r="J969" s="93"/>
    </row>
    <row r="970" spans="1:10" s="65" customFormat="1" ht="14" x14ac:dyDescent="0.35">
      <c r="A970" s="145"/>
      <c r="B970" s="152"/>
      <c r="C970" s="93"/>
      <c r="D970" s="93"/>
      <c r="E970" s="95"/>
      <c r="F970" s="95"/>
      <c r="G970" s="95"/>
      <c r="H970" s="93"/>
      <c r="I970" s="93"/>
      <c r="J970" s="93"/>
    </row>
    <row r="971" spans="1:10" s="65" customFormat="1" ht="14" x14ac:dyDescent="0.35">
      <c r="A971" s="145"/>
      <c r="B971" s="152"/>
      <c r="C971" s="93"/>
      <c r="D971" s="93"/>
      <c r="E971" s="95"/>
      <c r="F971" s="95"/>
      <c r="G971" s="95"/>
      <c r="H971" s="93"/>
      <c r="I971" s="93"/>
      <c r="J971" s="93"/>
    </row>
    <row r="972" spans="1:10" s="65" customFormat="1" ht="14" x14ac:dyDescent="0.35">
      <c r="A972" s="145"/>
      <c r="B972" s="152"/>
      <c r="C972" s="93"/>
      <c r="D972" s="93"/>
      <c r="E972" s="95"/>
      <c r="F972" s="95"/>
      <c r="G972" s="95"/>
      <c r="H972" s="93"/>
      <c r="I972" s="93"/>
      <c r="J972" s="93"/>
    </row>
    <row r="973" spans="1:10" s="65" customFormat="1" ht="14" x14ac:dyDescent="0.35">
      <c r="A973" s="145"/>
      <c r="B973" s="152"/>
      <c r="C973" s="93"/>
      <c r="D973" s="93"/>
      <c r="E973" s="95"/>
      <c r="F973" s="95"/>
      <c r="G973" s="95"/>
      <c r="H973" s="93"/>
      <c r="I973" s="93"/>
      <c r="J973" s="93"/>
    </row>
    <row r="974" spans="1:10" s="65" customFormat="1" ht="14" x14ac:dyDescent="0.35">
      <c r="A974" s="145"/>
      <c r="B974" s="152"/>
      <c r="C974" s="93"/>
      <c r="D974" s="93"/>
      <c r="E974" s="95"/>
      <c r="F974" s="95"/>
      <c r="G974" s="95"/>
      <c r="H974" s="93"/>
      <c r="I974" s="93"/>
      <c r="J974" s="93"/>
    </row>
    <row r="975" spans="1:10" s="65" customFormat="1" ht="14" x14ac:dyDescent="0.35">
      <c r="A975" s="145"/>
      <c r="B975" s="152"/>
      <c r="C975" s="93"/>
      <c r="D975" s="93"/>
      <c r="E975" s="95"/>
      <c r="F975" s="95"/>
      <c r="G975" s="95"/>
      <c r="H975" s="93"/>
      <c r="I975" s="93"/>
      <c r="J975" s="93"/>
    </row>
    <row r="976" spans="1:10" s="65" customFormat="1" ht="14" x14ac:dyDescent="0.35">
      <c r="A976" s="145"/>
      <c r="B976" s="152"/>
      <c r="C976" s="93"/>
      <c r="D976" s="93"/>
      <c r="E976" s="95"/>
      <c r="F976" s="95"/>
      <c r="G976" s="95"/>
      <c r="H976" s="93"/>
      <c r="I976" s="93"/>
      <c r="J976" s="93"/>
    </row>
    <row r="977" spans="1:10" s="65" customFormat="1" ht="14" x14ac:dyDescent="0.35">
      <c r="A977" s="145"/>
      <c r="B977" s="152"/>
      <c r="C977" s="93"/>
      <c r="D977" s="93"/>
      <c r="E977" s="95"/>
      <c r="F977" s="95"/>
      <c r="G977" s="95"/>
      <c r="H977" s="93"/>
      <c r="I977" s="93"/>
      <c r="J977" s="93"/>
    </row>
    <row r="978" spans="1:10" s="65" customFormat="1" ht="14" x14ac:dyDescent="0.35">
      <c r="A978" s="145"/>
      <c r="B978" s="152"/>
      <c r="C978" s="93"/>
      <c r="D978" s="93"/>
      <c r="E978" s="95"/>
      <c r="F978" s="95"/>
      <c r="G978" s="95"/>
      <c r="H978" s="93"/>
      <c r="I978" s="93"/>
      <c r="J978" s="93"/>
    </row>
    <row r="979" spans="1:10" s="65" customFormat="1" ht="14" x14ac:dyDescent="0.35">
      <c r="A979" s="145"/>
      <c r="B979" s="152"/>
      <c r="C979" s="93"/>
      <c r="D979" s="93"/>
      <c r="E979" s="95"/>
      <c r="F979" s="95"/>
      <c r="G979" s="95"/>
      <c r="H979" s="93"/>
      <c r="I979" s="93"/>
      <c r="J979" s="93"/>
    </row>
    <row r="980" spans="1:10" s="65" customFormat="1" ht="14" x14ac:dyDescent="0.35">
      <c r="A980" s="145"/>
      <c r="B980" s="152"/>
      <c r="C980" s="93"/>
      <c r="D980" s="93"/>
      <c r="E980" s="95"/>
      <c r="F980" s="95"/>
      <c r="G980" s="95"/>
      <c r="H980" s="93"/>
      <c r="I980" s="93"/>
      <c r="J980" s="93"/>
    </row>
    <row r="981" spans="1:10" s="65" customFormat="1" ht="14" x14ac:dyDescent="0.35">
      <c r="A981" s="145"/>
      <c r="B981" s="152"/>
      <c r="C981" s="93"/>
      <c r="D981" s="93"/>
      <c r="E981" s="95"/>
      <c r="F981" s="95"/>
      <c r="G981" s="95"/>
      <c r="H981" s="93"/>
      <c r="I981" s="93"/>
      <c r="J981" s="93"/>
    </row>
    <row r="982" spans="1:10" s="65" customFormat="1" ht="14" x14ac:dyDescent="0.35">
      <c r="A982" s="145"/>
      <c r="B982" s="152"/>
      <c r="C982" s="93"/>
      <c r="D982" s="93"/>
      <c r="E982" s="95"/>
      <c r="F982" s="95"/>
      <c r="G982" s="95"/>
      <c r="H982" s="93"/>
      <c r="I982" s="93"/>
      <c r="J982" s="93"/>
    </row>
    <row r="983" spans="1:10" s="65" customFormat="1" ht="14" x14ac:dyDescent="0.35">
      <c r="A983" s="145"/>
      <c r="B983" s="152"/>
      <c r="C983" s="93"/>
      <c r="D983" s="93"/>
      <c r="E983" s="95"/>
      <c r="F983" s="95"/>
      <c r="G983" s="95"/>
      <c r="H983" s="93"/>
      <c r="I983" s="93"/>
      <c r="J983" s="93"/>
    </row>
    <row r="984" spans="1:10" s="65" customFormat="1" ht="14" x14ac:dyDescent="0.35">
      <c r="A984" s="145"/>
      <c r="B984" s="152"/>
      <c r="C984" s="93"/>
      <c r="D984" s="93"/>
      <c r="E984" s="95"/>
      <c r="F984" s="95"/>
      <c r="G984" s="95"/>
      <c r="H984" s="93"/>
      <c r="I984" s="93"/>
      <c r="J984" s="93"/>
    </row>
    <row r="985" spans="1:10" s="65" customFormat="1" ht="14" x14ac:dyDescent="0.35">
      <c r="A985" s="145"/>
      <c r="B985" s="152"/>
      <c r="C985" s="93"/>
      <c r="D985" s="93"/>
      <c r="E985" s="95"/>
      <c r="F985" s="95"/>
      <c r="G985" s="95"/>
      <c r="H985" s="93"/>
      <c r="I985" s="93"/>
      <c r="J985" s="93"/>
    </row>
    <row r="986" spans="1:10" s="65" customFormat="1" ht="14" x14ac:dyDescent="0.35">
      <c r="A986" s="145"/>
      <c r="B986" s="152"/>
      <c r="C986" s="93"/>
      <c r="D986" s="93"/>
      <c r="E986" s="95"/>
      <c r="F986" s="95"/>
      <c r="G986" s="95"/>
      <c r="H986" s="93"/>
      <c r="I986" s="93"/>
      <c r="J986" s="93"/>
    </row>
    <row r="987" spans="1:10" s="65" customFormat="1" ht="14" x14ac:dyDescent="0.35">
      <c r="A987" s="145"/>
      <c r="B987" s="152"/>
      <c r="C987" s="93"/>
      <c r="D987" s="93"/>
      <c r="E987" s="95"/>
      <c r="F987" s="95"/>
      <c r="G987" s="95"/>
      <c r="H987" s="93"/>
      <c r="I987" s="93"/>
      <c r="J987" s="93"/>
    </row>
    <row r="988" spans="1:10" s="65" customFormat="1" ht="14" x14ac:dyDescent="0.35">
      <c r="A988" s="145"/>
      <c r="B988" s="152"/>
      <c r="C988" s="93"/>
      <c r="D988" s="93"/>
      <c r="E988" s="95"/>
      <c r="F988" s="95"/>
      <c r="G988" s="95"/>
      <c r="H988" s="93"/>
      <c r="I988" s="93"/>
      <c r="J988" s="93"/>
    </row>
    <row r="989" spans="1:10" s="65" customFormat="1" ht="14" x14ac:dyDescent="0.35">
      <c r="A989" s="145"/>
      <c r="B989" s="152"/>
      <c r="C989" s="93"/>
      <c r="D989" s="93"/>
      <c r="E989" s="95"/>
      <c r="F989" s="95"/>
      <c r="G989" s="95"/>
      <c r="H989" s="93"/>
      <c r="I989" s="93"/>
      <c r="J989" s="93"/>
    </row>
    <row r="990" spans="1:10" s="65" customFormat="1" ht="14" x14ac:dyDescent="0.35">
      <c r="A990" s="145"/>
      <c r="B990" s="152"/>
      <c r="C990" s="93"/>
      <c r="D990" s="93"/>
      <c r="E990" s="95"/>
      <c r="F990" s="95"/>
      <c r="G990" s="95"/>
      <c r="H990" s="93"/>
      <c r="I990" s="93"/>
      <c r="J990" s="93"/>
    </row>
    <row r="991" spans="1:10" s="65" customFormat="1" ht="14" x14ac:dyDescent="0.35">
      <c r="A991" s="145"/>
      <c r="B991" s="152"/>
      <c r="C991" s="93"/>
      <c r="D991" s="93"/>
      <c r="E991" s="95"/>
      <c r="F991" s="95"/>
      <c r="G991" s="95"/>
      <c r="H991" s="93"/>
      <c r="I991" s="93"/>
      <c r="J991" s="93"/>
    </row>
    <row r="992" spans="1:10" s="65" customFormat="1" ht="14" x14ac:dyDescent="0.35">
      <c r="A992" s="145"/>
      <c r="B992" s="152"/>
      <c r="C992" s="93"/>
      <c r="D992" s="93"/>
      <c r="E992" s="95"/>
      <c r="F992" s="95"/>
      <c r="G992" s="95"/>
      <c r="H992" s="93"/>
      <c r="I992" s="93"/>
      <c r="J992" s="93"/>
    </row>
    <row r="993" spans="1:10" s="65" customFormat="1" ht="14" x14ac:dyDescent="0.35">
      <c r="A993" s="145"/>
      <c r="B993" s="152"/>
      <c r="C993" s="93"/>
      <c r="D993" s="93"/>
      <c r="E993" s="95"/>
      <c r="F993" s="95"/>
      <c r="G993" s="95"/>
      <c r="H993" s="93"/>
      <c r="I993" s="93"/>
      <c r="J993" s="93"/>
    </row>
    <row r="994" spans="1:10" s="65" customFormat="1" ht="14" x14ac:dyDescent="0.35">
      <c r="A994" s="145"/>
      <c r="B994" s="152"/>
      <c r="C994" s="93"/>
      <c r="D994" s="93"/>
      <c r="E994" s="95"/>
      <c r="F994" s="95"/>
      <c r="G994" s="95"/>
      <c r="H994" s="93"/>
      <c r="I994" s="93"/>
      <c r="J994" s="93"/>
    </row>
    <row r="995" spans="1:10" s="65" customFormat="1" ht="14" x14ac:dyDescent="0.35">
      <c r="A995" s="145"/>
      <c r="B995" s="152"/>
      <c r="C995" s="93"/>
      <c r="D995" s="93"/>
      <c r="E995" s="95"/>
      <c r="F995" s="95"/>
      <c r="G995" s="95"/>
      <c r="H995" s="93"/>
      <c r="I995" s="93"/>
      <c r="J995" s="93"/>
    </row>
    <row r="996" spans="1:10" s="65" customFormat="1" ht="14" x14ac:dyDescent="0.35">
      <c r="A996" s="145"/>
      <c r="B996" s="152"/>
      <c r="C996" s="93"/>
      <c r="D996" s="93"/>
      <c r="E996" s="95"/>
      <c r="F996" s="95"/>
      <c r="G996" s="95"/>
      <c r="H996" s="93"/>
      <c r="I996" s="93"/>
      <c r="J996" s="93"/>
    </row>
    <row r="997" spans="1:10" s="65" customFormat="1" ht="14" x14ac:dyDescent="0.35">
      <c r="A997" s="145"/>
      <c r="B997" s="152"/>
      <c r="C997" s="93"/>
      <c r="D997" s="93"/>
      <c r="E997" s="95"/>
      <c r="F997" s="95"/>
      <c r="G997" s="95"/>
      <c r="H997" s="93"/>
      <c r="I997" s="93"/>
      <c r="J997" s="93"/>
    </row>
    <row r="998" spans="1:10" s="65" customFormat="1" ht="14" x14ac:dyDescent="0.35">
      <c r="A998" s="145"/>
      <c r="B998" s="152"/>
      <c r="C998" s="93"/>
      <c r="D998" s="93"/>
      <c r="E998" s="95"/>
      <c r="F998" s="95"/>
      <c r="G998" s="95"/>
      <c r="H998" s="93"/>
      <c r="I998" s="93"/>
      <c r="J998" s="93"/>
    </row>
    <row r="999" spans="1:10" s="65" customFormat="1" ht="14" x14ac:dyDescent="0.35">
      <c r="A999" s="145"/>
      <c r="B999" s="152"/>
      <c r="C999" s="93"/>
      <c r="D999" s="93"/>
      <c r="E999" s="95"/>
      <c r="F999" s="95"/>
      <c r="G999" s="95"/>
      <c r="H999" s="93"/>
      <c r="I999" s="93"/>
      <c r="J999" s="93"/>
    </row>
    <row r="1000" spans="1:10" s="65" customFormat="1" ht="14" x14ac:dyDescent="0.35">
      <c r="A1000" s="145"/>
      <c r="B1000" s="152"/>
      <c r="C1000" s="93"/>
      <c r="D1000" s="93"/>
      <c r="E1000" s="95"/>
      <c r="F1000" s="95"/>
      <c r="G1000" s="95"/>
      <c r="H1000" s="93"/>
      <c r="I1000" s="93"/>
      <c r="J1000" s="93"/>
    </row>
    <row r="1001" spans="1:10" s="65" customFormat="1" ht="14" x14ac:dyDescent="0.35">
      <c r="A1001" s="145"/>
      <c r="B1001" s="152"/>
      <c r="C1001" s="93"/>
      <c r="D1001" s="93"/>
      <c r="E1001" s="95"/>
      <c r="F1001" s="95"/>
      <c r="G1001" s="95"/>
      <c r="H1001" s="93"/>
      <c r="I1001" s="93"/>
      <c r="J1001" s="93"/>
    </row>
    <row r="1002" spans="1:10" s="65" customFormat="1" ht="14" x14ac:dyDescent="0.35">
      <c r="A1002" s="145"/>
      <c r="B1002" s="152"/>
      <c r="C1002" s="93"/>
      <c r="D1002" s="93"/>
      <c r="E1002" s="95"/>
      <c r="F1002" s="95"/>
      <c r="G1002" s="95"/>
      <c r="H1002" s="93"/>
      <c r="I1002" s="93"/>
      <c r="J1002" s="93"/>
    </row>
    <row r="1003" spans="1:10" s="65" customFormat="1" ht="14" x14ac:dyDescent="0.35">
      <c r="A1003" s="145"/>
      <c r="B1003" s="152"/>
      <c r="C1003" s="93"/>
      <c r="D1003" s="93"/>
      <c r="E1003" s="95"/>
      <c r="F1003" s="95"/>
      <c r="G1003" s="95"/>
      <c r="H1003" s="93"/>
      <c r="I1003" s="93"/>
      <c r="J1003" s="93"/>
    </row>
    <row r="1004" spans="1:10" s="65" customFormat="1" ht="14" x14ac:dyDescent="0.35">
      <c r="A1004" s="145"/>
      <c r="B1004" s="152"/>
      <c r="C1004" s="93"/>
      <c r="D1004" s="93"/>
      <c r="E1004" s="95"/>
      <c r="F1004" s="95"/>
      <c r="G1004" s="95"/>
      <c r="H1004" s="93"/>
      <c r="I1004" s="93"/>
      <c r="J1004" s="93"/>
    </row>
    <row r="1005" spans="1:10" s="65" customFormat="1" ht="14" x14ac:dyDescent="0.35">
      <c r="A1005" s="145"/>
      <c r="B1005" s="152"/>
      <c r="C1005" s="93"/>
      <c r="D1005" s="93"/>
      <c r="E1005" s="95"/>
      <c r="F1005" s="95"/>
      <c r="G1005" s="95"/>
      <c r="H1005" s="93"/>
      <c r="I1005" s="93"/>
      <c r="J1005" s="93"/>
    </row>
    <row r="1006" spans="1:10" s="65" customFormat="1" ht="14" x14ac:dyDescent="0.35">
      <c r="A1006" s="145"/>
      <c r="B1006" s="152"/>
      <c r="C1006" s="93"/>
      <c r="D1006" s="93"/>
      <c r="E1006" s="95"/>
      <c r="F1006" s="95"/>
      <c r="G1006" s="95"/>
      <c r="H1006" s="93"/>
      <c r="I1006" s="93"/>
      <c r="J1006" s="93"/>
    </row>
    <row r="1007" spans="1:10" s="65" customFormat="1" ht="14" x14ac:dyDescent="0.35">
      <c r="A1007" s="145"/>
      <c r="B1007" s="152"/>
      <c r="C1007" s="93"/>
      <c r="D1007" s="93"/>
      <c r="E1007" s="95"/>
      <c r="F1007" s="95"/>
      <c r="G1007" s="95"/>
      <c r="H1007" s="93"/>
      <c r="I1007" s="93"/>
      <c r="J1007" s="93"/>
    </row>
    <row r="1008" spans="1:10" s="65" customFormat="1" ht="14" x14ac:dyDescent="0.35">
      <c r="A1008" s="145"/>
      <c r="B1008" s="152"/>
      <c r="C1008" s="93"/>
      <c r="D1008" s="93"/>
      <c r="E1008" s="95"/>
      <c r="F1008" s="95"/>
      <c r="G1008" s="95"/>
      <c r="H1008" s="93"/>
      <c r="I1008" s="93"/>
      <c r="J1008" s="93"/>
    </row>
    <row r="1009" spans="1:10" s="65" customFormat="1" ht="14" x14ac:dyDescent="0.35">
      <c r="A1009" s="145"/>
      <c r="B1009" s="152"/>
      <c r="C1009" s="93"/>
      <c r="D1009" s="93"/>
      <c r="E1009" s="95"/>
      <c r="F1009" s="95"/>
      <c r="G1009" s="95"/>
      <c r="H1009" s="93"/>
      <c r="I1009" s="93"/>
      <c r="J1009" s="93"/>
    </row>
    <row r="1010" spans="1:10" s="65" customFormat="1" ht="14" x14ac:dyDescent="0.35">
      <c r="A1010" s="145"/>
      <c r="B1010" s="152"/>
      <c r="C1010" s="93"/>
      <c r="D1010" s="93"/>
      <c r="E1010" s="95"/>
      <c r="F1010" s="95"/>
      <c r="G1010" s="95"/>
      <c r="H1010" s="93"/>
      <c r="I1010" s="93"/>
      <c r="J1010" s="93"/>
    </row>
    <row r="1011" spans="1:10" s="65" customFormat="1" ht="14" x14ac:dyDescent="0.35">
      <c r="A1011" s="145"/>
      <c r="B1011" s="152"/>
      <c r="C1011" s="93"/>
      <c r="D1011" s="93"/>
      <c r="E1011" s="95"/>
      <c r="F1011" s="95"/>
      <c r="G1011" s="95"/>
      <c r="H1011" s="93"/>
      <c r="I1011" s="93"/>
      <c r="J1011" s="93"/>
    </row>
    <row r="1012" spans="1:10" s="65" customFormat="1" ht="14" x14ac:dyDescent="0.35">
      <c r="A1012" s="145"/>
      <c r="B1012" s="152"/>
      <c r="C1012" s="93"/>
      <c r="D1012" s="93"/>
      <c r="E1012" s="95"/>
      <c r="F1012" s="95"/>
      <c r="G1012" s="95"/>
      <c r="H1012" s="93"/>
      <c r="I1012" s="93"/>
      <c r="J1012" s="93"/>
    </row>
    <row r="1013" spans="1:10" s="65" customFormat="1" ht="14" x14ac:dyDescent="0.35">
      <c r="A1013" s="145"/>
      <c r="B1013" s="152"/>
      <c r="C1013" s="93"/>
      <c r="D1013" s="93"/>
      <c r="E1013" s="95"/>
      <c r="F1013" s="95"/>
      <c r="G1013" s="95"/>
      <c r="H1013" s="93"/>
      <c r="I1013" s="93"/>
      <c r="J1013" s="93"/>
    </row>
    <row r="1014" spans="1:10" s="65" customFormat="1" ht="14" x14ac:dyDescent="0.35">
      <c r="A1014" s="145"/>
      <c r="B1014" s="152"/>
      <c r="C1014" s="93"/>
      <c r="D1014" s="93"/>
      <c r="E1014" s="95"/>
      <c r="F1014" s="95"/>
      <c r="G1014" s="95"/>
      <c r="H1014" s="93"/>
      <c r="I1014" s="93"/>
      <c r="J1014" s="93"/>
    </row>
    <row r="1015" spans="1:10" s="65" customFormat="1" ht="14" x14ac:dyDescent="0.35">
      <c r="A1015" s="145"/>
      <c r="B1015" s="152"/>
      <c r="C1015" s="93"/>
      <c r="D1015" s="93"/>
      <c r="E1015" s="95"/>
      <c r="F1015" s="95"/>
      <c r="G1015" s="95"/>
      <c r="H1015" s="93"/>
      <c r="I1015" s="93"/>
      <c r="J1015" s="93"/>
    </row>
    <row r="1016" spans="1:10" s="65" customFormat="1" ht="14" x14ac:dyDescent="0.35">
      <c r="A1016" s="145"/>
      <c r="B1016" s="152"/>
      <c r="C1016" s="93"/>
      <c r="D1016" s="93"/>
      <c r="E1016" s="95"/>
      <c r="F1016" s="95"/>
      <c r="G1016" s="95"/>
      <c r="H1016" s="93"/>
      <c r="I1016" s="93"/>
      <c r="J1016" s="93"/>
    </row>
    <row r="1017" spans="1:10" s="65" customFormat="1" ht="14" x14ac:dyDescent="0.35">
      <c r="A1017" s="145"/>
      <c r="B1017" s="152"/>
      <c r="C1017" s="93"/>
      <c r="D1017" s="93"/>
      <c r="E1017" s="95"/>
      <c r="F1017" s="95"/>
      <c r="G1017" s="95"/>
      <c r="H1017" s="93"/>
      <c r="I1017" s="93"/>
      <c r="J1017" s="93"/>
    </row>
    <row r="1018" spans="1:10" s="65" customFormat="1" ht="14" x14ac:dyDescent="0.35">
      <c r="A1018" s="145"/>
      <c r="B1018" s="152"/>
      <c r="C1018" s="93"/>
      <c r="D1018" s="93"/>
      <c r="E1018" s="95"/>
      <c r="F1018" s="95"/>
      <c r="G1018" s="95"/>
      <c r="H1018" s="93"/>
      <c r="I1018" s="93"/>
      <c r="J1018" s="93"/>
    </row>
    <row r="1019" spans="1:10" s="65" customFormat="1" ht="14" x14ac:dyDescent="0.35">
      <c r="A1019" s="145"/>
      <c r="B1019" s="152"/>
      <c r="C1019" s="93"/>
      <c r="D1019" s="93"/>
      <c r="E1019" s="95"/>
      <c r="F1019" s="95"/>
      <c r="G1019" s="95"/>
      <c r="H1019" s="93"/>
      <c r="I1019" s="93"/>
      <c r="J1019" s="93"/>
    </row>
    <row r="1020" spans="1:10" s="65" customFormat="1" ht="14" x14ac:dyDescent="0.35">
      <c r="A1020" s="145"/>
      <c r="B1020" s="152"/>
      <c r="C1020" s="93"/>
      <c r="D1020" s="93"/>
      <c r="E1020" s="95"/>
      <c r="F1020" s="95"/>
      <c r="G1020" s="95"/>
      <c r="H1020" s="93"/>
      <c r="I1020" s="93"/>
      <c r="J1020" s="93"/>
    </row>
    <row r="1021" spans="1:10" s="65" customFormat="1" ht="14" x14ac:dyDescent="0.35">
      <c r="A1021" s="145"/>
      <c r="B1021" s="152"/>
      <c r="C1021" s="93"/>
      <c r="D1021" s="93"/>
      <c r="E1021" s="95"/>
      <c r="F1021" s="95"/>
      <c r="G1021" s="95"/>
      <c r="H1021" s="93"/>
      <c r="I1021" s="93"/>
      <c r="J1021" s="93"/>
    </row>
    <row r="1022" spans="1:10" s="65" customFormat="1" ht="14" x14ac:dyDescent="0.35">
      <c r="A1022" s="145"/>
      <c r="B1022" s="152"/>
      <c r="C1022" s="93"/>
      <c r="D1022" s="93"/>
      <c r="E1022" s="95"/>
      <c r="F1022" s="95"/>
      <c r="G1022" s="95"/>
      <c r="H1022" s="93"/>
      <c r="I1022" s="93"/>
      <c r="J1022" s="93"/>
    </row>
    <row r="1023" spans="1:10" s="65" customFormat="1" ht="14" x14ac:dyDescent="0.35">
      <c r="A1023" s="145"/>
      <c r="B1023" s="152"/>
      <c r="C1023" s="93"/>
      <c r="D1023" s="93"/>
      <c r="E1023" s="95"/>
      <c r="F1023" s="95"/>
      <c r="G1023" s="95"/>
      <c r="H1023" s="93"/>
      <c r="I1023" s="93"/>
      <c r="J1023" s="93"/>
    </row>
    <row r="1024" spans="1:10" s="65" customFormat="1" ht="14" x14ac:dyDescent="0.35">
      <c r="A1024" s="145"/>
      <c r="B1024" s="152"/>
      <c r="C1024" s="93"/>
      <c r="D1024" s="93"/>
      <c r="E1024" s="95"/>
      <c r="F1024" s="95"/>
      <c r="G1024" s="95"/>
      <c r="H1024" s="93"/>
      <c r="I1024" s="93"/>
      <c r="J1024" s="93"/>
    </row>
    <row r="1025" spans="1:10" s="65" customFormat="1" ht="14" x14ac:dyDescent="0.35">
      <c r="A1025" s="145"/>
      <c r="B1025" s="152"/>
      <c r="C1025" s="93"/>
      <c r="D1025" s="93"/>
      <c r="E1025" s="95"/>
      <c r="F1025" s="95"/>
      <c r="G1025" s="95"/>
      <c r="H1025" s="93"/>
      <c r="I1025" s="93"/>
      <c r="J1025" s="93"/>
    </row>
    <row r="1026" spans="1:10" s="65" customFormat="1" ht="14" x14ac:dyDescent="0.35">
      <c r="A1026" s="145"/>
      <c r="B1026" s="152"/>
      <c r="C1026" s="93"/>
      <c r="D1026" s="93"/>
      <c r="E1026" s="95"/>
      <c r="F1026" s="95"/>
      <c r="G1026" s="95"/>
      <c r="H1026" s="93"/>
      <c r="I1026" s="93"/>
      <c r="J1026" s="93"/>
    </row>
    <row r="1027" spans="1:10" s="65" customFormat="1" ht="14" x14ac:dyDescent="0.35">
      <c r="A1027" s="145"/>
      <c r="B1027" s="152"/>
      <c r="C1027" s="93"/>
      <c r="D1027" s="93"/>
      <c r="E1027" s="95"/>
      <c r="F1027" s="95"/>
      <c r="G1027" s="95"/>
      <c r="H1027" s="93"/>
      <c r="I1027" s="93"/>
      <c r="J1027" s="93"/>
    </row>
    <row r="1028" spans="1:10" s="65" customFormat="1" ht="14" x14ac:dyDescent="0.35">
      <c r="A1028" s="145"/>
      <c r="B1028" s="152"/>
      <c r="C1028" s="93"/>
      <c r="D1028" s="93"/>
      <c r="E1028" s="95"/>
      <c r="F1028" s="95"/>
      <c r="G1028" s="95"/>
      <c r="H1028" s="93"/>
      <c r="I1028" s="93"/>
      <c r="J1028" s="93"/>
    </row>
    <row r="1029" spans="1:10" s="65" customFormat="1" ht="14" x14ac:dyDescent="0.35">
      <c r="A1029" s="145"/>
      <c r="B1029" s="152"/>
      <c r="C1029" s="93"/>
      <c r="D1029" s="93"/>
      <c r="E1029" s="95"/>
      <c r="F1029" s="95"/>
      <c r="G1029" s="95"/>
      <c r="H1029" s="93"/>
      <c r="I1029" s="93"/>
      <c r="J1029" s="93"/>
    </row>
    <row r="1030" spans="1:10" s="65" customFormat="1" ht="14" x14ac:dyDescent="0.35">
      <c r="A1030" s="145"/>
      <c r="B1030" s="152"/>
      <c r="C1030" s="93"/>
      <c r="D1030" s="93"/>
      <c r="E1030" s="95"/>
      <c r="F1030" s="95"/>
      <c r="G1030" s="95"/>
      <c r="H1030" s="93"/>
      <c r="I1030" s="93"/>
      <c r="J1030" s="93"/>
    </row>
    <row r="1031" spans="1:10" s="65" customFormat="1" ht="14" x14ac:dyDescent="0.35">
      <c r="A1031" s="145"/>
      <c r="B1031" s="152"/>
      <c r="C1031" s="93"/>
      <c r="D1031" s="93"/>
      <c r="E1031" s="95"/>
      <c r="F1031" s="95"/>
      <c r="G1031" s="95"/>
      <c r="H1031" s="93"/>
      <c r="I1031" s="93"/>
      <c r="J1031" s="93"/>
    </row>
    <row r="1032" spans="1:10" s="65" customFormat="1" ht="14" x14ac:dyDescent="0.35">
      <c r="A1032" s="145"/>
      <c r="B1032" s="152"/>
      <c r="C1032" s="93"/>
      <c r="D1032" s="93"/>
      <c r="E1032" s="95"/>
      <c r="F1032" s="95"/>
      <c r="G1032" s="95"/>
      <c r="H1032" s="93"/>
      <c r="I1032" s="93"/>
      <c r="J1032" s="93"/>
    </row>
    <row r="1033" spans="1:10" s="65" customFormat="1" ht="14" x14ac:dyDescent="0.35">
      <c r="A1033" s="145"/>
      <c r="B1033" s="152"/>
      <c r="C1033" s="93"/>
      <c r="D1033" s="93"/>
      <c r="E1033" s="95"/>
      <c r="F1033" s="95"/>
      <c r="G1033" s="95"/>
      <c r="H1033" s="93"/>
      <c r="I1033" s="93"/>
      <c r="J1033" s="93"/>
    </row>
    <row r="1034" spans="1:10" s="65" customFormat="1" ht="14" x14ac:dyDescent="0.35">
      <c r="A1034" s="145"/>
      <c r="B1034" s="152"/>
      <c r="C1034" s="93"/>
      <c r="D1034" s="93"/>
      <c r="E1034" s="95"/>
      <c r="F1034" s="95"/>
      <c r="G1034" s="95"/>
      <c r="H1034" s="93"/>
      <c r="I1034" s="93"/>
      <c r="J1034" s="93"/>
    </row>
    <row r="1035" spans="1:10" s="65" customFormat="1" ht="14" x14ac:dyDescent="0.35">
      <c r="A1035" s="145"/>
      <c r="B1035" s="152"/>
      <c r="C1035" s="93"/>
      <c r="D1035" s="93"/>
      <c r="E1035" s="95"/>
      <c r="F1035" s="95"/>
      <c r="G1035" s="95"/>
      <c r="H1035" s="93"/>
      <c r="I1035" s="93"/>
      <c r="J1035" s="93"/>
    </row>
    <row r="1036" spans="1:10" s="65" customFormat="1" ht="14" x14ac:dyDescent="0.35">
      <c r="A1036" s="145"/>
      <c r="B1036" s="152"/>
      <c r="C1036" s="93"/>
      <c r="D1036" s="93"/>
      <c r="E1036" s="95"/>
      <c r="F1036" s="95"/>
      <c r="G1036" s="95"/>
      <c r="H1036" s="93"/>
      <c r="I1036" s="93"/>
      <c r="J1036" s="93"/>
    </row>
    <row r="1037" spans="1:10" s="65" customFormat="1" ht="14" x14ac:dyDescent="0.35">
      <c r="A1037" s="145"/>
      <c r="B1037" s="152"/>
      <c r="C1037" s="93"/>
      <c r="D1037" s="93"/>
      <c r="E1037" s="95"/>
      <c r="F1037" s="95"/>
      <c r="G1037" s="95"/>
      <c r="H1037" s="93"/>
      <c r="I1037" s="93"/>
      <c r="J1037" s="93"/>
    </row>
    <row r="1038" spans="1:10" s="65" customFormat="1" ht="14" x14ac:dyDescent="0.35">
      <c r="A1038" s="145"/>
      <c r="B1038" s="152"/>
      <c r="C1038" s="93"/>
      <c r="D1038" s="93"/>
      <c r="E1038" s="95"/>
      <c r="F1038" s="95"/>
      <c r="G1038" s="95"/>
      <c r="H1038" s="93"/>
      <c r="I1038" s="93"/>
      <c r="J1038" s="93"/>
    </row>
    <row r="1039" spans="1:10" s="65" customFormat="1" ht="14" x14ac:dyDescent="0.35">
      <c r="A1039" s="145"/>
      <c r="B1039" s="152"/>
      <c r="C1039" s="93"/>
      <c r="D1039" s="93"/>
      <c r="E1039" s="95"/>
      <c r="F1039" s="95"/>
      <c r="G1039" s="95"/>
      <c r="H1039" s="93"/>
      <c r="I1039" s="93"/>
      <c r="J1039" s="93"/>
    </row>
    <row r="1040" spans="1:10" s="65" customFormat="1" ht="14" x14ac:dyDescent="0.35">
      <c r="A1040" s="145"/>
      <c r="B1040" s="152"/>
      <c r="C1040" s="93"/>
      <c r="D1040" s="93"/>
      <c r="E1040" s="95"/>
      <c r="F1040" s="95"/>
      <c r="G1040" s="95"/>
      <c r="H1040" s="93"/>
      <c r="I1040" s="93"/>
      <c r="J1040" s="93"/>
    </row>
    <row r="1041" spans="1:10" s="65" customFormat="1" ht="14" x14ac:dyDescent="0.35">
      <c r="A1041" s="145"/>
      <c r="B1041" s="152"/>
      <c r="C1041" s="93"/>
      <c r="D1041" s="93"/>
      <c r="E1041" s="95"/>
      <c r="F1041" s="95"/>
      <c r="G1041" s="95"/>
      <c r="H1041" s="93"/>
      <c r="I1041" s="93"/>
      <c r="J1041" s="93"/>
    </row>
    <row r="1042" spans="1:10" s="65" customFormat="1" ht="14" x14ac:dyDescent="0.35">
      <c r="A1042" s="145"/>
      <c r="B1042" s="152"/>
      <c r="C1042" s="93"/>
      <c r="D1042" s="93"/>
      <c r="E1042" s="95"/>
      <c r="F1042" s="95"/>
      <c r="G1042" s="95"/>
      <c r="H1042" s="93"/>
      <c r="I1042" s="93"/>
      <c r="J1042" s="93"/>
    </row>
    <row r="1043" spans="1:10" s="65" customFormat="1" ht="14" x14ac:dyDescent="0.35">
      <c r="A1043" s="145"/>
      <c r="B1043" s="152"/>
      <c r="C1043" s="93"/>
      <c r="D1043" s="93"/>
      <c r="E1043" s="95"/>
      <c r="F1043" s="95"/>
      <c r="G1043" s="95"/>
      <c r="H1043" s="93"/>
      <c r="I1043" s="93"/>
      <c r="J1043" s="93"/>
    </row>
    <row r="1044" spans="1:10" s="65" customFormat="1" ht="14" x14ac:dyDescent="0.35">
      <c r="A1044" s="145"/>
      <c r="B1044" s="152"/>
      <c r="C1044" s="93"/>
      <c r="D1044" s="93"/>
      <c r="E1044" s="95"/>
      <c r="F1044" s="95"/>
      <c r="G1044" s="95"/>
      <c r="H1044" s="93"/>
      <c r="I1044" s="93"/>
      <c r="J1044" s="93"/>
    </row>
    <row r="1045" spans="1:10" s="65" customFormat="1" ht="14" x14ac:dyDescent="0.35">
      <c r="A1045" s="145"/>
      <c r="B1045" s="152"/>
      <c r="C1045" s="93"/>
      <c r="D1045" s="93"/>
      <c r="E1045" s="95"/>
      <c r="F1045" s="95"/>
      <c r="G1045" s="95"/>
      <c r="H1045" s="93"/>
      <c r="I1045" s="93"/>
      <c r="J1045" s="93"/>
    </row>
    <row r="1046" spans="1:10" s="65" customFormat="1" ht="14" x14ac:dyDescent="0.35">
      <c r="A1046" s="145"/>
      <c r="B1046" s="152"/>
      <c r="C1046" s="93"/>
      <c r="D1046" s="93"/>
      <c r="E1046" s="95"/>
      <c r="F1046" s="95"/>
      <c r="G1046" s="95"/>
      <c r="H1046" s="93"/>
      <c r="I1046" s="93"/>
      <c r="J1046" s="93"/>
    </row>
    <row r="1047" spans="1:10" s="65" customFormat="1" ht="14" x14ac:dyDescent="0.35">
      <c r="A1047" s="145"/>
      <c r="B1047" s="152"/>
      <c r="C1047" s="93"/>
      <c r="D1047" s="93"/>
      <c r="E1047" s="95"/>
      <c r="F1047" s="95"/>
      <c r="G1047" s="95"/>
      <c r="H1047" s="93"/>
      <c r="I1047" s="93"/>
      <c r="J1047" s="93"/>
    </row>
    <row r="1048" spans="1:10" s="65" customFormat="1" ht="14" x14ac:dyDescent="0.35">
      <c r="A1048" s="145"/>
      <c r="B1048" s="152"/>
      <c r="C1048" s="93"/>
      <c r="D1048" s="93"/>
      <c r="E1048" s="95"/>
      <c r="F1048" s="95"/>
      <c r="G1048" s="95"/>
      <c r="H1048" s="93"/>
      <c r="I1048" s="93"/>
      <c r="J1048" s="93"/>
    </row>
    <row r="1049" spans="1:10" s="65" customFormat="1" ht="14" x14ac:dyDescent="0.35">
      <c r="A1049" s="145"/>
      <c r="B1049" s="152"/>
      <c r="C1049" s="93"/>
      <c r="D1049" s="93"/>
      <c r="E1049" s="95"/>
      <c r="F1049" s="95"/>
      <c r="G1049" s="95"/>
      <c r="H1049" s="93"/>
      <c r="I1049" s="93"/>
      <c r="J1049" s="93"/>
    </row>
    <row r="1050" spans="1:10" s="65" customFormat="1" ht="14" x14ac:dyDescent="0.35">
      <c r="A1050" s="145"/>
      <c r="B1050" s="152"/>
      <c r="C1050" s="93"/>
      <c r="D1050" s="93"/>
      <c r="E1050" s="95"/>
      <c r="F1050" s="95"/>
      <c r="G1050" s="95"/>
      <c r="H1050" s="93"/>
      <c r="I1050" s="93"/>
      <c r="J1050" s="93"/>
    </row>
    <row r="1051" spans="1:10" s="65" customFormat="1" ht="14" x14ac:dyDescent="0.35">
      <c r="A1051" s="145"/>
      <c r="B1051" s="152"/>
      <c r="C1051" s="93"/>
      <c r="D1051" s="93"/>
      <c r="E1051" s="95"/>
      <c r="F1051" s="95"/>
      <c r="G1051" s="95"/>
      <c r="H1051" s="93"/>
      <c r="I1051" s="93"/>
      <c r="J1051" s="93"/>
    </row>
    <row r="1052" spans="1:10" s="65" customFormat="1" ht="14" x14ac:dyDescent="0.35">
      <c r="A1052" s="145"/>
      <c r="B1052" s="152"/>
      <c r="C1052" s="93"/>
      <c r="D1052" s="93"/>
      <c r="E1052" s="95"/>
      <c r="F1052" s="95"/>
      <c r="G1052" s="95"/>
      <c r="H1052" s="93"/>
      <c r="I1052" s="93"/>
      <c r="J1052" s="93"/>
    </row>
    <row r="1053" spans="1:10" s="65" customFormat="1" ht="14" x14ac:dyDescent="0.35">
      <c r="A1053" s="145"/>
      <c r="B1053" s="152"/>
      <c r="C1053" s="93"/>
      <c r="D1053" s="93"/>
      <c r="E1053" s="95"/>
      <c r="F1053" s="95"/>
      <c r="G1053" s="95"/>
      <c r="H1053" s="93"/>
      <c r="I1053" s="93"/>
      <c r="J1053" s="93"/>
    </row>
    <row r="1054" spans="1:10" s="65" customFormat="1" ht="14" x14ac:dyDescent="0.35">
      <c r="A1054" s="145"/>
      <c r="B1054" s="152"/>
      <c r="C1054" s="93"/>
      <c r="D1054" s="93"/>
      <c r="E1054" s="95"/>
      <c r="F1054" s="95"/>
      <c r="G1054" s="95"/>
      <c r="H1054" s="93"/>
      <c r="I1054" s="93"/>
      <c r="J1054" s="93"/>
    </row>
    <row r="1055" spans="1:10" s="65" customFormat="1" ht="14" x14ac:dyDescent="0.35">
      <c r="A1055" s="145"/>
      <c r="B1055" s="152"/>
      <c r="C1055" s="93"/>
      <c r="D1055" s="93"/>
      <c r="E1055" s="95"/>
      <c r="F1055" s="95"/>
      <c r="G1055" s="95"/>
      <c r="H1055" s="93"/>
      <c r="I1055" s="93"/>
      <c r="J1055" s="93"/>
    </row>
    <row r="1056" spans="1:10" s="65" customFormat="1" ht="14" x14ac:dyDescent="0.35">
      <c r="A1056" s="145"/>
      <c r="B1056" s="152"/>
      <c r="C1056" s="93"/>
      <c r="D1056" s="93"/>
      <c r="E1056" s="95"/>
      <c r="F1056" s="95"/>
      <c r="G1056" s="95"/>
      <c r="H1056" s="93"/>
      <c r="I1056" s="93"/>
      <c r="J1056" s="93"/>
    </row>
    <row r="1057" spans="1:10" s="65" customFormat="1" ht="14" x14ac:dyDescent="0.35">
      <c r="A1057" s="145"/>
      <c r="B1057" s="152"/>
      <c r="C1057" s="93"/>
      <c r="D1057" s="93"/>
      <c r="E1057" s="95"/>
      <c r="F1057" s="95"/>
      <c r="G1057" s="95"/>
      <c r="H1057" s="93"/>
      <c r="I1057" s="93"/>
      <c r="J1057" s="93"/>
    </row>
    <row r="1058" spans="1:10" s="65" customFormat="1" ht="14" x14ac:dyDescent="0.35">
      <c r="A1058" s="145"/>
      <c r="B1058" s="152"/>
      <c r="C1058" s="93"/>
      <c r="D1058" s="93"/>
      <c r="E1058" s="95"/>
      <c r="F1058" s="95"/>
      <c r="G1058" s="95"/>
      <c r="H1058" s="93"/>
      <c r="I1058" s="93"/>
      <c r="J1058" s="93"/>
    </row>
    <row r="1059" spans="1:10" s="65" customFormat="1" ht="14" x14ac:dyDescent="0.35">
      <c r="A1059" s="145"/>
      <c r="B1059" s="152"/>
      <c r="C1059" s="93"/>
      <c r="D1059" s="93"/>
      <c r="E1059" s="95"/>
      <c r="F1059" s="95"/>
      <c r="G1059" s="95"/>
      <c r="H1059" s="93"/>
      <c r="I1059" s="93"/>
      <c r="J1059" s="93"/>
    </row>
    <row r="1060" spans="1:10" s="65" customFormat="1" ht="14" x14ac:dyDescent="0.35">
      <c r="A1060" s="145"/>
      <c r="B1060" s="152"/>
      <c r="C1060" s="93"/>
      <c r="D1060" s="93"/>
      <c r="E1060" s="95"/>
      <c r="F1060" s="95"/>
      <c r="G1060" s="95"/>
      <c r="H1060" s="93"/>
      <c r="I1060" s="93"/>
      <c r="J1060" s="93"/>
    </row>
    <row r="1061" spans="1:10" s="65" customFormat="1" ht="14" x14ac:dyDescent="0.35">
      <c r="A1061" s="145"/>
      <c r="B1061" s="152"/>
      <c r="C1061" s="93"/>
      <c r="D1061" s="93"/>
      <c r="E1061" s="95"/>
      <c r="F1061" s="95"/>
      <c r="G1061" s="95"/>
      <c r="H1061" s="93"/>
      <c r="I1061" s="93"/>
      <c r="J1061" s="93"/>
    </row>
    <row r="1062" spans="1:10" s="65" customFormat="1" ht="14" x14ac:dyDescent="0.35">
      <c r="A1062" s="145"/>
      <c r="B1062" s="152"/>
      <c r="C1062" s="93"/>
      <c r="D1062" s="93"/>
      <c r="E1062" s="95"/>
      <c r="F1062" s="95"/>
      <c r="G1062" s="95"/>
      <c r="H1062" s="93"/>
      <c r="I1062" s="93"/>
      <c r="J1062" s="93"/>
    </row>
    <row r="1063" spans="1:10" s="65" customFormat="1" ht="14" x14ac:dyDescent="0.35">
      <c r="A1063" s="145"/>
      <c r="B1063" s="152"/>
      <c r="C1063" s="93"/>
      <c r="D1063" s="93"/>
      <c r="E1063" s="95"/>
      <c r="F1063" s="95"/>
      <c r="G1063" s="95"/>
      <c r="H1063" s="93"/>
      <c r="I1063" s="93"/>
      <c r="J1063" s="93"/>
    </row>
    <row r="1064" spans="1:10" s="65" customFormat="1" ht="14" x14ac:dyDescent="0.35">
      <c r="A1064" s="145"/>
      <c r="B1064" s="152"/>
      <c r="C1064" s="93"/>
      <c r="D1064" s="93"/>
      <c r="E1064" s="95"/>
      <c r="F1064" s="95"/>
      <c r="G1064" s="95"/>
      <c r="H1064" s="93"/>
      <c r="I1064" s="93"/>
      <c r="J1064" s="93"/>
    </row>
    <row r="1065" spans="1:10" s="65" customFormat="1" ht="14" x14ac:dyDescent="0.35">
      <c r="A1065" s="145"/>
      <c r="B1065" s="152"/>
      <c r="C1065" s="93"/>
      <c r="D1065" s="93"/>
      <c r="E1065" s="95"/>
      <c r="F1065" s="95"/>
      <c r="G1065" s="95"/>
      <c r="H1065" s="93"/>
      <c r="I1065" s="93"/>
      <c r="J1065" s="93"/>
    </row>
    <row r="1066" spans="1:10" s="65" customFormat="1" ht="14" x14ac:dyDescent="0.35">
      <c r="A1066" s="145"/>
      <c r="B1066" s="152"/>
      <c r="C1066" s="93"/>
      <c r="D1066" s="93"/>
      <c r="E1066" s="95"/>
      <c r="F1066" s="95"/>
      <c r="G1066" s="95"/>
      <c r="H1066" s="93"/>
      <c r="I1066" s="93"/>
      <c r="J1066" s="93"/>
    </row>
    <row r="1067" spans="1:10" s="65" customFormat="1" ht="14" x14ac:dyDescent="0.35">
      <c r="A1067" s="145"/>
      <c r="B1067" s="152"/>
      <c r="C1067" s="93"/>
      <c r="D1067" s="93"/>
      <c r="E1067" s="95"/>
      <c r="F1067" s="95"/>
      <c r="G1067" s="95"/>
      <c r="H1067" s="93"/>
      <c r="I1067" s="93"/>
      <c r="J1067" s="93"/>
    </row>
    <row r="1068" spans="1:10" s="65" customFormat="1" ht="14" x14ac:dyDescent="0.35">
      <c r="A1068" s="145"/>
      <c r="B1068" s="152"/>
      <c r="C1068" s="93"/>
      <c r="D1068" s="93"/>
      <c r="E1068" s="95"/>
      <c r="F1068" s="95"/>
      <c r="G1068" s="95"/>
      <c r="H1068" s="93"/>
      <c r="I1068" s="93"/>
      <c r="J1068" s="93"/>
    </row>
    <row r="1069" spans="1:10" s="65" customFormat="1" ht="14" x14ac:dyDescent="0.35">
      <c r="A1069" s="145"/>
      <c r="B1069" s="152"/>
      <c r="C1069" s="93"/>
      <c r="D1069" s="93"/>
      <c r="E1069" s="95"/>
      <c r="F1069" s="95"/>
      <c r="G1069" s="95"/>
      <c r="H1069" s="93"/>
      <c r="I1069" s="93"/>
      <c r="J1069" s="93"/>
    </row>
    <row r="1070" spans="1:10" s="65" customFormat="1" ht="14" x14ac:dyDescent="0.35">
      <c r="A1070" s="145"/>
      <c r="B1070" s="152"/>
      <c r="C1070" s="93"/>
      <c r="D1070" s="93"/>
      <c r="E1070" s="95"/>
      <c r="F1070" s="95"/>
      <c r="G1070" s="95"/>
      <c r="H1070" s="93"/>
      <c r="I1070" s="93"/>
      <c r="J1070" s="93"/>
    </row>
    <row r="1071" spans="1:10" s="65" customFormat="1" ht="14" x14ac:dyDescent="0.35">
      <c r="A1071" s="145"/>
      <c r="B1071" s="152"/>
      <c r="C1071" s="93"/>
      <c r="D1071" s="93"/>
      <c r="E1071" s="95"/>
      <c r="F1071" s="95"/>
      <c r="G1071" s="95"/>
      <c r="H1071" s="93"/>
      <c r="I1071" s="93"/>
      <c r="J1071" s="93"/>
    </row>
    <row r="1072" spans="1:10" s="65" customFormat="1" ht="14" x14ac:dyDescent="0.35">
      <c r="A1072" s="145"/>
      <c r="B1072" s="152"/>
      <c r="C1072" s="93"/>
      <c r="D1072" s="93"/>
      <c r="E1072" s="95"/>
      <c r="F1072" s="95"/>
      <c r="G1072" s="95"/>
      <c r="H1072" s="93"/>
      <c r="I1072" s="93"/>
      <c r="J1072" s="93"/>
    </row>
    <row r="1073" spans="1:10" s="65" customFormat="1" ht="14" x14ac:dyDescent="0.35">
      <c r="A1073" s="145"/>
      <c r="B1073" s="152"/>
      <c r="C1073" s="93"/>
      <c r="D1073" s="93"/>
      <c r="E1073" s="95"/>
      <c r="F1073" s="95"/>
      <c r="G1073" s="95"/>
      <c r="H1073" s="93"/>
      <c r="I1073" s="93"/>
      <c r="J1073" s="93"/>
    </row>
    <row r="1074" spans="1:10" s="65" customFormat="1" ht="14" x14ac:dyDescent="0.35">
      <c r="A1074" s="145"/>
      <c r="B1074" s="152"/>
      <c r="C1074" s="93"/>
      <c r="D1074" s="93"/>
      <c r="E1074" s="95"/>
      <c r="F1074" s="95"/>
      <c r="G1074" s="95"/>
      <c r="H1074" s="93"/>
      <c r="I1074" s="93"/>
      <c r="J1074" s="93"/>
    </row>
    <row r="1075" spans="1:10" s="65" customFormat="1" ht="14" x14ac:dyDescent="0.35">
      <c r="A1075" s="145"/>
      <c r="B1075" s="152"/>
      <c r="C1075" s="93"/>
      <c r="D1075" s="93"/>
      <c r="E1075" s="95"/>
      <c r="F1075" s="95"/>
      <c r="G1075" s="95"/>
      <c r="H1075" s="93"/>
      <c r="I1075" s="93"/>
      <c r="J1075" s="93"/>
    </row>
    <row r="1076" spans="1:10" s="65" customFormat="1" ht="14" x14ac:dyDescent="0.35">
      <c r="A1076" s="145"/>
      <c r="B1076" s="152"/>
      <c r="C1076" s="93"/>
      <c r="D1076" s="93"/>
      <c r="E1076" s="95"/>
      <c r="F1076" s="95"/>
      <c r="G1076" s="95"/>
      <c r="H1076" s="93"/>
      <c r="I1076" s="93"/>
      <c r="J1076" s="93"/>
    </row>
    <row r="1077" spans="1:10" s="65" customFormat="1" ht="14" x14ac:dyDescent="0.35">
      <c r="A1077" s="145"/>
      <c r="B1077" s="152"/>
      <c r="C1077" s="93"/>
      <c r="D1077" s="93"/>
      <c r="E1077" s="95"/>
      <c r="F1077" s="95"/>
      <c r="G1077" s="95"/>
      <c r="H1077" s="93"/>
      <c r="I1077" s="93"/>
      <c r="J1077" s="93"/>
    </row>
    <row r="1078" spans="1:10" s="65" customFormat="1" ht="14" x14ac:dyDescent="0.35">
      <c r="A1078" s="145"/>
      <c r="B1078" s="152"/>
      <c r="C1078" s="93"/>
      <c r="D1078" s="93"/>
      <c r="E1078" s="95"/>
      <c r="F1078" s="95"/>
      <c r="G1078" s="95"/>
      <c r="H1078" s="93"/>
      <c r="I1078" s="93"/>
      <c r="J1078" s="93"/>
    </row>
    <row r="1079" spans="1:10" s="65" customFormat="1" ht="14" x14ac:dyDescent="0.35">
      <c r="A1079" s="145"/>
      <c r="B1079" s="152"/>
      <c r="C1079" s="93"/>
      <c r="D1079" s="93"/>
      <c r="E1079" s="95"/>
      <c r="F1079" s="95"/>
      <c r="G1079" s="95"/>
      <c r="H1079" s="93"/>
      <c r="I1079" s="93"/>
      <c r="J1079" s="93"/>
    </row>
    <row r="1080" spans="1:10" s="65" customFormat="1" ht="14" x14ac:dyDescent="0.35">
      <c r="A1080" s="145"/>
      <c r="B1080" s="152"/>
      <c r="C1080" s="93"/>
      <c r="D1080" s="93"/>
      <c r="E1080" s="95"/>
      <c r="F1080" s="95"/>
      <c r="G1080" s="95"/>
      <c r="H1080" s="93"/>
      <c r="I1080" s="93"/>
      <c r="J1080" s="93"/>
    </row>
    <row r="1081" spans="1:10" s="65" customFormat="1" ht="14" x14ac:dyDescent="0.35">
      <c r="A1081" s="145"/>
      <c r="B1081" s="152"/>
      <c r="C1081" s="93"/>
      <c r="D1081" s="93"/>
      <c r="E1081" s="95"/>
      <c r="F1081" s="95"/>
      <c r="G1081" s="95"/>
      <c r="H1081" s="93"/>
      <c r="I1081" s="93"/>
      <c r="J1081" s="93"/>
    </row>
    <row r="1082" spans="1:10" s="65" customFormat="1" ht="14" x14ac:dyDescent="0.35">
      <c r="A1082" s="145"/>
      <c r="B1082" s="152"/>
      <c r="C1082" s="93"/>
      <c r="D1082" s="93"/>
      <c r="E1082" s="95"/>
      <c r="F1082" s="95"/>
      <c r="G1082" s="95"/>
      <c r="H1082" s="93"/>
      <c r="I1082" s="93"/>
      <c r="J1082" s="93"/>
    </row>
    <row r="1083" spans="1:10" s="65" customFormat="1" ht="14" x14ac:dyDescent="0.35">
      <c r="A1083" s="145"/>
      <c r="B1083" s="152"/>
      <c r="C1083" s="93"/>
      <c r="D1083" s="93"/>
      <c r="E1083" s="95"/>
      <c r="F1083" s="95"/>
      <c r="G1083" s="95"/>
      <c r="H1083" s="93"/>
      <c r="I1083" s="93"/>
      <c r="J1083" s="93"/>
    </row>
    <row r="1084" spans="1:10" s="65" customFormat="1" ht="14" x14ac:dyDescent="0.35">
      <c r="A1084" s="145"/>
      <c r="B1084" s="152"/>
      <c r="C1084" s="93"/>
      <c r="D1084" s="93"/>
      <c r="E1084" s="95"/>
      <c r="F1084" s="95"/>
      <c r="G1084" s="95"/>
      <c r="H1084" s="93"/>
      <c r="I1084" s="93"/>
      <c r="J1084" s="93"/>
    </row>
    <row r="1085" spans="1:10" s="65" customFormat="1" ht="14" x14ac:dyDescent="0.35">
      <c r="A1085" s="145"/>
      <c r="B1085" s="152"/>
      <c r="C1085" s="93"/>
      <c r="D1085" s="93"/>
      <c r="E1085" s="95"/>
      <c r="F1085" s="95"/>
      <c r="G1085" s="95"/>
      <c r="H1085" s="93"/>
      <c r="I1085" s="93"/>
      <c r="J1085" s="93"/>
    </row>
    <row r="1086" spans="1:10" s="65" customFormat="1" ht="14" x14ac:dyDescent="0.35">
      <c r="A1086" s="145"/>
      <c r="B1086" s="152"/>
      <c r="C1086" s="93"/>
      <c r="D1086" s="93"/>
      <c r="E1086" s="95"/>
      <c r="F1086" s="95"/>
      <c r="G1086" s="95"/>
      <c r="H1086" s="93"/>
      <c r="I1086" s="93"/>
      <c r="J1086" s="93"/>
    </row>
    <row r="1087" spans="1:10" s="65" customFormat="1" ht="14" x14ac:dyDescent="0.35">
      <c r="A1087" s="145"/>
      <c r="B1087" s="152"/>
      <c r="C1087" s="93"/>
      <c r="D1087" s="93"/>
      <c r="E1087" s="95"/>
      <c r="F1087" s="95"/>
      <c r="G1087" s="95"/>
      <c r="H1087" s="93"/>
      <c r="I1087" s="93"/>
      <c r="J1087" s="93"/>
    </row>
    <row r="1088" spans="1:10" s="65" customFormat="1" ht="14" x14ac:dyDescent="0.35">
      <c r="A1088" s="145"/>
      <c r="B1088" s="152"/>
      <c r="C1088" s="93"/>
      <c r="D1088" s="93"/>
      <c r="E1088" s="95"/>
      <c r="F1088" s="95"/>
      <c r="G1088" s="95"/>
      <c r="H1088" s="93"/>
      <c r="I1088" s="93"/>
      <c r="J1088" s="93"/>
    </row>
    <row r="1089" spans="1:10" s="65" customFormat="1" ht="14" x14ac:dyDescent="0.35">
      <c r="A1089" s="145"/>
      <c r="B1089" s="152"/>
      <c r="C1089" s="93"/>
      <c r="D1089" s="93"/>
      <c r="E1089" s="95"/>
      <c r="F1089" s="95"/>
      <c r="G1089" s="95"/>
      <c r="H1089" s="93"/>
      <c r="I1089" s="93"/>
      <c r="J1089" s="93"/>
    </row>
    <row r="1090" spans="1:10" s="65" customFormat="1" ht="14" x14ac:dyDescent="0.35">
      <c r="A1090" s="145"/>
      <c r="B1090" s="152"/>
      <c r="C1090" s="93"/>
      <c r="D1090" s="93"/>
      <c r="E1090" s="95"/>
      <c r="F1090" s="95"/>
      <c r="G1090" s="95"/>
      <c r="H1090" s="93"/>
      <c r="I1090" s="93"/>
      <c r="J1090" s="93"/>
    </row>
    <row r="1091" spans="1:10" s="65" customFormat="1" ht="14" x14ac:dyDescent="0.35">
      <c r="A1091" s="145"/>
      <c r="B1091" s="152"/>
      <c r="C1091" s="93"/>
      <c r="D1091" s="93"/>
      <c r="E1091" s="95"/>
      <c r="F1091" s="95"/>
      <c r="G1091" s="95"/>
      <c r="H1091" s="93"/>
      <c r="I1091" s="93"/>
      <c r="J1091" s="93"/>
    </row>
    <row r="1092" spans="1:10" s="65" customFormat="1" ht="14" x14ac:dyDescent="0.35">
      <c r="A1092" s="145"/>
      <c r="B1092" s="152"/>
      <c r="C1092" s="93"/>
      <c r="D1092" s="93"/>
      <c r="E1092" s="95"/>
      <c r="F1092" s="95"/>
      <c r="G1092" s="95"/>
      <c r="H1092" s="93"/>
      <c r="I1092" s="93"/>
      <c r="J1092" s="93"/>
    </row>
    <row r="1093" spans="1:10" s="65" customFormat="1" ht="14" x14ac:dyDescent="0.35">
      <c r="A1093" s="145"/>
      <c r="B1093" s="152"/>
      <c r="C1093" s="93"/>
      <c r="D1093" s="93"/>
      <c r="E1093" s="95"/>
      <c r="F1093" s="95"/>
      <c r="G1093" s="95"/>
      <c r="H1093" s="93"/>
      <c r="I1093" s="93"/>
      <c r="J1093" s="93"/>
    </row>
    <row r="1094" spans="1:10" s="65" customFormat="1" ht="14" x14ac:dyDescent="0.35">
      <c r="A1094" s="145"/>
      <c r="B1094" s="152"/>
      <c r="C1094" s="93"/>
      <c r="D1094" s="93"/>
      <c r="E1094" s="95"/>
      <c r="F1094" s="95"/>
      <c r="G1094" s="95"/>
      <c r="H1094" s="93"/>
      <c r="I1094" s="93"/>
      <c r="J1094" s="93"/>
    </row>
    <row r="1095" spans="1:10" s="65" customFormat="1" ht="14" x14ac:dyDescent="0.35">
      <c r="A1095" s="145"/>
      <c r="B1095" s="152"/>
      <c r="C1095" s="93"/>
      <c r="D1095" s="93"/>
      <c r="E1095" s="95"/>
      <c r="F1095" s="95"/>
      <c r="G1095" s="95"/>
      <c r="H1095" s="93"/>
      <c r="I1095" s="93"/>
      <c r="J1095" s="93"/>
    </row>
    <row r="1096" spans="1:10" s="65" customFormat="1" ht="14" x14ac:dyDescent="0.35">
      <c r="A1096" s="145"/>
      <c r="B1096" s="152"/>
      <c r="C1096" s="93"/>
      <c r="D1096" s="93"/>
      <c r="E1096" s="95"/>
      <c r="F1096" s="95"/>
      <c r="G1096" s="95"/>
      <c r="H1096" s="93"/>
      <c r="I1096" s="93"/>
      <c r="J1096" s="93"/>
    </row>
    <row r="1097" spans="1:10" s="65" customFormat="1" ht="14" x14ac:dyDescent="0.35">
      <c r="A1097" s="145"/>
      <c r="B1097" s="152"/>
      <c r="C1097" s="93"/>
      <c r="D1097" s="93"/>
      <c r="E1097" s="95"/>
      <c r="F1097" s="95"/>
      <c r="G1097" s="95"/>
      <c r="H1097" s="93"/>
      <c r="I1097" s="93"/>
      <c r="J1097" s="93"/>
    </row>
    <row r="1098" spans="1:10" s="65" customFormat="1" ht="14" x14ac:dyDescent="0.35">
      <c r="A1098" s="145"/>
      <c r="B1098" s="152"/>
      <c r="C1098" s="93"/>
      <c r="D1098" s="93"/>
      <c r="E1098" s="95"/>
      <c r="F1098" s="95"/>
      <c r="G1098" s="95"/>
      <c r="H1098" s="93"/>
      <c r="I1098" s="93"/>
      <c r="J1098" s="93"/>
    </row>
    <row r="1099" spans="1:10" s="65" customFormat="1" ht="14" x14ac:dyDescent="0.35">
      <c r="A1099" s="145"/>
      <c r="B1099" s="152"/>
      <c r="C1099" s="93"/>
      <c r="D1099" s="93"/>
      <c r="E1099" s="95"/>
      <c r="F1099" s="95"/>
      <c r="G1099" s="95"/>
      <c r="H1099" s="93"/>
      <c r="I1099" s="93"/>
      <c r="J1099" s="93"/>
    </row>
    <row r="1100" spans="1:10" s="65" customFormat="1" ht="14" x14ac:dyDescent="0.35">
      <c r="A1100" s="145"/>
      <c r="B1100" s="152"/>
      <c r="C1100" s="93"/>
      <c r="D1100" s="93"/>
      <c r="E1100" s="95"/>
      <c r="F1100" s="95"/>
      <c r="G1100" s="95"/>
      <c r="H1100" s="93"/>
      <c r="I1100" s="93"/>
      <c r="J1100" s="93"/>
    </row>
    <row r="1101" spans="1:10" s="65" customFormat="1" ht="14" x14ac:dyDescent="0.35">
      <c r="A1101" s="145"/>
      <c r="B1101" s="152"/>
      <c r="C1101" s="93"/>
      <c r="D1101" s="93"/>
      <c r="E1101" s="95"/>
      <c r="F1101" s="95"/>
      <c r="G1101" s="95"/>
      <c r="H1101" s="93"/>
      <c r="I1101" s="93"/>
      <c r="J1101" s="93"/>
    </row>
    <row r="1102" spans="1:10" s="65" customFormat="1" ht="14" x14ac:dyDescent="0.35">
      <c r="A1102" s="145"/>
      <c r="B1102" s="152"/>
      <c r="C1102" s="93"/>
      <c r="D1102" s="93"/>
      <c r="E1102" s="95"/>
      <c r="F1102" s="95"/>
      <c r="G1102" s="95"/>
      <c r="H1102" s="93"/>
      <c r="I1102" s="93"/>
      <c r="J1102" s="93"/>
    </row>
    <row r="1103" spans="1:10" s="65" customFormat="1" ht="14" x14ac:dyDescent="0.35">
      <c r="A1103" s="145"/>
      <c r="B1103" s="152"/>
      <c r="C1103" s="93"/>
      <c r="D1103" s="93"/>
      <c r="E1103" s="95"/>
      <c r="F1103" s="95"/>
      <c r="G1103" s="95"/>
      <c r="H1103" s="93"/>
      <c r="I1103" s="93"/>
      <c r="J1103" s="93"/>
    </row>
    <row r="1104" spans="1:10" s="65" customFormat="1" ht="14" x14ac:dyDescent="0.35">
      <c r="A1104" s="145"/>
      <c r="B1104" s="152"/>
      <c r="C1104" s="93"/>
      <c r="D1104" s="93"/>
      <c r="E1104" s="95"/>
      <c r="F1104" s="95"/>
      <c r="G1104" s="95"/>
      <c r="H1104" s="93"/>
      <c r="I1104" s="93"/>
      <c r="J1104" s="93"/>
    </row>
    <row r="1105" spans="1:10" s="65" customFormat="1" ht="14" x14ac:dyDescent="0.35">
      <c r="A1105" s="145"/>
      <c r="B1105" s="152"/>
      <c r="C1105" s="93"/>
      <c r="D1105" s="93"/>
      <c r="E1105" s="95"/>
      <c r="F1105" s="95"/>
      <c r="G1105" s="95"/>
      <c r="H1105" s="93"/>
      <c r="I1105" s="93"/>
      <c r="J1105" s="93"/>
    </row>
    <row r="1106" spans="1:10" s="65" customFormat="1" ht="14" x14ac:dyDescent="0.35">
      <c r="A1106" s="145"/>
      <c r="B1106" s="152"/>
      <c r="C1106" s="93"/>
      <c r="D1106" s="93"/>
      <c r="E1106" s="95"/>
      <c r="F1106" s="95"/>
      <c r="G1106" s="95"/>
      <c r="H1106" s="93"/>
      <c r="I1106" s="93"/>
      <c r="J1106" s="93"/>
    </row>
    <row r="1107" spans="1:10" s="65" customFormat="1" ht="14" x14ac:dyDescent="0.35">
      <c r="A1107" s="145"/>
      <c r="B1107" s="152"/>
      <c r="C1107" s="93"/>
      <c r="D1107" s="93"/>
      <c r="E1107" s="95"/>
      <c r="F1107" s="95"/>
      <c r="G1107" s="95"/>
      <c r="H1107" s="93"/>
      <c r="I1107" s="93"/>
      <c r="J1107" s="93"/>
    </row>
    <row r="1108" spans="1:10" s="65" customFormat="1" ht="14" x14ac:dyDescent="0.35">
      <c r="A1108" s="145"/>
      <c r="B1108" s="152"/>
      <c r="C1108" s="93"/>
      <c r="D1108" s="93"/>
      <c r="E1108" s="95"/>
      <c r="F1108" s="95"/>
      <c r="G1108" s="95"/>
      <c r="H1108" s="93"/>
      <c r="I1108" s="93"/>
      <c r="J1108" s="93"/>
    </row>
    <row r="1109" spans="1:10" s="65" customFormat="1" ht="14" x14ac:dyDescent="0.35">
      <c r="A1109" s="145"/>
      <c r="B1109" s="152"/>
      <c r="C1109" s="93"/>
      <c r="D1109" s="93"/>
      <c r="E1109" s="95"/>
      <c r="F1109" s="95"/>
      <c r="G1109" s="95"/>
      <c r="H1109" s="93"/>
      <c r="I1109" s="93"/>
      <c r="J1109" s="93"/>
    </row>
    <row r="1110" spans="1:10" s="65" customFormat="1" ht="14" x14ac:dyDescent="0.35">
      <c r="A1110" s="145"/>
      <c r="B1110" s="152"/>
      <c r="C1110" s="93"/>
      <c r="D1110" s="93"/>
      <c r="E1110" s="95"/>
      <c r="F1110" s="95"/>
      <c r="G1110" s="95"/>
      <c r="H1110" s="93"/>
      <c r="I1110" s="93"/>
      <c r="J1110" s="93"/>
    </row>
    <row r="1111" spans="1:10" s="65" customFormat="1" ht="14" x14ac:dyDescent="0.35">
      <c r="A1111" s="145"/>
      <c r="B1111" s="152"/>
      <c r="C1111" s="93"/>
      <c r="D1111" s="93"/>
      <c r="E1111" s="95"/>
      <c r="F1111" s="95"/>
      <c r="G1111" s="95"/>
      <c r="H1111" s="93"/>
      <c r="I1111" s="93"/>
      <c r="J1111" s="93"/>
    </row>
    <row r="1112" spans="1:10" s="65" customFormat="1" ht="14" x14ac:dyDescent="0.35">
      <c r="A1112" s="145"/>
      <c r="B1112" s="152"/>
      <c r="C1112" s="93"/>
      <c r="D1112" s="93"/>
      <c r="E1112" s="95"/>
      <c r="F1112" s="95"/>
      <c r="G1112" s="95"/>
      <c r="H1112" s="93"/>
      <c r="I1112" s="93"/>
      <c r="J1112" s="93"/>
    </row>
    <row r="1113" spans="1:10" s="65" customFormat="1" ht="14" x14ac:dyDescent="0.35">
      <c r="A1113" s="145"/>
      <c r="B1113" s="152"/>
      <c r="C1113" s="93"/>
      <c r="D1113" s="93"/>
      <c r="E1113" s="95"/>
      <c r="F1113" s="95"/>
      <c r="G1113" s="95"/>
      <c r="H1113" s="93"/>
      <c r="I1113" s="93"/>
      <c r="J1113" s="93"/>
    </row>
    <row r="1114" spans="1:10" s="65" customFormat="1" ht="14" x14ac:dyDescent="0.35">
      <c r="A1114" s="145"/>
      <c r="B1114" s="152"/>
      <c r="C1114" s="93"/>
      <c r="D1114" s="93"/>
      <c r="E1114" s="95"/>
      <c r="F1114" s="95"/>
      <c r="G1114" s="95"/>
      <c r="H1114" s="93"/>
      <c r="I1114" s="93"/>
      <c r="J1114" s="93"/>
    </row>
    <row r="1115" spans="1:10" s="65" customFormat="1" ht="14" x14ac:dyDescent="0.35">
      <c r="A1115" s="145"/>
      <c r="B1115" s="152"/>
      <c r="C1115" s="93"/>
      <c r="D1115" s="93"/>
      <c r="E1115" s="95"/>
      <c r="F1115" s="95"/>
      <c r="G1115" s="95"/>
      <c r="H1115" s="93"/>
      <c r="I1115" s="93"/>
      <c r="J1115" s="93"/>
    </row>
    <row r="1116" spans="1:10" s="65" customFormat="1" ht="14" x14ac:dyDescent="0.35">
      <c r="A1116" s="145"/>
      <c r="B1116" s="152"/>
      <c r="C1116" s="93"/>
      <c r="D1116" s="93"/>
      <c r="E1116" s="95"/>
      <c r="F1116" s="95"/>
      <c r="G1116" s="95"/>
      <c r="H1116" s="93"/>
      <c r="I1116" s="93"/>
      <c r="J1116" s="93"/>
    </row>
    <row r="1117" spans="1:10" s="65" customFormat="1" ht="14" x14ac:dyDescent="0.35">
      <c r="A1117" s="145"/>
      <c r="B1117" s="152"/>
      <c r="C1117" s="93"/>
      <c r="D1117" s="93"/>
      <c r="E1117" s="95"/>
      <c r="F1117" s="95"/>
      <c r="G1117" s="95"/>
      <c r="H1117" s="93"/>
      <c r="I1117" s="93"/>
      <c r="J1117" s="93"/>
    </row>
    <row r="1118" spans="1:10" s="65" customFormat="1" ht="14" x14ac:dyDescent="0.35">
      <c r="A1118" s="145"/>
      <c r="B1118" s="152"/>
      <c r="C1118" s="93"/>
      <c r="D1118" s="93"/>
      <c r="E1118" s="95"/>
      <c r="F1118" s="95"/>
      <c r="G1118" s="95"/>
      <c r="H1118" s="93"/>
      <c r="I1118" s="93"/>
      <c r="J1118" s="93"/>
    </row>
    <row r="1119" spans="1:10" s="65" customFormat="1" ht="14" x14ac:dyDescent="0.35">
      <c r="A1119" s="145"/>
      <c r="B1119" s="152"/>
      <c r="C1119" s="93"/>
      <c r="D1119" s="93"/>
      <c r="E1119" s="95"/>
      <c r="F1119" s="95"/>
      <c r="G1119" s="95"/>
      <c r="H1119" s="93"/>
      <c r="I1119" s="93"/>
      <c r="J1119" s="93"/>
    </row>
    <row r="1120" spans="1:10" s="65" customFormat="1" ht="14" x14ac:dyDescent="0.35">
      <c r="A1120" s="145"/>
      <c r="B1120" s="152"/>
      <c r="C1120" s="93"/>
      <c r="D1120" s="93"/>
      <c r="E1120" s="95"/>
      <c r="F1120" s="95"/>
      <c r="G1120" s="95"/>
      <c r="H1120" s="93"/>
      <c r="I1120" s="93"/>
      <c r="J1120" s="93"/>
    </row>
    <row r="1121" spans="1:10" s="65" customFormat="1" ht="14" x14ac:dyDescent="0.35">
      <c r="A1121" s="145"/>
      <c r="B1121" s="152"/>
      <c r="C1121" s="93"/>
      <c r="D1121" s="93"/>
      <c r="E1121" s="95"/>
      <c r="F1121" s="95"/>
      <c r="G1121" s="95"/>
      <c r="H1121" s="93"/>
      <c r="I1121" s="93"/>
      <c r="J1121" s="93"/>
    </row>
    <row r="1122" spans="1:10" s="65" customFormat="1" ht="14" x14ac:dyDescent="0.35">
      <c r="A1122" s="145"/>
      <c r="B1122" s="152"/>
      <c r="C1122" s="93"/>
      <c r="D1122" s="93"/>
      <c r="E1122" s="95"/>
      <c r="F1122" s="95"/>
      <c r="G1122" s="95"/>
      <c r="H1122" s="93"/>
      <c r="I1122" s="93"/>
      <c r="J1122" s="93"/>
    </row>
    <row r="1123" spans="1:10" s="65" customFormat="1" ht="14" x14ac:dyDescent="0.35">
      <c r="A1123" s="145"/>
      <c r="B1123" s="152"/>
      <c r="C1123" s="93"/>
      <c r="D1123" s="93"/>
      <c r="E1123" s="95"/>
      <c r="F1123" s="95"/>
      <c r="G1123" s="95"/>
      <c r="H1123" s="93"/>
      <c r="I1123" s="93"/>
      <c r="J1123" s="93"/>
    </row>
    <row r="1124" spans="1:10" s="65" customFormat="1" ht="14" x14ac:dyDescent="0.35">
      <c r="A1124" s="145"/>
      <c r="B1124" s="152"/>
      <c r="C1124" s="93"/>
      <c r="D1124" s="93"/>
      <c r="E1124" s="95"/>
      <c r="F1124" s="95"/>
      <c r="G1124" s="95"/>
      <c r="H1124" s="93"/>
      <c r="I1124" s="93"/>
      <c r="J1124" s="93"/>
    </row>
    <row r="1125" spans="1:10" s="65" customFormat="1" ht="14" x14ac:dyDescent="0.35">
      <c r="A1125" s="145"/>
      <c r="B1125" s="152"/>
      <c r="C1125" s="93"/>
      <c r="D1125" s="93"/>
      <c r="E1125" s="95"/>
      <c r="F1125" s="95"/>
      <c r="G1125" s="95"/>
      <c r="H1125" s="93"/>
      <c r="I1125" s="93"/>
      <c r="J1125" s="93"/>
    </row>
    <row r="1126" spans="1:10" s="65" customFormat="1" ht="14" x14ac:dyDescent="0.35">
      <c r="A1126" s="145"/>
      <c r="B1126" s="152"/>
      <c r="C1126" s="93"/>
      <c r="D1126" s="93"/>
      <c r="E1126" s="95"/>
      <c r="F1126" s="95"/>
      <c r="G1126" s="95"/>
      <c r="H1126" s="93"/>
      <c r="I1126" s="93"/>
      <c r="J1126" s="93"/>
    </row>
    <row r="1127" spans="1:10" s="65" customFormat="1" ht="14" x14ac:dyDescent="0.35">
      <c r="A1127" s="145"/>
      <c r="B1127" s="152"/>
      <c r="C1127" s="93"/>
      <c r="D1127" s="93"/>
      <c r="E1127" s="95"/>
      <c r="F1127" s="95"/>
      <c r="G1127" s="95"/>
      <c r="H1127" s="93"/>
      <c r="I1127" s="93"/>
      <c r="J1127" s="93"/>
    </row>
    <row r="1128" spans="1:10" s="65" customFormat="1" ht="14" x14ac:dyDescent="0.35">
      <c r="A1128" s="145"/>
      <c r="B1128" s="152"/>
      <c r="C1128" s="93"/>
      <c r="D1128" s="93"/>
      <c r="E1128" s="95"/>
      <c r="F1128" s="95"/>
      <c r="G1128" s="95"/>
      <c r="H1128" s="93"/>
      <c r="I1128" s="93"/>
      <c r="J1128" s="93"/>
    </row>
    <row r="1129" spans="1:10" s="65" customFormat="1" ht="14" x14ac:dyDescent="0.35">
      <c r="A1129" s="145"/>
      <c r="B1129" s="152"/>
      <c r="C1129" s="93"/>
      <c r="D1129" s="93"/>
      <c r="E1129" s="95"/>
      <c r="F1129" s="95"/>
      <c r="G1129" s="95"/>
      <c r="H1129" s="93"/>
      <c r="I1129" s="93"/>
      <c r="J1129" s="93"/>
    </row>
    <row r="1130" spans="1:10" s="65" customFormat="1" ht="14" x14ac:dyDescent="0.35">
      <c r="A1130" s="145"/>
      <c r="B1130" s="152"/>
      <c r="C1130" s="93"/>
      <c r="D1130" s="93"/>
      <c r="E1130" s="95"/>
      <c r="F1130" s="95"/>
      <c r="G1130" s="95"/>
      <c r="H1130" s="93"/>
      <c r="I1130" s="93"/>
      <c r="J1130" s="93"/>
    </row>
    <row r="1131" spans="1:10" s="65" customFormat="1" ht="14" x14ac:dyDescent="0.35">
      <c r="A1131" s="145"/>
      <c r="B1131" s="152"/>
      <c r="C1131" s="93"/>
      <c r="D1131" s="93"/>
      <c r="E1131" s="95"/>
      <c r="F1131" s="95"/>
      <c r="G1131" s="95"/>
      <c r="H1131" s="93"/>
      <c r="I1131" s="93"/>
      <c r="J1131" s="93"/>
    </row>
    <row r="1132" spans="1:10" s="65" customFormat="1" ht="14" x14ac:dyDescent="0.35">
      <c r="A1132" s="145"/>
      <c r="B1132" s="152"/>
      <c r="C1132" s="93"/>
      <c r="D1132" s="93"/>
      <c r="E1132" s="95"/>
      <c r="F1132" s="95"/>
      <c r="G1132" s="95"/>
      <c r="H1132" s="93"/>
      <c r="I1132" s="93"/>
      <c r="J1132" s="93"/>
    </row>
    <row r="1133" spans="1:10" s="65" customFormat="1" ht="14" x14ac:dyDescent="0.35">
      <c r="A1133" s="145"/>
      <c r="B1133" s="152"/>
      <c r="C1133" s="93"/>
      <c r="D1133" s="93"/>
      <c r="E1133" s="95"/>
      <c r="F1133" s="95"/>
      <c r="G1133" s="95"/>
      <c r="H1133" s="93"/>
      <c r="I1133" s="93"/>
      <c r="J1133" s="93"/>
    </row>
    <row r="1134" spans="1:10" s="65" customFormat="1" ht="14" x14ac:dyDescent="0.35">
      <c r="A1134" s="145"/>
      <c r="B1134" s="152"/>
      <c r="C1134" s="93"/>
      <c r="D1134" s="93"/>
      <c r="E1134" s="95"/>
      <c r="F1134" s="95"/>
      <c r="G1134" s="95"/>
      <c r="H1134" s="93"/>
      <c r="I1134" s="93"/>
      <c r="J1134" s="93"/>
    </row>
    <row r="1135" spans="1:10" s="65" customFormat="1" ht="14" x14ac:dyDescent="0.35">
      <c r="A1135" s="145"/>
      <c r="B1135" s="152"/>
      <c r="C1135" s="93"/>
      <c r="D1135" s="93"/>
      <c r="E1135" s="95"/>
      <c r="F1135" s="95"/>
      <c r="G1135" s="95"/>
      <c r="H1135" s="93"/>
      <c r="I1135" s="93"/>
      <c r="J1135" s="93"/>
    </row>
    <row r="1136" spans="1:10" s="65" customFormat="1" ht="14" x14ac:dyDescent="0.35">
      <c r="A1136" s="145"/>
      <c r="B1136" s="152"/>
      <c r="C1136" s="93"/>
      <c r="D1136" s="93"/>
      <c r="E1136" s="95"/>
      <c r="F1136" s="95"/>
      <c r="G1136" s="95"/>
      <c r="H1136" s="93"/>
      <c r="I1136" s="93"/>
      <c r="J1136" s="93"/>
    </row>
    <row r="1137" spans="1:10" s="65" customFormat="1" ht="14" x14ac:dyDescent="0.35">
      <c r="A1137" s="145"/>
      <c r="B1137" s="152"/>
      <c r="C1137" s="93"/>
      <c r="D1137" s="93"/>
      <c r="E1137" s="95"/>
      <c r="F1137" s="95"/>
      <c r="G1137" s="95"/>
      <c r="H1137" s="93"/>
      <c r="I1137" s="93"/>
      <c r="J1137" s="93"/>
    </row>
    <row r="1138" spans="1:10" s="65" customFormat="1" ht="14" x14ac:dyDescent="0.35">
      <c r="A1138" s="145"/>
      <c r="B1138" s="152"/>
      <c r="C1138" s="93"/>
      <c r="D1138" s="93"/>
      <c r="E1138" s="95"/>
      <c r="F1138" s="95"/>
      <c r="G1138" s="95"/>
      <c r="H1138" s="93"/>
      <c r="I1138" s="93"/>
      <c r="J1138" s="93"/>
    </row>
    <row r="1139" spans="1:10" s="65" customFormat="1" ht="14" x14ac:dyDescent="0.35">
      <c r="A1139" s="145"/>
      <c r="B1139" s="152"/>
      <c r="C1139" s="93"/>
      <c r="D1139" s="93"/>
      <c r="E1139" s="95"/>
      <c r="F1139" s="95"/>
      <c r="G1139" s="95"/>
      <c r="H1139" s="93"/>
      <c r="I1139" s="93"/>
      <c r="J1139" s="93"/>
    </row>
    <row r="1140" spans="1:10" s="65" customFormat="1" ht="14" x14ac:dyDescent="0.35">
      <c r="A1140" s="145"/>
      <c r="B1140" s="152"/>
      <c r="C1140" s="93"/>
      <c r="D1140" s="93"/>
      <c r="E1140" s="95"/>
      <c r="F1140" s="95"/>
      <c r="G1140" s="95"/>
      <c r="H1140" s="93"/>
      <c r="I1140" s="93"/>
      <c r="J1140" s="93"/>
    </row>
    <row r="1141" spans="1:10" s="65" customFormat="1" ht="14" x14ac:dyDescent="0.35">
      <c r="A1141" s="145"/>
      <c r="B1141" s="152"/>
      <c r="C1141" s="93"/>
      <c r="D1141" s="93"/>
      <c r="E1141" s="95"/>
      <c r="F1141" s="95"/>
      <c r="G1141" s="95"/>
      <c r="H1141" s="93"/>
      <c r="I1141" s="93"/>
      <c r="J1141" s="93"/>
    </row>
    <row r="1142" spans="1:10" s="65" customFormat="1" ht="14" x14ac:dyDescent="0.35">
      <c r="A1142" s="145"/>
      <c r="B1142" s="152"/>
      <c r="C1142" s="93"/>
      <c r="D1142" s="93"/>
      <c r="E1142" s="95"/>
      <c r="F1142" s="95"/>
      <c r="G1142" s="95"/>
      <c r="H1142" s="93"/>
      <c r="I1142" s="93"/>
      <c r="J1142" s="93"/>
    </row>
    <row r="1143" spans="1:10" s="65" customFormat="1" ht="14" x14ac:dyDescent="0.35">
      <c r="A1143" s="145"/>
      <c r="B1143" s="152"/>
      <c r="C1143" s="93"/>
      <c r="D1143" s="93"/>
      <c r="E1143" s="95"/>
      <c r="F1143" s="95"/>
      <c r="G1143" s="95"/>
      <c r="H1143" s="93"/>
      <c r="I1143" s="93"/>
      <c r="J1143" s="93"/>
    </row>
    <row r="1144" spans="1:10" s="65" customFormat="1" ht="14" x14ac:dyDescent="0.35">
      <c r="A1144" s="145"/>
      <c r="B1144" s="152"/>
      <c r="C1144" s="93"/>
      <c r="D1144" s="93"/>
      <c r="E1144" s="95"/>
      <c r="F1144" s="95"/>
      <c r="G1144" s="95"/>
      <c r="H1144" s="93"/>
      <c r="I1144" s="93"/>
      <c r="J1144" s="93"/>
    </row>
    <row r="1145" spans="1:10" s="65" customFormat="1" ht="14" x14ac:dyDescent="0.35">
      <c r="A1145" s="145"/>
      <c r="B1145" s="152"/>
      <c r="C1145" s="93"/>
      <c r="D1145" s="93"/>
      <c r="E1145" s="95"/>
      <c r="F1145" s="95"/>
      <c r="G1145" s="95"/>
      <c r="H1145" s="93"/>
      <c r="I1145" s="93"/>
      <c r="J1145" s="93"/>
    </row>
    <row r="1146" spans="1:10" s="65" customFormat="1" ht="14" x14ac:dyDescent="0.35">
      <c r="A1146" s="145"/>
      <c r="B1146" s="152"/>
      <c r="C1146" s="93"/>
      <c r="D1146" s="93"/>
      <c r="E1146" s="95"/>
      <c r="F1146" s="95"/>
      <c r="G1146" s="95"/>
      <c r="H1146" s="93"/>
      <c r="I1146" s="93"/>
      <c r="J1146" s="93"/>
    </row>
    <row r="1147" spans="1:10" s="65" customFormat="1" ht="14" x14ac:dyDescent="0.35">
      <c r="A1147" s="145"/>
      <c r="B1147" s="152"/>
      <c r="C1147" s="93"/>
      <c r="D1147" s="93"/>
      <c r="E1147" s="95"/>
      <c r="F1147" s="95"/>
      <c r="G1147" s="95"/>
      <c r="H1147" s="93"/>
      <c r="I1147" s="93"/>
      <c r="J1147" s="93"/>
    </row>
    <row r="1148" spans="1:10" s="65" customFormat="1" ht="14" x14ac:dyDescent="0.35">
      <c r="A1148" s="145"/>
      <c r="B1148" s="152"/>
      <c r="C1148" s="93"/>
      <c r="D1148" s="93"/>
      <c r="E1148" s="95"/>
      <c r="F1148" s="95"/>
      <c r="G1148" s="95"/>
      <c r="H1148" s="93"/>
      <c r="I1148" s="93"/>
      <c r="J1148" s="93"/>
    </row>
    <row r="1149" spans="1:10" s="65" customFormat="1" ht="14" x14ac:dyDescent="0.35">
      <c r="A1149" s="145"/>
      <c r="B1149" s="152"/>
      <c r="C1149" s="93"/>
      <c r="D1149" s="93"/>
      <c r="E1149" s="95"/>
      <c r="F1149" s="95"/>
      <c r="G1149" s="95"/>
      <c r="H1149" s="93"/>
      <c r="I1149" s="93"/>
      <c r="J1149" s="93"/>
    </row>
    <row r="1150" spans="1:10" s="65" customFormat="1" ht="14" x14ac:dyDescent="0.35">
      <c r="A1150" s="145"/>
      <c r="B1150" s="152"/>
      <c r="C1150" s="93"/>
      <c r="D1150" s="93"/>
      <c r="E1150" s="95"/>
      <c r="F1150" s="95"/>
      <c r="G1150" s="95"/>
      <c r="H1150" s="93"/>
      <c r="I1150" s="93"/>
      <c r="J1150" s="93"/>
    </row>
    <row r="1151" spans="1:10" s="65" customFormat="1" ht="14" x14ac:dyDescent="0.35">
      <c r="A1151" s="145"/>
      <c r="B1151" s="152"/>
      <c r="C1151" s="93"/>
      <c r="D1151" s="93"/>
      <c r="E1151" s="95"/>
      <c r="F1151" s="95"/>
      <c r="G1151" s="95"/>
      <c r="H1151" s="93"/>
      <c r="I1151" s="93"/>
      <c r="J1151" s="93"/>
    </row>
    <row r="1152" spans="1:10" s="65" customFormat="1" ht="14" x14ac:dyDescent="0.35">
      <c r="A1152" s="145"/>
      <c r="B1152" s="152"/>
      <c r="C1152" s="93"/>
      <c r="D1152" s="93"/>
      <c r="E1152" s="95"/>
      <c r="F1152" s="95"/>
      <c r="G1152" s="95"/>
      <c r="H1152" s="93"/>
      <c r="I1152" s="93"/>
      <c r="J1152" s="93"/>
    </row>
    <row r="1153" spans="1:10" s="65" customFormat="1" ht="14" x14ac:dyDescent="0.35">
      <c r="A1153" s="145"/>
      <c r="B1153" s="152"/>
      <c r="C1153" s="93"/>
      <c r="D1153" s="93"/>
      <c r="E1153" s="95"/>
      <c r="F1153" s="95"/>
      <c r="G1153" s="95"/>
      <c r="H1153" s="93"/>
      <c r="I1153" s="93"/>
      <c r="J1153" s="93"/>
    </row>
    <row r="1154" spans="1:10" s="65" customFormat="1" ht="14" x14ac:dyDescent="0.35">
      <c r="A1154" s="145"/>
      <c r="B1154" s="152"/>
      <c r="C1154" s="93"/>
      <c r="D1154" s="93"/>
      <c r="E1154" s="95"/>
      <c r="F1154" s="95"/>
      <c r="G1154" s="95"/>
      <c r="H1154" s="93"/>
      <c r="I1154" s="93"/>
      <c r="J1154" s="93"/>
    </row>
    <row r="1155" spans="1:10" s="65" customFormat="1" ht="14" x14ac:dyDescent="0.35">
      <c r="A1155" s="145"/>
      <c r="B1155" s="152"/>
      <c r="C1155" s="93"/>
      <c r="D1155" s="93"/>
      <c r="E1155" s="95"/>
      <c r="F1155" s="95"/>
      <c r="G1155" s="95"/>
      <c r="H1155" s="93"/>
      <c r="I1155" s="93"/>
      <c r="J1155" s="93"/>
    </row>
    <row r="1156" spans="1:10" s="65" customFormat="1" ht="14" x14ac:dyDescent="0.35">
      <c r="A1156" s="145"/>
      <c r="B1156" s="152"/>
      <c r="C1156" s="93"/>
      <c r="D1156" s="93"/>
      <c r="E1156" s="95"/>
      <c r="F1156" s="95"/>
      <c r="G1156" s="95"/>
      <c r="H1156" s="93"/>
      <c r="I1156" s="93"/>
      <c r="J1156" s="93"/>
    </row>
    <row r="1157" spans="1:10" s="65" customFormat="1" ht="14" x14ac:dyDescent="0.35">
      <c r="A1157" s="145"/>
      <c r="B1157" s="152"/>
      <c r="C1157" s="93"/>
      <c r="D1157" s="93"/>
      <c r="E1157" s="95"/>
      <c r="F1157" s="95"/>
      <c r="G1157" s="95"/>
      <c r="H1157" s="93"/>
      <c r="I1157" s="93"/>
      <c r="J1157" s="93"/>
    </row>
    <row r="1158" spans="1:10" s="65" customFormat="1" ht="14" x14ac:dyDescent="0.35">
      <c r="A1158" s="145"/>
      <c r="B1158" s="152"/>
      <c r="C1158" s="93"/>
      <c r="D1158" s="93"/>
      <c r="E1158" s="95"/>
      <c r="F1158" s="95"/>
      <c r="G1158" s="95"/>
      <c r="H1158" s="93"/>
      <c r="I1158" s="93"/>
      <c r="J1158" s="93"/>
    </row>
    <row r="1159" spans="1:10" s="65" customFormat="1" ht="14" x14ac:dyDescent="0.35">
      <c r="A1159" s="145"/>
      <c r="B1159" s="152"/>
      <c r="C1159" s="93"/>
      <c r="D1159" s="93"/>
      <c r="E1159" s="95"/>
      <c r="F1159" s="95"/>
      <c r="G1159" s="95"/>
      <c r="H1159" s="93"/>
      <c r="I1159" s="93"/>
      <c r="J1159" s="93"/>
    </row>
    <row r="1160" spans="1:10" s="65" customFormat="1" ht="14" x14ac:dyDescent="0.35">
      <c r="A1160" s="145"/>
      <c r="B1160" s="152"/>
      <c r="C1160" s="93"/>
      <c r="D1160" s="93"/>
      <c r="E1160" s="95"/>
      <c r="F1160" s="95"/>
      <c r="G1160" s="95"/>
      <c r="H1160" s="93"/>
      <c r="I1160" s="93"/>
      <c r="J1160" s="93"/>
    </row>
    <row r="1161" spans="1:10" s="65" customFormat="1" ht="14" x14ac:dyDescent="0.35">
      <c r="A1161" s="145"/>
      <c r="B1161" s="152"/>
      <c r="C1161" s="93"/>
      <c r="D1161" s="93"/>
      <c r="E1161" s="95"/>
      <c r="F1161" s="95"/>
      <c r="G1161" s="95"/>
      <c r="H1161" s="93"/>
      <c r="I1161" s="93"/>
      <c r="J1161" s="93"/>
    </row>
    <row r="1162" spans="1:10" s="65" customFormat="1" ht="14" x14ac:dyDescent="0.35">
      <c r="A1162" s="145"/>
      <c r="B1162" s="152"/>
      <c r="C1162" s="93"/>
      <c r="D1162" s="93"/>
      <c r="E1162" s="95"/>
      <c r="F1162" s="95"/>
      <c r="G1162" s="95"/>
      <c r="H1162" s="93"/>
      <c r="I1162" s="93"/>
      <c r="J1162" s="93"/>
    </row>
    <row r="1163" spans="1:10" s="65" customFormat="1" ht="14" x14ac:dyDescent="0.35">
      <c r="A1163" s="145"/>
      <c r="B1163" s="152"/>
      <c r="C1163" s="93"/>
      <c r="D1163" s="93"/>
      <c r="E1163" s="95"/>
      <c r="F1163" s="95"/>
      <c r="G1163" s="95"/>
      <c r="H1163" s="93"/>
      <c r="I1163" s="93"/>
      <c r="J1163" s="93"/>
    </row>
    <row r="1164" spans="1:10" s="65" customFormat="1" ht="14" x14ac:dyDescent="0.35">
      <c r="A1164" s="145"/>
      <c r="B1164" s="152"/>
      <c r="C1164" s="93"/>
      <c r="D1164" s="93"/>
      <c r="E1164" s="95"/>
      <c r="F1164" s="95"/>
      <c r="G1164" s="95"/>
      <c r="H1164" s="93"/>
      <c r="I1164" s="93"/>
      <c r="J1164" s="93"/>
    </row>
    <row r="1165" spans="1:10" s="65" customFormat="1" ht="14" x14ac:dyDescent="0.35">
      <c r="A1165" s="145"/>
      <c r="B1165" s="152"/>
      <c r="C1165" s="93"/>
      <c r="D1165" s="93"/>
      <c r="E1165" s="95"/>
      <c r="F1165" s="95"/>
      <c r="G1165" s="95"/>
      <c r="H1165" s="93"/>
      <c r="I1165" s="93"/>
      <c r="J1165" s="93"/>
    </row>
    <row r="1166" spans="1:10" s="65" customFormat="1" ht="14" x14ac:dyDescent="0.35">
      <c r="A1166" s="145"/>
      <c r="B1166" s="152"/>
      <c r="C1166" s="93"/>
      <c r="D1166" s="93"/>
      <c r="E1166" s="95"/>
      <c r="F1166" s="95"/>
      <c r="G1166" s="95"/>
      <c r="H1166" s="93"/>
      <c r="I1166" s="93"/>
      <c r="J1166" s="93"/>
    </row>
    <row r="1167" spans="1:10" s="65" customFormat="1" ht="14" x14ac:dyDescent="0.35">
      <c r="A1167" s="145"/>
      <c r="B1167" s="152"/>
      <c r="C1167" s="93"/>
      <c r="D1167" s="93"/>
      <c r="E1167" s="95"/>
      <c r="F1167" s="95"/>
      <c r="G1167" s="95"/>
      <c r="H1167" s="93"/>
      <c r="I1167" s="93"/>
      <c r="J1167" s="93"/>
    </row>
    <row r="1168" spans="1:10" s="65" customFormat="1" ht="14" x14ac:dyDescent="0.35">
      <c r="A1168" s="145"/>
      <c r="B1168" s="152"/>
      <c r="C1168" s="93"/>
      <c r="D1168" s="93"/>
      <c r="E1168" s="95"/>
      <c r="F1168" s="95"/>
      <c r="G1168" s="95"/>
      <c r="H1168" s="93"/>
      <c r="I1168" s="93"/>
      <c r="J1168" s="93"/>
    </row>
    <row r="1169" spans="1:10" s="65" customFormat="1" ht="14" x14ac:dyDescent="0.35">
      <c r="A1169" s="145"/>
      <c r="B1169" s="152"/>
      <c r="C1169" s="93"/>
      <c r="D1169" s="93"/>
      <c r="E1169" s="95"/>
      <c r="F1169" s="95"/>
      <c r="G1169" s="95"/>
      <c r="H1169" s="93"/>
      <c r="I1169" s="93"/>
      <c r="J1169" s="93"/>
    </row>
    <row r="1170" spans="1:10" s="65" customFormat="1" ht="14" x14ac:dyDescent="0.35">
      <c r="A1170" s="145"/>
      <c r="B1170" s="152"/>
      <c r="C1170" s="93"/>
      <c r="D1170" s="93"/>
      <c r="E1170" s="95"/>
      <c r="F1170" s="95"/>
      <c r="G1170" s="95"/>
      <c r="H1170" s="93"/>
      <c r="I1170" s="93"/>
      <c r="J1170" s="93"/>
    </row>
    <row r="1171" spans="1:10" s="65" customFormat="1" ht="14" x14ac:dyDescent="0.35">
      <c r="A1171" s="145"/>
      <c r="B1171" s="152"/>
      <c r="C1171" s="93"/>
      <c r="D1171" s="93"/>
      <c r="E1171" s="95"/>
      <c r="F1171" s="95"/>
      <c r="G1171" s="95"/>
      <c r="H1171" s="93"/>
      <c r="I1171" s="93"/>
      <c r="J1171" s="93"/>
    </row>
    <row r="1172" spans="1:10" s="65" customFormat="1" ht="14" x14ac:dyDescent="0.35">
      <c r="A1172" s="145"/>
      <c r="B1172" s="152"/>
      <c r="C1172" s="93"/>
      <c r="D1172" s="93"/>
      <c r="E1172" s="95"/>
      <c r="F1172" s="95"/>
      <c r="G1172" s="95"/>
      <c r="H1172" s="93"/>
      <c r="I1172" s="93"/>
      <c r="J1172" s="93"/>
    </row>
    <row r="1173" spans="1:10" s="65" customFormat="1" ht="14" x14ac:dyDescent="0.35">
      <c r="A1173" s="145"/>
      <c r="B1173" s="152"/>
      <c r="C1173" s="93"/>
      <c r="D1173" s="93"/>
      <c r="E1173" s="95"/>
      <c r="F1173" s="95"/>
      <c r="G1173" s="95"/>
      <c r="H1173" s="93"/>
      <c r="I1173" s="93"/>
      <c r="J1173" s="93"/>
    </row>
    <row r="1174" spans="1:10" s="65" customFormat="1" ht="14" x14ac:dyDescent="0.35">
      <c r="A1174" s="145"/>
      <c r="B1174" s="152"/>
      <c r="C1174" s="93"/>
      <c r="D1174" s="93"/>
      <c r="E1174" s="95"/>
      <c r="F1174" s="95"/>
      <c r="G1174" s="95"/>
      <c r="H1174" s="93"/>
      <c r="I1174" s="93"/>
      <c r="J1174" s="93"/>
    </row>
    <row r="1175" spans="1:10" s="65" customFormat="1" ht="14" x14ac:dyDescent="0.35">
      <c r="A1175" s="145"/>
      <c r="B1175" s="152"/>
      <c r="C1175" s="93"/>
      <c r="D1175" s="93"/>
      <c r="E1175" s="95"/>
      <c r="F1175" s="95"/>
      <c r="G1175" s="95"/>
      <c r="H1175" s="93"/>
      <c r="I1175" s="93"/>
      <c r="J1175" s="93"/>
    </row>
    <row r="1176" spans="1:10" s="65" customFormat="1" ht="14" x14ac:dyDescent="0.35">
      <c r="A1176" s="145"/>
      <c r="B1176" s="152"/>
      <c r="C1176" s="93"/>
      <c r="D1176" s="93"/>
      <c r="E1176" s="95"/>
      <c r="F1176" s="95"/>
      <c r="G1176" s="95"/>
      <c r="H1176" s="93"/>
      <c r="I1176" s="93"/>
      <c r="J1176" s="93"/>
    </row>
    <row r="1177" spans="1:10" s="65" customFormat="1" ht="14" x14ac:dyDescent="0.35">
      <c r="A1177" s="145"/>
      <c r="B1177" s="152"/>
      <c r="C1177" s="93"/>
      <c r="D1177" s="93"/>
      <c r="E1177" s="95"/>
      <c r="F1177" s="95"/>
      <c r="G1177" s="95"/>
      <c r="H1177" s="93"/>
      <c r="I1177" s="93"/>
      <c r="J1177" s="93"/>
    </row>
    <row r="1178" spans="1:10" s="65" customFormat="1" ht="14" x14ac:dyDescent="0.35">
      <c r="A1178" s="145"/>
      <c r="B1178" s="152"/>
      <c r="C1178" s="93"/>
      <c r="D1178" s="93"/>
      <c r="E1178" s="95"/>
      <c r="F1178" s="95"/>
      <c r="G1178" s="95"/>
      <c r="H1178" s="93"/>
      <c r="I1178" s="93"/>
      <c r="J1178" s="93"/>
    </row>
    <row r="1179" spans="1:10" s="65" customFormat="1" ht="14" x14ac:dyDescent="0.35">
      <c r="A1179" s="145"/>
      <c r="B1179" s="152"/>
      <c r="C1179" s="93"/>
      <c r="D1179" s="93"/>
      <c r="E1179" s="95"/>
      <c r="F1179" s="95"/>
      <c r="G1179" s="95"/>
      <c r="H1179" s="93"/>
      <c r="I1179" s="93"/>
      <c r="J1179" s="93"/>
    </row>
    <row r="1180" spans="1:10" s="65" customFormat="1" ht="14" x14ac:dyDescent="0.35">
      <c r="A1180" s="145"/>
      <c r="B1180" s="152"/>
      <c r="C1180" s="93"/>
      <c r="D1180" s="93"/>
      <c r="E1180" s="95"/>
      <c r="F1180" s="95"/>
      <c r="G1180" s="95"/>
      <c r="H1180" s="93"/>
      <c r="I1180" s="93"/>
      <c r="J1180" s="93"/>
    </row>
    <row r="1181" spans="1:10" s="65" customFormat="1" ht="14" x14ac:dyDescent="0.35">
      <c r="A1181" s="145"/>
      <c r="B1181" s="152"/>
      <c r="C1181" s="93"/>
      <c r="D1181" s="93"/>
      <c r="E1181" s="95"/>
      <c r="F1181" s="95"/>
      <c r="G1181" s="95"/>
      <c r="H1181" s="93"/>
      <c r="I1181" s="93"/>
      <c r="J1181" s="93"/>
    </row>
    <row r="1182" spans="1:10" s="65" customFormat="1" ht="14" x14ac:dyDescent="0.35">
      <c r="A1182" s="145"/>
      <c r="B1182" s="152"/>
      <c r="C1182" s="93"/>
      <c r="D1182" s="93"/>
      <c r="E1182" s="95"/>
      <c r="F1182" s="95"/>
      <c r="G1182" s="95"/>
      <c r="H1182" s="93"/>
      <c r="I1182" s="93"/>
      <c r="J1182" s="93"/>
    </row>
    <row r="1183" spans="1:10" s="65" customFormat="1" ht="14" x14ac:dyDescent="0.35">
      <c r="A1183" s="145"/>
      <c r="B1183" s="152"/>
      <c r="C1183" s="93"/>
      <c r="D1183" s="93"/>
      <c r="E1183" s="95"/>
      <c r="F1183" s="95"/>
      <c r="G1183" s="95"/>
      <c r="H1183" s="93"/>
      <c r="I1183" s="93"/>
      <c r="J1183" s="93"/>
    </row>
    <row r="1184" spans="1:10" s="65" customFormat="1" ht="14" x14ac:dyDescent="0.35">
      <c r="A1184" s="145"/>
      <c r="B1184" s="152"/>
      <c r="C1184" s="93"/>
      <c r="D1184" s="93"/>
      <c r="E1184" s="95"/>
      <c r="F1184" s="95"/>
      <c r="G1184" s="95"/>
      <c r="H1184" s="93"/>
      <c r="I1184" s="93"/>
      <c r="J1184" s="93"/>
    </row>
    <row r="1185" spans="1:10" s="65" customFormat="1" ht="14" x14ac:dyDescent="0.35">
      <c r="A1185" s="145"/>
      <c r="B1185" s="152"/>
      <c r="C1185" s="93"/>
      <c r="D1185" s="93"/>
      <c r="E1185" s="95"/>
      <c r="F1185" s="95"/>
      <c r="G1185" s="95"/>
      <c r="H1185" s="93"/>
      <c r="I1185" s="93"/>
      <c r="J1185" s="93"/>
    </row>
    <row r="1186" spans="1:10" s="65" customFormat="1" ht="14" x14ac:dyDescent="0.35">
      <c r="A1186" s="145"/>
      <c r="B1186" s="152"/>
      <c r="C1186" s="93"/>
      <c r="D1186" s="93"/>
      <c r="E1186" s="95"/>
      <c r="F1186" s="95"/>
      <c r="G1186" s="95"/>
      <c r="H1186" s="93"/>
      <c r="I1186" s="93"/>
      <c r="J1186" s="93"/>
    </row>
    <row r="1187" spans="1:10" s="65" customFormat="1" ht="14" x14ac:dyDescent="0.35">
      <c r="A1187" s="145"/>
      <c r="B1187" s="152"/>
      <c r="C1187" s="93"/>
      <c r="D1187" s="93"/>
      <c r="E1187" s="95"/>
      <c r="F1187" s="95"/>
      <c r="G1187" s="95"/>
      <c r="H1187" s="93"/>
      <c r="I1187" s="93"/>
      <c r="J1187" s="93"/>
    </row>
    <row r="1188" spans="1:10" s="65" customFormat="1" ht="14" x14ac:dyDescent="0.35">
      <c r="A1188" s="145"/>
      <c r="B1188" s="152"/>
      <c r="C1188" s="93"/>
      <c r="D1188" s="93"/>
      <c r="E1188" s="95"/>
      <c r="F1188" s="95"/>
      <c r="G1188" s="95"/>
      <c r="H1188" s="93"/>
      <c r="I1188" s="93"/>
      <c r="J1188" s="93"/>
    </row>
    <row r="1189" spans="1:10" s="65" customFormat="1" ht="14" x14ac:dyDescent="0.35">
      <c r="A1189" s="145"/>
      <c r="B1189" s="152"/>
      <c r="C1189" s="93"/>
      <c r="D1189" s="93"/>
      <c r="E1189" s="95"/>
      <c r="F1189" s="95"/>
      <c r="G1189" s="95"/>
      <c r="H1189" s="93"/>
      <c r="I1189" s="93"/>
      <c r="J1189" s="93"/>
    </row>
    <row r="1190" spans="1:10" s="65" customFormat="1" ht="14" x14ac:dyDescent="0.35">
      <c r="A1190" s="145"/>
      <c r="B1190" s="152"/>
      <c r="C1190" s="93"/>
      <c r="D1190" s="93"/>
      <c r="E1190" s="95"/>
      <c r="F1190" s="95"/>
      <c r="G1190" s="95"/>
      <c r="H1190" s="93"/>
      <c r="I1190" s="93"/>
      <c r="J1190" s="93"/>
    </row>
    <row r="1191" spans="1:10" s="65" customFormat="1" ht="14" x14ac:dyDescent="0.35">
      <c r="A1191" s="145"/>
      <c r="B1191" s="152"/>
      <c r="C1191" s="93"/>
      <c r="D1191" s="93"/>
      <c r="E1191" s="95"/>
      <c r="F1191" s="95"/>
      <c r="G1191" s="95"/>
      <c r="H1191" s="93"/>
      <c r="I1191" s="93"/>
      <c r="J1191" s="93"/>
    </row>
    <row r="1192" spans="1:10" s="65" customFormat="1" ht="14" x14ac:dyDescent="0.35">
      <c r="A1192" s="145"/>
      <c r="B1192" s="152"/>
      <c r="C1192" s="93"/>
      <c r="D1192" s="93"/>
      <c r="E1192" s="95"/>
      <c r="F1192" s="95"/>
      <c r="G1192" s="95"/>
      <c r="H1192" s="93"/>
      <c r="I1192" s="93"/>
      <c r="J1192" s="93"/>
    </row>
    <row r="1193" spans="1:10" s="65" customFormat="1" ht="14" x14ac:dyDescent="0.35">
      <c r="A1193" s="145"/>
      <c r="B1193" s="152"/>
      <c r="C1193" s="93"/>
      <c r="D1193" s="93"/>
      <c r="E1193" s="95"/>
      <c r="F1193" s="95"/>
      <c r="G1193" s="95"/>
      <c r="H1193" s="93"/>
      <c r="I1193" s="93"/>
      <c r="J1193" s="93"/>
    </row>
    <row r="1194" spans="1:10" s="65" customFormat="1" ht="14" x14ac:dyDescent="0.35">
      <c r="A1194" s="145"/>
      <c r="B1194" s="152"/>
      <c r="C1194" s="93"/>
      <c r="D1194" s="93"/>
      <c r="E1194" s="95"/>
      <c r="F1194" s="95"/>
      <c r="G1194" s="95"/>
      <c r="H1194" s="93"/>
      <c r="I1194" s="93"/>
      <c r="J1194" s="93"/>
    </row>
    <row r="1195" spans="1:10" s="65" customFormat="1" ht="14" x14ac:dyDescent="0.35">
      <c r="A1195" s="145"/>
      <c r="B1195" s="152"/>
      <c r="C1195" s="93"/>
      <c r="D1195" s="93"/>
      <c r="E1195" s="95"/>
      <c r="F1195" s="95"/>
      <c r="G1195" s="95"/>
      <c r="H1195" s="93"/>
      <c r="I1195" s="93"/>
      <c r="J1195" s="93"/>
    </row>
    <row r="1196" spans="1:10" s="65" customFormat="1" ht="14" x14ac:dyDescent="0.35">
      <c r="A1196" s="145"/>
      <c r="B1196" s="152"/>
      <c r="C1196" s="93"/>
      <c r="D1196" s="93"/>
      <c r="E1196" s="95"/>
      <c r="F1196" s="95"/>
      <c r="G1196" s="95"/>
      <c r="H1196" s="93"/>
      <c r="I1196" s="93"/>
      <c r="J1196" s="93"/>
    </row>
    <row r="1197" spans="1:10" s="65" customFormat="1" ht="14" x14ac:dyDescent="0.35">
      <c r="A1197" s="145"/>
      <c r="B1197" s="152"/>
      <c r="C1197" s="93"/>
      <c r="D1197" s="93"/>
      <c r="E1197" s="95"/>
      <c r="F1197" s="95"/>
      <c r="G1197" s="95"/>
      <c r="H1197" s="93"/>
      <c r="I1197" s="93"/>
      <c r="J1197" s="93"/>
    </row>
    <row r="1198" spans="1:10" s="65" customFormat="1" ht="14" x14ac:dyDescent="0.35">
      <c r="A1198" s="145"/>
      <c r="B1198" s="152"/>
      <c r="C1198" s="93"/>
      <c r="D1198" s="93"/>
      <c r="E1198" s="95"/>
      <c r="F1198" s="95"/>
      <c r="G1198" s="95"/>
      <c r="H1198" s="93"/>
      <c r="I1198" s="93"/>
      <c r="J1198" s="93"/>
    </row>
    <row r="1199" spans="1:10" s="65" customFormat="1" ht="14" x14ac:dyDescent="0.35">
      <c r="A1199" s="145"/>
      <c r="B1199" s="152"/>
      <c r="C1199" s="93"/>
      <c r="D1199" s="93"/>
      <c r="E1199" s="95"/>
      <c r="F1199" s="95"/>
      <c r="G1199" s="95"/>
      <c r="H1199" s="93"/>
      <c r="I1199" s="93"/>
      <c r="J1199" s="93"/>
    </row>
    <row r="1200" spans="1:10" s="65" customFormat="1" ht="14" x14ac:dyDescent="0.35">
      <c r="A1200" s="145"/>
      <c r="B1200" s="152"/>
      <c r="C1200" s="93"/>
      <c r="D1200" s="93"/>
      <c r="E1200" s="95"/>
      <c r="F1200" s="95"/>
      <c r="G1200" s="95"/>
      <c r="H1200" s="93"/>
      <c r="I1200" s="93"/>
      <c r="J1200" s="93"/>
    </row>
    <row r="1201" spans="1:10" s="65" customFormat="1" ht="14" x14ac:dyDescent="0.35">
      <c r="A1201" s="145"/>
      <c r="B1201" s="152"/>
      <c r="C1201" s="93"/>
      <c r="D1201" s="93"/>
      <c r="E1201" s="95"/>
      <c r="F1201" s="95"/>
      <c r="G1201" s="95"/>
      <c r="H1201" s="93"/>
      <c r="I1201" s="93"/>
      <c r="J1201" s="93"/>
    </row>
    <row r="1202" spans="1:10" s="65" customFormat="1" ht="14" x14ac:dyDescent="0.35">
      <c r="A1202" s="145"/>
      <c r="B1202" s="152"/>
      <c r="C1202" s="93"/>
      <c r="D1202" s="93"/>
      <c r="E1202" s="95"/>
      <c r="F1202" s="95"/>
      <c r="G1202" s="95"/>
      <c r="H1202" s="93"/>
      <c r="I1202" s="93"/>
      <c r="J1202" s="93"/>
    </row>
    <row r="1203" spans="1:10" s="65" customFormat="1" ht="14" x14ac:dyDescent="0.35">
      <c r="A1203" s="145"/>
      <c r="B1203" s="152"/>
      <c r="C1203" s="93"/>
      <c r="D1203" s="93"/>
      <c r="E1203" s="95"/>
      <c r="F1203" s="95"/>
      <c r="G1203" s="95"/>
      <c r="H1203" s="93"/>
      <c r="I1203" s="93"/>
      <c r="J1203" s="93"/>
    </row>
    <row r="1204" spans="1:10" s="65" customFormat="1" ht="14" x14ac:dyDescent="0.35">
      <c r="A1204" s="145"/>
      <c r="B1204" s="152"/>
      <c r="C1204" s="93"/>
      <c r="D1204" s="93"/>
      <c r="E1204" s="95"/>
      <c r="F1204" s="95"/>
      <c r="G1204" s="95"/>
      <c r="H1204" s="93"/>
      <c r="I1204" s="93"/>
      <c r="J1204" s="93"/>
    </row>
    <row r="1205" spans="1:10" s="65" customFormat="1" ht="14" x14ac:dyDescent="0.35">
      <c r="A1205" s="145"/>
      <c r="B1205" s="152"/>
      <c r="C1205" s="93"/>
      <c r="D1205" s="93"/>
      <c r="E1205" s="95"/>
      <c r="F1205" s="95"/>
      <c r="G1205" s="95"/>
      <c r="H1205" s="93"/>
      <c r="I1205" s="93"/>
      <c r="J1205" s="93"/>
    </row>
    <row r="1206" spans="1:10" s="65" customFormat="1" ht="14" x14ac:dyDescent="0.35">
      <c r="A1206" s="145"/>
      <c r="B1206" s="152"/>
      <c r="C1206" s="93"/>
      <c r="D1206" s="93"/>
      <c r="E1206" s="95"/>
      <c r="F1206" s="95"/>
      <c r="G1206" s="95"/>
      <c r="H1206" s="93"/>
      <c r="I1206" s="93"/>
      <c r="J1206" s="93"/>
    </row>
    <row r="1207" spans="1:10" s="65" customFormat="1" ht="14" x14ac:dyDescent="0.35">
      <c r="A1207" s="145"/>
      <c r="B1207" s="152"/>
      <c r="C1207" s="93"/>
      <c r="D1207" s="93"/>
      <c r="E1207" s="95"/>
      <c r="F1207" s="95"/>
      <c r="G1207" s="95"/>
      <c r="H1207" s="93"/>
      <c r="I1207" s="93"/>
      <c r="J1207" s="93"/>
    </row>
    <row r="1208" spans="1:10" s="65" customFormat="1" ht="14" x14ac:dyDescent="0.35">
      <c r="A1208" s="145"/>
      <c r="B1208" s="152"/>
      <c r="C1208" s="93"/>
      <c r="D1208" s="93"/>
      <c r="E1208" s="95"/>
      <c r="F1208" s="95"/>
      <c r="G1208" s="95"/>
      <c r="H1208" s="93"/>
      <c r="I1208" s="93"/>
      <c r="J1208" s="93"/>
    </row>
    <row r="1209" spans="1:10" s="65" customFormat="1" ht="14" x14ac:dyDescent="0.35">
      <c r="A1209" s="145"/>
      <c r="B1209" s="152"/>
      <c r="C1209" s="93"/>
      <c r="D1209" s="93"/>
      <c r="E1209" s="95"/>
      <c r="F1209" s="95"/>
      <c r="G1209" s="95"/>
      <c r="H1209" s="93"/>
      <c r="I1209" s="93"/>
      <c r="J1209" s="93"/>
    </row>
    <row r="1210" spans="1:10" s="65" customFormat="1" ht="14" x14ac:dyDescent="0.35">
      <c r="A1210" s="145"/>
      <c r="B1210" s="152"/>
      <c r="C1210" s="93"/>
      <c r="D1210" s="93"/>
      <c r="E1210" s="95"/>
      <c r="F1210" s="95"/>
      <c r="G1210" s="95"/>
      <c r="H1210" s="93"/>
      <c r="I1210" s="93"/>
      <c r="J1210" s="93"/>
    </row>
    <row r="1211" spans="1:10" s="65" customFormat="1" ht="14" x14ac:dyDescent="0.35">
      <c r="A1211" s="145"/>
      <c r="B1211" s="152"/>
      <c r="C1211" s="93"/>
      <c r="D1211" s="93"/>
      <c r="E1211" s="95"/>
      <c r="F1211" s="95"/>
      <c r="G1211" s="95"/>
      <c r="H1211" s="93"/>
      <c r="I1211" s="93"/>
      <c r="J1211" s="93"/>
    </row>
    <row r="1212" spans="1:10" s="65" customFormat="1" ht="14" x14ac:dyDescent="0.35">
      <c r="A1212" s="145"/>
      <c r="B1212" s="152"/>
      <c r="C1212" s="93"/>
      <c r="D1212" s="93"/>
      <c r="E1212" s="95"/>
      <c r="F1212" s="95"/>
      <c r="G1212" s="95"/>
      <c r="H1212" s="93"/>
      <c r="I1212" s="93"/>
      <c r="J1212" s="93"/>
    </row>
    <row r="1213" spans="1:10" s="65" customFormat="1" ht="14" x14ac:dyDescent="0.35">
      <c r="A1213" s="145"/>
      <c r="B1213" s="152"/>
      <c r="C1213" s="93"/>
      <c r="D1213" s="93"/>
      <c r="E1213" s="95"/>
      <c r="F1213" s="95"/>
      <c r="G1213" s="95"/>
      <c r="H1213" s="93"/>
      <c r="I1213" s="93"/>
      <c r="J1213" s="93"/>
    </row>
    <row r="1214" spans="1:10" s="65" customFormat="1" ht="14" x14ac:dyDescent="0.35">
      <c r="A1214" s="145"/>
      <c r="B1214" s="152"/>
      <c r="C1214" s="93"/>
      <c r="D1214" s="93"/>
      <c r="E1214" s="95"/>
      <c r="F1214" s="95"/>
      <c r="G1214" s="95"/>
      <c r="H1214" s="93"/>
      <c r="I1214" s="93"/>
      <c r="J1214" s="93"/>
    </row>
    <row r="1215" spans="1:10" s="65" customFormat="1" ht="14" x14ac:dyDescent="0.35">
      <c r="A1215" s="145"/>
      <c r="B1215" s="152"/>
      <c r="C1215" s="93"/>
      <c r="D1215" s="93"/>
      <c r="E1215" s="95"/>
      <c r="F1215" s="95"/>
      <c r="G1215" s="95"/>
      <c r="H1215" s="93"/>
      <c r="I1215" s="93"/>
      <c r="J1215" s="93"/>
    </row>
    <row r="1216" spans="1:10" s="65" customFormat="1" ht="14" x14ac:dyDescent="0.35">
      <c r="A1216" s="145"/>
      <c r="B1216" s="152"/>
      <c r="C1216" s="93"/>
      <c r="D1216" s="93"/>
      <c r="E1216" s="95"/>
      <c r="F1216" s="95"/>
      <c r="G1216" s="95"/>
      <c r="H1216" s="93"/>
      <c r="I1216" s="93"/>
      <c r="J1216" s="93"/>
    </row>
    <row r="1217" spans="1:10" s="65" customFormat="1" ht="14" x14ac:dyDescent="0.35">
      <c r="A1217" s="145"/>
      <c r="B1217" s="152"/>
      <c r="C1217" s="93"/>
      <c r="D1217" s="93"/>
      <c r="E1217" s="95"/>
      <c r="F1217" s="95"/>
      <c r="G1217" s="95"/>
      <c r="H1217" s="93"/>
      <c r="I1217" s="93"/>
      <c r="J1217" s="93"/>
    </row>
    <row r="1218" spans="1:10" s="65" customFormat="1" ht="14" x14ac:dyDescent="0.35">
      <c r="A1218" s="145"/>
      <c r="B1218" s="152"/>
      <c r="C1218" s="93"/>
      <c r="D1218" s="93"/>
      <c r="E1218" s="95"/>
      <c r="F1218" s="95"/>
      <c r="G1218" s="95"/>
      <c r="H1218" s="93"/>
      <c r="I1218" s="93"/>
      <c r="J1218" s="93"/>
    </row>
    <row r="1219" spans="1:10" s="65" customFormat="1" ht="14" x14ac:dyDescent="0.35">
      <c r="A1219" s="145"/>
      <c r="B1219" s="152"/>
      <c r="C1219" s="93"/>
      <c r="D1219" s="93"/>
      <c r="E1219" s="95"/>
      <c r="F1219" s="95"/>
      <c r="G1219" s="95"/>
      <c r="H1219" s="93"/>
      <c r="I1219" s="93"/>
      <c r="J1219" s="93"/>
    </row>
    <row r="1220" spans="1:10" s="65" customFormat="1" ht="14" x14ac:dyDescent="0.35">
      <c r="A1220" s="145"/>
      <c r="B1220" s="152"/>
      <c r="C1220" s="93"/>
      <c r="D1220" s="93"/>
      <c r="E1220" s="95"/>
      <c r="F1220" s="95"/>
      <c r="G1220" s="95"/>
      <c r="H1220" s="93"/>
      <c r="I1220" s="93"/>
      <c r="J1220" s="93"/>
    </row>
    <row r="1221" spans="1:10" s="65" customFormat="1" ht="14" x14ac:dyDescent="0.35">
      <c r="A1221" s="145"/>
      <c r="B1221" s="152"/>
      <c r="C1221" s="93"/>
      <c r="D1221" s="93"/>
      <c r="E1221" s="95"/>
      <c r="F1221" s="95"/>
      <c r="G1221" s="95"/>
      <c r="H1221" s="93"/>
      <c r="I1221" s="93"/>
      <c r="J1221" s="93"/>
    </row>
    <row r="1222" spans="1:10" s="65" customFormat="1" ht="14" x14ac:dyDescent="0.35">
      <c r="A1222" s="145"/>
      <c r="B1222" s="152"/>
      <c r="C1222" s="93"/>
      <c r="D1222" s="93"/>
      <c r="E1222" s="95"/>
      <c r="F1222" s="95"/>
      <c r="G1222" s="95"/>
      <c r="H1222" s="93"/>
      <c r="I1222" s="93"/>
      <c r="J1222" s="93"/>
    </row>
    <row r="1223" spans="1:10" s="65" customFormat="1" ht="14" x14ac:dyDescent="0.35">
      <c r="A1223" s="145"/>
      <c r="B1223" s="152"/>
      <c r="C1223" s="93"/>
      <c r="D1223" s="93"/>
      <c r="E1223" s="95"/>
      <c r="F1223" s="95"/>
      <c r="G1223" s="95"/>
      <c r="H1223" s="93"/>
      <c r="I1223" s="93"/>
      <c r="J1223" s="93"/>
    </row>
    <row r="1224" spans="1:10" s="65" customFormat="1" ht="14" x14ac:dyDescent="0.35">
      <c r="A1224" s="145"/>
      <c r="B1224" s="152"/>
      <c r="C1224" s="93"/>
      <c r="D1224" s="93"/>
      <c r="E1224" s="95"/>
      <c r="F1224" s="95"/>
      <c r="G1224" s="95"/>
      <c r="H1224" s="93"/>
      <c r="I1224" s="93"/>
      <c r="J1224" s="93"/>
    </row>
    <row r="1225" spans="1:10" s="65" customFormat="1" ht="14" x14ac:dyDescent="0.35">
      <c r="A1225" s="145"/>
      <c r="B1225" s="152"/>
      <c r="C1225" s="93"/>
      <c r="D1225" s="93"/>
      <c r="E1225" s="95"/>
      <c r="F1225" s="95"/>
      <c r="G1225" s="95"/>
      <c r="H1225" s="93"/>
      <c r="I1225" s="93"/>
      <c r="J1225" s="93"/>
    </row>
    <row r="1226" spans="1:10" s="65" customFormat="1" ht="14" x14ac:dyDescent="0.35">
      <c r="A1226" s="145"/>
      <c r="B1226" s="152"/>
      <c r="C1226" s="93"/>
      <c r="D1226" s="93"/>
      <c r="E1226" s="95"/>
      <c r="F1226" s="95"/>
      <c r="G1226" s="95"/>
      <c r="H1226" s="93"/>
      <c r="I1226" s="93"/>
      <c r="J1226" s="93"/>
    </row>
    <row r="1227" spans="1:10" s="65" customFormat="1" ht="14" x14ac:dyDescent="0.35">
      <c r="A1227" s="145"/>
      <c r="B1227" s="152"/>
      <c r="C1227" s="93"/>
      <c r="D1227" s="93"/>
      <c r="E1227" s="95"/>
      <c r="F1227" s="95"/>
      <c r="G1227" s="95"/>
      <c r="H1227" s="93"/>
      <c r="I1227" s="93"/>
      <c r="J1227" s="93"/>
    </row>
    <row r="1228" spans="1:10" s="65" customFormat="1" ht="14" x14ac:dyDescent="0.35">
      <c r="A1228" s="145"/>
      <c r="B1228" s="152"/>
      <c r="C1228" s="93"/>
      <c r="D1228" s="93"/>
      <c r="E1228" s="95"/>
      <c r="F1228" s="95"/>
      <c r="G1228" s="95"/>
      <c r="H1228" s="93"/>
      <c r="I1228" s="93"/>
      <c r="J1228" s="93"/>
    </row>
    <row r="1229" spans="1:10" s="65" customFormat="1" ht="14" x14ac:dyDescent="0.35">
      <c r="A1229" s="145"/>
      <c r="B1229" s="152"/>
      <c r="C1229" s="93"/>
      <c r="D1229" s="93"/>
      <c r="E1229" s="95"/>
      <c r="F1229" s="95"/>
      <c r="G1229" s="95"/>
      <c r="H1229" s="93"/>
      <c r="I1229" s="93"/>
      <c r="J1229" s="93"/>
    </row>
    <row r="1230" spans="1:10" s="65" customFormat="1" ht="14" x14ac:dyDescent="0.35">
      <c r="A1230" s="145"/>
      <c r="B1230" s="152"/>
      <c r="C1230" s="93"/>
      <c r="D1230" s="93"/>
      <c r="E1230" s="95"/>
      <c r="F1230" s="95"/>
      <c r="G1230" s="95"/>
      <c r="H1230" s="93"/>
      <c r="I1230" s="93"/>
      <c r="J1230" s="93"/>
    </row>
    <row r="1231" spans="1:10" s="65" customFormat="1" ht="14" x14ac:dyDescent="0.35">
      <c r="A1231" s="145"/>
      <c r="B1231" s="152"/>
      <c r="C1231" s="93"/>
      <c r="D1231" s="93"/>
      <c r="E1231" s="95"/>
      <c r="F1231" s="95"/>
      <c r="G1231" s="95"/>
      <c r="H1231" s="93"/>
      <c r="I1231" s="93"/>
      <c r="J1231" s="93"/>
    </row>
    <row r="1232" spans="1:10" s="65" customFormat="1" ht="14" x14ac:dyDescent="0.35">
      <c r="A1232" s="145"/>
      <c r="B1232" s="152"/>
      <c r="C1232" s="93"/>
      <c r="D1232" s="93"/>
      <c r="E1232" s="95"/>
      <c r="F1232" s="95"/>
      <c r="G1232" s="95"/>
      <c r="H1232" s="93"/>
      <c r="I1232" s="93"/>
      <c r="J1232" s="93"/>
    </row>
    <row r="1233" spans="1:10" s="65" customFormat="1" ht="14" x14ac:dyDescent="0.35">
      <c r="A1233" s="145"/>
      <c r="B1233" s="152"/>
      <c r="C1233" s="93"/>
      <c r="D1233" s="93"/>
      <c r="E1233" s="95"/>
      <c r="F1233" s="95"/>
      <c r="G1233" s="95"/>
      <c r="H1233" s="93"/>
      <c r="I1233" s="93"/>
      <c r="J1233" s="93"/>
    </row>
    <row r="1234" spans="1:10" s="65" customFormat="1" ht="14" x14ac:dyDescent="0.35">
      <c r="A1234" s="145"/>
      <c r="B1234" s="152"/>
      <c r="C1234" s="93"/>
      <c r="D1234" s="93"/>
      <c r="E1234" s="95"/>
      <c r="F1234" s="95"/>
      <c r="G1234" s="95"/>
      <c r="H1234" s="93"/>
      <c r="I1234" s="93"/>
      <c r="J1234" s="93"/>
    </row>
    <row r="1235" spans="1:10" s="65" customFormat="1" ht="14" x14ac:dyDescent="0.35">
      <c r="A1235" s="145"/>
      <c r="B1235" s="152"/>
      <c r="C1235" s="93"/>
      <c r="D1235" s="93"/>
      <c r="E1235" s="95"/>
      <c r="F1235" s="95"/>
      <c r="G1235" s="95"/>
      <c r="H1235" s="93"/>
      <c r="I1235" s="93"/>
      <c r="J1235" s="93"/>
    </row>
    <row r="1236" spans="1:10" s="65" customFormat="1" ht="14" x14ac:dyDescent="0.35">
      <c r="A1236" s="145"/>
      <c r="B1236" s="152"/>
      <c r="C1236" s="93"/>
      <c r="D1236" s="93"/>
      <c r="E1236" s="95"/>
      <c r="F1236" s="95"/>
      <c r="G1236" s="95"/>
      <c r="H1236" s="93"/>
      <c r="I1236" s="93"/>
      <c r="J1236" s="93"/>
    </row>
    <row r="1237" spans="1:10" s="65" customFormat="1" ht="14" x14ac:dyDescent="0.35">
      <c r="A1237" s="145"/>
      <c r="B1237" s="152"/>
      <c r="C1237" s="93"/>
      <c r="D1237" s="93"/>
      <c r="E1237" s="95"/>
      <c r="F1237" s="95"/>
      <c r="G1237" s="95"/>
      <c r="H1237" s="93"/>
      <c r="I1237" s="93"/>
      <c r="J1237" s="93"/>
    </row>
    <row r="1238" spans="1:10" s="65" customFormat="1" ht="14" x14ac:dyDescent="0.35">
      <c r="A1238" s="145"/>
      <c r="B1238" s="152"/>
      <c r="C1238" s="93"/>
      <c r="D1238" s="93"/>
      <c r="E1238" s="95"/>
      <c r="F1238" s="95"/>
      <c r="G1238" s="95"/>
      <c r="H1238" s="93"/>
      <c r="I1238" s="93"/>
      <c r="J1238" s="93"/>
    </row>
    <row r="1239" spans="1:10" s="65" customFormat="1" ht="14" x14ac:dyDescent="0.35">
      <c r="A1239" s="145"/>
      <c r="B1239" s="152"/>
      <c r="C1239" s="93"/>
      <c r="D1239" s="93"/>
      <c r="E1239" s="95"/>
      <c r="F1239" s="95"/>
      <c r="G1239" s="95"/>
      <c r="H1239" s="93"/>
      <c r="I1239" s="93"/>
      <c r="J1239" s="93"/>
    </row>
    <row r="1240" spans="1:10" s="65" customFormat="1" ht="14" x14ac:dyDescent="0.35">
      <c r="A1240" s="145"/>
      <c r="B1240" s="152"/>
      <c r="C1240" s="93"/>
      <c r="D1240" s="93"/>
      <c r="E1240" s="95"/>
      <c r="F1240" s="95"/>
      <c r="G1240" s="95"/>
      <c r="H1240" s="93"/>
      <c r="I1240" s="93"/>
      <c r="J1240" s="93"/>
    </row>
    <row r="1241" spans="1:10" s="65" customFormat="1" ht="14" x14ac:dyDescent="0.35">
      <c r="A1241" s="145"/>
      <c r="B1241" s="152"/>
      <c r="C1241" s="93"/>
      <c r="D1241" s="93"/>
      <c r="E1241" s="95"/>
      <c r="F1241" s="95"/>
      <c r="G1241" s="95"/>
      <c r="H1241" s="93"/>
      <c r="I1241" s="93"/>
      <c r="J1241" s="93"/>
    </row>
    <row r="1242" spans="1:10" s="65" customFormat="1" ht="14" x14ac:dyDescent="0.35">
      <c r="A1242" s="145"/>
      <c r="B1242" s="152"/>
      <c r="C1242" s="93"/>
      <c r="D1242" s="93"/>
      <c r="E1242" s="95"/>
      <c r="F1242" s="95"/>
      <c r="G1242" s="95"/>
      <c r="H1242" s="93"/>
      <c r="I1242" s="93"/>
      <c r="J1242" s="93"/>
    </row>
    <row r="1243" spans="1:10" s="65" customFormat="1" ht="14" x14ac:dyDescent="0.35">
      <c r="A1243" s="145"/>
      <c r="B1243" s="152"/>
      <c r="C1243" s="93"/>
      <c r="D1243" s="93"/>
      <c r="E1243" s="95"/>
      <c r="F1243" s="95"/>
      <c r="G1243" s="95"/>
      <c r="H1243" s="93"/>
      <c r="I1243" s="93"/>
      <c r="J1243" s="93"/>
    </row>
    <row r="1244" spans="1:10" s="65" customFormat="1" ht="14" x14ac:dyDescent="0.35">
      <c r="A1244" s="145"/>
      <c r="B1244" s="152"/>
      <c r="C1244" s="93"/>
      <c r="D1244" s="93"/>
      <c r="E1244" s="95"/>
      <c r="F1244" s="95"/>
      <c r="G1244" s="95"/>
      <c r="H1244" s="93"/>
      <c r="I1244" s="93"/>
      <c r="J1244" s="93"/>
    </row>
    <row r="1245" spans="1:10" s="65" customFormat="1" ht="14" x14ac:dyDescent="0.35">
      <c r="A1245" s="145"/>
      <c r="B1245" s="152"/>
      <c r="C1245" s="93"/>
      <c r="D1245" s="93"/>
      <c r="E1245" s="95"/>
      <c r="F1245" s="95"/>
      <c r="G1245" s="95"/>
      <c r="H1245" s="93"/>
      <c r="I1245" s="93"/>
      <c r="J1245" s="93"/>
    </row>
    <row r="1246" spans="1:10" s="65" customFormat="1" ht="14" x14ac:dyDescent="0.35">
      <c r="A1246" s="145"/>
      <c r="B1246" s="152"/>
      <c r="C1246" s="93"/>
      <c r="D1246" s="93"/>
      <c r="E1246" s="95"/>
      <c r="F1246" s="95"/>
      <c r="G1246" s="95"/>
      <c r="H1246" s="93"/>
      <c r="I1246" s="93"/>
      <c r="J1246" s="93"/>
    </row>
    <row r="1247" spans="1:10" s="65" customFormat="1" ht="14" x14ac:dyDescent="0.35">
      <c r="A1247" s="145"/>
      <c r="B1247" s="152"/>
      <c r="C1247" s="93"/>
      <c r="D1247" s="93"/>
      <c r="E1247" s="95"/>
      <c r="F1247" s="95"/>
      <c r="G1247" s="95"/>
      <c r="H1247" s="93"/>
      <c r="I1247" s="93"/>
      <c r="J1247" s="93"/>
    </row>
    <row r="1248" spans="1:10" s="65" customFormat="1" ht="14" x14ac:dyDescent="0.35">
      <c r="A1248" s="145"/>
      <c r="B1248" s="152"/>
      <c r="C1248" s="93"/>
      <c r="D1248" s="93"/>
      <c r="E1248" s="95"/>
      <c r="F1248" s="95"/>
      <c r="G1248" s="95"/>
      <c r="H1248" s="93"/>
      <c r="I1248" s="93"/>
      <c r="J1248" s="93"/>
    </row>
    <row r="1249" spans="1:10" s="65" customFormat="1" ht="14" x14ac:dyDescent="0.35">
      <c r="A1249" s="145"/>
      <c r="B1249" s="152"/>
      <c r="C1249" s="93"/>
      <c r="D1249" s="93"/>
      <c r="E1249" s="95"/>
      <c r="F1249" s="95"/>
      <c r="G1249" s="95"/>
      <c r="H1249" s="93"/>
      <c r="I1249" s="93"/>
      <c r="J1249" s="93"/>
    </row>
    <row r="1250" spans="1:10" s="65" customFormat="1" ht="14" x14ac:dyDescent="0.35">
      <c r="A1250" s="145"/>
      <c r="B1250" s="152"/>
      <c r="C1250" s="93"/>
      <c r="D1250" s="93"/>
      <c r="E1250" s="95"/>
      <c r="F1250" s="95"/>
      <c r="G1250" s="95"/>
      <c r="H1250" s="93"/>
      <c r="I1250" s="93"/>
      <c r="J1250" s="93"/>
    </row>
    <row r="1251" spans="1:10" s="65" customFormat="1" ht="14" x14ac:dyDescent="0.35">
      <c r="A1251" s="145"/>
      <c r="B1251" s="152"/>
      <c r="C1251" s="93"/>
      <c r="D1251" s="93"/>
      <c r="E1251" s="95"/>
      <c r="F1251" s="95"/>
      <c r="G1251" s="95"/>
      <c r="H1251" s="93"/>
      <c r="I1251" s="93"/>
      <c r="J1251" s="93"/>
    </row>
    <row r="1252" spans="1:10" s="65" customFormat="1" ht="14" x14ac:dyDescent="0.35">
      <c r="A1252" s="145"/>
      <c r="B1252" s="152"/>
      <c r="C1252" s="93"/>
      <c r="D1252" s="93"/>
      <c r="E1252" s="95"/>
      <c r="F1252" s="95"/>
      <c r="G1252" s="95"/>
      <c r="H1252" s="93"/>
      <c r="I1252" s="93"/>
      <c r="J1252" s="93"/>
    </row>
    <row r="1253" spans="1:10" s="65" customFormat="1" ht="14" x14ac:dyDescent="0.35">
      <c r="A1253" s="145"/>
      <c r="B1253" s="152"/>
      <c r="C1253" s="93"/>
      <c r="D1253" s="93"/>
      <c r="E1253" s="95"/>
      <c r="F1253" s="95"/>
      <c r="G1253" s="95"/>
      <c r="H1253" s="93"/>
      <c r="I1253" s="93"/>
      <c r="J1253" s="93"/>
    </row>
    <row r="1254" spans="1:10" s="65" customFormat="1" ht="14" x14ac:dyDescent="0.35">
      <c r="A1254" s="145"/>
      <c r="B1254" s="152"/>
      <c r="C1254" s="93"/>
      <c r="D1254" s="93"/>
      <c r="E1254" s="95"/>
      <c r="F1254" s="95"/>
      <c r="G1254" s="95"/>
      <c r="H1254" s="93"/>
      <c r="I1254" s="93"/>
      <c r="J1254" s="93"/>
    </row>
    <row r="1255" spans="1:10" s="65" customFormat="1" ht="14" x14ac:dyDescent="0.35">
      <c r="A1255" s="145"/>
      <c r="B1255" s="152"/>
      <c r="C1255" s="93"/>
      <c r="D1255" s="93"/>
      <c r="E1255" s="95"/>
      <c r="F1255" s="95"/>
      <c r="G1255" s="95"/>
      <c r="H1255" s="93"/>
      <c r="I1255" s="93"/>
      <c r="J1255" s="93"/>
    </row>
    <row r="1256" spans="1:10" s="65" customFormat="1" ht="14" x14ac:dyDescent="0.35">
      <c r="A1256" s="145"/>
      <c r="B1256" s="152"/>
      <c r="C1256" s="93"/>
      <c r="D1256" s="93"/>
      <c r="E1256" s="95"/>
      <c r="F1256" s="95"/>
      <c r="G1256" s="95"/>
      <c r="H1256" s="93"/>
      <c r="I1256" s="93"/>
      <c r="J1256" s="93"/>
    </row>
    <row r="1257" spans="1:10" s="65" customFormat="1" ht="14" x14ac:dyDescent="0.35">
      <c r="A1257" s="145"/>
      <c r="B1257" s="152"/>
      <c r="C1257" s="93"/>
      <c r="D1257" s="93"/>
      <c r="E1257" s="95"/>
      <c r="F1257" s="95"/>
      <c r="G1257" s="95"/>
      <c r="H1257" s="93"/>
      <c r="I1257" s="93"/>
      <c r="J1257" s="93"/>
    </row>
    <row r="1258" spans="1:10" s="65" customFormat="1" ht="14" x14ac:dyDescent="0.35">
      <c r="A1258" s="145"/>
      <c r="B1258" s="152"/>
      <c r="C1258" s="93"/>
      <c r="D1258" s="93"/>
      <c r="E1258" s="95"/>
      <c r="F1258" s="95"/>
      <c r="G1258" s="95"/>
      <c r="H1258" s="93"/>
      <c r="I1258" s="93"/>
      <c r="J1258" s="93"/>
    </row>
    <row r="1259" spans="1:10" s="65" customFormat="1" ht="14" x14ac:dyDescent="0.35">
      <c r="A1259" s="145"/>
      <c r="B1259" s="152"/>
      <c r="C1259" s="93"/>
      <c r="D1259" s="93"/>
      <c r="E1259" s="95"/>
      <c r="F1259" s="95"/>
      <c r="G1259" s="95"/>
      <c r="H1259" s="93"/>
      <c r="I1259" s="93"/>
      <c r="J1259" s="93"/>
    </row>
    <row r="1260" spans="1:10" s="65" customFormat="1" ht="14" x14ac:dyDescent="0.35">
      <c r="A1260" s="145"/>
      <c r="B1260" s="152"/>
      <c r="C1260" s="93"/>
      <c r="D1260" s="93"/>
      <c r="E1260" s="95"/>
      <c r="F1260" s="95"/>
      <c r="G1260" s="95"/>
      <c r="H1260" s="93"/>
      <c r="I1260" s="93"/>
      <c r="J1260" s="93"/>
    </row>
    <row r="1261" spans="1:10" s="65" customFormat="1" ht="14" x14ac:dyDescent="0.35">
      <c r="A1261" s="145"/>
      <c r="B1261" s="152"/>
      <c r="C1261" s="93"/>
      <c r="D1261" s="93"/>
      <c r="E1261" s="95"/>
      <c r="F1261" s="95"/>
      <c r="G1261" s="95"/>
      <c r="H1261" s="93"/>
      <c r="I1261" s="93"/>
      <c r="J1261" s="93"/>
    </row>
    <row r="1262" spans="1:10" s="65" customFormat="1" ht="14" x14ac:dyDescent="0.35">
      <c r="A1262" s="145"/>
      <c r="B1262" s="152"/>
      <c r="C1262" s="93"/>
      <c r="D1262" s="93"/>
      <c r="E1262" s="95"/>
      <c r="F1262" s="95"/>
      <c r="G1262" s="95"/>
      <c r="H1262" s="93"/>
      <c r="I1262" s="93"/>
      <c r="J1262" s="93"/>
    </row>
    <row r="1263" spans="1:10" s="65" customFormat="1" ht="14" x14ac:dyDescent="0.35">
      <c r="A1263" s="145"/>
      <c r="B1263" s="152"/>
      <c r="C1263" s="93"/>
      <c r="D1263" s="93"/>
      <c r="E1263" s="95"/>
      <c r="F1263" s="95"/>
      <c r="G1263" s="95"/>
      <c r="H1263" s="93"/>
      <c r="I1263" s="93"/>
      <c r="J1263" s="93"/>
    </row>
    <row r="1264" spans="1:10" s="65" customFormat="1" ht="14" x14ac:dyDescent="0.35">
      <c r="A1264" s="145"/>
      <c r="B1264" s="152"/>
      <c r="C1264" s="93"/>
      <c r="D1264" s="93"/>
      <c r="E1264" s="95"/>
      <c r="F1264" s="95"/>
      <c r="G1264" s="95"/>
      <c r="H1264" s="93"/>
      <c r="I1264" s="93"/>
      <c r="J1264" s="93"/>
    </row>
    <row r="1265" spans="1:10" s="65" customFormat="1" ht="14" x14ac:dyDescent="0.35">
      <c r="A1265" s="145"/>
      <c r="B1265" s="152"/>
      <c r="C1265" s="93"/>
      <c r="D1265" s="93"/>
      <c r="E1265" s="95"/>
      <c r="F1265" s="95"/>
      <c r="G1265" s="95"/>
      <c r="H1265" s="93"/>
      <c r="I1265" s="93"/>
      <c r="J1265" s="93"/>
    </row>
    <row r="1266" spans="1:10" s="65" customFormat="1" ht="14" x14ac:dyDescent="0.35">
      <c r="A1266" s="145"/>
      <c r="B1266" s="152"/>
      <c r="C1266" s="93"/>
      <c r="D1266" s="93"/>
      <c r="E1266" s="95"/>
      <c r="F1266" s="95"/>
      <c r="G1266" s="95"/>
      <c r="H1266" s="93"/>
      <c r="I1266" s="93"/>
      <c r="J1266" s="93"/>
    </row>
    <row r="1267" spans="1:10" s="65" customFormat="1" ht="14" x14ac:dyDescent="0.35">
      <c r="A1267" s="145"/>
      <c r="B1267" s="152"/>
      <c r="C1267" s="93"/>
      <c r="D1267" s="93"/>
      <c r="E1267" s="95"/>
      <c r="F1267" s="95"/>
      <c r="G1267" s="95"/>
      <c r="H1267" s="93"/>
      <c r="I1267" s="93"/>
      <c r="J1267" s="93"/>
    </row>
    <row r="1268" spans="1:10" s="65" customFormat="1" ht="14" x14ac:dyDescent="0.35">
      <c r="A1268" s="145"/>
      <c r="B1268" s="152"/>
      <c r="C1268" s="93"/>
      <c r="D1268" s="93"/>
      <c r="E1268" s="95"/>
      <c r="F1268" s="95"/>
      <c r="G1268" s="95"/>
      <c r="H1268" s="93"/>
      <c r="I1268" s="93"/>
      <c r="J1268" s="93"/>
    </row>
    <row r="1269" spans="1:10" s="65" customFormat="1" ht="14" x14ac:dyDescent="0.35">
      <c r="A1269" s="145"/>
      <c r="B1269" s="152"/>
      <c r="E1269" s="102"/>
      <c r="F1269" s="102"/>
      <c r="G1269" s="102"/>
      <c r="I1269" s="93"/>
      <c r="J1269" s="93"/>
    </row>
    <row r="1270" spans="1:10" s="65" customFormat="1" ht="14" x14ac:dyDescent="0.35">
      <c r="A1270" s="145"/>
      <c r="B1270" s="152"/>
      <c r="E1270" s="102"/>
      <c r="F1270" s="102"/>
      <c r="G1270" s="102"/>
      <c r="I1270" s="93"/>
      <c r="J1270" s="93"/>
    </row>
    <row r="1271" spans="1:10" s="65" customFormat="1" ht="14" x14ac:dyDescent="0.35">
      <c r="A1271" s="145"/>
      <c r="B1271" s="152"/>
      <c r="E1271" s="102"/>
      <c r="F1271" s="102"/>
      <c r="G1271" s="102"/>
      <c r="I1271" s="93"/>
      <c r="J1271" s="93"/>
    </row>
    <row r="1272" spans="1:10" s="65" customFormat="1" ht="14" x14ac:dyDescent="0.35">
      <c r="A1272" s="145"/>
      <c r="B1272" s="152"/>
      <c r="E1272" s="102"/>
      <c r="F1272" s="102"/>
      <c r="G1272" s="102"/>
      <c r="I1272" s="93"/>
      <c r="J1272" s="93"/>
    </row>
    <row r="1273" spans="1:10" s="65" customFormat="1" ht="14" x14ac:dyDescent="0.35">
      <c r="A1273" s="145"/>
      <c r="B1273" s="152"/>
      <c r="E1273" s="102"/>
      <c r="F1273" s="102"/>
      <c r="G1273" s="102"/>
      <c r="I1273" s="93"/>
      <c r="J1273" s="93"/>
    </row>
    <row r="1274" spans="1:10" s="65" customFormat="1" ht="14" x14ac:dyDescent="0.35">
      <c r="A1274" s="145"/>
      <c r="B1274" s="152"/>
      <c r="E1274" s="102"/>
      <c r="F1274" s="102"/>
      <c r="G1274" s="102"/>
      <c r="I1274" s="93"/>
      <c r="J1274" s="93"/>
    </row>
    <row r="1275" spans="1:10" s="65" customFormat="1" ht="14" x14ac:dyDescent="0.35">
      <c r="A1275" s="145"/>
      <c r="B1275" s="152"/>
      <c r="E1275" s="102"/>
      <c r="F1275" s="102"/>
      <c r="G1275" s="102"/>
      <c r="I1275" s="93"/>
      <c r="J1275" s="93"/>
    </row>
    <row r="1276" spans="1:10" s="65" customFormat="1" ht="14" x14ac:dyDescent="0.35">
      <c r="A1276" s="145"/>
      <c r="B1276" s="152"/>
      <c r="E1276" s="102"/>
      <c r="F1276" s="102"/>
      <c r="G1276" s="102"/>
      <c r="I1276" s="93"/>
      <c r="J1276" s="93"/>
    </row>
    <row r="1277" spans="1:10" s="65" customFormat="1" ht="14" x14ac:dyDescent="0.35">
      <c r="A1277" s="145"/>
      <c r="B1277" s="152"/>
      <c r="E1277" s="102"/>
      <c r="F1277" s="102"/>
      <c r="G1277" s="102"/>
      <c r="I1277" s="93"/>
      <c r="J1277" s="93"/>
    </row>
    <row r="1278" spans="1:10" s="65" customFormat="1" ht="14" x14ac:dyDescent="0.35">
      <c r="A1278" s="145"/>
      <c r="B1278" s="152"/>
      <c r="E1278" s="102"/>
      <c r="F1278" s="102"/>
      <c r="G1278" s="102"/>
      <c r="I1278" s="93"/>
      <c r="J1278" s="93"/>
    </row>
    <row r="1279" spans="1:10" s="65" customFormat="1" ht="14" x14ac:dyDescent="0.35">
      <c r="A1279" s="145"/>
      <c r="B1279" s="152"/>
      <c r="E1279" s="102"/>
      <c r="F1279" s="102"/>
      <c r="G1279" s="102"/>
      <c r="I1279" s="93"/>
      <c r="J1279" s="93"/>
    </row>
    <row r="1280" spans="1:10" s="65" customFormat="1" ht="14" x14ac:dyDescent="0.35">
      <c r="A1280" s="145"/>
      <c r="B1280" s="152"/>
      <c r="E1280" s="102"/>
      <c r="F1280" s="102"/>
      <c r="G1280" s="102"/>
      <c r="I1280" s="93"/>
      <c r="J1280" s="93"/>
    </row>
    <row r="1281" spans="1:10" s="65" customFormat="1" ht="14" x14ac:dyDescent="0.35">
      <c r="A1281" s="145"/>
      <c r="B1281" s="152"/>
      <c r="E1281" s="102"/>
      <c r="F1281" s="102"/>
      <c r="G1281" s="102"/>
      <c r="I1281" s="93"/>
      <c r="J1281" s="93"/>
    </row>
    <row r="1282" spans="1:10" s="65" customFormat="1" ht="14" x14ac:dyDescent="0.35">
      <c r="A1282" s="145"/>
      <c r="B1282" s="152"/>
      <c r="E1282" s="102"/>
      <c r="F1282" s="102"/>
      <c r="G1282" s="102"/>
      <c r="I1282" s="93"/>
      <c r="J1282" s="93"/>
    </row>
    <row r="1283" spans="1:10" s="65" customFormat="1" ht="14" x14ac:dyDescent="0.35">
      <c r="A1283" s="145"/>
      <c r="B1283" s="152"/>
      <c r="E1283" s="102"/>
      <c r="F1283" s="102"/>
      <c r="G1283" s="102"/>
      <c r="I1283" s="93"/>
      <c r="J1283" s="93"/>
    </row>
    <row r="1284" spans="1:10" s="65" customFormat="1" ht="14" x14ac:dyDescent="0.35">
      <c r="A1284" s="145"/>
      <c r="B1284" s="152"/>
      <c r="E1284" s="102"/>
      <c r="F1284" s="102"/>
      <c r="G1284" s="102"/>
      <c r="I1284" s="93"/>
      <c r="J1284" s="93"/>
    </row>
    <row r="1285" spans="1:10" s="65" customFormat="1" ht="14" x14ac:dyDescent="0.35">
      <c r="A1285" s="145"/>
      <c r="B1285" s="152"/>
      <c r="E1285" s="102"/>
      <c r="F1285" s="102"/>
      <c r="G1285" s="102"/>
      <c r="I1285" s="93"/>
      <c r="J1285" s="93"/>
    </row>
    <row r="1286" spans="1:10" s="65" customFormat="1" ht="14" x14ac:dyDescent="0.35">
      <c r="A1286" s="145"/>
      <c r="B1286" s="152"/>
      <c r="E1286" s="102"/>
      <c r="F1286" s="102"/>
      <c r="G1286" s="102"/>
      <c r="I1286" s="93"/>
      <c r="J1286" s="93"/>
    </row>
    <row r="1287" spans="1:10" s="65" customFormat="1" ht="14" x14ac:dyDescent="0.35">
      <c r="A1287" s="145"/>
      <c r="B1287" s="152"/>
      <c r="E1287" s="102"/>
      <c r="F1287" s="102"/>
      <c r="G1287" s="102"/>
      <c r="I1287" s="93"/>
      <c r="J1287" s="93"/>
    </row>
    <row r="1288" spans="1:10" s="65" customFormat="1" ht="14" x14ac:dyDescent="0.35">
      <c r="A1288" s="145"/>
      <c r="B1288" s="152"/>
      <c r="E1288" s="102"/>
      <c r="F1288" s="102"/>
      <c r="G1288" s="102"/>
      <c r="I1288" s="93"/>
      <c r="J1288" s="93"/>
    </row>
    <row r="1289" spans="1:10" s="65" customFormat="1" ht="14" x14ac:dyDescent="0.35">
      <c r="A1289" s="145"/>
      <c r="B1289" s="152"/>
      <c r="E1289" s="102"/>
      <c r="F1289" s="102"/>
      <c r="G1289" s="102"/>
      <c r="I1289" s="93"/>
      <c r="J1289" s="93"/>
    </row>
    <row r="1290" spans="1:10" s="65" customFormat="1" ht="14" x14ac:dyDescent="0.35">
      <c r="A1290" s="145"/>
      <c r="B1290" s="152"/>
      <c r="E1290" s="102"/>
      <c r="F1290" s="102"/>
      <c r="G1290" s="102"/>
      <c r="I1290" s="93"/>
      <c r="J1290" s="93"/>
    </row>
    <row r="1291" spans="1:10" s="65" customFormat="1" ht="14" x14ac:dyDescent="0.35">
      <c r="A1291" s="145"/>
      <c r="B1291" s="152"/>
      <c r="E1291" s="102"/>
      <c r="F1291" s="102"/>
      <c r="G1291" s="102"/>
      <c r="I1291" s="93"/>
      <c r="J1291" s="93"/>
    </row>
    <row r="1292" spans="1:10" s="65" customFormat="1" ht="14" x14ac:dyDescent="0.35">
      <c r="A1292" s="145"/>
      <c r="B1292" s="152"/>
      <c r="E1292" s="102"/>
      <c r="F1292" s="102"/>
      <c r="G1292" s="102"/>
      <c r="I1292" s="93"/>
      <c r="J1292" s="93"/>
    </row>
    <row r="1293" spans="1:10" s="65" customFormat="1" ht="14" x14ac:dyDescent="0.35">
      <c r="A1293" s="145"/>
      <c r="B1293" s="152"/>
      <c r="E1293" s="102"/>
      <c r="F1293" s="102"/>
      <c r="G1293" s="102"/>
      <c r="I1293" s="93"/>
      <c r="J1293" s="93"/>
    </row>
    <row r="1294" spans="1:10" s="65" customFormat="1" ht="14" x14ac:dyDescent="0.35">
      <c r="A1294" s="145"/>
      <c r="B1294" s="152"/>
      <c r="E1294" s="102"/>
      <c r="F1294" s="102"/>
      <c r="G1294" s="102"/>
      <c r="I1294" s="93"/>
      <c r="J1294" s="93"/>
    </row>
    <row r="1295" spans="1:10" s="65" customFormat="1" ht="14" x14ac:dyDescent="0.35">
      <c r="A1295" s="145"/>
      <c r="B1295" s="152"/>
      <c r="E1295" s="102"/>
      <c r="F1295" s="102"/>
      <c r="G1295" s="102"/>
      <c r="I1295" s="93"/>
      <c r="J1295" s="93"/>
    </row>
    <row r="1296" spans="1:10" s="65" customFormat="1" ht="14" x14ac:dyDescent="0.35">
      <c r="A1296" s="145"/>
      <c r="B1296" s="152"/>
      <c r="E1296" s="102"/>
      <c r="F1296" s="102"/>
      <c r="G1296" s="102"/>
      <c r="I1296" s="93"/>
      <c r="J1296" s="93"/>
    </row>
    <row r="1297" spans="1:10" s="65" customFormat="1" ht="14" x14ac:dyDescent="0.35">
      <c r="A1297" s="145"/>
      <c r="B1297" s="152"/>
      <c r="E1297" s="102"/>
      <c r="F1297" s="102"/>
      <c r="G1297" s="102"/>
      <c r="I1297" s="93"/>
      <c r="J1297" s="93"/>
    </row>
    <row r="1298" spans="1:10" s="65" customFormat="1" ht="14" x14ac:dyDescent="0.35">
      <c r="A1298" s="145"/>
      <c r="B1298" s="152"/>
      <c r="E1298" s="102"/>
      <c r="F1298" s="102"/>
      <c r="G1298" s="102"/>
      <c r="I1298" s="93"/>
      <c r="J1298" s="93"/>
    </row>
    <row r="1299" spans="1:10" s="65" customFormat="1" ht="14" x14ac:dyDescent="0.35">
      <c r="A1299" s="145"/>
      <c r="B1299" s="152"/>
      <c r="E1299" s="102"/>
      <c r="F1299" s="102"/>
      <c r="G1299" s="102"/>
      <c r="I1299" s="93"/>
      <c r="J1299" s="93"/>
    </row>
    <row r="1300" spans="1:10" s="65" customFormat="1" ht="14" x14ac:dyDescent="0.35">
      <c r="A1300" s="145"/>
      <c r="B1300" s="152"/>
      <c r="E1300" s="102"/>
      <c r="F1300" s="102"/>
      <c r="G1300" s="102"/>
      <c r="I1300" s="93"/>
      <c r="J1300" s="93"/>
    </row>
    <row r="1301" spans="1:10" s="65" customFormat="1" ht="14" x14ac:dyDescent="0.35">
      <c r="A1301" s="145"/>
      <c r="B1301" s="152"/>
      <c r="E1301" s="102"/>
      <c r="F1301" s="102"/>
      <c r="G1301" s="102"/>
      <c r="I1301" s="93"/>
      <c r="J1301" s="93"/>
    </row>
    <row r="1302" spans="1:10" s="65" customFormat="1" ht="14" x14ac:dyDescent="0.35">
      <c r="A1302" s="145"/>
      <c r="B1302" s="152"/>
      <c r="E1302" s="102"/>
      <c r="F1302" s="102"/>
      <c r="G1302" s="102"/>
      <c r="I1302" s="93"/>
      <c r="J1302" s="93"/>
    </row>
    <row r="1303" spans="1:10" s="65" customFormat="1" ht="14" x14ac:dyDescent="0.35">
      <c r="A1303" s="145"/>
      <c r="B1303" s="152"/>
      <c r="E1303" s="102"/>
      <c r="F1303" s="102"/>
      <c r="G1303" s="102"/>
      <c r="I1303" s="93"/>
      <c r="J1303" s="93"/>
    </row>
    <row r="1304" spans="1:10" s="65" customFormat="1" ht="14" x14ac:dyDescent="0.35">
      <c r="A1304" s="145"/>
      <c r="B1304" s="152"/>
      <c r="E1304" s="102"/>
      <c r="F1304" s="102"/>
      <c r="G1304" s="102"/>
      <c r="I1304" s="93"/>
      <c r="J1304" s="93"/>
    </row>
    <row r="1305" spans="1:10" s="65" customFormat="1" ht="14" x14ac:dyDescent="0.35">
      <c r="A1305" s="145"/>
      <c r="B1305" s="152"/>
      <c r="E1305" s="102"/>
      <c r="F1305" s="102"/>
      <c r="G1305" s="102"/>
      <c r="I1305" s="93"/>
      <c r="J1305" s="93"/>
    </row>
    <row r="1306" spans="1:10" s="65" customFormat="1" ht="14" x14ac:dyDescent="0.35">
      <c r="A1306" s="145"/>
      <c r="B1306" s="152"/>
      <c r="E1306" s="102"/>
      <c r="F1306" s="102"/>
      <c r="G1306" s="102"/>
      <c r="I1306" s="93"/>
      <c r="J1306" s="93"/>
    </row>
    <row r="1307" spans="1:10" s="65" customFormat="1" ht="14" x14ac:dyDescent="0.35">
      <c r="A1307" s="145"/>
      <c r="B1307" s="152"/>
      <c r="E1307" s="102"/>
      <c r="F1307" s="102"/>
      <c r="G1307" s="102"/>
      <c r="I1307" s="93"/>
      <c r="J1307" s="93"/>
    </row>
    <row r="1308" spans="1:10" s="65" customFormat="1" ht="14" x14ac:dyDescent="0.35">
      <c r="A1308" s="145"/>
      <c r="B1308" s="152"/>
      <c r="E1308" s="102"/>
      <c r="F1308" s="102"/>
      <c r="G1308" s="102"/>
      <c r="I1308" s="93"/>
      <c r="J1308" s="93"/>
    </row>
    <row r="1309" spans="1:10" s="65" customFormat="1" ht="14" x14ac:dyDescent="0.35">
      <c r="A1309" s="145"/>
      <c r="B1309" s="152"/>
      <c r="E1309" s="102"/>
      <c r="F1309" s="102"/>
      <c r="G1309" s="102"/>
      <c r="I1309" s="93"/>
      <c r="J1309" s="93"/>
    </row>
    <row r="1310" spans="1:10" s="65" customFormat="1" ht="14" x14ac:dyDescent="0.35">
      <c r="A1310" s="145"/>
      <c r="B1310" s="152"/>
      <c r="E1310" s="102"/>
      <c r="F1310" s="102"/>
      <c r="G1310" s="102"/>
      <c r="I1310" s="93"/>
      <c r="J1310" s="93"/>
    </row>
    <row r="1311" spans="1:10" s="65" customFormat="1" ht="14" x14ac:dyDescent="0.35">
      <c r="A1311" s="145"/>
      <c r="B1311" s="152"/>
      <c r="E1311" s="102"/>
      <c r="F1311" s="102"/>
      <c r="G1311" s="102"/>
      <c r="I1311" s="93"/>
      <c r="J1311" s="93"/>
    </row>
    <row r="1312" spans="1:10" s="65" customFormat="1" ht="14" x14ac:dyDescent="0.35">
      <c r="A1312" s="145"/>
      <c r="B1312" s="152"/>
      <c r="E1312" s="102"/>
      <c r="F1312" s="102"/>
      <c r="G1312" s="102"/>
      <c r="I1312" s="93"/>
      <c r="J1312" s="93"/>
    </row>
    <row r="1313" spans="1:10" s="65" customFormat="1" ht="14" x14ac:dyDescent="0.35">
      <c r="A1313" s="145"/>
      <c r="B1313" s="152"/>
      <c r="E1313" s="102"/>
      <c r="F1313" s="102"/>
      <c r="G1313" s="102"/>
      <c r="I1313" s="93"/>
      <c r="J1313" s="93"/>
    </row>
    <row r="1314" spans="1:10" s="65" customFormat="1" ht="14" x14ac:dyDescent="0.35">
      <c r="A1314" s="145"/>
      <c r="B1314" s="152"/>
      <c r="E1314" s="102"/>
      <c r="F1314" s="102"/>
      <c r="G1314" s="102"/>
      <c r="I1314" s="93"/>
      <c r="J1314" s="93"/>
    </row>
    <row r="1315" spans="1:10" s="65" customFormat="1" ht="14" x14ac:dyDescent="0.35">
      <c r="A1315" s="145"/>
      <c r="B1315" s="152"/>
      <c r="E1315" s="102"/>
      <c r="F1315" s="102"/>
      <c r="G1315" s="102"/>
      <c r="I1315" s="93"/>
      <c r="J1315" s="93"/>
    </row>
    <row r="1316" spans="1:10" s="65" customFormat="1" ht="14" x14ac:dyDescent="0.35">
      <c r="A1316" s="145"/>
      <c r="B1316" s="152"/>
      <c r="E1316" s="102"/>
      <c r="F1316" s="102"/>
      <c r="G1316" s="102"/>
      <c r="I1316" s="93"/>
      <c r="J1316" s="93"/>
    </row>
    <row r="1317" spans="1:10" s="65" customFormat="1" ht="14" x14ac:dyDescent="0.35">
      <c r="A1317" s="145"/>
      <c r="B1317" s="152"/>
      <c r="E1317" s="102"/>
      <c r="F1317" s="102"/>
      <c r="G1317" s="102"/>
      <c r="I1317" s="93"/>
      <c r="J1317" s="93"/>
    </row>
    <row r="1318" spans="1:10" s="65" customFormat="1" ht="14" x14ac:dyDescent="0.35">
      <c r="A1318" s="145"/>
      <c r="B1318" s="152"/>
      <c r="E1318" s="102"/>
      <c r="F1318" s="102"/>
      <c r="G1318" s="102"/>
      <c r="I1318" s="93"/>
      <c r="J1318" s="93"/>
    </row>
    <row r="1319" spans="1:10" s="65" customFormat="1" ht="14" x14ac:dyDescent="0.35">
      <c r="A1319" s="145"/>
      <c r="B1319" s="152"/>
      <c r="E1319" s="102"/>
      <c r="F1319" s="102"/>
      <c r="G1319" s="102"/>
      <c r="I1319" s="93"/>
      <c r="J1319" s="93"/>
    </row>
    <row r="1320" spans="1:10" s="65" customFormat="1" ht="14" x14ac:dyDescent="0.35">
      <c r="A1320" s="145"/>
      <c r="B1320" s="152"/>
      <c r="E1320" s="102"/>
      <c r="F1320" s="102"/>
      <c r="G1320" s="102"/>
      <c r="I1320" s="93"/>
      <c r="J1320" s="93"/>
    </row>
    <row r="1321" spans="1:10" s="65" customFormat="1" ht="14" x14ac:dyDescent="0.35">
      <c r="A1321" s="145"/>
      <c r="B1321" s="152"/>
      <c r="E1321" s="102"/>
      <c r="F1321" s="102"/>
      <c r="G1321" s="102"/>
      <c r="I1321" s="93"/>
      <c r="J1321" s="93"/>
    </row>
    <row r="1322" spans="1:10" s="65" customFormat="1" ht="14" x14ac:dyDescent="0.35">
      <c r="A1322" s="145"/>
      <c r="B1322" s="152"/>
      <c r="E1322" s="102"/>
      <c r="F1322" s="102"/>
      <c r="G1322" s="102"/>
      <c r="I1322" s="93"/>
      <c r="J1322" s="93"/>
    </row>
    <row r="1323" spans="1:10" s="65" customFormat="1" ht="14" x14ac:dyDescent="0.35">
      <c r="A1323" s="145"/>
      <c r="B1323" s="152"/>
      <c r="E1323" s="102"/>
      <c r="F1323" s="102"/>
      <c r="G1323" s="102"/>
      <c r="I1323" s="93"/>
      <c r="J1323" s="93"/>
    </row>
    <row r="1324" spans="1:10" s="65" customFormat="1" ht="14" x14ac:dyDescent="0.35">
      <c r="A1324" s="145"/>
      <c r="B1324" s="152"/>
      <c r="E1324" s="102"/>
      <c r="F1324" s="102"/>
      <c r="G1324" s="102"/>
      <c r="I1324" s="93"/>
      <c r="J1324" s="93"/>
    </row>
    <row r="1325" spans="1:10" s="65" customFormat="1" ht="14" x14ac:dyDescent="0.35">
      <c r="A1325" s="145"/>
      <c r="B1325" s="152"/>
      <c r="E1325" s="102"/>
      <c r="F1325" s="102"/>
      <c r="G1325" s="102"/>
      <c r="I1325" s="93"/>
      <c r="J1325" s="93"/>
    </row>
    <row r="1326" spans="1:10" s="65" customFormat="1" ht="14" x14ac:dyDescent="0.35">
      <c r="A1326" s="145"/>
      <c r="B1326" s="152"/>
      <c r="E1326" s="102"/>
      <c r="F1326" s="102"/>
      <c r="G1326" s="102"/>
      <c r="I1326" s="93"/>
      <c r="J1326" s="93"/>
    </row>
    <row r="1327" spans="1:10" s="65" customFormat="1" ht="14" x14ac:dyDescent="0.35">
      <c r="A1327" s="145"/>
      <c r="B1327" s="152"/>
      <c r="E1327" s="102"/>
      <c r="F1327" s="102"/>
      <c r="G1327" s="102"/>
      <c r="I1327" s="93"/>
      <c r="J1327" s="93"/>
    </row>
    <row r="1328" spans="1:10" s="65" customFormat="1" ht="14" x14ac:dyDescent="0.35">
      <c r="A1328" s="145"/>
      <c r="B1328" s="152"/>
      <c r="E1328" s="102"/>
      <c r="F1328" s="102"/>
      <c r="G1328" s="102"/>
      <c r="I1328" s="93"/>
      <c r="J1328" s="93"/>
    </row>
    <row r="1329" spans="1:10" s="65" customFormat="1" ht="14" x14ac:dyDescent="0.35">
      <c r="A1329" s="145"/>
      <c r="B1329" s="152"/>
      <c r="E1329" s="102"/>
      <c r="F1329" s="102"/>
      <c r="G1329" s="102"/>
      <c r="I1329" s="93"/>
      <c r="J1329" s="93"/>
    </row>
    <row r="1330" spans="1:10" s="65" customFormat="1" ht="14" x14ac:dyDescent="0.35">
      <c r="A1330" s="145"/>
      <c r="B1330" s="152"/>
      <c r="E1330" s="102"/>
      <c r="F1330" s="102"/>
      <c r="G1330" s="102"/>
      <c r="I1330" s="93"/>
      <c r="J1330" s="93"/>
    </row>
    <row r="1331" spans="1:10" s="65" customFormat="1" ht="14" x14ac:dyDescent="0.35">
      <c r="A1331" s="145"/>
      <c r="B1331" s="152"/>
      <c r="E1331" s="102"/>
      <c r="F1331" s="102"/>
      <c r="G1331" s="102"/>
      <c r="I1331" s="93"/>
      <c r="J1331" s="93"/>
    </row>
    <row r="1332" spans="1:10" s="65" customFormat="1" ht="14" x14ac:dyDescent="0.35">
      <c r="A1332" s="145"/>
      <c r="B1332" s="152"/>
      <c r="E1332" s="102"/>
      <c r="F1332" s="102"/>
      <c r="G1332" s="102"/>
      <c r="I1332" s="93"/>
      <c r="J1332" s="93"/>
    </row>
    <row r="1333" spans="1:10" s="65" customFormat="1" ht="14" x14ac:dyDescent="0.35">
      <c r="A1333" s="145"/>
      <c r="B1333" s="152"/>
      <c r="E1333" s="102"/>
      <c r="F1333" s="102"/>
      <c r="G1333" s="102"/>
      <c r="I1333" s="93"/>
      <c r="J1333" s="93"/>
    </row>
    <row r="1334" spans="1:10" s="65" customFormat="1" ht="14" x14ac:dyDescent="0.35">
      <c r="A1334" s="145"/>
      <c r="B1334" s="152"/>
      <c r="E1334" s="102"/>
      <c r="F1334" s="102"/>
      <c r="G1334" s="102"/>
      <c r="I1334" s="93"/>
      <c r="J1334" s="93"/>
    </row>
    <row r="1335" spans="1:10" s="65" customFormat="1" ht="14" x14ac:dyDescent="0.35">
      <c r="A1335" s="145"/>
      <c r="B1335" s="152"/>
      <c r="E1335" s="102"/>
      <c r="F1335" s="102"/>
      <c r="G1335" s="102"/>
      <c r="I1335" s="93"/>
      <c r="J1335" s="93"/>
    </row>
    <row r="1336" spans="1:10" s="65" customFormat="1" ht="14" x14ac:dyDescent="0.35">
      <c r="A1336" s="145"/>
      <c r="B1336" s="152"/>
      <c r="E1336" s="102"/>
      <c r="F1336" s="102"/>
      <c r="G1336" s="102"/>
      <c r="I1336" s="93"/>
      <c r="J1336" s="93"/>
    </row>
    <row r="1337" spans="1:10" s="65" customFormat="1" ht="14" x14ac:dyDescent="0.35">
      <c r="A1337" s="145"/>
      <c r="B1337" s="152"/>
      <c r="E1337" s="102"/>
      <c r="F1337" s="102"/>
      <c r="G1337" s="102"/>
      <c r="I1337" s="93"/>
      <c r="J1337" s="93"/>
    </row>
    <row r="1338" spans="1:10" s="65" customFormat="1" ht="14" x14ac:dyDescent="0.35">
      <c r="A1338" s="145"/>
      <c r="B1338" s="152"/>
      <c r="E1338" s="102"/>
      <c r="F1338" s="102"/>
      <c r="G1338" s="102"/>
      <c r="I1338" s="93"/>
      <c r="J1338" s="93"/>
    </row>
    <row r="1339" spans="1:10" s="65" customFormat="1" ht="14" x14ac:dyDescent="0.35">
      <c r="A1339" s="145"/>
      <c r="B1339" s="152"/>
      <c r="E1339" s="102"/>
      <c r="F1339" s="102"/>
      <c r="G1339" s="102"/>
      <c r="I1339" s="93"/>
      <c r="J1339" s="93"/>
    </row>
    <row r="1340" spans="1:10" s="65" customFormat="1" ht="14" x14ac:dyDescent="0.35">
      <c r="A1340" s="145"/>
      <c r="B1340" s="152"/>
      <c r="E1340" s="102"/>
      <c r="F1340" s="102"/>
      <c r="G1340" s="102"/>
      <c r="I1340" s="93"/>
      <c r="J1340" s="93"/>
    </row>
    <row r="1341" spans="1:10" s="65" customFormat="1" ht="14" x14ac:dyDescent="0.35">
      <c r="A1341" s="145"/>
      <c r="B1341" s="152"/>
      <c r="E1341" s="102"/>
      <c r="F1341" s="102"/>
      <c r="G1341" s="102"/>
      <c r="I1341" s="93"/>
      <c r="J1341" s="93"/>
    </row>
    <row r="1342" spans="1:10" s="65" customFormat="1" ht="14" x14ac:dyDescent="0.35">
      <c r="A1342" s="145"/>
      <c r="B1342" s="152"/>
      <c r="E1342" s="102"/>
      <c r="F1342" s="102"/>
      <c r="G1342" s="102"/>
      <c r="I1342" s="93"/>
      <c r="J1342" s="93"/>
    </row>
    <row r="1343" spans="1:10" s="65" customFormat="1" ht="14" x14ac:dyDescent="0.35">
      <c r="A1343" s="145"/>
      <c r="B1343" s="152"/>
      <c r="E1343" s="102"/>
      <c r="F1343" s="102"/>
      <c r="G1343" s="102"/>
      <c r="I1343" s="93"/>
      <c r="J1343" s="93"/>
    </row>
    <row r="1344" spans="1:10" s="65" customFormat="1" ht="14" x14ac:dyDescent="0.35">
      <c r="A1344" s="145"/>
      <c r="B1344" s="152"/>
      <c r="E1344" s="102"/>
      <c r="F1344" s="102"/>
      <c r="G1344" s="102"/>
      <c r="I1344" s="93"/>
      <c r="J1344" s="93"/>
    </row>
    <row r="1345" spans="1:10" s="65" customFormat="1" ht="14" x14ac:dyDescent="0.35">
      <c r="A1345" s="145"/>
      <c r="B1345" s="152"/>
      <c r="E1345" s="102"/>
      <c r="F1345" s="102"/>
      <c r="G1345" s="102"/>
      <c r="I1345" s="93"/>
      <c r="J1345" s="93"/>
    </row>
    <row r="1346" spans="1:10" s="65" customFormat="1" ht="14" x14ac:dyDescent="0.35">
      <c r="A1346" s="145"/>
      <c r="B1346" s="152"/>
      <c r="E1346" s="102"/>
      <c r="F1346" s="102"/>
      <c r="G1346" s="102"/>
      <c r="I1346" s="93"/>
      <c r="J1346" s="93"/>
    </row>
    <row r="1347" spans="1:10" s="65" customFormat="1" ht="14" x14ac:dyDescent="0.35">
      <c r="A1347" s="145"/>
      <c r="B1347" s="152"/>
      <c r="E1347" s="102"/>
      <c r="F1347" s="102"/>
      <c r="G1347" s="102"/>
      <c r="I1347" s="93"/>
      <c r="J1347" s="93"/>
    </row>
    <row r="1348" spans="1:10" s="65" customFormat="1" ht="14" x14ac:dyDescent="0.35">
      <c r="A1348" s="145"/>
      <c r="B1348" s="152"/>
      <c r="E1348" s="102"/>
      <c r="F1348" s="102"/>
      <c r="G1348" s="102"/>
      <c r="I1348" s="93"/>
      <c r="J1348" s="93"/>
    </row>
    <row r="1349" spans="1:10" s="65" customFormat="1" ht="14" x14ac:dyDescent="0.35">
      <c r="A1349" s="145"/>
      <c r="B1349" s="152"/>
      <c r="E1349" s="102"/>
      <c r="F1349" s="102"/>
      <c r="G1349" s="102"/>
      <c r="I1349" s="93"/>
      <c r="J1349" s="93"/>
    </row>
    <row r="1350" spans="1:10" s="65" customFormat="1" ht="14" x14ac:dyDescent="0.35">
      <c r="A1350" s="145"/>
      <c r="B1350" s="152"/>
      <c r="E1350" s="102"/>
      <c r="F1350" s="102"/>
      <c r="G1350" s="102"/>
      <c r="I1350" s="93"/>
      <c r="J1350" s="93"/>
    </row>
    <row r="1351" spans="1:10" s="65" customFormat="1" ht="14" x14ac:dyDescent="0.35">
      <c r="A1351" s="145"/>
      <c r="B1351" s="152"/>
      <c r="E1351" s="102"/>
      <c r="F1351" s="102"/>
      <c r="G1351" s="102"/>
      <c r="I1351" s="93"/>
      <c r="J1351" s="93"/>
    </row>
    <row r="1352" spans="1:10" s="65" customFormat="1" ht="14" x14ac:dyDescent="0.35">
      <c r="A1352" s="145"/>
      <c r="B1352" s="152"/>
      <c r="E1352" s="102"/>
      <c r="F1352" s="102"/>
      <c r="G1352" s="102"/>
      <c r="I1352" s="93"/>
      <c r="J1352" s="93"/>
    </row>
    <row r="1353" spans="1:10" s="65" customFormat="1" ht="14" x14ac:dyDescent="0.35">
      <c r="A1353" s="145"/>
      <c r="B1353" s="152"/>
      <c r="E1353" s="102"/>
      <c r="F1353" s="102"/>
      <c r="G1353" s="102"/>
      <c r="I1353" s="93"/>
      <c r="J1353" s="93"/>
    </row>
    <row r="1354" spans="1:10" s="65" customFormat="1" ht="14" x14ac:dyDescent="0.35">
      <c r="A1354" s="145"/>
      <c r="B1354" s="152"/>
      <c r="E1354" s="102"/>
      <c r="F1354" s="102"/>
      <c r="G1354" s="102"/>
      <c r="I1354" s="93"/>
      <c r="J1354" s="93"/>
    </row>
    <row r="1355" spans="1:10" s="65" customFormat="1" ht="14" x14ac:dyDescent="0.35">
      <c r="A1355" s="145"/>
      <c r="B1355" s="152"/>
      <c r="E1355" s="102"/>
      <c r="F1355" s="102"/>
      <c r="G1355" s="102"/>
      <c r="I1355" s="93"/>
      <c r="J1355" s="93"/>
    </row>
    <row r="1356" spans="1:10" s="65" customFormat="1" ht="14" x14ac:dyDescent="0.35">
      <c r="A1356" s="145"/>
      <c r="B1356" s="152"/>
      <c r="E1356" s="102"/>
      <c r="F1356" s="102"/>
      <c r="G1356" s="102"/>
      <c r="I1356" s="93"/>
      <c r="J1356" s="93"/>
    </row>
    <row r="1357" spans="1:10" s="65" customFormat="1" ht="14" x14ac:dyDescent="0.35">
      <c r="A1357" s="145"/>
      <c r="B1357" s="152"/>
      <c r="E1357" s="102"/>
      <c r="F1357" s="102"/>
      <c r="G1357" s="102"/>
      <c r="I1357" s="93"/>
      <c r="J1357" s="93"/>
    </row>
    <row r="1358" spans="1:10" s="65" customFormat="1" ht="14" x14ac:dyDescent="0.35">
      <c r="A1358" s="145"/>
      <c r="B1358" s="152"/>
      <c r="E1358" s="102"/>
      <c r="F1358" s="102"/>
      <c r="G1358" s="102"/>
      <c r="I1358" s="93"/>
      <c r="J1358" s="93"/>
    </row>
    <row r="1359" spans="1:10" s="65" customFormat="1" ht="14" x14ac:dyDescent="0.35">
      <c r="A1359" s="145"/>
      <c r="B1359" s="152"/>
      <c r="E1359" s="102"/>
      <c r="F1359" s="102"/>
      <c r="G1359" s="102"/>
      <c r="I1359" s="93"/>
      <c r="J1359" s="93"/>
    </row>
    <row r="1360" spans="1:10" s="65" customFormat="1" ht="14" x14ac:dyDescent="0.35">
      <c r="A1360" s="145"/>
      <c r="B1360" s="152"/>
      <c r="E1360" s="102"/>
      <c r="F1360" s="102"/>
      <c r="G1360" s="102"/>
      <c r="I1360" s="93"/>
      <c r="J1360" s="93"/>
    </row>
    <row r="1361" spans="1:10" s="65" customFormat="1" ht="14" x14ac:dyDescent="0.35">
      <c r="A1361" s="145"/>
      <c r="B1361" s="152"/>
      <c r="E1361" s="102"/>
      <c r="F1361" s="102"/>
      <c r="G1361" s="102"/>
      <c r="I1361" s="93"/>
      <c r="J1361" s="93"/>
    </row>
    <row r="1362" spans="1:10" s="65" customFormat="1" ht="14" x14ac:dyDescent="0.35">
      <c r="A1362" s="145"/>
      <c r="B1362" s="152"/>
      <c r="E1362" s="102"/>
      <c r="F1362" s="102"/>
      <c r="G1362" s="102"/>
      <c r="I1362" s="93"/>
      <c r="J1362" s="93"/>
    </row>
    <row r="1363" spans="1:10" s="65" customFormat="1" ht="14" x14ac:dyDescent="0.35">
      <c r="A1363" s="145"/>
      <c r="B1363" s="152"/>
      <c r="E1363" s="102"/>
      <c r="F1363" s="102"/>
      <c r="G1363" s="102"/>
      <c r="I1363" s="93"/>
      <c r="J1363" s="93"/>
    </row>
    <row r="1364" spans="1:10" s="65" customFormat="1" ht="14" x14ac:dyDescent="0.35">
      <c r="A1364" s="145"/>
      <c r="B1364" s="152"/>
      <c r="E1364" s="102"/>
      <c r="F1364" s="102"/>
      <c r="G1364" s="102"/>
      <c r="I1364" s="93"/>
      <c r="J1364" s="93"/>
    </row>
    <row r="1365" spans="1:10" s="65" customFormat="1" ht="14" x14ac:dyDescent="0.35">
      <c r="A1365" s="145"/>
      <c r="B1365" s="152"/>
      <c r="E1365" s="102"/>
      <c r="F1365" s="102"/>
      <c r="G1365" s="102"/>
      <c r="I1365" s="93"/>
      <c r="J1365" s="93"/>
    </row>
    <row r="1366" spans="1:10" s="65" customFormat="1" ht="14" x14ac:dyDescent="0.35">
      <c r="A1366" s="145"/>
      <c r="B1366" s="152"/>
      <c r="E1366" s="102"/>
      <c r="F1366" s="102"/>
      <c r="G1366" s="102"/>
      <c r="I1366" s="93"/>
      <c r="J1366" s="93"/>
    </row>
    <row r="1367" spans="1:10" s="65" customFormat="1" ht="14" x14ac:dyDescent="0.35">
      <c r="A1367" s="145"/>
      <c r="B1367" s="152"/>
      <c r="E1367" s="102"/>
      <c r="F1367" s="102"/>
      <c r="G1367" s="102"/>
      <c r="I1367" s="93"/>
      <c r="J1367" s="93"/>
    </row>
    <row r="1368" spans="1:10" s="65" customFormat="1" ht="14" x14ac:dyDescent="0.35">
      <c r="A1368" s="145"/>
      <c r="B1368" s="152"/>
      <c r="E1368" s="102"/>
      <c r="F1368" s="102"/>
      <c r="G1368" s="102"/>
      <c r="I1368" s="93"/>
      <c r="J1368" s="93"/>
    </row>
    <row r="1369" spans="1:10" s="65" customFormat="1" ht="14" x14ac:dyDescent="0.35">
      <c r="A1369" s="145"/>
      <c r="B1369" s="152"/>
      <c r="E1369" s="102"/>
      <c r="F1369" s="102"/>
      <c r="G1369" s="102"/>
      <c r="I1369" s="93"/>
      <c r="J1369" s="93"/>
    </row>
    <row r="1370" spans="1:10" s="65" customFormat="1" ht="14" x14ac:dyDescent="0.35">
      <c r="A1370" s="145"/>
      <c r="B1370" s="152"/>
      <c r="E1370" s="102"/>
      <c r="F1370" s="102"/>
      <c r="G1370" s="102"/>
      <c r="I1370" s="93"/>
      <c r="J1370" s="93"/>
    </row>
    <row r="1371" spans="1:10" s="65" customFormat="1" ht="14" x14ac:dyDescent="0.35">
      <c r="A1371" s="145"/>
      <c r="B1371" s="152"/>
      <c r="E1371" s="102"/>
      <c r="F1371" s="102"/>
      <c r="G1371" s="102"/>
      <c r="I1371" s="93"/>
      <c r="J1371" s="93"/>
    </row>
    <row r="1372" spans="1:10" s="65" customFormat="1" ht="14" x14ac:dyDescent="0.35">
      <c r="A1372" s="145"/>
      <c r="B1372" s="152"/>
      <c r="E1372" s="102"/>
      <c r="F1372" s="102"/>
      <c r="G1372" s="102"/>
      <c r="I1372" s="93"/>
      <c r="J1372" s="93"/>
    </row>
    <row r="1373" spans="1:10" s="65" customFormat="1" ht="14" x14ac:dyDescent="0.35">
      <c r="A1373" s="145"/>
      <c r="B1373" s="152"/>
      <c r="E1373" s="102"/>
      <c r="F1373" s="102"/>
      <c r="G1373" s="102"/>
      <c r="I1373" s="93"/>
      <c r="J1373" s="93"/>
    </row>
    <row r="1374" spans="1:10" s="65" customFormat="1" ht="14" x14ac:dyDescent="0.35">
      <c r="A1374" s="145"/>
      <c r="B1374" s="152"/>
      <c r="E1374" s="102"/>
      <c r="F1374" s="102"/>
      <c r="G1374" s="102"/>
      <c r="I1374" s="93"/>
      <c r="J1374" s="93"/>
    </row>
    <row r="1375" spans="1:10" s="65" customFormat="1" ht="14" x14ac:dyDescent="0.35">
      <c r="A1375" s="145"/>
      <c r="B1375" s="152"/>
      <c r="E1375" s="102"/>
      <c r="F1375" s="102"/>
      <c r="G1375" s="102"/>
      <c r="I1375" s="93"/>
      <c r="J1375" s="93"/>
    </row>
    <row r="1376" spans="1:10" s="65" customFormat="1" ht="14" x14ac:dyDescent="0.35">
      <c r="A1376" s="145"/>
      <c r="B1376" s="152"/>
      <c r="E1376" s="102"/>
      <c r="F1376" s="102"/>
      <c r="G1376" s="102"/>
      <c r="I1376" s="93"/>
      <c r="J1376" s="93"/>
    </row>
    <row r="1377" spans="1:10" s="65" customFormat="1" ht="14" x14ac:dyDescent="0.35">
      <c r="A1377" s="145"/>
      <c r="B1377" s="152"/>
      <c r="E1377" s="102"/>
      <c r="F1377" s="102"/>
      <c r="G1377" s="102"/>
      <c r="I1377" s="93"/>
      <c r="J1377" s="93"/>
    </row>
    <row r="1378" spans="1:10" s="65" customFormat="1" ht="14" x14ac:dyDescent="0.35">
      <c r="A1378" s="145"/>
      <c r="B1378" s="152"/>
      <c r="E1378" s="102"/>
      <c r="F1378" s="102"/>
      <c r="G1378" s="102"/>
      <c r="I1378" s="93"/>
      <c r="J1378" s="93"/>
    </row>
    <row r="1379" spans="1:10" s="65" customFormat="1" ht="14" x14ac:dyDescent="0.35">
      <c r="A1379" s="145"/>
      <c r="B1379" s="152"/>
      <c r="E1379" s="102"/>
      <c r="F1379" s="102"/>
      <c r="G1379" s="102"/>
      <c r="I1379" s="93"/>
      <c r="J1379" s="93"/>
    </row>
    <row r="1380" spans="1:10" s="65" customFormat="1" ht="14" x14ac:dyDescent="0.35">
      <c r="A1380" s="145"/>
      <c r="B1380" s="152"/>
      <c r="E1380" s="102"/>
      <c r="F1380" s="102"/>
      <c r="G1380" s="102"/>
      <c r="I1380" s="93"/>
      <c r="J1380" s="93"/>
    </row>
    <row r="1381" spans="1:10" s="65" customFormat="1" ht="14" x14ac:dyDescent="0.35">
      <c r="A1381" s="145"/>
      <c r="B1381" s="152"/>
      <c r="E1381" s="102"/>
      <c r="F1381" s="102"/>
      <c r="G1381" s="102"/>
      <c r="I1381" s="93"/>
      <c r="J1381" s="93"/>
    </row>
    <row r="1382" spans="1:10" s="65" customFormat="1" ht="14" x14ac:dyDescent="0.35">
      <c r="A1382" s="145"/>
      <c r="B1382" s="152"/>
      <c r="E1382" s="102"/>
      <c r="F1382" s="102"/>
      <c r="G1382" s="102"/>
      <c r="I1382" s="93"/>
      <c r="J1382" s="93"/>
    </row>
    <row r="1383" spans="1:10" s="65" customFormat="1" ht="14" x14ac:dyDescent="0.35">
      <c r="A1383" s="145"/>
      <c r="B1383" s="152"/>
      <c r="E1383" s="102"/>
      <c r="F1383" s="102"/>
      <c r="G1383" s="102"/>
      <c r="I1383" s="93"/>
      <c r="J1383" s="93"/>
    </row>
    <row r="1384" spans="1:10" s="65" customFormat="1" ht="14" x14ac:dyDescent="0.35">
      <c r="A1384" s="145"/>
      <c r="B1384" s="152"/>
      <c r="E1384" s="102"/>
      <c r="F1384" s="102"/>
      <c r="G1384" s="102"/>
      <c r="I1384" s="93"/>
      <c r="J1384" s="93"/>
    </row>
    <row r="1385" spans="1:10" s="65" customFormat="1" ht="14" x14ac:dyDescent="0.35">
      <c r="A1385" s="145"/>
      <c r="B1385" s="152"/>
      <c r="E1385" s="102"/>
      <c r="F1385" s="102"/>
      <c r="G1385" s="102"/>
      <c r="I1385" s="93"/>
      <c r="J1385" s="93"/>
    </row>
    <row r="1386" spans="1:10" s="65" customFormat="1" ht="14" x14ac:dyDescent="0.35">
      <c r="A1386" s="145"/>
      <c r="B1386" s="152"/>
      <c r="E1386" s="102"/>
      <c r="F1386" s="102"/>
      <c r="G1386" s="102"/>
      <c r="I1386" s="93"/>
      <c r="J1386" s="93"/>
    </row>
    <row r="1387" spans="1:10" s="65" customFormat="1" ht="14" x14ac:dyDescent="0.35">
      <c r="A1387" s="145"/>
      <c r="B1387" s="152"/>
      <c r="E1387" s="102"/>
      <c r="F1387" s="102"/>
      <c r="G1387" s="102"/>
      <c r="I1387" s="93"/>
      <c r="J1387" s="93"/>
    </row>
    <row r="1388" spans="1:10" s="65" customFormat="1" ht="14" x14ac:dyDescent="0.35">
      <c r="A1388" s="145"/>
      <c r="B1388" s="152"/>
      <c r="E1388" s="102"/>
      <c r="F1388" s="102"/>
      <c r="G1388" s="102"/>
      <c r="I1388" s="93"/>
      <c r="J1388" s="93"/>
    </row>
    <row r="1389" spans="1:10" s="65" customFormat="1" ht="14" x14ac:dyDescent="0.35">
      <c r="A1389" s="145"/>
      <c r="B1389" s="152"/>
      <c r="E1389" s="102"/>
      <c r="F1389" s="102"/>
      <c r="G1389" s="102"/>
      <c r="I1389" s="93"/>
      <c r="J1389" s="93"/>
    </row>
    <row r="1390" spans="1:10" s="65" customFormat="1" ht="14" x14ac:dyDescent="0.35">
      <c r="A1390" s="145"/>
      <c r="B1390" s="152"/>
      <c r="E1390" s="102"/>
      <c r="F1390" s="102"/>
      <c r="G1390" s="102"/>
      <c r="I1390" s="93"/>
      <c r="J1390" s="93"/>
    </row>
    <row r="1391" spans="1:10" s="65" customFormat="1" ht="14" x14ac:dyDescent="0.35">
      <c r="A1391" s="145"/>
      <c r="B1391" s="152"/>
      <c r="E1391" s="102"/>
      <c r="F1391" s="102"/>
      <c r="G1391" s="102"/>
      <c r="I1391" s="93"/>
      <c r="J1391" s="93"/>
    </row>
    <row r="1392" spans="1:10" s="65" customFormat="1" ht="14" x14ac:dyDescent="0.35">
      <c r="A1392" s="145"/>
      <c r="B1392" s="152"/>
      <c r="E1392" s="102"/>
      <c r="F1392" s="102"/>
      <c r="G1392" s="102"/>
      <c r="I1392" s="93"/>
      <c r="J1392" s="93"/>
    </row>
    <row r="1393" spans="1:10" s="65" customFormat="1" ht="14" x14ac:dyDescent="0.35">
      <c r="A1393" s="145"/>
      <c r="B1393" s="152"/>
      <c r="E1393" s="102"/>
      <c r="F1393" s="102"/>
      <c r="G1393" s="102"/>
      <c r="I1393" s="93"/>
      <c r="J1393" s="93"/>
    </row>
    <row r="1394" spans="1:10" s="65" customFormat="1" ht="14" x14ac:dyDescent="0.35">
      <c r="A1394" s="145"/>
      <c r="B1394" s="152"/>
      <c r="E1394" s="102"/>
      <c r="F1394" s="102"/>
      <c r="G1394" s="102"/>
      <c r="I1394" s="93"/>
      <c r="J1394" s="93"/>
    </row>
    <row r="1395" spans="1:10" s="65" customFormat="1" ht="14" x14ac:dyDescent="0.35">
      <c r="A1395" s="145"/>
      <c r="B1395" s="152"/>
      <c r="E1395" s="102"/>
      <c r="F1395" s="102"/>
      <c r="G1395" s="102"/>
      <c r="I1395" s="93"/>
      <c r="J1395" s="93"/>
    </row>
    <row r="1396" spans="1:10" s="65" customFormat="1" ht="14" x14ac:dyDescent="0.35">
      <c r="A1396" s="145"/>
      <c r="B1396" s="152"/>
      <c r="E1396" s="102"/>
      <c r="F1396" s="102"/>
      <c r="G1396" s="102"/>
      <c r="I1396" s="93"/>
      <c r="J1396" s="93"/>
    </row>
    <row r="1397" spans="1:10" s="65" customFormat="1" ht="14" x14ac:dyDescent="0.35">
      <c r="A1397" s="145"/>
      <c r="B1397" s="152"/>
      <c r="E1397" s="102"/>
      <c r="F1397" s="102"/>
      <c r="G1397" s="102"/>
      <c r="I1397" s="93"/>
      <c r="J1397" s="93"/>
    </row>
    <row r="1398" spans="1:10" s="65" customFormat="1" ht="14" x14ac:dyDescent="0.35">
      <c r="A1398" s="145"/>
      <c r="B1398" s="152"/>
      <c r="E1398" s="102"/>
      <c r="F1398" s="102"/>
      <c r="G1398" s="102"/>
      <c r="I1398" s="93"/>
      <c r="J1398" s="93"/>
    </row>
    <row r="1399" spans="1:10" s="65" customFormat="1" ht="14" x14ac:dyDescent="0.35">
      <c r="A1399" s="145"/>
      <c r="B1399" s="152"/>
      <c r="E1399" s="102"/>
      <c r="F1399" s="102"/>
      <c r="G1399" s="102"/>
      <c r="I1399" s="93"/>
      <c r="J1399" s="93"/>
    </row>
    <row r="1400" spans="1:10" s="65" customFormat="1" ht="14" x14ac:dyDescent="0.35">
      <c r="A1400" s="145"/>
      <c r="B1400" s="152"/>
      <c r="E1400" s="102"/>
      <c r="F1400" s="102"/>
      <c r="G1400" s="102"/>
      <c r="I1400" s="93"/>
      <c r="J1400" s="93"/>
    </row>
    <row r="1401" spans="1:10" s="65" customFormat="1" ht="14" x14ac:dyDescent="0.35">
      <c r="A1401" s="145"/>
      <c r="B1401" s="152"/>
      <c r="E1401" s="102"/>
      <c r="F1401" s="102"/>
      <c r="G1401" s="102"/>
      <c r="I1401" s="93"/>
      <c r="J1401" s="93"/>
    </row>
    <row r="1402" spans="1:10" s="65" customFormat="1" ht="14" x14ac:dyDescent="0.35">
      <c r="A1402" s="145"/>
      <c r="B1402" s="152"/>
      <c r="E1402" s="102"/>
      <c r="F1402" s="102"/>
      <c r="G1402" s="102"/>
      <c r="I1402" s="93"/>
      <c r="J1402" s="93"/>
    </row>
    <row r="1403" spans="1:10" s="65" customFormat="1" ht="14" x14ac:dyDescent="0.35">
      <c r="A1403" s="145"/>
      <c r="B1403" s="152"/>
      <c r="E1403" s="102"/>
      <c r="F1403" s="102"/>
      <c r="G1403" s="102"/>
      <c r="I1403" s="93"/>
      <c r="J1403" s="93"/>
    </row>
    <row r="1404" spans="1:10" s="65" customFormat="1" ht="14" x14ac:dyDescent="0.35">
      <c r="A1404" s="145"/>
      <c r="B1404" s="152"/>
      <c r="E1404" s="102"/>
      <c r="F1404" s="102"/>
      <c r="G1404" s="102"/>
      <c r="I1404" s="93"/>
      <c r="J1404" s="93"/>
    </row>
    <row r="1405" spans="1:10" s="65" customFormat="1" ht="14" x14ac:dyDescent="0.35">
      <c r="A1405" s="145"/>
      <c r="B1405" s="152"/>
      <c r="E1405" s="102"/>
      <c r="F1405" s="102"/>
      <c r="G1405" s="102"/>
      <c r="I1405" s="93"/>
      <c r="J1405" s="93"/>
    </row>
    <row r="1406" spans="1:10" s="65" customFormat="1" ht="14" x14ac:dyDescent="0.35">
      <c r="A1406" s="145"/>
      <c r="B1406" s="152"/>
      <c r="E1406" s="102"/>
      <c r="F1406" s="102"/>
      <c r="G1406" s="102"/>
      <c r="I1406" s="93"/>
      <c r="J1406" s="93"/>
    </row>
    <row r="1407" spans="1:10" s="65" customFormat="1" ht="14" x14ac:dyDescent="0.35">
      <c r="A1407" s="145"/>
      <c r="B1407" s="152"/>
      <c r="E1407" s="102"/>
      <c r="F1407" s="102"/>
      <c r="G1407" s="102"/>
      <c r="I1407" s="93"/>
      <c r="J1407" s="93"/>
    </row>
    <row r="1408" spans="1:10" s="65" customFormat="1" ht="14" x14ac:dyDescent="0.35">
      <c r="A1408" s="145"/>
      <c r="B1408" s="152"/>
      <c r="E1408" s="102"/>
      <c r="F1408" s="102"/>
      <c r="G1408" s="102"/>
      <c r="I1408" s="93"/>
      <c r="J1408" s="93"/>
    </row>
    <row r="1409" spans="1:10" s="65" customFormat="1" ht="14" x14ac:dyDescent="0.35">
      <c r="A1409" s="145"/>
      <c r="B1409" s="152"/>
      <c r="E1409" s="102"/>
      <c r="F1409" s="102"/>
      <c r="G1409" s="102"/>
      <c r="I1409" s="93"/>
      <c r="J1409" s="93"/>
    </row>
    <row r="1410" spans="1:10" s="65" customFormat="1" ht="14" x14ac:dyDescent="0.35">
      <c r="A1410" s="145"/>
      <c r="B1410" s="152"/>
      <c r="E1410" s="102"/>
      <c r="F1410" s="102"/>
      <c r="G1410" s="102"/>
      <c r="I1410" s="93"/>
      <c r="J1410" s="93"/>
    </row>
    <row r="1411" spans="1:10" s="65" customFormat="1" ht="14" x14ac:dyDescent="0.35">
      <c r="A1411" s="145"/>
      <c r="B1411" s="152"/>
      <c r="E1411" s="102"/>
      <c r="F1411" s="102"/>
      <c r="G1411" s="102"/>
      <c r="I1411" s="93"/>
      <c r="J1411" s="93"/>
    </row>
    <row r="1412" spans="1:10" s="65" customFormat="1" ht="14" x14ac:dyDescent="0.35">
      <c r="A1412" s="145"/>
      <c r="B1412" s="152"/>
      <c r="E1412" s="102"/>
      <c r="F1412" s="102"/>
      <c r="G1412" s="102"/>
      <c r="I1412" s="93"/>
      <c r="J1412" s="93"/>
    </row>
    <row r="1413" spans="1:10" s="65" customFormat="1" ht="14" x14ac:dyDescent="0.35">
      <c r="A1413" s="145"/>
      <c r="B1413" s="152"/>
      <c r="E1413" s="102"/>
      <c r="F1413" s="102"/>
      <c r="G1413" s="102"/>
      <c r="I1413" s="93"/>
      <c r="J1413" s="93"/>
    </row>
    <row r="1414" spans="1:10" s="65" customFormat="1" ht="14" x14ac:dyDescent="0.35">
      <c r="A1414" s="145"/>
      <c r="B1414" s="152"/>
      <c r="E1414" s="102"/>
      <c r="F1414" s="102"/>
      <c r="G1414" s="102"/>
      <c r="I1414" s="93"/>
      <c r="J1414" s="93"/>
    </row>
    <row r="1415" spans="1:10" s="65" customFormat="1" ht="14" x14ac:dyDescent="0.35">
      <c r="A1415" s="145"/>
      <c r="B1415" s="152"/>
      <c r="E1415" s="102"/>
      <c r="F1415" s="102"/>
      <c r="G1415" s="102"/>
      <c r="I1415" s="93"/>
      <c r="J1415" s="93"/>
    </row>
    <row r="1416" spans="1:10" s="65" customFormat="1" ht="14" x14ac:dyDescent="0.35">
      <c r="A1416" s="145"/>
      <c r="B1416" s="152"/>
      <c r="E1416" s="102"/>
      <c r="F1416" s="102"/>
      <c r="G1416" s="102"/>
      <c r="I1416" s="93"/>
      <c r="J1416" s="93"/>
    </row>
    <row r="1417" spans="1:10" s="65" customFormat="1" ht="14" x14ac:dyDescent="0.35">
      <c r="A1417" s="145"/>
      <c r="B1417" s="152"/>
      <c r="E1417" s="102"/>
      <c r="F1417" s="102"/>
      <c r="G1417" s="102"/>
      <c r="I1417" s="93"/>
      <c r="J1417" s="93"/>
    </row>
    <row r="1418" spans="1:10" s="65" customFormat="1" ht="14" x14ac:dyDescent="0.35">
      <c r="A1418" s="145"/>
      <c r="B1418" s="152"/>
      <c r="E1418" s="102"/>
      <c r="F1418" s="102"/>
      <c r="G1418" s="102"/>
      <c r="I1418" s="93"/>
      <c r="J1418" s="93"/>
    </row>
    <row r="1419" spans="1:10" s="65" customFormat="1" ht="14" x14ac:dyDescent="0.35">
      <c r="A1419" s="145"/>
      <c r="B1419" s="152"/>
      <c r="E1419" s="102"/>
      <c r="F1419" s="102"/>
      <c r="G1419" s="102"/>
      <c r="I1419" s="93"/>
      <c r="J1419" s="93"/>
    </row>
    <row r="1420" spans="1:10" s="65" customFormat="1" ht="14" x14ac:dyDescent="0.35">
      <c r="A1420" s="145"/>
      <c r="B1420" s="152"/>
      <c r="E1420" s="102"/>
      <c r="F1420" s="102"/>
      <c r="G1420" s="102"/>
      <c r="I1420" s="93"/>
      <c r="J1420" s="93"/>
    </row>
    <row r="1421" spans="1:10" s="65" customFormat="1" ht="14" x14ac:dyDescent="0.35">
      <c r="A1421" s="145"/>
      <c r="B1421" s="152"/>
      <c r="E1421" s="102"/>
      <c r="F1421" s="102"/>
      <c r="G1421" s="102"/>
      <c r="I1421" s="93"/>
      <c r="J1421" s="93"/>
    </row>
    <row r="1422" spans="1:10" s="65" customFormat="1" ht="14" x14ac:dyDescent="0.35">
      <c r="A1422" s="145"/>
      <c r="B1422" s="152"/>
      <c r="E1422" s="102"/>
      <c r="F1422" s="102"/>
      <c r="G1422" s="102"/>
      <c r="I1422" s="93"/>
      <c r="J1422" s="93"/>
    </row>
    <row r="1423" spans="1:10" s="65" customFormat="1" ht="14" x14ac:dyDescent="0.35">
      <c r="A1423" s="145"/>
      <c r="B1423" s="152"/>
      <c r="E1423" s="102"/>
      <c r="F1423" s="102"/>
      <c r="G1423" s="102"/>
      <c r="I1423" s="93"/>
      <c r="J1423" s="93"/>
    </row>
    <row r="1424" spans="1:10" s="65" customFormat="1" ht="14" x14ac:dyDescent="0.35">
      <c r="A1424" s="145"/>
      <c r="B1424" s="152"/>
      <c r="E1424" s="102"/>
      <c r="F1424" s="102"/>
      <c r="G1424" s="102"/>
      <c r="I1424" s="93"/>
      <c r="J1424" s="93"/>
    </row>
    <row r="1425" spans="1:10" s="65" customFormat="1" ht="14" x14ac:dyDescent="0.35">
      <c r="A1425" s="145"/>
      <c r="B1425" s="152"/>
      <c r="E1425" s="102"/>
      <c r="F1425" s="102"/>
      <c r="G1425" s="102"/>
      <c r="I1425" s="93"/>
      <c r="J1425" s="93"/>
    </row>
    <row r="1426" spans="1:10" s="65" customFormat="1" ht="14" x14ac:dyDescent="0.35">
      <c r="A1426" s="145"/>
      <c r="B1426" s="152"/>
      <c r="E1426" s="102"/>
      <c r="F1426" s="102"/>
      <c r="G1426" s="102"/>
      <c r="I1426" s="93"/>
      <c r="J1426" s="93"/>
    </row>
    <row r="1427" spans="1:10" s="65" customFormat="1" ht="14" x14ac:dyDescent="0.35">
      <c r="A1427" s="145"/>
      <c r="B1427" s="152"/>
      <c r="E1427" s="102"/>
      <c r="F1427" s="102"/>
      <c r="G1427" s="102"/>
      <c r="I1427" s="93"/>
      <c r="J1427" s="93"/>
    </row>
    <row r="1428" spans="1:10" s="65" customFormat="1" ht="14" x14ac:dyDescent="0.35">
      <c r="A1428" s="145"/>
      <c r="B1428" s="152"/>
      <c r="E1428" s="102"/>
      <c r="F1428" s="102"/>
      <c r="G1428" s="102"/>
      <c r="I1428" s="93"/>
      <c r="J1428" s="93"/>
    </row>
    <row r="1429" spans="1:10" s="65" customFormat="1" ht="14" x14ac:dyDescent="0.35">
      <c r="A1429" s="145"/>
      <c r="B1429" s="152"/>
      <c r="E1429" s="102"/>
      <c r="F1429" s="102"/>
      <c r="G1429" s="102"/>
      <c r="I1429" s="93"/>
      <c r="J1429" s="93"/>
    </row>
    <row r="1430" spans="1:10" s="65" customFormat="1" ht="14" x14ac:dyDescent="0.35">
      <c r="A1430" s="145"/>
      <c r="B1430" s="152"/>
      <c r="E1430" s="102"/>
      <c r="F1430" s="102"/>
      <c r="G1430" s="102"/>
      <c r="I1430" s="93"/>
      <c r="J1430" s="93"/>
    </row>
    <row r="1431" spans="1:10" s="65" customFormat="1" ht="14" x14ac:dyDescent="0.35">
      <c r="A1431" s="145"/>
      <c r="B1431" s="152"/>
      <c r="E1431" s="102"/>
      <c r="F1431" s="102"/>
      <c r="G1431" s="102"/>
      <c r="I1431" s="93"/>
      <c r="J1431" s="93"/>
    </row>
    <row r="1432" spans="1:10" s="65" customFormat="1" ht="14" x14ac:dyDescent="0.35">
      <c r="A1432" s="145"/>
      <c r="B1432" s="152"/>
      <c r="E1432" s="102"/>
      <c r="F1432" s="102"/>
      <c r="G1432" s="102"/>
      <c r="I1432" s="93"/>
      <c r="J1432" s="93"/>
    </row>
    <row r="1433" spans="1:10" s="65" customFormat="1" ht="14" x14ac:dyDescent="0.35">
      <c r="A1433" s="145"/>
      <c r="B1433" s="152"/>
      <c r="E1433" s="102"/>
      <c r="F1433" s="102"/>
      <c r="G1433" s="102"/>
      <c r="I1433" s="93"/>
      <c r="J1433" s="93"/>
    </row>
    <row r="1434" spans="1:10" s="65" customFormat="1" ht="14" x14ac:dyDescent="0.35">
      <c r="A1434" s="145"/>
      <c r="B1434" s="152"/>
      <c r="E1434" s="102"/>
      <c r="F1434" s="102"/>
      <c r="G1434" s="102"/>
      <c r="I1434" s="93"/>
      <c r="J1434" s="93"/>
    </row>
    <row r="1435" spans="1:10" s="65" customFormat="1" ht="14" x14ac:dyDescent="0.35">
      <c r="A1435" s="145"/>
      <c r="B1435" s="152"/>
      <c r="E1435" s="102"/>
      <c r="F1435" s="102"/>
      <c r="G1435" s="102"/>
      <c r="I1435" s="93"/>
      <c r="J1435" s="93"/>
    </row>
    <row r="1436" spans="1:10" s="65" customFormat="1" ht="14" x14ac:dyDescent="0.35">
      <c r="A1436" s="145"/>
      <c r="B1436" s="152"/>
      <c r="E1436" s="102"/>
      <c r="F1436" s="102"/>
      <c r="G1436" s="102"/>
      <c r="I1436" s="93"/>
      <c r="J1436" s="93"/>
    </row>
    <row r="1437" spans="1:10" s="65" customFormat="1" ht="14" x14ac:dyDescent="0.35">
      <c r="A1437" s="145"/>
      <c r="B1437" s="152"/>
      <c r="E1437" s="102"/>
      <c r="F1437" s="102"/>
      <c r="G1437" s="102"/>
      <c r="I1437" s="93"/>
      <c r="J1437" s="93"/>
    </row>
    <row r="1438" spans="1:10" s="65" customFormat="1" ht="14" x14ac:dyDescent="0.35">
      <c r="A1438" s="145"/>
      <c r="B1438" s="152"/>
      <c r="E1438" s="102"/>
      <c r="F1438" s="102"/>
      <c r="G1438" s="102"/>
      <c r="I1438" s="93"/>
      <c r="J1438" s="93"/>
    </row>
    <row r="1439" spans="1:10" s="65" customFormat="1" ht="14" x14ac:dyDescent="0.35">
      <c r="A1439" s="145"/>
      <c r="B1439" s="152"/>
      <c r="E1439" s="102"/>
      <c r="F1439" s="102"/>
      <c r="G1439" s="102"/>
      <c r="I1439" s="93"/>
      <c r="J1439" s="93"/>
    </row>
    <row r="1440" spans="1:10" s="65" customFormat="1" ht="14" x14ac:dyDescent="0.35">
      <c r="A1440" s="145"/>
      <c r="B1440" s="152"/>
      <c r="E1440" s="102"/>
      <c r="F1440" s="102"/>
      <c r="G1440" s="102"/>
      <c r="I1440" s="93"/>
      <c r="J1440" s="93"/>
    </row>
    <row r="1441" spans="1:10" s="65" customFormat="1" ht="14" x14ac:dyDescent="0.35">
      <c r="A1441" s="145"/>
      <c r="B1441" s="152"/>
      <c r="E1441" s="102"/>
      <c r="F1441" s="102"/>
      <c r="G1441" s="102"/>
      <c r="I1441" s="93"/>
      <c r="J1441" s="93"/>
    </row>
    <row r="1442" spans="1:10" s="65" customFormat="1" ht="14" x14ac:dyDescent="0.35">
      <c r="A1442" s="145"/>
      <c r="B1442" s="152"/>
      <c r="E1442" s="102"/>
      <c r="F1442" s="102"/>
      <c r="G1442" s="102"/>
      <c r="I1442" s="93"/>
      <c r="J1442" s="93"/>
    </row>
    <row r="1443" spans="1:10" s="65" customFormat="1" ht="14" x14ac:dyDescent="0.35">
      <c r="A1443" s="145"/>
      <c r="B1443" s="152"/>
      <c r="E1443" s="102"/>
      <c r="F1443" s="102"/>
      <c r="G1443" s="102"/>
      <c r="I1443" s="93"/>
      <c r="J1443" s="93"/>
    </row>
    <row r="1444" spans="1:10" s="65" customFormat="1" ht="14" x14ac:dyDescent="0.35">
      <c r="A1444" s="145"/>
      <c r="B1444" s="152"/>
      <c r="E1444" s="102"/>
      <c r="F1444" s="102"/>
      <c r="G1444" s="102"/>
      <c r="I1444" s="93"/>
      <c r="J1444" s="93"/>
    </row>
    <row r="1445" spans="1:10" s="65" customFormat="1" ht="14" x14ac:dyDescent="0.35">
      <c r="A1445" s="145"/>
      <c r="B1445" s="152"/>
      <c r="E1445" s="102"/>
      <c r="F1445" s="102"/>
      <c r="G1445" s="102"/>
      <c r="I1445" s="93"/>
      <c r="J1445" s="93"/>
    </row>
    <row r="1446" spans="1:10" s="65" customFormat="1" ht="14" x14ac:dyDescent="0.35">
      <c r="A1446" s="145"/>
      <c r="B1446" s="152"/>
      <c r="E1446" s="102"/>
      <c r="F1446" s="102"/>
      <c r="G1446" s="102"/>
      <c r="I1446" s="93"/>
      <c r="J1446" s="93"/>
    </row>
    <row r="1447" spans="1:10" s="65" customFormat="1" ht="14" x14ac:dyDescent="0.35">
      <c r="A1447" s="145"/>
      <c r="B1447" s="152"/>
      <c r="E1447" s="102"/>
      <c r="F1447" s="102"/>
      <c r="G1447" s="102"/>
      <c r="I1447" s="93"/>
      <c r="J1447" s="93"/>
    </row>
    <row r="1448" spans="1:10" s="65" customFormat="1" ht="14" x14ac:dyDescent="0.35">
      <c r="A1448" s="145"/>
      <c r="B1448" s="152"/>
      <c r="E1448" s="102"/>
      <c r="F1448" s="102"/>
      <c r="G1448" s="102"/>
      <c r="I1448" s="93"/>
      <c r="J1448" s="93"/>
    </row>
    <row r="1449" spans="1:10" s="65" customFormat="1" ht="14" x14ac:dyDescent="0.35">
      <c r="A1449" s="145"/>
      <c r="B1449" s="152"/>
      <c r="E1449" s="102"/>
      <c r="F1449" s="102"/>
      <c r="G1449" s="102"/>
      <c r="I1449" s="93"/>
      <c r="J1449" s="93"/>
    </row>
    <row r="1450" spans="1:10" s="65" customFormat="1" ht="14" x14ac:dyDescent="0.35">
      <c r="A1450" s="145"/>
      <c r="B1450" s="152"/>
      <c r="E1450" s="102"/>
      <c r="F1450" s="102"/>
      <c r="G1450" s="102"/>
      <c r="I1450" s="93"/>
      <c r="J1450" s="93"/>
    </row>
    <row r="1451" spans="1:10" s="65" customFormat="1" ht="14" x14ac:dyDescent="0.35">
      <c r="A1451" s="145"/>
      <c r="B1451" s="152"/>
      <c r="E1451" s="102"/>
      <c r="F1451" s="102"/>
      <c r="G1451" s="102"/>
      <c r="I1451" s="93"/>
      <c r="J1451" s="93"/>
    </row>
    <row r="1452" spans="1:10" s="65" customFormat="1" ht="14" x14ac:dyDescent="0.35">
      <c r="A1452" s="145"/>
      <c r="B1452" s="152"/>
      <c r="E1452" s="102"/>
      <c r="F1452" s="102"/>
      <c r="G1452" s="102"/>
      <c r="I1452" s="93"/>
      <c r="J1452" s="93"/>
    </row>
    <row r="1453" spans="1:10" s="65" customFormat="1" ht="14" x14ac:dyDescent="0.35">
      <c r="A1453" s="145"/>
      <c r="B1453" s="152"/>
      <c r="E1453" s="102"/>
      <c r="F1453" s="102"/>
      <c r="G1453" s="102"/>
      <c r="I1453" s="93"/>
      <c r="J1453" s="93"/>
    </row>
    <row r="1454" spans="1:10" s="65" customFormat="1" ht="14" x14ac:dyDescent="0.35">
      <c r="A1454" s="145"/>
      <c r="B1454" s="152"/>
      <c r="E1454" s="102"/>
      <c r="F1454" s="102"/>
      <c r="G1454" s="102"/>
      <c r="I1454" s="93"/>
      <c r="J1454" s="93"/>
    </row>
    <row r="1455" spans="1:10" s="65" customFormat="1" ht="14" x14ac:dyDescent="0.35">
      <c r="A1455" s="145"/>
      <c r="B1455" s="152"/>
      <c r="E1455" s="102"/>
      <c r="F1455" s="102"/>
      <c r="G1455" s="102"/>
      <c r="I1455" s="93"/>
      <c r="J1455" s="93"/>
    </row>
    <row r="1456" spans="1:10" s="65" customFormat="1" ht="14" x14ac:dyDescent="0.35">
      <c r="A1456" s="145"/>
      <c r="B1456" s="152"/>
      <c r="E1456" s="102"/>
      <c r="F1456" s="102"/>
      <c r="G1456" s="102"/>
      <c r="I1456" s="93"/>
      <c r="J1456" s="93"/>
    </row>
    <row r="1457" spans="1:10" s="65" customFormat="1" ht="14" x14ac:dyDescent="0.35">
      <c r="A1457" s="145"/>
      <c r="B1457" s="152"/>
      <c r="E1457" s="102"/>
      <c r="F1457" s="102"/>
      <c r="G1457" s="102"/>
      <c r="I1457" s="93"/>
      <c r="J1457" s="93"/>
    </row>
    <row r="1458" spans="1:10" s="65" customFormat="1" ht="14" x14ac:dyDescent="0.35">
      <c r="A1458" s="145"/>
      <c r="B1458" s="152"/>
      <c r="E1458" s="102"/>
      <c r="F1458" s="102"/>
      <c r="G1458" s="102"/>
      <c r="I1458" s="93"/>
      <c r="J1458" s="93"/>
    </row>
    <row r="1459" spans="1:10" s="65" customFormat="1" ht="14" x14ac:dyDescent="0.35">
      <c r="A1459" s="145"/>
      <c r="B1459" s="152"/>
      <c r="E1459" s="102"/>
      <c r="F1459" s="102"/>
      <c r="G1459" s="102"/>
      <c r="I1459" s="93"/>
      <c r="J1459" s="93"/>
    </row>
    <row r="1460" spans="1:10" s="65" customFormat="1" ht="14" x14ac:dyDescent="0.35">
      <c r="A1460" s="145"/>
      <c r="B1460" s="152"/>
      <c r="E1460" s="102"/>
      <c r="F1460" s="102"/>
      <c r="G1460" s="102"/>
      <c r="I1460" s="93"/>
      <c r="J1460" s="93"/>
    </row>
    <row r="1461" spans="1:10" s="65" customFormat="1" ht="14" x14ac:dyDescent="0.35">
      <c r="A1461" s="145"/>
      <c r="B1461" s="152"/>
      <c r="E1461" s="102"/>
      <c r="F1461" s="102"/>
      <c r="G1461" s="102"/>
      <c r="I1461" s="93"/>
      <c r="J1461" s="93"/>
    </row>
    <row r="1462" spans="1:10" s="65" customFormat="1" ht="14" x14ac:dyDescent="0.35">
      <c r="A1462" s="145"/>
      <c r="B1462" s="152"/>
      <c r="E1462" s="102"/>
      <c r="F1462" s="102"/>
      <c r="G1462" s="102"/>
      <c r="I1462" s="93"/>
      <c r="J1462" s="93"/>
    </row>
    <row r="1463" spans="1:10" s="65" customFormat="1" ht="14" x14ac:dyDescent="0.35">
      <c r="A1463" s="145"/>
      <c r="B1463" s="152"/>
      <c r="E1463" s="102"/>
      <c r="F1463" s="102"/>
      <c r="G1463" s="102"/>
      <c r="I1463" s="93"/>
      <c r="J1463" s="93"/>
    </row>
    <row r="1464" spans="1:10" s="65" customFormat="1" ht="14" x14ac:dyDescent="0.35">
      <c r="A1464" s="145"/>
      <c r="B1464" s="152"/>
      <c r="E1464" s="102"/>
      <c r="F1464" s="102"/>
      <c r="G1464" s="102"/>
      <c r="I1464" s="93"/>
      <c r="J1464" s="93"/>
    </row>
    <row r="1465" spans="1:10" s="65" customFormat="1" ht="14" x14ac:dyDescent="0.35">
      <c r="A1465" s="145"/>
      <c r="B1465" s="152"/>
      <c r="E1465" s="102"/>
      <c r="F1465" s="102"/>
      <c r="G1465" s="102"/>
      <c r="I1465" s="93"/>
      <c r="J1465" s="93"/>
    </row>
    <row r="1466" spans="1:10" s="65" customFormat="1" ht="14" x14ac:dyDescent="0.35">
      <c r="A1466" s="145"/>
      <c r="B1466" s="152"/>
      <c r="E1466" s="102"/>
      <c r="F1466" s="102"/>
      <c r="G1466" s="102"/>
      <c r="I1466" s="93"/>
      <c r="J1466" s="93"/>
    </row>
    <row r="1467" spans="1:10" s="65" customFormat="1" ht="14" x14ac:dyDescent="0.35">
      <c r="A1467" s="145"/>
      <c r="B1467" s="152"/>
      <c r="E1467" s="102"/>
      <c r="F1467" s="102"/>
      <c r="G1467" s="102"/>
      <c r="I1467" s="93"/>
      <c r="J1467" s="93"/>
    </row>
    <row r="1468" spans="1:10" s="65" customFormat="1" ht="14" x14ac:dyDescent="0.35">
      <c r="A1468" s="145"/>
      <c r="B1468" s="152"/>
      <c r="E1468" s="102"/>
      <c r="F1468" s="102"/>
      <c r="G1468" s="102"/>
      <c r="I1468" s="93"/>
      <c r="J1468" s="93"/>
    </row>
    <row r="1469" spans="1:10" s="65" customFormat="1" ht="14" x14ac:dyDescent="0.35">
      <c r="A1469" s="145"/>
      <c r="B1469" s="152"/>
      <c r="E1469" s="102"/>
      <c r="F1469" s="102"/>
      <c r="G1469" s="102"/>
      <c r="I1469" s="93"/>
      <c r="J1469" s="93"/>
    </row>
    <row r="1470" spans="1:10" s="65" customFormat="1" ht="14" x14ac:dyDescent="0.35">
      <c r="A1470" s="145"/>
      <c r="B1470" s="152"/>
      <c r="E1470" s="102"/>
      <c r="F1470" s="102"/>
      <c r="G1470" s="102"/>
      <c r="I1470" s="93"/>
      <c r="J1470" s="93"/>
    </row>
    <row r="1471" spans="1:10" s="65" customFormat="1" ht="14" x14ac:dyDescent="0.35">
      <c r="A1471" s="145"/>
      <c r="B1471" s="152"/>
      <c r="E1471" s="102"/>
      <c r="F1471" s="102"/>
      <c r="G1471" s="102"/>
      <c r="I1471" s="93"/>
      <c r="J1471" s="93"/>
    </row>
    <row r="1472" spans="1:10" s="65" customFormat="1" ht="14" x14ac:dyDescent="0.35">
      <c r="A1472" s="145"/>
      <c r="B1472" s="152"/>
      <c r="E1472" s="102"/>
      <c r="F1472" s="102"/>
      <c r="G1472" s="102"/>
      <c r="I1472" s="93"/>
      <c r="J1472" s="93"/>
    </row>
    <row r="1473" spans="1:10" s="65" customFormat="1" ht="14" x14ac:dyDescent="0.35">
      <c r="A1473" s="145"/>
      <c r="B1473" s="152"/>
      <c r="E1473" s="102"/>
      <c r="F1473" s="102"/>
      <c r="G1473" s="102"/>
      <c r="I1473" s="93"/>
      <c r="J1473" s="93"/>
    </row>
    <row r="1474" spans="1:10" s="65" customFormat="1" ht="14" x14ac:dyDescent="0.35">
      <c r="A1474" s="145"/>
      <c r="B1474" s="152"/>
      <c r="E1474" s="102"/>
      <c r="F1474" s="102"/>
      <c r="G1474" s="102"/>
      <c r="I1474" s="93"/>
      <c r="J1474" s="93"/>
    </row>
    <row r="1475" spans="1:10" s="65" customFormat="1" ht="14" x14ac:dyDescent="0.35">
      <c r="A1475" s="145"/>
      <c r="B1475" s="152"/>
      <c r="E1475" s="102"/>
      <c r="F1475" s="102"/>
      <c r="G1475" s="102"/>
      <c r="I1475" s="93"/>
      <c r="J1475" s="93"/>
    </row>
    <row r="1476" spans="1:10" s="65" customFormat="1" ht="14" x14ac:dyDescent="0.35">
      <c r="A1476" s="145"/>
      <c r="B1476" s="152"/>
      <c r="E1476" s="102"/>
      <c r="F1476" s="102"/>
      <c r="G1476" s="102"/>
      <c r="I1476" s="93"/>
      <c r="J1476" s="93"/>
    </row>
    <row r="1477" spans="1:10" s="65" customFormat="1" ht="14" x14ac:dyDescent="0.35">
      <c r="A1477" s="145"/>
      <c r="B1477" s="152"/>
      <c r="E1477" s="102"/>
      <c r="F1477" s="102"/>
      <c r="G1477" s="102"/>
      <c r="I1477" s="93"/>
      <c r="J1477" s="93"/>
    </row>
    <row r="1478" spans="1:10" s="65" customFormat="1" ht="14" x14ac:dyDescent="0.35">
      <c r="A1478" s="145"/>
      <c r="B1478" s="152"/>
      <c r="E1478" s="102"/>
      <c r="F1478" s="102"/>
      <c r="G1478" s="102"/>
      <c r="I1478" s="93"/>
      <c r="J1478" s="93"/>
    </row>
    <row r="1479" spans="1:10" s="65" customFormat="1" ht="14" x14ac:dyDescent="0.35">
      <c r="A1479" s="145"/>
      <c r="B1479" s="152"/>
      <c r="E1479" s="102"/>
      <c r="F1479" s="102"/>
      <c r="G1479" s="102"/>
      <c r="I1479" s="93"/>
      <c r="J1479" s="93"/>
    </row>
    <row r="1480" spans="1:10" s="65" customFormat="1" ht="14" x14ac:dyDescent="0.35">
      <c r="A1480" s="145"/>
      <c r="B1480" s="152"/>
      <c r="E1480" s="102"/>
      <c r="F1480" s="102"/>
      <c r="G1480" s="102"/>
      <c r="I1480" s="93"/>
      <c r="J1480" s="93"/>
    </row>
    <row r="1481" spans="1:10" s="65" customFormat="1" ht="14" x14ac:dyDescent="0.35">
      <c r="A1481" s="145"/>
      <c r="B1481" s="152"/>
      <c r="E1481" s="102"/>
      <c r="F1481" s="102"/>
      <c r="G1481" s="102"/>
      <c r="I1481" s="93"/>
      <c r="J1481" s="93"/>
    </row>
    <row r="1482" spans="1:10" s="65" customFormat="1" ht="14" x14ac:dyDescent="0.35">
      <c r="A1482" s="145"/>
      <c r="B1482" s="152"/>
      <c r="E1482" s="102"/>
      <c r="F1482" s="102"/>
      <c r="G1482" s="102"/>
      <c r="I1482" s="93"/>
      <c r="J1482" s="93"/>
    </row>
    <row r="1483" spans="1:10" s="65" customFormat="1" ht="14" x14ac:dyDescent="0.35">
      <c r="A1483" s="145"/>
      <c r="B1483" s="152"/>
      <c r="E1483" s="102"/>
      <c r="F1483" s="102"/>
      <c r="G1483" s="102"/>
      <c r="I1483" s="93"/>
      <c r="J1483" s="93"/>
    </row>
    <row r="1484" spans="1:10" s="65" customFormat="1" ht="14" x14ac:dyDescent="0.35">
      <c r="A1484" s="145"/>
      <c r="B1484" s="152"/>
      <c r="E1484" s="102"/>
      <c r="F1484" s="102"/>
      <c r="G1484" s="102"/>
      <c r="I1484" s="93"/>
      <c r="J1484" s="93"/>
    </row>
    <row r="1485" spans="1:10" s="65" customFormat="1" ht="14" x14ac:dyDescent="0.35">
      <c r="A1485" s="145"/>
      <c r="B1485" s="152"/>
      <c r="E1485" s="102"/>
      <c r="F1485" s="102"/>
      <c r="G1485" s="102"/>
      <c r="I1485" s="93"/>
      <c r="J1485" s="93"/>
    </row>
    <row r="1486" spans="1:10" s="65" customFormat="1" ht="14" x14ac:dyDescent="0.35">
      <c r="A1486" s="145"/>
      <c r="B1486" s="152"/>
      <c r="E1486" s="102"/>
      <c r="F1486" s="102"/>
      <c r="G1486" s="102"/>
      <c r="I1486" s="93"/>
      <c r="J1486" s="93"/>
    </row>
    <row r="1487" spans="1:10" s="65" customFormat="1" ht="14" x14ac:dyDescent="0.35">
      <c r="A1487" s="145"/>
      <c r="B1487" s="152"/>
      <c r="E1487" s="102"/>
      <c r="F1487" s="102"/>
      <c r="G1487" s="102"/>
      <c r="I1487" s="93"/>
      <c r="J1487" s="93"/>
    </row>
    <row r="1488" spans="1:10" s="65" customFormat="1" ht="14" x14ac:dyDescent="0.35">
      <c r="A1488" s="145"/>
      <c r="B1488" s="152"/>
      <c r="E1488" s="102"/>
      <c r="F1488" s="102"/>
      <c r="G1488" s="102"/>
      <c r="I1488" s="93"/>
      <c r="J1488" s="93"/>
    </row>
    <row r="1489" spans="1:10" s="65" customFormat="1" ht="14" x14ac:dyDescent="0.35">
      <c r="A1489" s="145"/>
      <c r="B1489" s="152"/>
      <c r="E1489" s="102"/>
      <c r="F1489" s="102"/>
      <c r="G1489" s="102"/>
      <c r="I1489" s="93"/>
      <c r="J1489" s="93"/>
    </row>
    <row r="1490" spans="1:10" s="65" customFormat="1" ht="14" x14ac:dyDescent="0.35">
      <c r="A1490" s="145"/>
      <c r="B1490" s="152"/>
      <c r="E1490" s="102"/>
      <c r="F1490" s="102"/>
      <c r="G1490" s="102"/>
      <c r="I1490" s="93"/>
      <c r="J1490" s="93"/>
    </row>
    <row r="1491" spans="1:10" s="65" customFormat="1" ht="14" x14ac:dyDescent="0.35">
      <c r="A1491" s="145"/>
      <c r="B1491" s="152"/>
      <c r="E1491" s="102"/>
      <c r="F1491" s="102"/>
      <c r="G1491" s="102"/>
      <c r="I1491" s="93"/>
      <c r="J1491" s="93"/>
    </row>
    <row r="1492" spans="1:10" s="65" customFormat="1" ht="14" x14ac:dyDescent="0.35">
      <c r="A1492" s="145"/>
      <c r="B1492" s="152"/>
      <c r="E1492" s="102"/>
      <c r="F1492" s="102"/>
      <c r="G1492" s="102"/>
      <c r="I1492" s="93"/>
      <c r="J1492" s="93"/>
    </row>
    <row r="1493" spans="1:10" s="65" customFormat="1" ht="14" x14ac:dyDescent="0.35">
      <c r="A1493" s="145"/>
      <c r="B1493" s="152"/>
      <c r="E1493" s="102"/>
      <c r="F1493" s="102"/>
      <c r="G1493" s="102"/>
      <c r="I1493" s="93"/>
      <c r="J1493" s="93"/>
    </row>
    <row r="1494" spans="1:10" s="65" customFormat="1" ht="14" x14ac:dyDescent="0.35">
      <c r="A1494" s="145"/>
      <c r="B1494" s="152"/>
      <c r="E1494" s="102"/>
      <c r="F1494" s="102"/>
      <c r="G1494" s="102"/>
      <c r="I1494" s="93"/>
      <c r="J1494" s="93"/>
    </row>
    <row r="1495" spans="1:10" s="65" customFormat="1" ht="14" x14ac:dyDescent="0.35">
      <c r="A1495" s="145"/>
      <c r="B1495" s="152"/>
      <c r="E1495" s="102"/>
      <c r="F1495" s="102"/>
      <c r="G1495" s="102"/>
      <c r="I1495" s="93"/>
      <c r="J1495" s="93"/>
    </row>
    <row r="1496" spans="1:10" s="65" customFormat="1" ht="14" x14ac:dyDescent="0.35">
      <c r="A1496" s="145"/>
      <c r="B1496" s="152"/>
      <c r="E1496" s="102"/>
      <c r="F1496" s="102"/>
      <c r="G1496" s="102"/>
      <c r="I1496" s="93"/>
      <c r="J1496" s="93"/>
    </row>
    <row r="1497" spans="1:10" s="65" customFormat="1" ht="14" x14ac:dyDescent="0.35">
      <c r="A1497" s="145"/>
      <c r="B1497" s="152"/>
      <c r="E1497" s="102"/>
      <c r="F1497" s="102"/>
      <c r="G1497" s="102"/>
      <c r="I1497" s="93"/>
      <c r="J1497" s="93"/>
    </row>
    <row r="1498" spans="1:10" s="65" customFormat="1" ht="14" x14ac:dyDescent="0.35">
      <c r="A1498" s="145"/>
      <c r="B1498" s="152"/>
      <c r="E1498" s="102"/>
      <c r="F1498" s="102"/>
      <c r="G1498" s="102"/>
      <c r="I1498" s="93"/>
      <c r="J1498" s="93"/>
    </row>
    <row r="1499" spans="1:10" s="65" customFormat="1" ht="14" x14ac:dyDescent="0.35">
      <c r="A1499" s="145"/>
      <c r="B1499" s="152"/>
      <c r="E1499" s="102"/>
      <c r="F1499" s="102"/>
      <c r="G1499" s="102"/>
      <c r="I1499" s="93"/>
      <c r="J1499" s="93"/>
    </row>
    <row r="1500" spans="1:10" s="65" customFormat="1" ht="14" x14ac:dyDescent="0.35">
      <c r="A1500" s="145"/>
      <c r="B1500" s="152"/>
      <c r="E1500" s="102"/>
      <c r="F1500" s="102"/>
      <c r="G1500" s="102"/>
      <c r="I1500" s="93"/>
      <c r="J1500" s="93"/>
    </row>
    <row r="1501" spans="1:10" s="65" customFormat="1" ht="14" x14ac:dyDescent="0.35">
      <c r="A1501" s="145"/>
      <c r="B1501" s="152"/>
      <c r="E1501" s="102"/>
      <c r="F1501" s="102"/>
      <c r="G1501" s="102"/>
      <c r="I1501" s="93"/>
      <c r="J1501" s="93"/>
    </row>
    <row r="1502" spans="1:10" s="65" customFormat="1" ht="14" x14ac:dyDescent="0.35">
      <c r="A1502" s="145"/>
      <c r="B1502" s="152"/>
      <c r="E1502" s="102"/>
      <c r="F1502" s="102"/>
      <c r="G1502" s="102"/>
      <c r="I1502" s="93"/>
      <c r="J1502" s="93"/>
    </row>
    <row r="1503" spans="1:10" s="65" customFormat="1" ht="14" x14ac:dyDescent="0.35">
      <c r="A1503" s="145"/>
      <c r="B1503" s="152"/>
      <c r="E1503" s="102"/>
      <c r="F1503" s="102"/>
      <c r="G1503" s="102"/>
      <c r="I1503" s="93"/>
      <c r="J1503" s="93"/>
    </row>
    <row r="1504" spans="1:10" s="65" customFormat="1" ht="14" x14ac:dyDescent="0.35">
      <c r="A1504" s="145"/>
      <c r="B1504" s="152"/>
      <c r="E1504" s="102"/>
      <c r="F1504" s="102"/>
      <c r="G1504" s="102"/>
      <c r="I1504" s="93"/>
      <c r="J1504" s="93"/>
    </row>
    <row r="1505" spans="1:10" s="65" customFormat="1" ht="14" x14ac:dyDescent="0.35">
      <c r="A1505" s="145"/>
      <c r="B1505" s="152"/>
      <c r="E1505" s="102"/>
      <c r="F1505" s="102"/>
      <c r="G1505" s="102"/>
      <c r="I1505" s="93"/>
      <c r="J1505" s="93"/>
    </row>
    <row r="1506" spans="1:10" s="65" customFormat="1" ht="14" x14ac:dyDescent="0.35">
      <c r="A1506" s="145"/>
      <c r="B1506" s="152"/>
      <c r="E1506" s="102"/>
      <c r="F1506" s="102"/>
      <c r="G1506" s="102"/>
      <c r="I1506" s="93"/>
      <c r="J1506" s="93"/>
    </row>
    <row r="1507" spans="1:10" s="65" customFormat="1" ht="14" x14ac:dyDescent="0.35">
      <c r="A1507" s="145"/>
      <c r="B1507" s="152"/>
      <c r="E1507" s="102"/>
      <c r="F1507" s="102"/>
      <c r="G1507" s="102"/>
      <c r="I1507" s="93"/>
      <c r="J1507" s="93"/>
    </row>
    <row r="1508" spans="1:10" s="65" customFormat="1" ht="14" x14ac:dyDescent="0.35">
      <c r="A1508" s="145"/>
      <c r="B1508" s="152"/>
      <c r="E1508" s="102"/>
      <c r="F1508" s="102"/>
      <c r="G1508" s="102"/>
      <c r="I1508" s="93"/>
      <c r="J1508" s="93"/>
    </row>
    <row r="1509" spans="1:10" s="65" customFormat="1" ht="14" x14ac:dyDescent="0.35">
      <c r="A1509" s="145"/>
      <c r="B1509" s="152"/>
      <c r="E1509" s="102"/>
      <c r="F1509" s="102"/>
      <c r="G1509" s="102"/>
      <c r="I1509" s="93"/>
      <c r="J1509" s="93"/>
    </row>
    <row r="1510" spans="1:10" s="65" customFormat="1" ht="14" x14ac:dyDescent="0.35">
      <c r="A1510" s="145"/>
      <c r="B1510" s="152"/>
      <c r="E1510" s="102"/>
      <c r="F1510" s="102"/>
      <c r="G1510" s="102"/>
      <c r="I1510" s="93"/>
      <c r="J1510" s="93"/>
    </row>
    <row r="1511" spans="1:10" s="65" customFormat="1" ht="14" x14ac:dyDescent="0.35">
      <c r="A1511" s="145"/>
      <c r="B1511" s="152"/>
      <c r="E1511" s="102"/>
      <c r="F1511" s="102"/>
      <c r="G1511" s="102"/>
      <c r="I1511" s="93"/>
      <c r="J1511" s="93"/>
    </row>
    <row r="1512" spans="1:10" s="65" customFormat="1" ht="14" x14ac:dyDescent="0.35">
      <c r="A1512" s="145"/>
      <c r="B1512" s="152"/>
      <c r="E1512" s="102"/>
      <c r="F1512" s="102"/>
      <c r="G1512" s="102"/>
      <c r="I1512" s="93"/>
      <c r="J1512" s="93"/>
    </row>
    <row r="1513" spans="1:10" s="65" customFormat="1" ht="14" x14ac:dyDescent="0.35">
      <c r="A1513" s="145"/>
      <c r="B1513" s="152"/>
      <c r="E1513" s="102"/>
      <c r="F1513" s="102"/>
      <c r="G1513" s="102"/>
      <c r="I1513" s="93"/>
      <c r="J1513" s="93"/>
    </row>
    <row r="1514" spans="1:10" s="65" customFormat="1" ht="14" x14ac:dyDescent="0.35">
      <c r="A1514" s="145"/>
      <c r="B1514" s="152"/>
      <c r="E1514" s="102"/>
      <c r="F1514" s="102"/>
      <c r="G1514" s="102"/>
      <c r="I1514" s="93"/>
      <c r="J1514" s="93"/>
    </row>
    <row r="1515" spans="1:10" s="65" customFormat="1" ht="14" x14ac:dyDescent="0.35">
      <c r="A1515" s="145"/>
      <c r="B1515" s="152"/>
      <c r="E1515" s="102"/>
      <c r="F1515" s="102"/>
      <c r="G1515" s="102"/>
      <c r="I1515" s="93"/>
      <c r="J1515" s="93"/>
    </row>
    <row r="1516" spans="1:10" s="65" customFormat="1" ht="14" x14ac:dyDescent="0.35">
      <c r="A1516" s="145"/>
      <c r="B1516" s="152"/>
      <c r="E1516" s="102"/>
      <c r="F1516" s="102"/>
      <c r="G1516" s="102"/>
      <c r="I1516" s="93"/>
      <c r="J1516" s="93"/>
    </row>
    <row r="1517" spans="1:10" s="65" customFormat="1" ht="14" x14ac:dyDescent="0.35">
      <c r="A1517" s="145"/>
      <c r="B1517" s="152"/>
      <c r="E1517" s="102"/>
      <c r="F1517" s="102"/>
      <c r="G1517" s="102"/>
      <c r="I1517" s="93"/>
      <c r="J1517" s="93"/>
    </row>
    <row r="1518" spans="1:10" s="65" customFormat="1" ht="14" x14ac:dyDescent="0.35">
      <c r="A1518" s="145"/>
      <c r="B1518" s="152"/>
      <c r="E1518" s="102"/>
      <c r="F1518" s="102"/>
      <c r="G1518" s="102"/>
      <c r="I1518" s="93"/>
      <c r="J1518" s="93"/>
    </row>
    <row r="1519" spans="1:10" s="65" customFormat="1" ht="14" x14ac:dyDescent="0.35">
      <c r="A1519" s="145"/>
      <c r="B1519" s="152"/>
      <c r="E1519" s="102"/>
      <c r="F1519" s="102"/>
      <c r="G1519" s="102"/>
      <c r="I1519" s="93"/>
      <c r="J1519" s="93"/>
    </row>
    <row r="1520" spans="1:10" s="65" customFormat="1" ht="14" x14ac:dyDescent="0.35">
      <c r="A1520" s="145"/>
      <c r="B1520" s="152"/>
      <c r="E1520" s="102"/>
      <c r="F1520" s="102"/>
      <c r="G1520" s="102"/>
      <c r="I1520" s="93"/>
      <c r="J1520" s="93"/>
    </row>
    <row r="1521" spans="1:10" s="65" customFormat="1" ht="14" x14ac:dyDescent="0.35">
      <c r="A1521" s="145"/>
      <c r="B1521" s="152"/>
      <c r="E1521" s="102"/>
      <c r="F1521" s="102"/>
      <c r="G1521" s="102"/>
      <c r="I1521" s="93"/>
      <c r="J1521" s="93"/>
    </row>
    <row r="1522" spans="1:10" s="65" customFormat="1" ht="14" x14ac:dyDescent="0.35">
      <c r="A1522" s="145"/>
      <c r="B1522" s="152"/>
      <c r="E1522" s="102"/>
      <c r="F1522" s="102"/>
      <c r="G1522" s="102"/>
      <c r="I1522" s="93"/>
      <c r="J1522" s="93"/>
    </row>
    <row r="1523" spans="1:10" s="65" customFormat="1" ht="14" x14ac:dyDescent="0.35">
      <c r="A1523" s="145"/>
      <c r="B1523" s="152"/>
      <c r="E1523" s="102"/>
      <c r="F1523" s="102"/>
      <c r="G1523" s="102"/>
      <c r="I1523" s="93"/>
      <c r="J1523" s="93"/>
    </row>
    <row r="1524" spans="1:10" s="65" customFormat="1" ht="14" x14ac:dyDescent="0.35">
      <c r="A1524" s="145"/>
      <c r="B1524" s="152"/>
      <c r="E1524" s="102"/>
      <c r="F1524" s="102"/>
      <c r="G1524" s="102"/>
      <c r="I1524" s="93"/>
      <c r="J1524" s="93"/>
    </row>
    <row r="1525" spans="1:10" s="65" customFormat="1" ht="14" x14ac:dyDescent="0.35">
      <c r="A1525" s="145"/>
      <c r="B1525" s="152"/>
      <c r="E1525" s="102"/>
      <c r="F1525" s="102"/>
      <c r="G1525" s="102"/>
      <c r="I1525" s="93"/>
      <c r="J1525" s="93"/>
    </row>
    <row r="1526" spans="1:10" s="65" customFormat="1" ht="14" x14ac:dyDescent="0.35">
      <c r="A1526" s="145"/>
      <c r="B1526" s="152"/>
      <c r="E1526" s="102"/>
      <c r="F1526" s="102"/>
      <c r="G1526" s="102"/>
      <c r="I1526" s="93"/>
      <c r="J1526" s="93"/>
    </row>
    <row r="1527" spans="1:10" s="65" customFormat="1" ht="14" x14ac:dyDescent="0.35">
      <c r="A1527" s="145"/>
      <c r="B1527" s="152"/>
      <c r="E1527" s="102"/>
      <c r="F1527" s="102"/>
      <c r="G1527" s="102"/>
      <c r="I1527" s="93"/>
      <c r="J1527" s="93"/>
    </row>
    <row r="1528" spans="1:10" s="65" customFormat="1" ht="14" x14ac:dyDescent="0.35">
      <c r="A1528" s="145"/>
      <c r="B1528" s="152"/>
      <c r="E1528" s="102"/>
      <c r="F1528" s="102"/>
      <c r="G1528" s="102"/>
      <c r="I1528" s="93"/>
      <c r="J1528" s="93"/>
    </row>
    <row r="1529" spans="1:10" s="65" customFormat="1" ht="14" x14ac:dyDescent="0.35">
      <c r="A1529" s="145"/>
      <c r="B1529" s="152"/>
      <c r="E1529" s="102"/>
      <c r="F1529" s="102"/>
      <c r="G1529" s="102"/>
      <c r="I1529" s="93"/>
      <c r="J1529" s="93"/>
    </row>
    <row r="1530" spans="1:10" s="65" customFormat="1" ht="14" x14ac:dyDescent="0.35">
      <c r="A1530" s="145"/>
      <c r="B1530" s="152"/>
      <c r="E1530" s="102"/>
      <c r="F1530" s="102"/>
      <c r="G1530" s="102"/>
      <c r="I1530" s="93"/>
      <c r="J1530" s="93"/>
    </row>
    <row r="1531" spans="1:10" s="65" customFormat="1" ht="14" x14ac:dyDescent="0.35">
      <c r="A1531" s="145"/>
      <c r="B1531" s="152"/>
      <c r="E1531" s="102"/>
      <c r="F1531" s="102"/>
      <c r="G1531" s="102"/>
      <c r="I1531" s="93"/>
      <c r="J1531" s="93"/>
    </row>
    <row r="1532" spans="1:10" s="65" customFormat="1" ht="14" x14ac:dyDescent="0.35">
      <c r="A1532" s="145"/>
      <c r="B1532" s="152"/>
      <c r="E1532" s="102"/>
      <c r="F1532" s="102"/>
      <c r="G1532" s="102"/>
      <c r="I1532" s="93"/>
      <c r="J1532" s="93"/>
    </row>
    <row r="1533" spans="1:10" s="65" customFormat="1" ht="14" x14ac:dyDescent="0.35">
      <c r="A1533" s="145"/>
      <c r="B1533" s="152"/>
      <c r="E1533" s="102"/>
      <c r="F1533" s="102"/>
      <c r="G1533" s="102"/>
      <c r="I1533" s="93"/>
      <c r="J1533" s="93"/>
    </row>
    <row r="1534" spans="1:10" s="65" customFormat="1" ht="14" x14ac:dyDescent="0.35">
      <c r="A1534" s="145"/>
      <c r="B1534" s="152"/>
      <c r="E1534" s="102"/>
      <c r="F1534" s="102"/>
      <c r="G1534" s="102"/>
      <c r="I1534" s="93"/>
      <c r="J1534" s="93"/>
    </row>
    <row r="1535" spans="1:10" s="65" customFormat="1" ht="14" x14ac:dyDescent="0.35">
      <c r="A1535" s="145"/>
      <c r="B1535" s="152"/>
      <c r="E1535" s="102"/>
      <c r="F1535" s="102"/>
      <c r="G1535" s="102"/>
      <c r="I1535" s="93"/>
      <c r="J1535" s="93"/>
    </row>
    <row r="1536" spans="1:10" s="65" customFormat="1" ht="14" x14ac:dyDescent="0.35">
      <c r="A1536" s="145"/>
      <c r="B1536" s="152"/>
      <c r="E1536" s="102"/>
      <c r="F1536" s="102"/>
      <c r="G1536" s="102"/>
      <c r="I1536" s="93"/>
      <c r="J1536" s="93"/>
    </row>
    <row r="1537" spans="1:10" s="65" customFormat="1" ht="14" x14ac:dyDescent="0.35">
      <c r="A1537" s="145"/>
      <c r="B1537" s="152"/>
      <c r="E1537" s="102"/>
      <c r="F1537" s="102"/>
      <c r="G1537" s="102"/>
      <c r="I1537" s="93"/>
      <c r="J1537" s="93"/>
    </row>
    <row r="1538" spans="1:10" s="65" customFormat="1" ht="14" x14ac:dyDescent="0.35">
      <c r="A1538" s="145"/>
      <c r="B1538" s="152"/>
      <c r="E1538" s="102"/>
      <c r="F1538" s="102"/>
      <c r="G1538" s="102"/>
      <c r="I1538" s="93"/>
      <c r="J1538" s="93"/>
    </row>
    <row r="1539" spans="1:10" s="65" customFormat="1" ht="14" x14ac:dyDescent="0.35">
      <c r="A1539" s="145"/>
      <c r="B1539" s="152"/>
      <c r="E1539" s="102"/>
      <c r="F1539" s="102"/>
      <c r="G1539" s="102"/>
      <c r="I1539" s="93"/>
      <c r="J1539" s="93"/>
    </row>
    <row r="1540" spans="1:10" s="65" customFormat="1" ht="14" x14ac:dyDescent="0.35">
      <c r="A1540" s="145"/>
      <c r="B1540" s="152"/>
      <c r="E1540" s="102"/>
      <c r="F1540" s="102"/>
      <c r="G1540" s="102"/>
      <c r="I1540" s="93"/>
      <c r="J1540" s="93"/>
    </row>
    <row r="1541" spans="1:10" s="65" customFormat="1" ht="14" x14ac:dyDescent="0.35">
      <c r="A1541" s="145"/>
      <c r="B1541" s="152"/>
      <c r="E1541" s="102"/>
      <c r="F1541" s="102"/>
      <c r="G1541" s="102"/>
      <c r="I1541" s="93"/>
      <c r="J1541" s="93"/>
    </row>
    <row r="1542" spans="1:10" s="65" customFormat="1" ht="14" x14ac:dyDescent="0.35">
      <c r="A1542" s="145"/>
      <c r="B1542" s="152"/>
      <c r="E1542" s="102"/>
      <c r="F1542" s="102"/>
      <c r="G1542" s="102"/>
      <c r="I1542" s="93"/>
      <c r="J1542" s="93"/>
    </row>
    <row r="1543" spans="1:10" s="65" customFormat="1" ht="14" x14ac:dyDescent="0.35">
      <c r="A1543" s="145"/>
      <c r="B1543" s="152"/>
      <c r="E1543" s="102"/>
      <c r="F1543" s="102"/>
      <c r="G1543" s="102"/>
      <c r="I1543" s="93"/>
      <c r="J1543" s="93"/>
    </row>
    <row r="1544" spans="1:10" s="65" customFormat="1" ht="14" x14ac:dyDescent="0.35">
      <c r="A1544" s="145"/>
      <c r="B1544" s="152"/>
      <c r="E1544" s="102"/>
      <c r="F1544" s="102"/>
      <c r="G1544" s="102"/>
      <c r="I1544" s="93"/>
      <c r="J1544" s="93"/>
    </row>
    <row r="1545" spans="1:10" s="65" customFormat="1" ht="14" x14ac:dyDescent="0.35">
      <c r="A1545" s="145"/>
      <c r="B1545" s="152"/>
      <c r="E1545" s="102"/>
      <c r="F1545" s="102"/>
      <c r="G1545" s="102"/>
      <c r="I1545" s="93"/>
      <c r="J1545" s="93"/>
    </row>
    <row r="1546" spans="1:10" s="65" customFormat="1" ht="14" x14ac:dyDescent="0.35">
      <c r="A1546" s="145"/>
      <c r="B1546" s="152"/>
      <c r="E1546" s="102"/>
      <c r="F1546" s="102"/>
      <c r="G1546" s="102"/>
      <c r="I1546" s="93"/>
      <c r="J1546" s="93"/>
    </row>
    <row r="1547" spans="1:10" s="65" customFormat="1" ht="14" x14ac:dyDescent="0.35">
      <c r="A1547" s="145"/>
      <c r="B1547" s="152"/>
      <c r="E1547" s="102"/>
      <c r="F1547" s="102"/>
      <c r="G1547" s="102"/>
      <c r="I1547" s="93"/>
      <c r="J1547" s="93"/>
    </row>
    <row r="1548" spans="1:10" s="65" customFormat="1" ht="14" x14ac:dyDescent="0.35">
      <c r="A1548" s="145"/>
      <c r="B1548" s="152"/>
      <c r="E1548" s="102"/>
      <c r="F1548" s="102"/>
      <c r="G1548" s="102"/>
      <c r="I1548" s="93"/>
      <c r="J1548" s="93"/>
    </row>
    <row r="1549" spans="1:10" s="65" customFormat="1" ht="14" x14ac:dyDescent="0.35">
      <c r="A1549" s="145"/>
      <c r="B1549" s="152"/>
      <c r="E1549" s="102"/>
      <c r="F1549" s="102"/>
      <c r="G1549" s="102"/>
      <c r="I1549" s="93"/>
      <c r="J1549" s="93"/>
    </row>
    <row r="1550" spans="1:10" s="65" customFormat="1" ht="14" x14ac:dyDescent="0.35">
      <c r="A1550" s="145"/>
      <c r="B1550" s="152"/>
      <c r="E1550" s="102"/>
      <c r="F1550" s="102"/>
      <c r="G1550" s="102"/>
      <c r="I1550" s="93"/>
      <c r="J1550" s="93"/>
    </row>
    <row r="1551" spans="1:10" s="65" customFormat="1" ht="14" x14ac:dyDescent="0.35">
      <c r="A1551" s="145"/>
      <c r="B1551" s="152"/>
      <c r="E1551" s="102"/>
      <c r="F1551" s="102"/>
      <c r="G1551" s="102"/>
      <c r="I1551" s="93"/>
      <c r="J1551" s="93"/>
    </row>
    <row r="1552" spans="1:10" s="65" customFormat="1" ht="14" x14ac:dyDescent="0.35">
      <c r="A1552" s="145"/>
      <c r="B1552" s="152"/>
      <c r="E1552" s="102"/>
      <c r="F1552" s="102"/>
      <c r="G1552" s="102"/>
      <c r="I1552" s="93"/>
      <c r="J1552" s="93"/>
    </row>
    <row r="1553" spans="1:10" s="65" customFormat="1" ht="14" x14ac:dyDescent="0.35">
      <c r="A1553" s="145"/>
      <c r="B1553" s="152"/>
      <c r="E1553" s="102"/>
      <c r="F1553" s="102"/>
      <c r="G1553" s="102"/>
      <c r="I1553" s="93"/>
      <c r="J1553" s="93"/>
    </row>
    <row r="1554" spans="1:10" s="65" customFormat="1" ht="14" x14ac:dyDescent="0.35">
      <c r="A1554" s="145"/>
      <c r="B1554" s="152"/>
      <c r="E1554" s="102"/>
      <c r="F1554" s="102"/>
      <c r="G1554" s="102"/>
      <c r="I1554" s="93"/>
      <c r="J1554" s="93"/>
    </row>
    <row r="1555" spans="1:10" s="65" customFormat="1" ht="14" x14ac:dyDescent="0.35">
      <c r="A1555" s="145"/>
      <c r="B1555" s="152"/>
      <c r="E1555" s="102"/>
      <c r="F1555" s="102"/>
      <c r="G1555" s="102"/>
      <c r="I1555" s="93"/>
      <c r="J1555" s="93"/>
    </row>
    <row r="1556" spans="1:10" s="65" customFormat="1" ht="14" x14ac:dyDescent="0.35">
      <c r="A1556" s="145"/>
      <c r="B1556" s="152"/>
      <c r="E1556" s="102"/>
      <c r="F1556" s="102"/>
      <c r="G1556" s="102"/>
      <c r="I1556" s="93"/>
      <c r="J1556" s="93"/>
    </row>
    <row r="1557" spans="1:10" s="65" customFormat="1" ht="14" x14ac:dyDescent="0.35">
      <c r="A1557" s="145"/>
      <c r="B1557" s="152"/>
      <c r="E1557" s="102"/>
      <c r="F1557" s="102"/>
      <c r="G1557" s="102"/>
      <c r="I1557" s="93"/>
      <c r="J1557" s="93"/>
    </row>
    <row r="1558" spans="1:10" s="65" customFormat="1" ht="14" x14ac:dyDescent="0.35">
      <c r="A1558" s="145"/>
      <c r="B1558" s="152"/>
      <c r="E1558" s="102"/>
      <c r="F1558" s="102"/>
      <c r="G1558" s="102"/>
      <c r="I1558" s="93"/>
      <c r="J1558" s="93"/>
    </row>
    <row r="1559" spans="1:10" s="65" customFormat="1" ht="14" x14ac:dyDescent="0.35">
      <c r="A1559" s="145"/>
      <c r="B1559" s="152"/>
      <c r="E1559" s="102"/>
      <c r="F1559" s="102"/>
      <c r="G1559" s="102"/>
      <c r="I1559" s="93"/>
      <c r="J1559" s="93"/>
    </row>
    <row r="1560" spans="1:10" s="65" customFormat="1" ht="14" x14ac:dyDescent="0.35">
      <c r="A1560" s="145"/>
      <c r="B1560" s="152"/>
      <c r="E1560" s="102"/>
      <c r="F1560" s="102"/>
      <c r="G1560" s="102"/>
      <c r="I1560" s="93"/>
      <c r="J1560" s="93"/>
    </row>
    <row r="1561" spans="1:10" s="65" customFormat="1" ht="14" x14ac:dyDescent="0.35">
      <c r="A1561" s="145"/>
      <c r="B1561" s="152"/>
      <c r="E1561" s="102"/>
      <c r="F1561" s="102"/>
      <c r="G1561" s="102"/>
      <c r="I1561" s="93"/>
      <c r="J1561" s="93"/>
    </row>
    <row r="1562" spans="1:10" s="65" customFormat="1" ht="14" x14ac:dyDescent="0.35">
      <c r="A1562" s="145"/>
      <c r="B1562" s="152"/>
      <c r="E1562" s="102"/>
      <c r="F1562" s="102"/>
      <c r="G1562" s="102"/>
      <c r="I1562" s="93"/>
      <c r="J1562" s="93"/>
    </row>
    <row r="1563" spans="1:10" s="65" customFormat="1" ht="14" x14ac:dyDescent="0.35">
      <c r="A1563" s="145"/>
      <c r="B1563" s="152"/>
      <c r="E1563" s="102"/>
      <c r="F1563" s="102"/>
      <c r="G1563" s="102"/>
      <c r="I1563" s="93"/>
      <c r="J1563" s="93"/>
    </row>
    <row r="1564" spans="1:10" s="65" customFormat="1" ht="14" x14ac:dyDescent="0.35">
      <c r="A1564" s="145"/>
      <c r="B1564" s="152"/>
      <c r="E1564" s="102"/>
      <c r="F1564" s="102"/>
      <c r="G1564" s="102"/>
      <c r="I1564" s="93"/>
      <c r="J1564" s="93"/>
    </row>
    <row r="1565" spans="1:10" s="65" customFormat="1" ht="14" x14ac:dyDescent="0.35">
      <c r="A1565" s="145"/>
      <c r="B1565" s="152"/>
      <c r="E1565" s="102"/>
      <c r="F1565" s="102"/>
      <c r="G1565" s="102"/>
      <c r="I1565" s="93"/>
      <c r="J1565" s="93"/>
    </row>
    <row r="1566" spans="1:10" s="65" customFormat="1" ht="14" x14ac:dyDescent="0.35">
      <c r="A1566" s="145"/>
      <c r="B1566" s="152"/>
      <c r="E1566" s="102"/>
      <c r="F1566" s="102"/>
      <c r="G1566" s="102"/>
      <c r="I1566" s="93"/>
      <c r="J1566" s="93"/>
    </row>
    <row r="1567" spans="1:10" s="65" customFormat="1" ht="14" x14ac:dyDescent="0.35">
      <c r="A1567" s="145"/>
      <c r="B1567" s="152"/>
      <c r="E1567" s="102"/>
      <c r="F1567" s="102"/>
      <c r="G1567" s="102"/>
      <c r="I1567" s="93"/>
      <c r="J1567" s="93"/>
    </row>
    <row r="1568" spans="1:10" s="65" customFormat="1" ht="14" x14ac:dyDescent="0.35">
      <c r="A1568" s="145"/>
      <c r="B1568" s="152"/>
      <c r="E1568" s="102"/>
      <c r="F1568" s="102"/>
      <c r="G1568" s="102"/>
      <c r="I1568" s="93"/>
      <c r="J1568" s="93"/>
    </row>
    <row r="1569" spans="1:10" s="65" customFormat="1" ht="14" x14ac:dyDescent="0.35">
      <c r="A1569" s="145"/>
      <c r="B1569" s="152"/>
      <c r="E1569" s="102"/>
      <c r="F1569" s="102"/>
      <c r="G1569" s="102"/>
      <c r="I1569" s="93"/>
      <c r="J1569" s="93"/>
    </row>
    <row r="1570" spans="1:10" s="65" customFormat="1" ht="14" x14ac:dyDescent="0.35">
      <c r="A1570" s="145"/>
      <c r="B1570" s="152"/>
      <c r="E1570" s="102"/>
      <c r="F1570" s="102"/>
      <c r="G1570" s="102"/>
      <c r="I1570" s="93"/>
      <c r="J1570" s="93"/>
    </row>
    <row r="1571" spans="1:10" s="65" customFormat="1" ht="14" x14ac:dyDescent="0.35">
      <c r="A1571" s="145"/>
      <c r="B1571" s="152"/>
      <c r="E1571" s="102"/>
      <c r="F1571" s="102"/>
      <c r="G1571" s="102"/>
      <c r="I1571" s="93"/>
      <c r="J1571" s="93"/>
    </row>
    <row r="1572" spans="1:10" s="65" customFormat="1" ht="14" x14ac:dyDescent="0.35">
      <c r="A1572" s="145"/>
      <c r="B1572" s="152"/>
      <c r="E1572" s="102"/>
      <c r="F1572" s="102"/>
      <c r="G1572" s="102"/>
      <c r="I1572" s="93"/>
      <c r="J1572" s="93"/>
    </row>
    <row r="1573" spans="1:10" s="65" customFormat="1" ht="14" x14ac:dyDescent="0.35">
      <c r="A1573" s="145"/>
      <c r="B1573" s="152"/>
      <c r="E1573" s="102"/>
      <c r="F1573" s="102"/>
      <c r="G1573" s="102"/>
      <c r="I1573" s="93"/>
      <c r="J1573" s="93"/>
    </row>
    <row r="1574" spans="1:10" s="65" customFormat="1" ht="14" x14ac:dyDescent="0.35">
      <c r="A1574" s="145"/>
      <c r="B1574" s="152"/>
      <c r="E1574" s="102"/>
      <c r="F1574" s="102"/>
      <c r="G1574" s="102"/>
      <c r="I1574" s="93"/>
      <c r="J1574" s="93"/>
    </row>
    <row r="1575" spans="1:10" s="65" customFormat="1" ht="14" x14ac:dyDescent="0.35">
      <c r="A1575" s="145"/>
      <c r="B1575" s="152"/>
      <c r="E1575" s="102"/>
      <c r="F1575" s="102"/>
      <c r="G1575" s="102"/>
      <c r="I1575" s="93"/>
      <c r="J1575" s="93"/>
    </row>
    <row r="1576" spans="1:10" s="65" customFormat="1" ht="14" x14ac:dyDescent="0.35">
      <c r="A1576" s="145"/>
      <c r="B1576" s="152"/>
      <c r="E1576" s="102"/>
      <c r="F1576" s="102"/>
      <c r="G1576" s="102"/>
      <c r="I1576" s="93"/>
      <c r="J1576" s="93"/>
    </row>
    <row r="1577" spans="1:10" s="65" customFormat="1" ht="14" x14ac:dyDescent="0.35">
      <c r="A1577" s="145"/>
      <c r="B1577" s="152"/>
      <c r="E1577" s="102"/>
      <c r="F1577" s="102"/>
      <c r="G1577" s="102"/>
      <c r="I1577" s="93"/>
      <c r="J1577" s="93"/>
    </row>
    <row r="1578" spans="1:10" s="65" customFormat="1" ht="14" x14ac:dyDescent="0.35">
      <c r="A1578" s="145"/>
      <c r="B1578" s="152"/>
      <c r="E1578" s="102"/>
      <c r="F1578" s="102"/>
      <c r="G1578" s="102"/>
      <c r="I1578" s="93"/>
      <c r="J1578" s="93"/>
    </row>
    <row r="1579" spans="1:10" s="65" customFormat="1" ht="14" x14ac:dyDescent="0.35">
      <c r="A1579" s="145"/>
      <c r="B1579" s="152"/>
      <c r="E1579" s="102"/>
      <c r="F1579" s="102"/>
      <c r="G1579" s="102"/>
      <c r="I1579" s="93"/>
      <c r="J1579" s="93"/>
    </row>
    <row r="1580" spans="1:10" s="65" customFormat="1" ht="14" x14ac:dyDescent="0.35">
      <c r="A1580" s="145"/>
      <c r="B1580" s="152"/>
      <c r="E1580" s="102"/>
      <c r="F1580" s="102"/>
      <c r="G1580" s="102"/>
      <c r="I1580" s="93"/>
      <c r="J1580" s="93"/>
    </row>
    <row r="1581" spans="1:10" s="65" customFormat="1" ht="14" x14ac:dyDescent="0.35">
      <c r="A1581" s="145"/>
      <c r="B1581" s="152"/>
      <c r="E1581" s="102"/>
      <c r="F1581" s="102"/>
      <c r="G1581" s="102"/>
      <c r="I1581" s="93"/>
      <c r="J1581" s="93"/>
    </row>
    <row r="1582" spans="1:10" s="65" customFormat="1" ht="14" x14ac:dyDescent="0.35">
      <c r="A1582" s="145"/>
      <c r="B1582" s="152"/>
      <c r="E1582" s="102"/>
      <c r="F1582" s="102"/>
      <c r="G1582" s="102"/>
      <c r="I1582" s="93"/>
      <c r="J1582" s="93"/>
    </row>
    <row r="1583" spans="1:10" s="65" customFormat="1" ht="14" x14ac:dyDescent="0.35">
      <c r="A1583" s="145"/>
      <c r="B1583" s="152"/>
      <c r="E1583" s="102"/>
      <c r="F1583" s="102"/>
      <c r="G1583" s="102"/>
      <c r="I1583" s="93"/>
      <c r="J1583" s="93"/>
    </row>
    <row r="1584" spans="1:10" s="65" customFormat="1" ht="14" x14ac:dyDescent="0.35">
      <c r="A1584" s="145"/>
      <c r="B1584" s="152"/>
      <c r="E1584" s="102"/>
      <c r="F1584" s="102"/>
      <c r="G1584" s="102"/>
      <c r="I1584" s="93"/>
      <c r="J1584" s="93"/>
    </row>
    <row r="1585" spans="1:10" s="65" customFormat="1" ht="14" x14ac:dyDescent="0.35">
      <c r="A1585" s="145"/>
      <c r="B1585" s="152"/>
      <c r="E1585" s="102"/>
      <c r="F1585" s="102"/>
      <c r="G1585" s="102"/>
      <c r="I1585" s="93"/>
      <c r="J1585" s="93"/>
    </row>
    <row r="1586" spans="1:10" s="65" customFormat="1" ht="14" x14ac:dyDescent="0.35">
      <c r="A1586" s="145"/>
      <c r="B1586" s="152"/>
      <c r="E1586" s="102"/>
      <c r="F1586" s="102"/>
      <c r="G1586" s="102"/>
      <c r="I1586" s="93"/>
      <c r="J1586" s="93"/>
    </row>
    <row r="1587" spans="1:10" s="65" customFormat="1" ht="14" x14ac:dyDescent="0.35">
      <c r="A1587" s="145"/>
      <c r="B1587" s="152"/>
      <c r="E1587" s="102"/>
      <c r="F1587" s="102"/>
      <c r="G1587" s="102"/>
      <c r="I1587" s="93"/>
      <c r="J1587" s="93"/>
    </row>
    <row r="1588" spans="1:10" s="65" customFormat="1" ht="14" x14ac:dyDescent="0.35">
      <c r="A1588" s="145"/>
      <c r="B1588" s="152"/>
      <c r="E1588" s="102"/>
      <c r="F1588" s="102"/>
      <c r="G1588" s="102"/>
      <c r="I1588" s="93"/>
      <c r="J1588" s="93"/>
    </row>
    <row r="1589" spans="1:10" s="65" customFormat="1" ht="14" x14ac:dyDescent="0.35">
      <c r="A1589" s="145"/>
      <c r="B1589" s="152"/>
      <c r="E1589" s="102"/>
      <c r="F1589" s="102"/>
      <c r="G1589" s="102"/>
      <c r="I1589" s="93"/>
      <c r="J1589" s="93"/>
    </row>
    <row r="1590" spans="1:10" s="65" customFormat="1" ht="14" x14ac:dyDescent="0.35">
      <c r="A1590" s="145"/>
      <c r="B1590" s="152"/>
      <c r="E1590" s="102"/>
      <c r="F1590" s="102"/>
      <c r="G1590" s="102"/>
      <c r="I1590" s="93"/>
      <c r="J1590" s="93"/>
    </row>
    <row r="1591" spans="1:10" s="65" customFormat="1" ht="14" x14ac:dyDescent="0.35">
      <c r="A1591" s="145"/>
      <c r="B1591" s="152"/>
      <c r="E1591" s="102"/>
      <c r="F1591" s="102"/>
      <c r="G1591" s="102"/>
      <c r="I1591" s="93"/>
      <c r="J1591" s="93"/>
    </row>
    <row r="1592" spans="1:10" s="65" customFormat="1" ht="14" x14ac:dyDescent="0.35">
      <c r="A1592" s="145"/>
      <c r="B1592" s="152"/>
      <c r="E1592" s="102"/>
      <c r="F1592" s="102"/>
      <c r="G1592" s="102"/>
      <c r="I1592" s="93"/>
      <c r="J1592" s="93"/>
    </row>
    <row r="1593" spans="1:10" s="65" customFormat="1" ht="14" x14ac:dyDescent="0.35">
      <c r="A1593" s="145"/>
      <c r="B1593" s="152"/>
      <c r="E1593" s="102"/>
      <c r="F1593" s="102"/>
      <c r="G1593" s="102"/>
      <c r="I1593" s="93"/>
      <c r="J1593" s="93"/>
    </row>
    <row r="1594" spans="1:10" s="65" customFormat="1" ht="14" x14ac:dyDescent="0.35">
      <c r="A1594" s="145"/>
      <c r="B1594" s="152"/>
      <c r="E1594" s="102"/>
      <c r="F1594" s="102"/>
      <c r="G1594" s="102"/>
      <c r="I1594" s="93"/>
      <c r="J1594" s="93"/>
    </row>
    <row r="1595" spans="1:10" s="65" customFormat="1" ht="14" x14ac:dyDescent="0.35">
      <c r="A1595" s="145"/>
      <c r="B1595" s="152"/>
      <c r="E1595" s="102"/>
      <c r="F1595" s="102"/>
      <c r="G1595" s="102"/>
      <c r="I1595" s="93"/>
      <c r="J1595" s="93"/>
    </row>
    <row r="1596" spans="1:10" s="65" customFormat="1" ht="14" x14ac:dyDescent="0.35">
      <c r="A1596" s="145"/>
      <c r="B1596" s="152"/>
      <c r="E1596" s="102"/>
      <c r="F1596" s="102"/>
      <c r="G1596" s="102"/>
      <c r="I1596" s="93"/>
      <c r="J1596" s="93"/>
    </row>
    <row r="1597" spans="1:10" s="65" customFormat="1" ht="14" x14ac:dyDescent="0.35">
      <c r="A1597" s="145"/>
      <c r="B1597" s="152"/>
      <c r="E1597" s="102"/>
      <c r="F1597" s="102"/>
      <c r="G1597" s="102"/>
      <c r="I1597" s="93"/>
      <c r="J1597" s="93"/>
    </row>
    <row r="1598" spans="1:10" s="65" customFormat="1" ht="14" x14ac:dyDescent="0.35">
      <c r="A1598" s="145"/>
      <c r="B1598" s="152"/>
      <c r="E1598" s="102"/>
      <c r="F1598" s="102"/>
      <c r="G1598" s="102"/>
      <c r="I1598" s="93"/>
      <c r="J1598" s="93"/>
    </row>
    <row r="1599" spans="1:10" s="65" customFormat="1" ht="14" x14ac:dyDescent="0.35">
      <c r="A1599" s="145"/>
      <c r="B1599" s="152"/>
      <c r="E1599" s="102"/>
      <c r="F1599" s="102"/>
      <c r="G1599" s="102"/>
      <c r="I1599" s="93"/>
      <c r="J1599" s="93"/>
    </row>
    <row r="1600" spans="1:10" s="65" customFormat="1" ht="14" x14ac:dyDescent="0.35">
      <c r="A1600" s="145"/>
      <c r="B1600" s="152"/>
      <c r="E1600" s="102"/>
      <c r="F1600" s="102"/>
      <c r="G1600" s="102"/>
      <c r="I1600" s="93"/>
      <c r="J1600" s="93"/>
    </row>
    <row r="1601" spans="1:10" s="65" customFormat="1" ht="14" x14ac:dyDescent="0.35">
      <c r="A1601" s="145"/>
      <c r="B1601" s="152"/>
      <c r="E1601" s="102"/>
      <c r="F1601" s="102"/>
      <c r="G1601" s="102"/>
      <c r="I1601" s="93"/>
      <c r="J1601" s="93"/>
    </row>
    <row r="1602" spans="1:10" s="65" customFormat="1" ht="14" x14ac:dyDescent="0.35">
      <c r="A1602" s="145"/>
      <c r="B1602" s="152"/>
      <c r="E1602" s="102"/>
      <c r="F1602" s="102"/>
      <c r="G1602" s="102"/>
      <c r="I1602" s="93"/>
      <c r="J1602" s="93"/>
    </row>
    <row r="1603" spans="1:10" s="65" customFormat="1" ht="14" x14ac:dyDescent="0.35">
      <c r="A1603" s="145"/>
      <c r="B1603" s="152"/>
      <c r="E1603" s="102"/>
      <c r="F1603" s="102"/>
      <c r="G1603" s="102"/>
      <c r="I1603" s="93"/>
      <c r="J1603" s="93"/>
    </row>
    <row r="1604" spans="1:10" s="65" customFormat="1" ht="14" x14ac:dyDescent="0.35">
      <c r="A1604" s="145"/>
      <c r="B1604" s="152"/>
      <c r="E1604" s="102"/>
      <c r="F1604" s="102"/>
      <c r="G1604" s="102"/>
      <c r="I1604" s="93"/>
      <c r="J1604" s="93"/>
    </row>
    <row r="1605" spans="1:10" s="65" customFormat="1" ht="14" x14ac:dyDescent="0.35">
      <c r="A1605" s="145"/>
      <c r="B1605" s="152"/>
      <c r="E1605" s="102"/>
      <c r="F1605" s="102"/>
      <c r="G1605" s="102"/>
      <c r="I1605" s="93"/>
      <c r="J1605" s="93"/>
    </row>
    <row r="1606" spans="1:10" s="65" customFormat="1" ht="14" x14ac:dyDescent="0.35">
      <c r="A1606" s="145"/>
      <c r="B1606" s="152"/>
      <c r="E1606" s="102"/>
      <c r="F1606" s="102"/>
      <c r="G1606" s="102"/>
      <c r="I1606" s="93"/>
      <c r="J1606" s="93"/>
    </row>
    <row r="1607" spans="1:10" s="65" customFormat="1" ht="14" x14ac:dyDescent="0.35">
      <c r="A1607" s="145"/>
      <c r="B1607" s="152"/>
      <c r="E1607" s="102"/>
      <c r="F1607" s="102"/>
      <c r="G1607" s="102"/>
      <c r="I1607" s="93"/>
      <c r="J1607" s="93"/>
    </row>
    <row r="1608" spans="1:10" s="65" customFormat="1" ht="14" x14ac:dyDescent="0.35">
      <c r="A1608" s="145"/>
      <c r="B1608" s="152"/>
      <c r="E1608" s="102"/>
      <c r="F1608" s="102"/>
      <c r="G1608" s="102"/>
      <c r="I1608" s="93"/>
      <c r="J1608" s="93"/>
    </row>
    <row r="1609" spans="1:10" s="65" customFormat="1" ht="14" x14ac:dyDescent="0.35">
      <c r="A1609" s="145"/>
      <c r="B1609" s="152"/>
      <c r="E1609" s="102"/>
      <c r="F1609" s="102"/>
      <c r="G1609" s="102"/>
      <c r="I1609" s="93"/>
      <c r="J1609" s="93"/>
    </row>
    <row r="1610" spans="1:10" s="65" customFormat="1" ht="14" x14ac:dyDescent="0.35">
      <c r="A1610" s="145"/>
      <c r="B1610" s="152"/>
      <c r="E1610" s="102"/>
      <c r="F1610" s="102"/>
      <c r="G1610" s="102"/>
      <c r="I1610" s="93"/>
      <c r="J1610" s="93"/>
    </row>
    <row r="1611" spans="1:10" s="65" customFormat="1" ht="14" x14ac:dyDescent="0.35">
      <c r="A1611" s="145"/>
      <c r="B1611" s="152"/>
      <c r="E1611" s="102"/>
      <c r="F1611" s="102"/>
      <c r="G1611" s="102"/>
      <c r="I1611" s="93"/>
      <c r="J1611" s="93"/>
    </row>
    <row r="1612" spans="1:10" s="65" customFormat="1" ht="14" x14ac:dyDescent="0.35">
      <c r="A1612" s="145"/>
      <c r="B1612" s="152"/>
      <c r="E1612" s="102"/>
      <c r="F1612" s="102"/>
      <c r="G1612" s="102"/>
      <c r="I1612" s="93"/>
      <c r="J1612" s="93"/>
    </row>
    <row r="1613" spans="1:10" s="65" customFormat="1" ht="14" x14ac:dyDescent="0.35">
      <c r="A1613" s="145"/>
      <c r="B1613" s="152"/>
      <c r="E1613" s="102"/>
      <c r="F1613" s="102"/>
      <c r="G1613" s="102"/>
      <c r="I1613" s="93"/>
      <c r="J1613" s="93"/>
    </row>
    <row r="1614" spans="1:10" s="65" customFormat="1" ht="14" x14ac:dyDescent="0.35">
      <c r="A1614" s="145"/>
      <c r="B1614" s="152"/>
      <c r="E1614" s="102"/>
      <c r="F1614" s="102"/>
      <c r="G1614" s="102"/>
      <c r="I1614" s="93"/>
      <c r="J1614" s="93"/>
    </row>
    <row r="1615" spans="1:10" s="65" customFormat="1" ht="14" x14ac:dyDescent="0.35">
      <c r="A1615" s="145"/>
      <c r="B1615" s="152"/>
      <c r="E1615" s="102"/>
      <c r="F1615" s="102"/>
      <c r="G1615" s="102"/>
      <c r="I1615" s="93"/>
      <c r="J1615" s="93"/>
    </row>
    <row r="1616" spans="1:10" s="65" customFormat="1" ht="14" x14ac:dyDescent="0.35">
      <c r="A1616" s="145"/>
      <c r="B1616" s="152"/>
      <c r="E1616" s="102"/>
      <c r="F1616" s="102"/>
      <c r="G1616" s="102"/>
      <c r="I1616" s="93"/>
      <c r="J1616" s="93"/>
    </row>
    <row r="1617" spans="1:10" s="65" customFormat="1" ht="14" x14ac:dyDescent="0.35">
      <c r="A1617" s="145"/>
      <c r="B1617" s="152"/>
      <c r="E1617" s="102"/>
      <c r="F1617" s="102"/>
      <c r="G1617" s="102"/>
      <c r="I1617" s="93"/>
      <c r="J1617" s="93"/>
    </row>
    <row r="1618" spans="1:10" s="65" customFormat="1" ht="14" x14ac:dyDescent="0.35">
      <c r="A1618" s="145"/>
      <c r="B1618" s="152"/>
      <c r="E1618" s="102"/>
      <c r="F1618" s="102"/>
      <c r="G1618" s="102"/>
      <c r="I1618" s="93"/>
      <c r="J1618" s="93"/>
    </row>
    <row r="1619" spans="1:10" s="65" customFormat="1" ht="14" x14ac:dyDescent="0.35">
      <c r="A1619" s="145"/>
      <c r="B1619" s="152"/>
      <c r="E1619" s="102"/>
      <c r="F1619" s="102"/>
      <c r="G1619" s="102"/>
      <c r="I1619" s="93"/>
      <c r="J1619" s="93"/>
    </row>
    <row r="1620" spans="1:10" s="65" customFormat="1" ht="14" x14ac:dyDescent="0.35">
      <c r="A1620" s="145"/>
      <c r="B1620" s="152"/>
      <c r="E1620" s="102"/>
      <c r="F1620" s="102"/>
      <c r="G1620" s="102"/>
      <c r="I1620" s="93"/>
      <c r="J1620" s="93"/>
    </row>
    <row r="1621" spans="1:10" s="65" customFormat="1" ht="14" x14ac:dyDescent="0.35">
      <c r="A1621" s="145"/>
      <c r="B1621" s="152"/>
      <c r="E1621" s="102"/>
      <c r="F1621" s="102"/>
      <c r="G1621" s="102"/>
      <c r="I1621" s="93"/>
      <c r="J1621" s="93"/>
    </row>
    <row r="1622" spans="1:10" s="65" customFormat="1" ht="14" x14ac:dyDescent="0.35">
      <c r="A1622" s="145"/>
      <c r="B1622" s="152"/>
      <c r="E1622" s="102"/>
      <c r="F1622" s="102"/>
      <c r="G1622" s="102"/>
      <c r="I1622" s="93"/>
      <c r="J1622" s="93"/>
    </row>
    <row r="1623" spans="1:10" s="65" customFormat="1" ht="14" x14ac:dyDescent="0.35">
      <c r="A1623" s="145"/>
      <c r="B1623" s="152"/>
      <c r="E1623" s="102"/>
      <c r="F1623" s="102"/>
      <c r="G1623" s="102"/>
      <c r="I1623" s="93"/>
      <c r="J1623" s="93"/>
    </row>
    <row r="1624" spans="1:10" s="65" customFormat="1" ht="14" x14ac:dyDescent="0.35">
      <c r="A1624" s="145"/>
      <c r="B1624" s="152"/>
      <c r="E1624" s="102"/>
      <c r="F1624" s="102"/>
      <c r="G1624" s="102"/>
      <c r="I1624" s="93"/>
      <c r="J1624" s="93"/>
    </row>
    <row r="1625" spans="1:10" s="65" customFormat="1" ht="14" x14ac:dyDescent="0.35">
      <c r="A1625" s="145"/>
      <c r="B1625" s="152"/>
      <c r="E1625" s="102"/>
      <c r="F1625" s="102"/>
      <c r="G1625" s="102"/>
      <c r="I1625" s="93"/>
      <c r="J1625" s="93"/>
    </row>
    <row r="1626" spans="1:10" s="65" customFormat="1" ht="14" x14ac:dyDescent="0.35">
      <c r="A1626" s="145"/>
      <c r="B1626" s="152"/>
      <c r="E1626" s="102"/>
      <c r="F1626" s="102"/>
      <c r="G1626" s="102"/>
      <c r="I1626" s="93"/>
      <c r="J1626" s="93"/>
    </row>
    <row r="1627" spans="1:10" s="65" customFormat="1" ht="14" x14ac:dyDescent="0.35">
      <c r="A1627" s="145"/>
      <c r="B1627" s="152"/>
      <c r="E1627" s="102"/>
      <c r="F1627" s="102"/>
      <c r="G1627" s="102"/>
      <c r="I1627" s="93"/>
      <c r="J1627" s="93"/>
    </row>
    <row r="1628" spans="1:10" s="65" customFormat="1" ht="14" x14ac:dyDescent="0.35">
      <c r="A1628" s="145"/>
      <c r="B1628" s="152"/>
      <c r="E1628" s="102"/>
      <c r="F1628" s="102"/>
      <c r="G1628" s="102"/>
      <c r="I1628" s="93"/>
      <c r="J1628" s="93"/>
    </row>
    <row r="1629" spans="1:10" s="65" customFormat="1" ht="14" x14ac:dyDescent="0.35">
      <c r="A1629" s="145"/>
      <c r="B1629" s="152"/>
      <c r="E1629" s="102"/>
      <c r="F1629" s="102"/>
      <c r="G1629" s="102"/>
      <c r="I1629" s="93"/>
      <c r="J1629" s="93"/>
    </row>
    <row r="1630" spans="1:10" s="65" customFormat="1" ht="14" x14ac:dyDescent="0.35">
      <c r="A1630" s="145"/>
      <c r="B1630" s="152"/>
      <c r="E1630" s="102"/>
      <c r="F1630" s="102"/>
      <c r="G1630" s="102"/>
      <c r="I1630" s="93"/>
      <c r="J1630" s="93"/>
    </row>
    <row r="1631" spans="1:10" s="65" customFormat="1" ht="14" x14ac:dyDescent="0.35">
      <c r="A1631" s="145"/>
      <c r="B1631" s="152"/>
      <c r="E1631" s="102"/>
      <c r="F1631" s="102"/>
      <c r="G1631" s="102"/>
      <c r="I1631" s="93"/>
      <c r="J1631" s="93"/>
    </row>
    <row r="1632" spans="1:10" s="65" customFormat="1" ht="14" x14ac:dyDescent="0.35">
      <c r="A1632" s="145"/>
      <c r="B1632" s="152"/>
      <c r="E1632" s="102"/>
      <c r="F1632" s="102"/>
      <c r="G1632" s="102"/>
      <c r="I1632" s="93"/>
      <c r="J1632" s="93"/>
    </row>
    <row r="1633" spans="1:10" s="65" customFormat="1" ht="14" x14ac:dyDescent="0.35">
      <c r="A1633" s="145"/>
      <c r="B1633" s="152"/>
      <c r="E1633" s="102"/>
      <c r="F1633" s="102"/>
      <c r="G1633" s="102"/>
      <c r="I1633" s="93"/>
      <c r="J1633" s="93"/>
    </row>
    <row r="1634" spans="1:10" s="65" customFormat="1" ht="14" x14ac:dyDescent="0.35">
      <c r="A1634" s="145"/>
      <c r="B1634" s="152"/>
      <c r="E1634" s="102"/>
      <c r="F1634" s="102"/>
      <c r="G1634" s="102"/>
      <c r="I1634" s="93"/>
      <c r="J1634" s="93"/>
    </row>
    <row r="1635" spans="1:10" s="65" customFormat="1" ht="14" x14ac:dyDescent="0.35">
      <c r="A1635" s="145"/>
      <c r="B1635" s="152"/>
      <c r="E1635" s="102"/>
      <c r="F1635" s="102"/>
      <c r="G1635" s="102"/>
      <c r="I1635" s="93"/>
      <c r="J1635" s="93"/>
    </row>
    <row r="1636" spans="1:10" s="65" customFormat="1" ht="14" x14ac:dyDescent="0.35">
      <c r="A1636" s="145"/>
      <c r="B1636" s="152"/>
      <c r="E1636" s="102"/>
      <c r="F1636" s="102"/>
      <c r="G1636" s="102"/>
      <c r="I1636" s="93"/>
      <c r="J1636" s="93"/>
    </row>
    <row r="1637" spans="1:10" s="65" customFormat="1" ht="14" x14ac:dyDescent="0.35">
      <c r="A1637" s="145"/>
      <c r="B1637" s="152"/>
      <c r="E1637" s="102"/>
      <c r="F1637" s="102"/>
      <c r="G1637" s="102"/>
      <c r="I1637" s="93"/>
      <c r="J1637" s="93"/>
    </row>
    <row r="1638" spans="1:10" s="65" customFormat="1" ht="14" x14ac:dyDescent="0.35">
      <c r="A1638" s="145"/>
      <c r="B1638" s="152"/>
      <c r="E1638" s="102"/>
      <c r="F1638" s="102"/>
      <c r="G1638" s="102"/>
      <c r="I1638" s="93"/>
      <c r="J1638" s="93"/>
    </row>
    <row r="1639" spans="1:10" s="65" customFormat="1" ht="14" x14ac:dyDescent="0.35">
      <c r="A1639" s="145"/>
      <c r="B1639" s="152"/>
      <c r="E1639" s="102"/>
      <c r="F1639" s="102"/>
      <c r="G1639" s="102"/>
      <c r="I1639" s="93"/>
      <c r="J1639" s="93"/>
    </row>
    <row r="1640" spans="1:10" s="65" customFormat="1" ht="14" x14ac:dyDescent="0.35">
      <c r="A1640" s="145"/>
      <c r="B1640" s="152"/>
      <c r="E1640" s="102"/>
      <c r="F1640" s="102"/>
      <c r="G1640" s="102"/>
      <c r="I1640" s="93"/>
      <c r="J1640" s="93"/>
    </row>
    <row r="1641" spans="1:10" s="65" customFormat="1" ht="14" x14ac:dyDescent="0.35">
      <c r="A1641" s="145"/>
      <c r="B1641" s="152"/>
      <c r="E1641" s="102"/>
      <c r="F1641" s="102"/>
      <c r="G1641" s="102"/>
      <c r="I1641" s="93"/>
      <c r="J1641" s="93"/>
    </row>
    <row r="1642" spans="1:10" s="65" customFormat="1" ht="14" x14ac:dyDescent="0.35">
      <c r="A1642" s="145"/>
      <c r="B1642" s="152"/>
      <c r="E1642" s="102"/>
      <c r="F1642" s="102"/>
      <c r="G1642" s="102"/>
      <c r="I1642" s="93"/>
      <c r="J1642" s="93"/>
    </row>
    <row r="1643" spans="1:10" s="65" customFormat="1" ht="14" x14ac:dyDescent="0.35">
      <c r="A1643" s="145"/>
      <c r="B1643" s="152"/>
      <c r="E1643" s="102"/>
      <c r="F1643" s="102"/>
      <c r="G1643" s="102"/>
      <c r="I1643" s="93"/>
      <c r="J1643" s="93"/>
    </row>
    <row r="1644" spans="1:10" s="65" customFormat="1" ht="14" x14ac:dyDescent="0.35">
      <c r="A1644" s="145"/>
      <c r="B1644" s="152"/>
      <c r="E1644" s="102"/>
      <c r="F1644" s="102"/>
      <c r="G1644" s="102"/>
      <c r="I1644" s="93"/>
      <c r="J1644" s="93"/>
    </row>
    <row r="1645" spans="1:10" s="65" customFormat="1" ht="14" x14ac:dyDescent="0.35">
      <c r="A1645" s="145"/>
      <c r="B1645" s="152"/>
      <c r="E1645" s="102"/>
      <c r="F1645" s="102"/>
      <c r="G1645" s="102"/>
      <c r="I1645" s="93"/>
      <c r="J1645" s="93"/>
    </row>
    <row r="1646" spans="1:10" s="65" customFormat="1" ht="14" x14ac:dyDescent="0.35">
      <c r="A1646" s="145"/>
      <c r="B1646" s="152"/>
      <c r="E1646" s="102"/>
      <c r="F1646" s="102"/>
      <c r="G1646" s="102"/>
      <c r="I1646" s="93"/>
      <c r="J1646" s="93"/>
    </row>
    <row r="1647" spans="1:10" s="65" customFormat="1" ht="14" x14ac:dyDescent="0.35">
      <c r="A1647" s="145"/>
      <c r="B1647" s="152"/>
      <c r="E1647" s="102"/>
      <c r="F1647" s="102"/>
      <c r="G1647" s="102"/>
      <c r="I1647" s="93"/>
      <c r="J1647" s="93"/>
    </row>
    <row r="1648" spans="1:10" s="65" customFormat="1" ht="14" x14ac:dyDescent="0.35">
      <c r="A1648" s="145"/>
      <c r="B1648" s="152"/>
      <c r="E1648" s="102"/>
      <c r="F1648" s="102"/>
      <c r="G1648" s="102"/>
      <c r="I1648" s="93"/>
      <c r="J1648" s="93"/>
    </row>
    <row r="1649" spans="1:10" s="65" customFormat="1" ht="14" x14ac:dyDescent="0.35">
      <c r="A1649" s="145"/>
      <c r="B1649" s="152"/>
      <c r="E1649" s="102"/>
      <c r="F1649" s="102"/>
      <c r="G1649" s="102"/>
      <c r="I1649" s="93"/>
      <c r="J1649" s="93"/>
    </row>
    <row r="1650" spans="1:10" s="65" customFormat="1" ht="14" x14ac:dyDescent="0.35">
      <c r="A1650" s="145"/>
      <c r="B1650" s="152"/>
      <c r="E1650" s="102"/>
      <c r="F1650" s="102"/>
      <c r="G1650" s="102"/>
      <c r="I1650" s="93"/>
      <c r="J1650" s="93"/>
    </row>
    <row r="1651" spans="1:10" s="65" customFormat="1" ht="14" x14ac:dyDescent="0.35">
      <c r="A1651" s="145"/>
      <c r="B1651" s="152"/>
      <c r="E1651" s="102"/>
      <c r="F1651" s="102"/>
      <c r="G1651" s="102"/>
      <c r="I1651" s="93"/>
      <c r="J1651" s="93"/>
    </row>
    <row r="1652" spans="1:10" s="65" customFormat="1" ht="14" x14ac:dyDescent="0.35">
      <c r="A1652" s="145"/>
      <c r="B1652" s="152"/>
      <c r="E1652" s="102"/>
      <c r="F1652" s="102"/>
      <c r="G1652" s="102"/>
      <c r="I1652" s="93"/>
      <c r="J1652" s="93"/>
    </row>
    <row r="1653" spans="1:10" s="65" customFormat="1" ht="14" x14ac:dyDescent="0.35">
      <c r="A1653" s="145"/>
      <c r="B1653" s="152"/>
      <c r="E1653" s="102"/>
      <c r="F1653" s="102"/>
      <c r="G1653" s="102"/>
      <c r="I1653" s="93"/>
      <c r="J1653" s="93"/>
    </row>
    <row r="1654" spans="1:10" s="65" customFormat="1" ht="14" x14ac:dyDescent="0.35">
      <c r="A1654" s="145"/>
      <c r="B1654" s="152"/>
      <c r="E1654" s="102"/>
      <c r="F1654" s="102"/>
      <c r="G1654" s="102"/>
      <c r="I1654" s="93"/>
      <c r="J1654" s="93"/>
    </row>
    <row r="1655" spans="1:10" s="65" customFormat="1" ht="14" x14ac:dyDescent="0.35">
      <c r="A1655" s="145"/>
      <c r="B1655" s="152"/>
      <c r="E1655" s="102"/>
      <c r="F1655" s="102"/>
      <c r="G1655" s="102"/>
      <c r="I1655" s="93"/>
      <c r="J1655" s="93"/>
    </row>
    <row r="1656" spans="1:10" s="65" customFormat="1" ht="14" x14ac:dyDescent="0.35">
      <c r="A1656" s="145"/>
      <c r="B1656" s="152"/>
      <c r="E1656" s="102"/>
      <c r="F1656" s="102"/>
      <c r="G1656" s="102"/>
      <c r="I1656" s="93"/>
      <c r="J1656" s="93"/>
    </row>
    <row r="1657" spans="1:10" s="65" customFormat="1" ht="14" x14ac:dyDescent="0.35">
      <c r="A1657" s="145"/>
      <c r="B1657" s="152"/>
      <c r="E1657" s="102"/>
      <c r="F1657" s="102"/>
      <c r="G1657" s="102"/>
      <c r="I1657" s="93"/>
      <c r="J1657" s="93"/>
    </row>
    <row r="1658" spans="1:10" s="65" customFormat="1" ht="14" x14ac:dyDescent="0.35">
      <c r="A1658" s="145"/>
      <c r="B1658" s="152"/>
      <c r="E1658" s="102"/>
      <c r="F1658" s="102"/>
      <c r="G1658" s="102"/>
      <c r="I1658" s="93"/>
      <c r="J1658" s="93"/>
    </row>
    <row r="1659" spans="1:10" s="65" customFormat="1" ht="14" x14ac:dyDescent="0.35">
      <c r="A1659" s="145"/>
      <c r="B1659" s="152"/>
      <c r="E1659" s="102"/>
      <c r="F1659" s="102"/>
      <c r="G1659" s="102"/>
      <c r="I1659" s="93"/>
      <c r="J1659" s="93"/>
    </row>
    <row r="1660" spans="1:10" s="65" customFormat="1" ht="14" x14ac:dyDescent="0.35">
      <c r="A1660" s="145"/>
      <c r="B1660" s="152"/>
      <c r="E1660" s="102"/>
      <c r="F1660" s="102"/>
      <c r="G1660" s="102"/>
      <c r="I1660" s="93"/>
      <c r="J1660" s="93"/>
    </row>
    <row r="1661" spans="1:10" s="65" customFormat="1" ht="14" x14ac:dyDescent="0.35">
      <c r="A1661" s="145"/>
      <c r="B1661" s="152"/>
      <c r="E1661" s="102"/>
      <c r="F1661" s="102"/>
      <c r="G1661" s="102"/>
      <c r="I1661" s="93"/>
      <c r="J1661" s="93"/>
    </row>
    <row r="1662" spans="1:10" s="65" customFormat="1" ht="14" x14ac:dyDescent="0.35">
      <c r="A1662" s="145"/>
      <c r="B1662" s="152"/>
      <c r="E1662" s="102"/>
      <c r="F1662" s="102"/>
      <c r="G1662" s="102"/>
      <c r="I1662" s="93"/>
      <c r="J1662" s="93"/>
    </row>
    <row r="1663" spans="1:10" s="65" customFormat="1" ht="14" x14ac:dyDescent="0.35">
      <c r="A1663" s="145"/>
      <c r="B1663" s="152"/>
      <c r="E1663" s="102"/>
      <c r="F1663" s="102"/>
      <c r="G1663" s="102"/>
      <c r="I1663" s="93"/>
      <c r="J1663" s="93"/>
    </row>
    <row r="1664" spans="1:10" s="65" customFormat="1" ht="14" x14ac:dyDescent="0.35">
      <c r="A1664" s="145"/>
      <c r="B1664" s="152"/>
      <c r="E1664" s="102"/>
      <c r="F1664" s="102"/>
      <c r="G1664" s="102"/>
      <c r="I1664" s="93"/>
      <c r="J1664" s="93"/>
    </row>
    <row r="1665" spans="1:10" s="65" customFormat="1" ht="14" x14ac:dyDescent="0.35">
      <c r="A1665" s="145"/>
      <c r="B1665" s="152"/>
      <c r="E1665" s="102"/>
      <c r="F1665" s="102"/>
      <c r="G1665" s="102"/>
      <c r="I1665" s="93"/>
      <c r="J1665" s="93"/>
    </row>
    <row r="1666" spans="1:10" s="65" customFormat="1" ht="14" x14ac:dyDescent="0.35">
      <c r="A1666" s="145"/>
      <c r="B1666" s="152"/>
      <c r="E1666" s="102"/>
      <c r="F1666" s="102"/>
      <c r="G1666" s="102"/>
      <c r="I1666" s="93"/>
      <c r="J1666" s="93"/>
    </row>
    <row r="1667" spans="1:10" s="65" customFormat="1" ht="14" x14ac:dyDescent="0.35">
      <c r="A1667" s="145"/>
      <c r="B1667" s="152"/>
      <c r="E1667" s="102"/>
      <c r="F1667" s="102"/>
      <c r="G1667" s="102"/>
      <c r="I1667" s="93"/>
      <c r="J1667" s="93"/>
    </row>
    <row r="1668" spans="1:10" s="65" customFormat="1" ht="14" x14ac:dyDescent="0.35">
      <c r="A1668" s="145"/>
      <c r="B1668" s="152"/>
      <c r="E1668" s="102"/>
      <c r="F1668" s="102"/>
      <c r="G1668" s="102"/>
      <c r="I1668" s="93"/>
      <c r="J1668" s="93"/>
    </row>
    <row r="1669" spans="1:10" s="65" customFormat="1" ht="14" x14ac:dyDescent="0.35">
      <c r="A1669" s="145"/>
      <c r="B1669" s="152"/>
      <c r="E1669" s="102"/>
      <c r="F1669" s="102"/>
      <c r="G1669" s="102"/>
      <c r="I1669" s="93"/>
      <c r="J1669" s="93"/>
    </row>
    <row r="1670" spans="1:10" s="65" customFormat="1" ht="14" x14ac:dyDescent="0.35">
      <c r="A1670" s="145"/>
      <c r="B1670" s="152"/>
      <c r="E1670" s="102"/>
      <c r="F1670" s="102"/>
      <c r="G1670" s="102"/>
      <c r="I1670" s="93"/>
      <c r="J1670" s="93"/>
    </row>
    <row r="1671" spans="1:10" s="65" customFormat="1" ht="14" x14ac:dyDescent="0.35">
      <c r="A1671" s="145"/>
      <c r="B1671" s="152"/>
      <c r="E1671" s="102"/>
      <c r="F1671" s="102"/>
      <c r="G1671" s="102"/>
      <c r="I1671" s="93"/>
      <c r="J1671" s="93"/>
    </row>
    <row r="1672" spans="1:10" s="65" customFormat="1" ht="14" x14ac:dyDescent="0.35">
      <c r="A1672" s="145"/>
      <c r="B1672" s="152"/>
      <c r="E1672" s="102"/>
      <c r="F1672" s="102"/>
      <c r="G1672" s="102"/>
      <c r="I1672" s="93"/>
      <c r="J1672" s="93"/>
    </row>
    <row r="1673" spans="1:10" s="65" customFormat="1" ht="14" x14ac:dyDescent="0.35">
      <c r="A1673" s="145"/>
      <c r="B1673" s="152"/>
      <c r="E1673" s="102"/>
      <c r="F1673" s="102"/>
      <c r="G1673" s="102"/>
      <c r="I1673" s="93"/>
      <c r="J1673" s="93"/>
    </row>
    <row r="1674" spans="1:10" s="65" customFormat="1" ht="14" x14ac:dyDescent="0.35">
      <c r="A1674" s="145"/>
      <c r="B1674" s="152"/>
      <c r="E1674" s="102"/>
      <c r="F1674" s="102"/>
      <c r="G1674" s="102"/>
      <c r="I1674" s="93"/>
      <c r="J1674" s="93"/>
    </row>
    <row r="1675" spans="1:10" s="65" customFormat="1" ht="14" x14ac:dyDescent="0.35">
      <c r="A1675" s="145"/>
      <c r="B1675" s="152"/>
      <c r="E1675" s="102"/>
      <c r="F1675" s="102"/>
      <c r="G1675" s="102"/>
      <c r="I1675" s="93"/>
      <c r="J1675" s="93"/>
    </row>
    <row r="1676" spans="1:10" s="65" customFormat="1" ht="14" x14ac:dyDescent="0.35">
      <c r="A1676" s="145"/>
      <c r="B1676" s="152"/>
      <c r="E1676" s="102"/>
      <c r="F1676" s="102"/>
      <c r="G1676" s="102"/>
      <c r="I1676" s="93"/>
      <c r="J1676" s="93"/>
    </row>
    <row r="1677" spans="1:10" s="65" customFormat="1" ht="14" x14ac:dyDescent="0.35">
      <c r="A1677" s="145"/>
      <c r="B1677" s="152"/>
      <c r="E1677" s="102"/>
      <c r="F1677" s="102"/>
      <c r="G1677" s="102"/>
      <c r="I1677" s="93"/>
      <c r="J1677" s="93"/>
    </row>
    <row r="1678" spans="1:10" s="65" customFormat="1" ht="14" x14ac:dyDescent="0.35">
      <c r="A1678" s="145"/>
      <c r="B1678" s="152"/>
      <c r="E1678" s="102"/>
      <c r="F1678" s="102"/>
      <c r="G1678" s="102"/>
      <c r="I1678" s="93"/>
      <c r="J1678" s="93"/>
    </row>
    <row r="1679" spans="1:10" s="65" customFormat="1" ht="14" x14ac:dyDescent="0.35">
      <c r="A1679" s="145"/>
      <c r="B1679" s="152"/>
      <c r="E1679" s="102"/>
      <c r="F1679" s="102"/>
      <c r="G1679" s="102"/>
      <c r="I1679" s="93"/>
      <c r="J1679" s="93"/>
    </row>
    <row r="1680" spans="1:10" s="65" customFormat="1" ht="14" x14ac:dyDescent="0.35">
      <c r="A1680" s="145"/>
      <c r="B1680" s="152"/>
      <c r="E1680" s="102"/>
      <c r="F1680" s="102"/>
      <c r="G1680" s="102"/>
      <c r="I1680" s="93"/>
      <c r="J1680" s="93"/>
    </row>
    <row r="1681" spans="1:10" s="65" customFormat="1" ht="14" x14ac:dyDescent="0.35">
      <c r="A1681" s="145"/>
      <c r="B1681" s="152"/>
      <c r="E1681" s="102"/>
      <c r="F1681" s="102"/>
      <c r="G1681" s="102"/>
      <c r="I1681" s="93"/>
      <c r="J1681" s="93"/>
    </row>
    <row r="1682" spans="1:10" s="65" customFormat="1" ht="14" x14ac:dyDescent="0.35">
      <c r="A1682" s="145"/>
      <c r="B1682" s="152"/>
      <c r="E1682" s="102"/>
      <c r="F1682" s="102"/>
      <c r="G1682" s="102"/>
      <c r="I1682" s="93"/>
      <c r="J1682" s="93"/>
    </row>
    <row r="1683" spans="1:10" s="65" customFormat="1" ht="14" x14ac:dyDescent="0.35">
      <c r="A1683" s="145"/>
      <c r="B1683" s="152"/>
      <c r="E1683" s="102"/>
      <c r="F1683" s="102"/>
      <c r="G1683" s="102"/>
      <c r="I1683" s="93"/>
      <c r="J1683" s="93"/>
    </row>
    <row r="1684" spans="1:10" s="65" customFormat="1" ht="14" x14ac:dyDescent="0.35">
      <c r="A1684" s="145"/>
      <c r="B1684" s="152"/>
      <c r="E1684" s="102"/>
      <c r="F1684" s="102"/>
      <c r="G1684" s="102"/>
      <c r="I1684" s="93"/>
      <c r="J1684" s="93"/>
    </row>
    <row r="1685" spans="1:10" s="65" customFormat="1" ht="14" x14ac:dyDescent="0.35">
      <c r="A1685" s="145"/>
      <c r="B1685" s="152"/>
      <c r="E1685" s="102"/>
      <c r="F1685" s="102"/>
      <c r="G1685" s="102"/>
      <c r="I1685" s="93"/>
      <c r="J1685" s="93"/>
    </row>
    <row r="1686" spans="1:10" s="65" customFormat="1" ht="14" x14ac:dyDescent="0.35">
      <c r="A1686" s="145"/>
      <c r="B1686" s="152"/>
      <c r="E1686" s="102"/>
      <c r="F1686" s="102"/>
      <c r="G1686" s="102"/>
      <c r="I1686" s="93"/>
      <c r="J1686" s="93"/>
    </row>
    <row r="1687" spans="1:10" s="65" customFormat="1" ht="14" x14ac:dyDescent="0.35">
      <c r="A1687" s="145"/>
      <c r="B1687" s="152"/>
      <c r="E1687" s="102"/>
      <c r="F1687" s="102"/>
      <c r="G1687" s="102"/>
      <c r="I1687" s="93"/>
      <c r="J1687" s="93"/>
    </row>
    <row r="1688" spans="1:10" s="65" customFormat="1" ht="14" x14ac:dyDescent="0.35">
      <c r="A1688" s="145"/>
      <c r="B1688" s="152"/>
      <c r="E1688" s="102"/>
      <c r="F1688" s="102"/>
      <c r="G1688" s="102"/>
      <c r="I1688" s="93"/>
      <c r="J1688" s="93"/>
    </row>
    <row r="1689" spans="1:10" s="65" customFormat="1" ht="14" x14ac:dyDescent="0.35">
      <c r="A1689" s="145"/>
      <c r="B1689" s="152"/>
      <c r="E1689" s="102"/>
      <c r="F1689" s="102"/>
      <c r="G1689" s="102"/>
      <c r="I1689" s="93"/>
      <c r="J1689" s="93"/>
    </row>
    <row r="1690" spans="1:10" s="65" customFormat="1" ht="14" x14ac:dyDescent="0.35">
      <c r="A1690" s="145"/>
      <c r="B1690" s="152"/>
      <c r="E1690" s="102"/>
      <c r="F1690" s="102"/>
      <c r="G1690" s="102"/>
      <c r="I1690" s="93"/>
      <c r="J1690" s="93"/>
    </row>
    <row r="1691" spans="1:10" s="65" customFormat="1" ht="14" x14ac:dyDescent="0.35">
      <c r="A1691" s="145"/>
      <c r="B1691" s="152"/>
      <c r="E1691" s="102"/>
      <c r="F1691" s="102"/>
      <c r="G1691" s="102"/>
      <c r="I1691" s="93"/>
      <c r="J1691" s="93"/>
    </row>
    <row r="1692" spans="1:10" s="65" customFormat="1" ht="14" x14ac:dyDescent="0.35">
      <c r="A1692" s="145"/>
      <c r="B1692" s="152"/>
      <c r="E1692" s="102"/>
      <c r="F1692" s="102"/>
      <c r="G1692" s="102"/>
      <c r="I1692" s="93"/>
      <c r="J1692" s="93"/>
    </row>
    <row r="1693" spans="1:10" s="65" customFormat="1" ht="14" x14ac:dyDescent="0.35">
      <c r="A1693" s="145"/>
      <c r="B1693" s="152"/>
      <c r="E1693" s="102"/>
      <c r="F1693" s="102"/>
      <c r="G1693" s="102"/>
      <c r="I1693" s="93"/>
      <c r="J1693" s="93"/>
    </row>
    <row r="1694" spans="1:10" s="65" customFormat="1" ht="14" x14ac:dyDescent="0.35">
      <c r="A1694" s="145"/>
      <c r="B1694" s="152"/>
      <c r="E1694" s="102"/>
      <c r="F1694" s="102"/>
      <c r="G1694" s="102"/>
      <c r="I1694" s="93"/>
      <c r="J1694" s="93"/>
    </row>
    <row r="1695" spans="1:10" s="65" customFormat="1" ht="14" x14ac:dyDescent="0.35">
      <c r="A1695" s="145"/>
      <c r="B1695" s="152"/>
      <c r="E1695" s="102"/>
      <c r="F1695" s="102"/>
      <c r="G1695" s="102"/>
      <c r="I1695" s="93"/>
      <c r="J1695" s="93"/>
    </row>
    <row r="1696" spans="1:10" s="65" customFormat="1" ht="14" x14ac:dyDescent="0.35">
      <c r="A1696" s="145"/>
      <c r="B1696" s="152"/>
      <c r="E1696" s="102"/>
      <c r="F1696" s="102"/>
      <c r="G1696" s="102"/>
      <c r="I1696" s="93"/>
      <c r="J1696" s="93"/>
    </row>
    <row r="1697" spans="1:10" s="65" customFormat="1" ht="14" x14ac:dyDescent="0.35">
      <c r="A1697" s="145"/>
      <c r="B1697" s="152"/>
      <c r="E1697" s="102"/>
      <c r="F1697" s="102"/>
      <c r="G1697" s="102"/>
      <c r="I1697" s="93"/>
      <c r="J1697" s="93"/>
    </row>
    <row r="1698" spans="1:10" s="65" customFormat="1" ht="14" x14ac:dyDescent="0.35">
      <c r="A1698" s="145"/>
      <c r="B1698" s="152"/>
      <c r="E1698" s="102"/>
      <c r="F1698" s="102"/>
      <c r="G1698" s="102"/>
      <c r="I1698" s="93"/>
      <c r="J1698" s="93"/>
    </row>
    <row r="1699" spans="1:10" s="65" customFormat="1" ht="14" x14ac:dyDescent="0.35">
      <c r="A1699" s="145"/>
      <c r="B1699" s="152"/>
      <c r="E1699" s="102"/>
      <c r="F1699" s="102"/>
      <c r="G1699" s="102"/>
      <c r="I1699" s="93"/>
      <c r="J1699" s="93"/>
    </row>
    <row r="1700" spans="1:10" s="65" customFormat="1" ht="14" x14ac:dyDescent="0.35">
      <c r="A1700" s="145"/>
      <c r="B1700" s="152"/>
      <c r="E1700" s="102"/>
      <c r="F1700" s="102"/>
      <c r="G1700" s="102"/>
      <c r="I1700" s="93"/>
      <c r="J1700" s="93"/>
    </row>
    <row r="1701" spans="1:10" s="65" customFormat="1" ht="14" x14ac:dyDescent="0.35">
      <c r="A1701" s="145"/>
      <c r="B1701" s="152"/>
      <c r="E1701" s="102"/>
      <c r="F1701" s="102"/>
      <c r="G1701" s="102"/>
      <c r="I1701" s="93"/>
      <c r="J1701" s="93"/>
    </row>
    <row r="1702" spans="1:10" s="65" customFormat="1" ht="14" x14ac:dyDescent="0.35">
      <c r="A1702" s="145"/>
      <c r="B1702" s="152"/>
      <c r="E1702" s="102"/>
      <c r="F1702" s="102"/>
      <c r="G1702" s="102"/>
      <c r="I1702" s="93"/>
      <c r="J1702" s="93"/>
    </row>
    <row r="1703" spans="1:10" s="65" customFormat="1" ht="14" x14ac:dyDescent="0.35">
      <c r="A1703" s="145"/>
      <c r="B1703" s="152"/>
      <c r="E1703" s="102"/>
      <c r="F1703" s="102"/>
      <c r="G1703" s="102"/>
      <c r="I1703" s="93"/>
      <c r="J1703" s="93"/>
    </row>
    <row r="1704" spans="1:10" s="65" customFormat="1" ht="14" x14ac:dyDescent="0.35">
      <c r="A1704" s="145"/>
      <c r="B1704" s="152"/>
      <c r="E1704" s="102"/>
      <c r="F1704" s="102"/>
      <c r="G1704" s="102"/>
      <c r="I1704" s="93"/>
      <c r="J1704" s="93"/>
    </row>
    <row r="1705" spans="1:10" s="65" customFormat="1" ht="14" x14ac:dyDescent="0.35">
      <c r="A1705" s="145"/>
      <c r="B1705" s="152"/>
      <c r="E1705" s="102"/>
      <c r="F1705" s="102"/>
      <c r="G1705" s="102"/>
      <c r="I1705" s="93"/>
      <c r="J1705" s="93"/>
    </row>
    <row r="1706" spans="1:10" s="65" customFormat="1" ht="14" x14ac:dyDescent="0.35">
      <c r="A1706" s="145"/>
      <c r="B1706" s="152"/>
      <c r="E1706" s="102"/>
      <c r="F1706" s="102"/>
      <c r="G1706" s="102"/>
      <c r="I1706" s="93"/>
      <c r="J1706" s="93"/>
    </row>
    <row r="1707" spans="1:10" s="65" customFormat="1" ht="14" x14ac:dyDescent="0.35">
      <c r="A1707" s="145"/>
      <c r="B1707" s="152"/>
      <c r="E1707" s="102"/>
      <c r="F1707" s="102"/>
      <c r="G1707" s="102"/>
      <c r="I1707" s="93"/>
      <c r="J1707" s="93"/>
    </row>
    <row r="1708" spans="1:10" s="65" customFormat="1" ht="14" x14ac:dyDescent="0.35">
      <c r="A1708" s="145"/>
      <c r="B1708" s="152"/>
      <c r="E1708" s="102"/>
      <c r="F1708" s="102"/>
      <c r="G1708" s="102"/>
      <c r="I1708" s="93"/>
      <c r="J1708" s="93"/>
    </row>
    <row r="1709" spans="1:10" s="65" customFormat="1" ht="14" x14ac:dyDescent="0.35">
      <c r="A1709" s="145"/>
      <c r="B1709" s="152"/>
      <c r="E1709" s="102"/>
      <c r="F1709" s="102"/>
      <c r="G1709" s="102"/>
      <c r="I1709" s="93"/>
      <c r="J1709" s="93"/>
    </row>
    <row r="1710" spans="1:10" s="65" customFormat="1" ht="14" x14ac:dyDescent="0.35">
      <c r="A1710" s="145"/>
      <c r="B1710" s="152"/>
      <c r="E1710" s="102"/>
      <c r="F1710" s="102"/>
      <c r="G1710" s="102"/>
      <c r="I1710" s="93"/>
      <c r="J1710" s="93"/>
    </row>
    <row r="1711" spans="1:10" s="65" customFormat="1" ht="14" x14ac:dyDescent="0.35">
      <c r="A1711" s="145"/>
      <c r="B1711" s="152"/>
      <c r="E1711" s="102"/>
      <c r="F1711" s="102"/>
      <c r="G1711" s="102"/>
      <c r="I1711" s="93"/>
      <c r="J1711" s="93"/>
    </row>
    <row r="1712" spans="1:10" s="65" customFormat="1" ht="14" x14ac:dyDescent="0.35">
      <c r="A1712" s="145"/>
      <c r="B1712" s="152"/>
      <c r="E1712" s="102"/>
      <c r="F1712" s="102"/>
      <c r="G1712" s="102"/>
      <c r="I1712" s="93"/>
      <c r="J1712" s="93"/>
    </row>
    <row r="1713" spans="1:10" s="65" customFormat="1" ht="14" x14ac:dyDescent="0.35">
      <c r="A1713" s="145"/>
      <c r="B1713" s="152"/>
      <c r="E1713" s="102"/>
      <c r="F1713" s="102"/>
      <c r="G1713" s="102"/>
      <c r="I1713" s="93"/>
      <c r="J1713" s="93"/>
    </row>
    <row r="1714" spans="1:10" s="65" customFormat="1" ht="14" x14ac:dyDescent="0.35">
      <c r="A1714" s="145"/>
      <c r="B1714" s="152"/>
      <c r="E1714" s="102"/>
      <c r="F1714" s="102"/>
      <c r="G1714" s="102"/>
      <c r="I1714" s="93"/>
      <c r="J1714" s="93"/>
    </row>
    <row r="1715" spans="1:10" s="65" customFormat="1" ht="14" x14ac:dyDescent="0.35">
      <c r="A1715" s="145"/>
      <c r="B1715" s="152"/>
      <c r="E1715" s="102"/>
      <c r="F1715" s="102"/>
      <c r="G1715" s="102"/>
      <c r="I1715" s="93"/>
      <c r="J1715" s="93"/>
    </row>
    <row r="1716" spans="1:10" s="65" customFormat="1" ht="14" x14ac:dyDescent="0.35">
      <c r="A1716" s="145"/>
      <c r="B1716" s="152"/>
      <c r="E1716" s="102"/>
      <c r="F1716" s="102"/>
      <c r="G1716" s="102"/>
      <c r="I1716" s="93"/>
      <c r="J1716" s="93"/>
    </row>
    <row r="1717" spans="1:10" s="65" customFormat="1" ht="14" x14ac:dyDescent="0.35">
      <c r="A1717" s="145"/>
      <c r="B1717" s="152"/>
      <c r="E1717" s="102"/>
      <c r="F1717" s="102"/>
      <c r="G1717" s="102"/>
      <c r="I1717" s="93"/>
      <c r="J1717" s="93"/>
    </row>
    <row r="1718" spans="1:10" s="65" customFormat="1" ht="14" x14ac:dyDescent="0.35">
      <c r="A1718" s="145"/>
      <c r="B1718" s="152"/>
      <c r="E1718" s="102"/>
      <c r="F1718" s="102"/>
      <c r="G1718" s="102"/>
      <c r="I1718" s="93"/>
      <c r="J1718" s="93"/>
    </row>
    <row r="1719" spans="1:10" s="65" customFormat="1" ht="14" x14ac:dyDescent="0.35">
      <c r="A1719" s="145"/>
      <c r="B1719" s="152"/>
      <c r="E1719" s="102"/>
      <c r="F1719" s="102"/>
      <c r="G1719" s="102"/>
      <c r="I1719" s="93"/>
      <c r="J1719" s="93"/>
    </row>
    <row r="1720" spans="1:10" s="65" customFormat="1" ht="14" x14ac:dyDescent="0.35">
      <c r="A1720" s="145"/>
      <c r="B1720" s="152"/>
      <c r="E1720" s="102"/>
      <c r="F1720" s="102"/>
      <c r="G1720" s="102"/>
      <c r="I1720" s="93"/>
      <c r="J1720" s="93"/>
    </row>
    <row r="1721" spans="1:10" s="65" customFormat="1" ht="14" x14ac:dyDescent="0.35">
      <c r="A1721" s="145"/>
      <c r="B1721" s="152"/>
      <c r="E1721" s="102"/>
      <c r="F1721" s="102"/>
      <c r="G1721" s="102"/>
      <c r="I1721" s="93"/>
      <c r="J1721" s="93"/>
    </row>
    <row r="1722" spans="1:10" s="65" customFormat="1" ht="14" x14ac:dyDescent="0.35">
      <c r="A1722" s="145"/>
      <c r="B1722" s="152"/>
      <c r="E1722" s="102"/>
      <c r="F1722" s="102"/>
      <c r="G1722" s="102"/>
      <c r="I1722" s="93"/>
      <c r="J1722" s="93"/>
    </row>
    <row r="1723" spans="1:10" s="65" customFormat="1" ht="14" x14ac:dyDescent="0.35">
      <c r="A1723" s="145"/>
      <c r="B1723" s="152"/>
      <c r="E1723" s="102"/>
      <c r="F1723" s="102"/>
      <c r="G1723" s="102"/>
      <c r="I1723" s="93"/>
      <c r="J1723" s="93"/>
    </row>
    <row r="1724" spans="1:10" s="65" customFormat="1" ht="14" x14ac:dyDescent="0.35">
      <c r="A1724" s="145"/>
      <c r="B1724" s="152"/>
      <c r="E1724" s="102"/>
      <c r="F1724" s="102"/>
      <c r="G1724" s="102"/>
      <c r="I1724" s="93"/>
      <c r="J1724" s="93"/>
    </row>
    <row r="1725" spans="1:10" s="65" customFormat="1" ht="14" x14ac:dyDescent="0.35">
      <c r="A1725" s="145"/>
      <c r="B1725" s="152"/>
      <c r="E1725" s="102"/>
      <c r="F1725" s="102"/>
      <c r="G1725" s="102"/>
      <c r="I1725" s="93"/>
      <c r="J1725" s="93"/>
    </row>
    <row r="1726" spans="1:10" s="65" customFormat="1" ht="14" x14ac:dyDescent="0.35">
      <c r="A1726" s="145"/>
      <c r="B1726" s="152"/>
      <c r="E1726" s="102"/>
      <c r="F1726" s="102"/>
      <c r="G1726" s="102"/>
      <c r="I1726" s="93"/>
      <c r="J1726" s="93"/>
    </row>
    <row r="1727" spans="1:10" s="65" customFormat="1" ht="14" x14ac:dyDescent="0.35">
      <c r="A1727" s="145"/>
      <c r="B1727" s="152"/>
      <c r="E1727" s="102"/>
      <c r="F1727" s="102"/>
      <c r="G1727" s="102"/>
      <c r="I1727" s="93"/>
      <c r="J1727" s="93"/>
    </row>
    <row r="1728" spans="1:10" s="65" customFormat="1" ht="14" x14ac:dyDescent="0.35">
      <c r="A1728" s="145"/>
      <c r="B1728" s="152"/>
      <c r="E1728" s="102"/>
      <c r="F1728" s="102"/>
      <c r="G1728" s="102"/>
      <c r="I1728" s="93"/>
      <c r="J1728" s="93"/>
    </row>
    <row r="1729" spans="1:10" s="65" customFormat="1" ht="14" x14ac:dyDescent="0.35">
      <c r="A1729" s="145"/>
      <c r="B1729" s="152"/>
      <c r="E1729" s="102"/>
      <c r="F1729" s="102"/>
      <c r="G1729" s="102"/>
      <c r="I1729" s="93"/>
      <c r="J1729" s="93"/>
    </row>
    <row r="1730" spans="1:10" s="65" customFormat="1" ht="14" x14ac:dyDescent="0.35">
      <c r="A1730" s="145"/>
      <c r="B1730" s="152"/>
      <c r="E1730" s="102"/>
      <c r="F1730" s="102"/>
      <c r="G1730" s="102"/>
      <c r="I1730" s="93"/>
      <c r="J1730" s="93"/>
    </row>
    <row r="1731" spans="1:10" s="65" customFormat="1" ht="14" x14ac:dyDescent="0.35">
      <c r="A1731" s="145"/>
      <c r="B1731" s="152"/>
      <c r="E1731" s="102"/>
      <c r="F1731" s="102"/>
      <c r="G1731" s="102"/>
      <c r="I1731" s="93"/>
      <c r="J1731" s="93"/>
    </row>
    <row r="1732" spans="1:10" s="65" customFormat="1" ht="14" x14ac:dyDescent="0.35">
      <c r="A1732" s="145"/>
      <c r="B1732" s="152"/>
      <c r="E1732" s="102"/>
      <c r="F1732" s="102"/>
      <c r="G1732" s="102"/>
      <c r="I1732" s="93"/>
      <c r="J1732" s="93"/>
    </row>
    <row r="1733" spans="1:10" s="65" customFormat="1" ht="14" x14ac:dyDescent="0.35">
      <c r="A1733" s="145"/>
      <c r="B1733" s="152"/>
      <c r="E1733" s="102"/>
      <c r="F1733" s="102"/>
      <c r="G1733" s="102"/>
      <c r="I1733" s="93"/>
      <c r="J1733" s="93"/>
    </row>
    <row r="1734" spans="1:10" s="65" customFormat="1" ht="14" x14ac:dyDescent="0.35">
      <c r="A1734" s="145"/>
      <c r="B1734" s="152"/>
      <c r="E1734" s="102"/>
      <c r="F1734" s="102"/>
      <c r="G1734" s="102"/>
      <c r="I1734" s="93"/>
      <c r="J1734" s="93"/>
    </row>
    <row r="1735" spans="1:10" s="65" customFormat="1" ht="14" x14ac:dyDescent="0.35">
      <c r="A1735" s="145"/>
      <c r="B1735" s="152"/>
      <c r="E1735" s="102"/>
      <c r="F1735" s="102"/>
      <c r="G1735" s="102"/>
      <c r="I1735" s="93"/>
      <c r="J1735" s="93"/>
    </row>
    <row r="1736" spans="1:10" s="65" customFormat="1" ht="14" x14ac:dyDescent="0.35">
      <c r="A1736" s="145"/>
      <c r="B1736" s="152"/>
      <c r="E1736" s="102"/>
      <c r="F1736" s="102"/>
      <c r="G1736" s="102"/>
      <c r="I1736" s="93"/>
      <c r="J1736" s="93"/>
    </row>
    <row r="1737" spans="1:10" s="65" customFormat="1" ht="14" x14ac:dyDescent="0.35">
      <c r="A1737" s="145"/>
      <c r="B1737" s="152"/>
      <c r="E1737" s="102"/>
      <c r="F1737" s="102"/>
      <c r="G1737" s="102"/>
      <c r="I1737" s="93"/>
      <c r="J1737" s="93"/>
    </row>
    <row r="1738" spans="1:10" s="65" customFormat="1" ht="14" x14ac:dyDescent="0.35">
      <c r="A1738" s="145"/>
      <c r="B1738" s="152"/>
      <c r="E1738" s="102"/>
      <c r="F1738" s="102"/>
      <c r="G1738" s="102"/>
      <c r="I1738" s="93"/>
      <c r="J1738" s="93"/>
    </row>
    <row r="1739" spans="1:10" s="65" customFormat="1" ht="14" x14ac:dyDescent="0.35">
      <c r="A1739" s="145"/>
      <c r="B1739" s="152"/>
      <c r="E1739" s="102"/>
      <c r="F1739" s="102"/>
      <c r="G1739" s="102"/>
      <c r="I1739" s="93"/>
      <c r="J1739" s="93"/>
    </row>
    <row r="1740" spans="1:10" s="65" customFormat="1" ht="14" x14ac:dyDescent="0.35">
      <c r="A1740" s="145"/>
      <c r="B1740" s="152"/>
      <c r="E1740" s="102"/>
      <c r="F1740" s="102"/>
      <c r="G1740" s="102"/>
      <c r="I1740" s="93"/>
      <c r="J1740" s="93"/>
    </row>
    <row r="1741" spans="1:10" s="65" customFormat="1" ht="14" x14ac:dyDescent="0.35">
      <c r="A1741" s="145"/>
      <c r="B1741" s="152"/>
      <c r="E1741" s="102"/>
      <c r="F1741" s="102"/>
      <c r="G1741" s="102"/>
      <c r="I1741" s="93"/>
      <c r="J1741" s="93"/>
    </row>
    <row r="1742" spans="1:10" s="65" customFormat="1" ht="14" x14ac:dyDescent="0.35">
      <c r="A1742" s="145"/>
      <c r="B1742" s="152"/>
      <c r="E1742" s="102"/>
      <c r="F1742" s="102"/>
      <c r="G1742" s="102"/>
      <c r="I1742" s="93"/>
      <c r="J1742" s="93"/>
    </row>
    <row r="1743" spans="1:10" s="65" customFormat="1" ht="14" x14ac:dyDescent="0.35">
      <c r="A1743" s="145"/>
      <c r="B1743" s="152"/>
      <c r="E1743" s="102"/>
      <c r="F1743" s="102"/>
      <c r="G1743" s="102"/>
      <c r="I1743" s="93"/>
      <c r="J1743" s="93"/>
    </row>
    <row r="1744" spans="1:10" s="65" customFormat="1" ht="14" x14ac:dyDescent="0.35">
      <c r="A1744" s="145"/>
      <c r="B1744" s="152"/>
      <c r="E1744" s="102"/>
      <c r="F1744" s="102"/>
      <c r="G1744" s="102"/>
      <c r="I1744" s="93"/>
      <c r="J1744" s="93"/>
    </row>
    <row r="1745" spans="1:10" s="65" customFormat="1" ht="14" x14ac:dyDescent="0.35">
      <c r="A1745" s="145"/>
      <c r="B1745" s="152"/>
      <c r="E1745" s="102"/>
      <c r="F1745" s="102"/>
      <c r="G1745" s="102"/>
      <c r="I1745" s="93"/>
      <c r="J1745" s="93"/>
    </row>
    <row r="1746" spans="1:10" s="65" customFormat="1" ht="14" x14ac:dyDescent="0.35">
      <c r="A1746" s="145"/>
      <c r="B1746" s="152"/>
      <c r="E1746" s="102"/>
      <c r="F1746" s="102"/>
      <c r="G1746" s="102"/>
      <c r="I1746" s="93"/>
      <c r="J1746" s="93"/>
    </row>
    <row r="1747" spans="1:10" s="65" customFormat="1" ht="14" x14ac:dyDescent="0.35">
      <c r="A1747" s="145"/>
      <c r="B1747" s="152"/>
      <c r="E1747" s="102"/>
      <c r="F1747" s="102"/>
      <c r="G1747" s="102"/>
      <c r="I1747" s="93"/>
      <c r="J1747" s="93"/>
    </row>
    <row r="1748" spans="1:10" s="65" customFormat="1" ht="14" x14ac:dyDescent="0.35">
      <c r="A1748" s="145"/>
      <c r="B1748" s="152"/>
      <c r="E1748" s="102"/>
      <c r="F1748" s="102"/>
      <c r="G1748" s="102"/>
      <c r="I1748" s="93"/>
      <c r="J1748" s="93"/>
    </row>
    <row r="1749" spans="1:10" s="65" customFormat="1" ht="14" x14ac:dyDescent="0.35">
      <c r="A1749" s="145"/>
      <c r="B1749" s="152"/>
      <c r="E1749" s="102"/>
      <c r="F1749" s="102"/>
      <c r="G1749" s="102"/>
      <c r="I1749" s="93"/>
      <c r="J1749" s="93"/>
    </row>
    <row r="1750" spans="1:10" s="65" customFormat="1" ht="14" x14ac:dyDescent="0.35">
      <c r="A1750" s="145"/>
      <c r="B1750" s="152"/>
      <c r="E1750" s="102"/>
      <c r="F1750" s="102"/>
      <c r="G1750" s="102"/>
      <c r="I1750" s="93"/>
      <c r="J1750" s="93"/>
    </row>
    <row r="1751" spans="1:10" s="65" customFormat="1" ht="14" x14ac:dyDescent="0.35">
      <c r="A1751" s="145"/>
      <c r="B1751" s="152"/>
      <c r="E1751" s="102"/>
      <c r="F1751" s="102"/>
      <c r="G1751" s="102"/>
      <c r="I1751" s="93"/>
      <c r="J1751" s="93"/>
    </row>
    <row r="1752" spans="1:10" s="65" customFormat="1" ht="14" x14ac:dyDescent="0.35">
      <c r="A1752" s="145"/>
      <c r="B1752" s="152"/>
      <c r="E1752" s="102"/>
      <c r="F1752" s="102"/>
      <c r="G1752" s="102"/>
      <c r="I1752" s="93"/>
      <c r="J1752" s="93"/>
    </row>
    <row r="1753" spans="1:10" s="65" customFormat="1" ht="14" x14ac:dyDescent="0.35">
      <c r="A1753" s="145"/>
      <c r="B1753" s="152"/>
      <c r="E1753" s="102"/>
      <c r="F1753" s="102"/>
      <c r="G1753" s="102"/>
      <c r="I1753" s="93"/>
      <c r="J1753" s="93"/>
    </row>
    <row r="1754" spans="1:10" s="65" customFormat="1" ht="14" x14ac:dyDescent="0.35">
      <c r="A1754" s="145"/>
      <c r="B1754" s="152"/>
      <c r="E1754" s="102"/>
      <c r="F1754" s="102"/>
      <c r="G1754" s="102"/>
      <c r="I1754" s="93"/>
      <c r="J1754" s="93"/>
    </row>
    <row r="1755" spans="1:10" s="65" customFormat="1" ht="14" x14ac:dyDescent="0.35">
      <c r="A1755" s="145"/>
      <c r="B1755" s="152"/>
      <c r="E1755" s="102"/>
      <c r="F1755" s="102"/>
      <c r="G1755" s="102"/>
      <c r="I1755" s="93"/>
      <c r="J1755" s="93"/>
    </row>
    <row r="1756" spans="1:10" s="65" customFormat="1" ht="14" x14ac:dyDescent="0.35">
      <c r="A1756" s="145"/>
      <c r="B1756" s="152"/>
      <c r="E1756" s="102"/>
      <c r="F1756" s="102"/>
      <c r="G1756" s="102"/>
      <c r="I1756" s="93"/>
      <c r="J1756" s="93"/>
    </row>
    <row r="1757" spans="1:10" s="65" customFormat="1" ht="14" x14ac:dyDescent="0.35">
      <c r="A1757" s="145"/>
      <c r="B1757" s="152"/>
      <c r="E1757" s="102"/>
      <c r="F1757" s="102"/>
      <c r="G1757" s="102"/>
      <c r="I1757" s="93"/>
      <c r="J1757" s="93"/>
    </row>
    <row r="1758" spans="1:10" s="65" customFormat="1" ht="14" x14ac:dyDescent="0.35">
      <c r="A1758" s="145"/>
      <c r="B1758" s="152"/>
      <c r="E1758" s="102"/>
      <c r="F1758" s="102"/>
      <c r="G1758" s="102"/>
      <c r="I1758" s="93"/>
      <c r="J1758" s="93"/>
    </row>
    <row r="1759" spans="1:10" s="65" customFormat="1" ht="14" x14ac:dyDescent="0.35">
      <c r="A1759" s="145"/>
      <c r="B1759" s="152"/>
      <c r="E1759" s="102"/>
      <c r="F1759" s="102"/>
      <c r="G1759" s="102"/>
      <c r="I1759" s="93"/>
      <c r="J1759" s="93"/>
    </row>
    <row r="1760" spans="1:10" s="65" customFormat="1" ht="14" x14ac:dyDescent="0.35">
      <c r="A1760" s="145"/>
      <c r="B1760" s="152"/>
      <c r="E1760" s="102"/>
      <c r="F1760" s="102"/>
      <c r="G1760" s="102"/>
      <c r="I1760" s="93"/>
      <c r="J1760" s="93"/>
    </row>
    <row r="1761" spans="1:10" s="65" customFormat="1" ht="14" x14ac:dyDescent="0.35">
      <c r="A1761" s="145"/>
      <c r="B1761" s="152"/>
      <c r="E1761" s="102"/>
      <c r="F1761" s="102"/>
      <c r="G1761" s="102"/>
      <c r="I1761" s="93"/>
      <c r="J1761" s="93"/>
    </row>
    <row r="1762" spans="1:10" s="65" customFormat="1" ht="14" x14ac:dyDescent="0.35">
      <c r="A1762" s="145"/>
      <c r="B1762" s="152"/>
      <c r="E1762" s="102"/>
      <c r="F1762" s="102"/>
      <c r="G1762" s="102"/>
      <c r="I1762" s="93"/>
      <c r="J1762" s="93"/>
    </row>
    <row r="1763" spans="1:10" s="65" customFormat="1" ht="14" x14ac:dyDescent="0.35">
      <c r="A1763" s="145"/>
      <c r="B1763" s="152"/>
      <c r="E1763" s="102"/>
      <c r="F1763" s="102"/>
      <c r="G1763" s="102"/>
      <c r="I1763" s="93"/>
      <c r="J1763" s="93"/>
    </row>
    <row r="1764" spans="1:10" s="65" customFormat="1" ht="14" x14ac:dyDescent="0.35">
      <c r="A1764" s="145"/>
      <c r="B1764" s="152"/>
      <c r="E1764" s="102"/>
      <c r="F1764" s="102"/>
      <c r="G1764" s="102"/>
      <c r="I1764" s="93"/>
      <c r="J1764" s="93"/>
    </row>
    <row r="1765" spans="1:10" s="65" customFormat="1" ht="14" x14ac:dyDescent="0.35">
      <c r="A1765" s="145"/>
      <c r="B1765" s="152"/>
      <c r="E1765" s="102"/>
      <c r="F1765" s="102"/>
      <c r="G1765" s="102"/>
      <c r="I1765" s="93"/>
      <c r="J1765" s="93"/>
    </row>
    <row r="1766" spans="1:10" s="65" customFormat="1" ht="14" x14ac:dyDescent="0.35">
      <c r="A1766" s="145"/>
      <c r="B1766" s="152"/>
      <c r="E1766" s="102"/>
      <c r="F1766" s="102"/>
      <c r="G1766" s="102"/>
      <c r="I1766" s="93"/>
      <c r="J1766" s="93"/>
    </row>
    <row r="1767" spans="1:10" s="65" customFormat="1" ht="14" x14ac:dyDescent="0.35">
      <c r="A1767" s="145"/>
      <c r="B1767" s="152"/>
      <c r="E1767" s="102"/>
      <c r="F1767" s="102"/>
      <c r="G1767" s="102"/>
      <c r="I1767" s="93"/>
      <c r="J1767" s="93"/>
    </row>
    <row r="1768" spans="1:10" s="65" customFormat="1" ht="14" x14ac:dyDescent="0.35">
      <c r="A1768" s="145"/>
      <c r="B1768" s="152"/>
      <c r="E1768" s="102"/>
      <c r="F1768" s="102"/>
      <c r="G1768" s="102"/>
      <c r="I1768" s="93"/>
      <c r="J1768" s="93"/>
    </row>
    <row r="1769" spans="1:10" s="65" customFormat="1" ht="14" x14ac:dyDescent="0.35">
      <c r="A1769" s="145"/>
      <c r="B1769" s="152"/>
      <c r="E1769" s="102"/>
      <c r="F1769" s="102"/>
      <c r="G1769" s="102"/>
      <c r="I1769" s="93"/>
      <c r="J1769" s="93"/>
    </row>
    <row r="1770" spans="1:10" s="65" customFormat="1" ht="14" x14ac:dyDescent="0.35">
      <c r="A1770" s="145"/>
      <c r="B1770" s="152"/>
      <c r="E1770" s="102"/>
      <c r="F1770" s="102"/>
      <c r="G1770" s="102"/>
      <c r="I1770" s="93"/>
      <c r="J1770" s="93"/>
    </row>
    <row r="1771" spans="1:10" s="65" customFormat="1" ht="14" x14ac:dyDescent="0.35">
      <c r="A1771" s="145"/>
      <c r="B1771" s="152"/>
      <c r="E1771" s="102"/>
      <c r="F1771" s="102"/>
      <c r="G1771" s="102"/>
      <c r="I1771" s="93"/>
      <c r="J1771" s="93"/>
    </row>
    <row r="1772" spans="1:10" s="65" customFormat="1" ht="14" x14ac:dyDescent="0.35">
      <c r="A1772" s="145"/>
      <c r="B1772" s="152"/>
      <c r="E1772" s="102"/>
      <c r="F1772" s="102"/>
      <c r="G1772" s="102"/>
      <c r="I1772" s="93"/>
      <c r="J1772" s="93"/>
    </row>
    <row r="1773" spans="1:10" s="65" customFormat="1" ht="14" x14ac:dyDescent="0.35">
      <c r="A1773" s="145"/>
      <c r="B1773" s="152"/>
      <c r="E1773" s="102"/>
      <c r="F1773" s="102"/>
      <c r="G1773" s="102"/>
      <c r="I1773" s="93"/>
      <c r="J1773" s="93"/>
    </row>
    <row r="1774" spans="1:10" s="65" customFormat="1" ht="14" x14ac:dyDescent="0.35">
      <c r="A1774" s="145"/>
      <c r="B1774" s="152"/>
      <c r="E1774" s="102"/>
      <c r="F1774" s="102"/>
      <c r="G1774" s="102"/>
      <c r="I1774" s="93"/>
      <c r="J1774" s="93"/>
    </row>
    <row r="1775" spans="1:10" s="65" customFormat="1" ht="14" x14ac:dyDescent="0.35">
      <c r="A1775" s="145"/>
      <c r="B1775" s="152"/>
      <c r="E1775" s="102"/>
      <c r="F1775" s="102"/>
      <c r="G1775" s="102"/>
      <c r="I1775" s="93"/>
      <c r="J1775" s="93"/>
    </row>
    <row r="1776" spans="1:10" s="65" customFormat="1" ht="14" x14ac:dyDescent="0.35">
      <c r="A1776" s="145"/>
      <c r="B1776" s="152"/>
      <c r="E1776" s="102"/>
      <c r="F1776" s="102"/>
      <c r="G1776" s="102"/>
      <c r="I1776" s="93"/>
      <c r="J1776" s="93"/>
    </row>
    <row r="1777" spans="1:10" s="65" customFormat="1" ht="14" x14ac:dyDescent="0.35">
      <c r="A1777" s="145"/>
      <c r="B1777" s="152"/>
      <c r="E1777" s="102"/>
      <c r="F1777" s="102"/>
      <c r="G1777" s="102"/>
      <c r="I1777" s="93"/>
      <c r="J1777" s="93"/>
    </row>
    <row r="1778" spans="1:10" s="65" customFormat="1" ht="14" x14ac:dyDescent="0.35">
      <c r="A1778" s="145"/>
      <c r="B1778" s="152"/>
      <c r="E1778" s="102"/>
      <c r="F1778" s="102"/>
      <c r="G1778" s="102"/>
      <c r="I1778" s="93"/>
      <c r="J1778" s="93"/>
    </row>
    <row r="1779" spans="1:10" s="65" customFormat="1" ht="14" x14ac:dyDescent="0.35">
      <c r="A1779" s="145"/>
      <c r="B1779" s="152"/>
      <c r="E1779" s="102"/>
      <c r="F1779" s="102"/>
      <c r="G1779" s="102"/>
      <c r="I1779" s="93"/>
      <c r="J1779" s="93"/>
    </row>
    <row r="1780" spans="1:10" s="65" customFormat="1" ht="14" x14ac:dyDescent="0.35">
      <c r="A1780" s="145"/>
      <c r="B1780" s="152"/>
      <c r="E1780" s="102"/>
      <c r="F1780" s="102"/>
      <c r="G1780" s="102"/>
      <c r="I1780" s="93"/>
      <c r="J1780" s="93"/>
    </row>
    <row r="1781" spans="1:10" s="65" customFormat="1" ht="14" x14ac:dyDescent="0.35">
      <c r="A1781" s="145"/>
      <c r="B1781" s="152"/>
      <c r="E1781" s="102"/>
      <c r="F1781" s="102"/>
      <c r="G1781" s="102"/>
      <c r="I1781" s="93"/>
      <c r="J1781" s="93"/>
    </row>
    <row r="1782" spans="1:10" s="65" customFormat="1" ht="14" x14ac:dyDescent="0.35">
      <c r="A1782" s="145"/>
      <c r="B1782" s="152"/>
      <c r="E1782" s="102"/>
      <c r="F1782" s="102"/>
      <c r="G1782" s="102"/>
      <c r="I1782" s="93"/>
      <c r="J1782" s="93"/>
    </row>
    <row r="1783" spans="1:10" s="65" customFormat="1" ht="14" x14ac:dyDescent="0.35">
      <c r="A1783" s="145"/>
      <c r="B1783" s="152"/>
      <c r="E1783" s="102"/>
      <c r="F1783" s="102"/>
      <c r="G1783" s="102"/>
      <c r="I1783" s="93"/>
      <c r="J1783" s="93"/>
    </row>
    <row r="1784" spans="1:10" s="65" customFormat="1" ht="14" x14ac:dyDescent="0.35">
      <c r="A1784" s="145"/>
      <c r="B1784" s="152"/>
      <c r="E1784" s="102"/>
      <c r="F1784" s="102"/>
      <c r="G1784" s="102"/>
      <c r="I1784" s="93"/>
      <c r="J1784" s="93"/>
    </row>
    <row r="1785" spans="1:10" s="65" customFormat="1" ht="14" x14ac:dyDescent="0.35">
      <c r="A1785" s="145"/>
      <c r="B1785" s="152"/>
      <c r="E1785" s="102"/>
      <c r="F1785" s="102"/>
      <c r="G1785" s="102"/>
      <c r="I1785" s="93"/>
      <c r="J1785" s="93"/>
    </row>
    <row r="1786" spans="1:10" s="65" customFormat="1" ht="14" x14ac:dyDescent="0.35">
      <c r="A1786" s="145"/>
      <c r="B1786" s="152"/>
      <c r="E1786" s="102"/>
      <c r="F1786" s="102"/>
      <c r="G1786" s="102"/>
      <c r="I1786" s="93"/>
      <c r="J1786" s="93"/>
    </row>
    <row r="1787" spans="1:10" s="65" customFormat="1" ht="14" x14ac:dyDescent="0.35">
      <c r="A1787" s="145"/>
      <c r="B1787" s="152"/>
      <c r="E1787" s="102"/>
      <c r="F1787" s="102"/>
      <c r="G1787" s="102"/>
      <c r="I1787" s="93"/>
      <c r="J1787" s="93"/>
    </row>
    <row r="1788" spans="1:10" s="65" customFormat="1" ht="14" x14ac:dyDescent="0.35">
      <c r="A1788" s="145"/>
      <c r="B1788" s="152"/>
      <c r="E1788" s="102"/>
      <c r="F1788" s="102"/>
      <c r="G1788" s="102"/>
      <c r="I1788" s="93"/>
      <c r="J1788" s="93"/>
    </row>
    <row r="1789" spans="1:10" s="65" customFormat="1" ht="14" x14ac:dyDescent="0.35">
      <c r="A1789" s="145"/>
      <c r="B1789" s="152"/>
      <c r="E1789" s="102"/>
      <c r="F1789" s="102"/>
      <c r="G1789" s="102"/>
      <c r="I1789" s="93"/>
      <c r="J1789" s="93"/>
    </row>
    <row r="1790" spans="1:10" s="65" customFormat="1" ht="14" x14ac:dyDescent="0.35">
      <c r="A1790" s="145"/>
      <c r="B1790" s="152"/>
      <c r="E1790" s="102"/>
      <c r="F1790" s="102"/>
      <c r="G1790" s="102"/>
      <c r="I1790" s="93"/>
      <c r="J1790" s="93"/>
    </row>
    <row r="1791" spans="1:10" s="65" customFormat="1" ht="14" x14ac:dyDescent="0.35">
      <c r="A1791" s="145"/>
      <c r="B1791" s="152"/>
      <c r="E1791" s="102"/>
      <c r="F1791" s="102"/>
      <c r="G1791" s="102"/>
      <c r="I1791" s="93"/>
      <c r="J1791" s="93"/>
    </row>
    <row r="1792" spans="1:10" s="65" customFormat="1" ht="14" x14ac:dyDescent="0.35">
      <c r="A1792" s="145"/>
      <c r="B1792" s="152"/>
      <c r="E1792" s="102"/>
      <c r="F1792" s="102"/>
      <c r="G1792" s="102"/>
      <c r="I1792" s="93"/>
      <c r="J1792" s="93"/>
    </row>
    <row r="1793" spans="1:10" s="65" customFormat="1" ht="14" x14ac:dyDescent="0.35">
      <c r="A1793" s="145"/>
      <c r="B1793" s="152"/>
      <c r="E1793" s="102"/>
      <c r="F1793" s="102"/>
      <c r="G1793" s="102"/>
      <c r="I1793" s="93"/>
      <c r="J1793" s="93"/>
    </row>
    <row r="1794" spans="1:10" s="65" customFormat="1" ht="14" x14ac:dyDescent="0.35">
      <c r="A1794" s="145"/>
      <c r="B1794" s="152"/>
      <c r="E1794" s="102"/>
      <c r="F1794" s="102"/>
      <c r="G1794" s="102"/>
      <c r="I1794" s="93"/>
      <c r="J1794" s="93"/>
    </row>
    <row r="1795" spans="1:10" s="65" customFormat="1" ht="14" x14ac:dyDescent="0.35">
      <c r="A1795" s="145"/>
      <c r="B1795" s="152"/>
      <c r="E1795" s="102"/>
      <c r="F1795" s="102"/>
      <c r="G1795" s="102"/>
      <c r="I1795" s="93"/>
      <c r="J1795" s="93"/>
    </row>
    <row r="1796" spans="1:10" s="65" customFormat="1" ht="14" x14ac:dyDescent="0.35">
      <c r="A1796" s="145"/>
      <c r="B1796" s="152"/>
      <c r="E1796" s="102"/>
      <c r="F1796" s="102"/>
      <c r="G1796" s="102"/>
      <c r="I1796" s="93"/>
      <c r="J1796" s="93"/>
    </row>
    <row r="1797" spans="1:10" s="65" customFormat="1" ht="14" x14ac:dyDescent="0.35">
      <c r="A1797" s="145"/>
      <c r="B1797" s="152"/>
      <c r="E1797" s="102"/>
      <c r="F1797" s="102"/>
      <c r="G1797" s="102"/>
      <c r="I1797" s="93"/>
      <c r="J1797" s="93"/>
    </row>
    <row r="1798" spans="1:10" s="65" customFormat="1" ht="14" x14ac:dyDescent="0.35">
      <c r="A1798" s="145"/>
      <c r="B1798" s="152"/>
      <c r="E1798" s="102"/>
      <c r="F1798" s="102"/>
      <c r="G1798" s="102"/>
      <c r="I1798" s="93"/>
      <c r="J1798" s="93"/>
    </row>
    <row r="1799" spans="1:10" s="65" customFormat="1" ht="14" x14ac:dyDescent="0.35">
      <c r="A1799" s="145"/>
      <c r="B1799" s="152"/>
      <c r="E1799" s="102"/>
      <c r="F1799" s="102"/>
      <c r="G1799" s="102"/>
      <c r="I1799" s="93"/>
      <c r="J1799" s="93"/>
    </row>
    <row r="1800" spans="1:10" s="65" customFormat="1" ht="14" x14ac:dyDescent="0.35">
      <c r="A1800" s="145"/>
      <c r="B1800" s="152"/>
      <c r="E1800" s="102"/>
      <c r="F1800" s="102"/>
      <c r="G1800" s="102"/>
      <c r="I1800" s="93"/>
      <c r="J1800" s="93"/>
    </row>
    <row r="1801" spans="1:10" s="65" customFormat="1" ht="14" x14ac:dyDescent="0.35">
      <c r="A1801" s="145"/>
      <c r="B1801" s="152"/>
      <c r="E1801" s="102"/>
      <c r="F1801" s="102"/>
      <c r="G1801" s="102"/>
      <c r="I1801" s="93"/>
      <c r="J1801" s="93"/>
    </row>
    <row r="1802" spans="1:10" s="65" customFormat="1" ht="14" x14ac:dyDescent="0.35">
      <c r="A1802" s="145"/>
      <c r="B1802" s="152"/>
      <c r="E1802" s="102"/>
      <c r="F1802" s="102"/>
      <c r="G1802" s="102"/>
      <c r="I1802" s="93"/>
      <c r="J1802" s="93"/>
    </row>
    <row r="1803" spans="1:10" s="65" customFormat="1" ht="14" x14ac:dyDescent="0.35">
      <c r="A1803" s="145"/>
      <c r="B1803" s="152"/>
      <c r="E1803" s="102"/>
      <c r="F1803" s="102"/>
      <c r="G1803" s="102"/>
      <c r="I1803" s="93"/>
      <c r="J1803" s="93"/>
    </row>
    <row r="1804" spans="1:10" s="65" customFormat="1" ht="14" x14ac:dyDescent="0.35">
      <c r="A1804" s="145"/>
      <c r="B1804" s="152"/>
      <c r="E1804" s="102"/>
      <c r="F1804" s="102"/>
      <c r="G1804" s="102"/>
      <c r="I1804" s="93"/>
      <c r="J1804" s="93"/>
    </row>
    <row r="1805" spans="1:10" s="65" customFormat="1" ht="14" x14ac:dyDescent="0.35">
      <c r="A1805" s="145"/>
      <c r="B1805" s="152"/>
      <c r="E1805" s="102"/>
      <c r="F1805" s="102"/>
      <c r="G1805" s="102"/>
      <c r="I1805" s="93"/>
      <c r="J1805" s="93"/>
    </row>
    <row r="1806" spans="1:10" s="65" customFormat="1" ht="14" x14ac:dyDescent="0.35">
      <c r="A1806" s="145"/>
      <c r="B1806" s="152"/>
      <c r="E1806" s="102"/>
      <c r="F1806" s="102"/>
      <c r="G1806" s="102"/>
      <c r="I1806" s="93"/>
      <c r="J1806" s="93"/>
    </row>
    <row r="1807" spans="1:10" s="65" customFormat="1" ht="14" x14ac:dyDescent="0.35">
      <c r="A1807" s="145"/>
      <c r="B1807" s="152"/>
      <c r="E1807" s="102"/>
      <c r="F1807" s="102"/>
      <c r="G1807" s="102"/>
      <c r="I1807" s="93"/>
      <c r="J1807" s="93"/>
    </row>
    <row r="1808" spans="1:10" s="65" customFormat="1" ht="14" x14ac:dyDescent="0.35">
      <c r="A1808" s="145"/>
      <c r="B1808" s="152"/>
      <c r="E1808" s="102"/>
      <c r="F1808" s="102"/>
      <c r="G1808" s="102"/>
      <c r="I1808" s="93"/>
      <c r="J1808" s="93"/>
    </row>
    <row r="1809" spans="1:10" s="65" customFormat="1" ht="14" x14ac:dyDescent="0.35">
      <c r="A1809" s="145"/>
      <c r="B1809" s="152"/>
      <c r="E1809" s="102"/>
      <c r="F1809" s="102"/>
      <c r="G1809" s="102"/>
      <c r="I1809" s="93"/>
      <c r="J1809" s="93"/>
    </row>
    <row r="1810" spans="1:10" s="65" customFormat="1" ht="14" x14ac:dyDescent="0.35">
      <c r="A1810" s="145"/>
      <c r="B1810" s="152"/>
      <c r="E1810" s="102"/>
      <c r="F1810" s="102"/>
      <c r="G1810" s="102"/>
      <c r="I1810" s="93"/>
      <c r="J1810" s="93"/>
    </row>
    <row r="1811" spans="1:10" s="65" customFormat="1" ht="14" x14ac:dyDescent="0.35">
      <c r="A1811" s="145"/>
      <c r="B1811" s="152"/>
      <c r="E1811" s="102"/>
      <c r="F1811" s="102"/>
      <c r="G1811" s="102"/>
      <c r="I1811" s="93"/>
      <c r="J1811" s="93"/>
    </row>
    <row r="1812" spans="1:10" s="65" customFormat="1" ht="14" x14ac:dyDescent="0.35">
      <c r="A1812" s="145"/>
      <c r="B1812" s="152"/>
      <c r="E1812" s="102"/>
      <c r="F1812" s="102"/>
      <c r="G1812" s="102"/>
      <c r="I1812" s="93"/>
      <c r="J1812" s="93"/>
    </row>
    <row r="1813" spans="1:10" s="65" customFormat="1" ht="14" x14ac:dyDescent="0.35">
      <c r="A1813" s="145"/>
      <c r="B1813" s="152"/>
      <c r="E1813" s="102"/>
      <c r="F1813" s="102"/>
      <c r="G1813" s="102"/>
      <c r="I1813" s="93"/>
      <c r="J1813" s="93"/>
    </row>
    <row r="1814" spans="1:10" s="65" customFormat="1" ht="14" x14ac:dyDescent="0.35">
      <c r="A1814" s="145"/>
      <c r="B1814" s="152"/>
      <c r="E1814" s="102"/>
      <c r="F1814" s="102"/>
      <c r="G1814" s="102"/>
      <c r="I1814" s="93"/>
      <c r="J1814" s="93"/>
    </row>
    <row r="1815" spans="1:10" s="65" customFormat="1" ht="14" x14ac:dyDescent="0.35">
      <c r="A1815" s="145"/>
      <c r="B1815" s="152"/>
      <c r="E1815" s="102"/>
      <c r="F1815" s="102"/>
      <c r="G1815" s="102"/>
      <c r="I1815" s="93"/>
      <c r="J1815" s="93"/>
    </row>
    <row r="1816" spans="1:10" s="65" customFormat="1" ht="14" x14ac:dyDescent="0.35">
      <c r="A1816" s="145"/>
      <c r="B1816" s="152"/>
      <c r="E1816" s="102"/>
      <c r="F1816" s="102"/>
      <c r="G1816" s="102"/>
      <c r="I1816" s="93"/>
      <c r="J1816" s="93"/>
    </row>
    <row r="1817" spans="1:10" s="65" customFormat="1" ht="14" x14ac:dyDescent="0.35">
      <c r="A1817" s="145"/>
      <c r="B1817" s="152"/>
      <c r="E1817" s="102"/>
      <c r="F1817" s="102"/>
      <c r="G1817" s="102"/>
      <c r="I1817" s="93"/>
      <c r="J1817" s="93"/>
    </row>
    <row r="1818" spans="1:10" s="65" customFormat="1" ht="14" x14ac:dyDescent="0.35">
      <c r="A1818" s="145"/>
      <c r="B1818" s="152"/>
      <c r="E1818" s="102"/>
      <c r="F1818" s="102"/>
      <c r="G1818" s="102"/>
      <c r="I1818" s="93"/>
      <c r="J1818" s="93"/>
    </row>
    <row r="1819" spans="1:10" s="65" customFormat="1" ht="14" x14ac:dyDescent="0.35">
      <c r="A1819" s="145"/>
      <c r="B1819" s="152"/>
      <c r="E1819" s="102"/>
      <c r="F1819" s="102"/>
      <c r="G1819" s="102"/>
      <c r="I1819" s="93"/>
      <c r="J1819" s="93"/>
    </row>
    <row r="1820" spans="1:10" s="65" customFormat="1" ht="14" x14ac:dyDescent="0.35">
      <c r="A1820" s="145"/>
      <c r="B1820" s="152"/>
      <c r="E1820" s="102"/>
      <c r="F1820" s="102"/>
      <c r="G1820" s="102"/>
      <c r="I1820" s="93"/>
      <c r="J1820" s="93"/>
    </row>
    <row r="1821" spans="1:10" s="65" customFormat="1" ht="14" x14ac:dyDescent="0.35">
      <c r="A1821" s="145"/>
      <c r="B1821" s="152"/>
      <c r="E1821" s="102"/>
      <c r="F1821" s="102"/>
      <c r="G1821" s="102"/>
      <c r="I1821" s="93"/>
      <c r="J1821" s="93"/>
    </row>
    <row r="1822" spans="1:10" s="65" customFormat="1" ht="14" x14ac:dyDescent="0.35">
      <c r="A1822" s="145"/>
      <c r="B1822" s="152"/>
      <c r="E1822" s="102"/>
      <c r="F1822" s="102"/>
      <c r="G1822" s="102"/>
      <c r="I1822" s="93"/>
      <c r="J1822" s="93"/>
    </row>
    <row r="1823" spans="1:10" s="65" customFormat="1" ht="14" x14ac:dyDescent="0.35">
      <c r="A1823" s="145"/>
      <c r="B1823" s="152"/>
      <c r="E1823" s="102"/>
      <c r="F1823" s="102"/>
      <c r="G1823" s="102"/>
      <c r="I1823" s="93"/>
      <c r="J1823" s="93"/>
    </row>
    <row r="1824" spans="1:10" s="65" customFormat="1" ht="14" x14ac:dyDescent="0.35">
      <c r="A1824" s="145"/>
      <c r="B1824" s="152"/>
      <c r="E1824" s="102"/>
      <c r="F1824" s="102"/>
      <c r="G1824" s="102"/>
      <c r="I1824" s="93"/>
      <c r="J1824" s="93"/>
    </row>
    <row r="1825" spans="1:10" s="65" customFormat="1" ht="14" x14ac:dyDescent="0.35">
      <c r="A1825" s="145"/>
      <c r="B1825" s="152"/>
      <c r="E1825" s="102"/>
      <c r="F1825" s="102"/>
      <c r="G1825" s="102"/>
      <c r="I1825" s="93"/>
      <c r="J1825" s="93"/>
    </row>
    <row r="1826" spans="1:10" s="65" customFormat="1" ht="14" x14ac:dyDescent="0.35">
      <c r="A1826" s="145"/>
      <c r="B1826" s="152"/>
      <c r="E1826" s="102"/>
      <c r="F1826" s="102"/>
      <c r="G1826" s="102"/>
      <c r="I1826" s="93"/>
      <c r="J1826" s="93"/>
    </row>
    <row r="1827" spans="1:10" s="65" customFormat="1" ht="14" x14ac:dyDescent="0.35">
      <c r="A1827" s="145"/>
      <c r="B1827" s="152"/>
      <c r="E1827" s="102"/>
      <c r="F1827" s="102"/>
      <c r="G1827" s="102"/>
      <c r="I1827" s="93"/>
      <c r="J1827" s="93"/>
    </row>
    <row r="1828" spans="1:10" s="65" customFormat="1" ht="14" x14ac:dyDescent="0.35">
      <c r="A1828" s="145"/>
      <c r="B1828" s="152"/>
      <c r="E1828" s="102"/>
      <c r="F1828" s="102"/>
      <c r="G1828" s="102"/>
      <c r="I1828" s="93"/>
      <c r="J1828" s="93"/>
    </row>
    <row r="1829" spans="1:10" s="65" customFormat="1" ht="14" x14ac:dyDescent="0.35">
      <c r="A1829" s="145"/>
      <c r="B1829" s="152"/>
      <c r="E1829" s="102"/>
      <c r="F1829" s="102"/>
      <c r="G1829" s="102"/>
      <c r="I1829" s="93"/>
      <c r="J1829" s="93"/>
    </row>
    <row r="1830" spans="1:10" s="65" customFormat="1" ht="14" x14ac:dyDescent="0.35">
      <c r="A1830" s="145"/>
      <c r="B1830" s="152"/>
      <c r="E1830" s="102"/>
      <c r="F1830" s="102"/>
      <c r="G1830" s="102"/>
      <c r="I1830" s="93"/>
      <c r="J1830" s="93"/>
    </row>
    <row r="1831" spans="1:10" s="65" customFormat="1" ht="14" x14ac:dyDescent="0.35">
      <c r="A1831" s="145"/>
      <c r="B1831" s="152"/>
      <c r="E1831" s="102"/>
      <c r="F1831" s="102"/>
      <c r="G1831" s="102"/>
      <c r="I1831" s="93"/>
      <c r="J1831" s="93"/>
    </row>
    <row r="1832" spans="1:10" s="65" customFormat="1" ht="14" x14ac:dyDescent="0.35">
      <c r="A1832" s="145"/>
      <c r="B1832" s="152"/>
      <c r="E1832" s="102"/>
      <c r="F1832" s="102"/>
      <c r="G1832" s="102"/>
      <c r="I1832" s="93"/>
      <c r="J1832" s="93"/>
    </row>
    <row r="1833" spans="1:10" s="65" customFormat="1" ht="14" x14ac:dyDescent="0.35">
      <c r="A1833" s="145"/>
      <c r="B1833" s="152"/>
      <c r="E1833" s="102"/>
      <c r="F1833" s="102"/>
      <c r="G1833" s="102"/>
      <c r="I1833" s="93"/>
      <c r="J1833" s="93"/>
    </row>
    <row r="1834" spans="1:10" s="65" customFormat="1" ht="14" x14ac:dyDescent="0.35">
      <c r="A1834" s="145"/>
      <c r="B1834" s="152"/>
      <c r="E1834" s="102"/>
      <c r="F1834" s="102"/>
      <c r="G1834" s="102"/>
      <c r="I1834" s="93"/>
      <c r="J1834" s="93"/>
    </row>
    <row r="1835" spans="1:10" s="65" customFormat="1" ht="14" x14ac:dyDescent="0.35">
      <c r="A1835" s="145"/>
      <c r="B1835" s="152"/>
      <c r="E1835" s="102"/>
      <c r="F1835" s="102"/>
      <c r="G1835" s="102"/>
      <c r="I1835" s="93"/>
      <c r="J1835" s="93"/>
    </row>
    <row r="1836" spans="1:10" s="65" customFormat="1" ht="14" x14ac:dyDescent="0.35">
      <c r="A1836" s="145"/>
      <c r="B1836" s="152"/>
      <c r="E1836" s="102"/>
      <c r="F1836" s="102"/>
      <c r="G1836" s="102"/>
      <c r="I1836" s="93"/>
      <c r="J1836" s="93"/>
    </row>
    <row r="1837" spans="1:10" s="65" customFormat="1" ht="14" x14ac:dyDescent="0.35">
      <c r="A1837" s="145"/>
      <c r="B1837" s="152"/>
      <c r="E1837" s="102"/>
      <c r="F1837" s="102"/>
      <c r="G1837" s="102"/>
      <c r="I1837" s="93"/>
      <c r="J1837" s="93"/>
    </row>
    <row r="1838" spans="1:10" s="65" customFormat="1" ht="14" x14ac:dyDescent="0.35">
      <c r="A1838" s="145"/>
      <c r="B1838" s="152"/>
      <c r="E1838" s="102"/>
      <c r="F1838" s="102"/>
      <c r="G1838" s="102"/>
      <c r="I1838" s="93"/>
      <c r="J1838" s="93"/>
    </row>
    <row r="1839" spans="1:10" s="65" customFormat="1" ht="14" x14ac:dyDescent="0.35">
      <c r="A1839" s="145"/>
      <c r="B1839" s="152"/>
      <c r="E1839" s="102"/>
      <c r="F1839" s="102"/>
      <c r="G1839" s="102"/>
      <c r="I1839" s="93"/>
      <c r="J1839" s="93"/>
    </row>
    <row r="1840" spans="1:10" s="65" customFormat="1" ht="14" x14ac:dyDescent="0.35">
      <c r="A1840" s="145"/>
      <c r="B1840" s="152"/>
      <c r="E1840" s="102"/>
      <c r="F1840" s="102"/>
      <c r="G1840" s="102"/>
      <c r="I1840" s="93"/>
      <c r="J1840" s="93"/>
    </row>
    <row r="1841" spans="1:10" s="65" customFormat="1" ht="14" x14ac:dyDescent="0.35">
      <c r="A1841" s="145"/>
      <c r="B1841" s="152"/>
      <c r="E1841" s="102"/>
      <c r="F1841" s="102"/>
      <c r="G1841" s="102"/>
      <c r="I1841" s="93"/>
      <c r="J1841" s="93"/>
    </row>
    <row r="1842" spans="1:10" s="65" customFormat="1" ht="14" x14ac:dyDescent="0.35">
      <c r="A1842" s="145"/>
      <c r="B1842" s="152"/>
      <c r="E1842" s="102"/>
      <c r="F1842" s="102"/>
      <c r="G1842" s="102"/>
      <c r="I1842" s="93"/>
      <c r="J1842" s="93"/>
    </row>
    <row r="1843" spans="1:10" s="65" customFormat="1" ht="14" x14ac:dyDescent="0.35">
      <c r="A1843" s="145"/>
      <c r="B1843" s="152"/>
      <c r="E1843" s="102"/>
      <c r="F1843" s="102"/>
      <c r="G1843" s="102"/>
      <c r="I1843" s="93"/>
      <c r="J1843" s="93"/>
    </row>
    <row r="1844" spans="1:10" s="65" customFormat="1" ht="14" x14ac:dyDescent="0.35">
      <c r="A1844" s="145"/>
      <c r="B1844" s="152"/>
      <c r="E1844" s="102"/>
      <c r="F1844" s="102"/>
      <c r="G1844" s="102"/>
      <c r="I1844" s="93"/>
      <c r="J1844" s="93"/>
    </row>
    <row r="1845" spans="1:10" s="65" customFormat="1" ht="14" x14ac:dyDescent="0.35">
      <c r="A1845" s="145"/>
      <c r="B1845" s="152"/>
      <c r="E1845" s="102"/>
      <c r="F1845" s="102"/>
      <c r="G1845" s="102"/>
      <c r="I1845" s="93"/>
      <c r="J1845" s="93"/>
    </row>
    <row r="1846" spans="1:10" s="65" customFormat="1" ht="14" x14ac:dyDescent="0.35">
      <c r="A1846" s="145"/>
      <c r="B1846" s="152"/>
      <c r="E1846" s="102"/>
      <c r="F1846" s="102"/>
      <c r="G1846" s="102"/>
      <c r="I1846" s="93"/>
      <c r="J1846" s="93"/>
    </row>
    <row r="1847" spans="1:10" s="65" customFormat="1" ht="14" x14ac:dyDescent="0.35">
      <c r="A1847" s="145"/>
      <c r="B1847" s="152"/>
      <c r="E1847" s="102"/>
      <c r="F1847" s="102"/>
      <c r="G1847" s="102"/>
      <c r="I1847" s="93"/>
      <c r="J1847" s="93"/>
    </row>
    <row r="1848" spans="1:10" s="65" customFormat="1" ht="14" x14ac:dyDescent="0.35">
      <c r="A1848" s="145"/>
      <c r="B1848" s="152"/>
      <c r="E1848" s="102"/>
      <c r="F1848" s="102"/>
      <c r="G1848" s="102"/>
      <c r="I1848" s="93"/>
      <c r="J1848" s="93"/>
    </row>
    <row r="1849" spans="1:10" s="65" customFormat="1" ht="14" x14ac:dyDescent="0.35">
      <c r="A1849" s="145"/>
      <c r="B1849" s="152"/>
      <c r="E1849" s="102"/>
      <c r="F1849" s="102"/>
      <c r="G1849" s="102"/>
      <c r="I1849" s="93"/>
      <c r="J1849" s="93"/>
    </row>
    <row r="1850" spans="1:10" s="65" customFormat="1" ht="14" x14ac:dyDescent="0.35">
      <c r="A1850" s="145"/>
      <c r="B1850" s="152"/>
      <c r="E1850" s="102"/>
      <c r="F1850" s="102"/>
      <c r="G1850" s="102"/>
      <c r="I1850" s="93"/>
      <c r="J1850" s="93"/>
    </row>
    <row r="1851" spans="1:10" s="65" customFormat="1" ht="14" x14ac:dyDescent="0.35">
      <c r="A1851" s="145"/>
      <c r="B1851" s="152"/>
      <c r="E1851" s="102"/>
      <c r="F1851" s="102"/>
      <c r="G1851" s="102"/>
      <c r="I1851" s="93"/>
      <c r="J1851" s="93"/>
    </row>
    <row r="1852" spans="1:10" s="65" customFormat="1" ht="14" x14ac:dyDescent="0.35">
      <c r="A1852" s="145"/>
      <c r="B1852" s="152"/>
      <c r="E1852" s="102"/>
      <c r="F1852" s="102"/>
      <c r="G1852" s="102"/>
      <c r="I1852" s="93"/>
      <c r="J1852" s="93"/>
    </row>
    <row r="1853" spans="1:10" s="65" customFormat="1" ht="14" x14ac:dyDescent="0.35">
      <c r="A1853" s="145"/>
      <c r="B1853" s="152"/>
      <c r="E1853" s="102"/>
      <c r="F1853" s="102"/>
      <c r="G1853" s="102"/>
      <c r="I1853" s="93"/>
      <c r="J1853" s="93"/>
    </row>
    <row r="1854" spans="1:10" s="65" customFormat="1" ht="14" x14ac:dyDescent="0.35">
      <c r="A1854" s="145"/>
      <c r="B1854" s="152"/>
      <c r="E1854" s="102"/>
      <c r="F1854" s="102"/>
      <c r="G1854" s="102"/>
      <c r="I1854" s="93"/>
      <c r="J1854" s="93"/>
    </row>
    <row r="1855" spans="1:10" s="65" customFormat="1" ht="14" x14ac:dyDescent="0.35">
      <c r="A1855" s="145"/>
      <c r="B1855" s="152"/>
      <c r="E1855" s="102"/>
      <c r="F1855" s="102"/>
      <c r="G1855" s="102"/>
      <c r="I1855" s="93"/>
      <c r="J1855" s="93"/>
    </row>
    <row r="1856" spans="1:10" s="65" customFormat="1" ht="14" x14ac:dyDescent="0.35">
      <c r="A1856" s="145"/>
      <c r="B1856" s="152"/>
      <c r="E1856" s="102"/>
      <c r="F1856" s="102"/>
      <c r="G1856" s="102"/>
      <c r="I1856" s="93"/>
      <c r="J1856" s="93"/>
    </row>
    <row r="1857" spans="1:10" s="65" customFormat="1" ht="14" x14ac:dyDescent="0.35">
      <c r="A1857" s="145"/>
      <c r="B1857" s="152"/>
      <c r="E1857" s="102"/>
      <c r="F1857" s="102"/>
      <c r="G1857" s="102"/>
      <c r="I1857" s="93"/>
      <c r="J1857" s="93"/>
    </row>
    <row r="1858" spans="1:10" s="65" customFormat="1" ht="14" x14ac:dyDescent="0.35">
      <c r="A1858" s="145"/>
      <c r="B1858" s="152"/>
      <c r="E1858" s="102"/>
      <c r="F1858" s="102"/>
      <c r="G1858" s="102"/>
      <c r="I1858" s="93"/>
      <c r="J1858" s="93"/>
    </row>
    <row r="1859" spans="1:10" s="65" customFormat="1" ht="14" x14ac:dyDescent="0.35">
      <c r="A1859" s="145"/>
      <c r="B1859" s="152"/>
      <c r="E1859" s="102"/>
      <c r="F1859" s="102"/>
      <c r="G1859" s="102"/>
      <c r="I1859" s="93"/>
      <c r="J1859" s="93"/>
    </row>
    <row r="1860" spans="1:10" s="65" customFormat="1" ht="14" x14ac:dyDescent="0.35">
      <c r="A1860" s="145"/>
      <c r="B1860" s="152"/>
      <c r="E1860" s="102"/>
      <c r="F1860" s="102"/>
      <c r="G1860" s="102"/>
      <c r="I1860" s="93"/>
      <c r="J1860" s="93"/>
    </row>
    <row r="1861" spans="1:10" s="65" customFormat="1" ht="14" x14ac:dyDescent="0.35">
      <c r="A1861" s="145"/>
      <c r="B1861" s="152"/>
      <c r="E1861" s="102"/>
      <c r="F1861" s="102"/>
      <c r="G1861" s="102"/>
      <c r="I1861" s="93"/>
      <c r="J1861" s="93"/>
    </row>
    <row r="1862" spans="1:10" s="65" customFormat="1" ht="14" x14ac:dyDescent="0.35">
      <c r="A1862" s="145"/>
      <c r="B1862" s="152"/>
      <c r="E1862" s="102"/>
      <c r="F1862" s="102"/>
      <c r="G1862" s="102"/>
      <c r="I1862" s="93"/>
      <c r="J1862" s="93"/>
    </row>
    <row r="1863" spans="1:10" s="65" customFormat="1" ht="14" x14ac:dyDescent="0.35">
      <c r="A1863" s="145"/>
      <c r="B1863" s="152"/>
      <c r="E1863" s="102"/>
      <c r="F1863" s="102"/>
      <c r="G1863" s="102"/>
      <c r="I1863" s="93"/>
      <c r="J1863" s="93"/>
    </row>
    <row r="1864" spans="1:10" s="65" customFormat="1" ht="14" x14ac:dyDescent="0.35">
      <c r="A1864" s="145"/>
      <c r="B1864" s="152"/>
      <c r="E1864" s="102"/>
      <c r="F1864" s="102"/>
      <c r="G1864" s="102"/>
      <c r="I1864" s="93"/>
      <c r="J1864" s="93"/>
    </row>
    <row r="1865" spans="1:10" s="65" customFormat="1" ht="14" x14ac:dyDescent="0.35">
      <c r="A1865" s="145"/>
      <c r="B1865" s="152"/>
      <c r="E1865" s="102"/>
      <c r="F1865" s="102"/>
      <c r="G1865" s="102"/>
      <c r="I1865" s="93"/>
      <c r="J1865" s="93"/>
    </row>
    <row r="1866" spans="1:10" s="65" customFormat="1" ht="14" x14ac:dyDescent="0.35">
      <c r="A1866" s="145"/>
      <c r="B1866" s="152"/>
      <c r="E1866" s="102"/>
      <c r="F1866" s="102"/>
      <c r="G1866" s="102"/>
      <c r="I1866" s="93"/>
      <c r="J1866" s="93"/>
    </row>
    <row r="1867" spans="1:10" s="65" customFormat="1" ht="14" x14ac:dyDescent="0.35">
      <c r="A1867" s="145"/>
      <c r="B1867" s="152"/>
      <c r="E1867" s="102"/>
      <c r="F1867" s="102"/>
      <c r="G1867" s="102"/>
      <c r="I1867" s="93"/>
      <c r="J1867" s="93"/>
    </row>
    <row r="1868" spans="1:10" s="65" customFormat="1" ht="14" x14ac:dyDescent="0.35">
      <c r="A1868" s="145"/>
      <c r="B1868" s="152"/>
      <c r="E1868" s="102"/>
      <c r="F1868" s="102"/>
      <c r="G1868" s="102"/>
      <c r="I1868" s="93"/>
      <c r="J1868" s="93"/>
    </row>
    <row r="1869" spans="1:10" s="65" customFormat="1" ht="14" x14ac:dyDescent="0.35">
      <c r="A1869" s="145"/>
      <c r="B1869" s="152"/>
      <c r="E1869" s="102"/>
      <c r="F1869" s="102"/>
      <c r="G1869" s="102"/>
      <c r="I1869" s="93"/>
      <c r="J1869" s="93"/>
    </row>
    <row r="1870" spans="1:10" s="65" customFormat="1" ht="14" x14ac:dyDescent="0.35">
      <c r="A1870" s="145"/>
      <c r="B1870" s="152"/>
      <c r="E1870" s="102"/>
      <c r="F1870" s="102"/>
      <c r="G1870" s="102"/>
      <c r="I1870" s="93"/>
      <c r="J1870" s="93"/>
    </row>
    <row r="1871" spans="1:10" s="65" customFormat="1" ht="14" x14ac:dyDescent="0.35">
      <c r="A1871" s="145"/>
      <c r="B1871" s="152"/>
      <c r="E1871" s="102"/>
      <c r="F1871" s="102"/>
      <c r="G1871" s="102"/>
      <c r="I1871" s="93"/>
      <c r="J1871" s="93"/>
    </row>
    <row r="1872" spans="1:10" s="65" customFormat="1" ht="14" x14ac:dyDescent="0.35">
      <c r="A1872" s="145"/>
      <c r="B1872" s="152"/>
      <c r="E1872" s="102"/>
      <c r="F1872" s="102"/>
      <c r="G1872" s="102"/>
      <c r="I1872" s="93"/>
      <c r="J1872" s="93"/>
    </row>
    <row r="1873" spans="1:10" s="65" customFormat="1" ht="14" x14ac:dyDescent="0.35">
      <c r="A1873" s="145"/>
      <c r="B1873" s="152"/>
      <c r="E1873" s="102"/>
      <c r="F1873" s="102"/>
      <c r="G1873" s="102"/>
      <c r="I1873" s="93"/>
      <c r="J1873" s="93"/>
    </row>
    <row r="1874" spans="1:10" s="65" customFormat="1" ht="14" x14ac:dyDescent="0.35">
      <c r="A1874" s="145"/>
      <c r="B1874" s="152"/>
      <c r="E1874" s="102"/>
      <c r="F1874" s="102"/>
      <c r="G1874" s="102"/>
      <c r="I1874" s="93"/>
      <c r="J1874" s="93"/>
    </row>
    <row r="1875" spans="1:10" s="65" customFormat="1" ht="14" x14ac:dyDescent="0.35">
      <c r="A1875" s="145"/>
      <c r="B1875" s="152"/>
      <c r="E1875" s="102"/>
      <c r="F1875" s="102"/>
      <c r="G1875" s="102"/>
      <c r="I1875" s="93"/>
      <c r="J1875" s="93"/>
    </row>
    <row r="1876" spans="1:10" s="65" customFormat="1" ht="14" x14ac:dyDescent="0.35">
      <c r="A1876" s="145"/>
      <c r="B1876" s="152"/>
      <c r="E1876" s="102"/>
      <c r="F1876" s="102"/>
      <c r="G1876" s="102"/>
      <c r="I1876" s="93"/>
      <c r="J1876" s="93"/>
    </row>
    <row r="1877" spans="1:10" s="65" customFormat="1" ht="14" x14ac:dyDescent="0.35">
      <c r="A1877" s="145"/>
      <c r="B1877" s="152"/>
      <c r="E1877" s="102"/>
      <c r="F1877" s="102"/>
      <c r="G1877" s="102"/>
      <c r="I1877" s="93"/>
      <c r="J1877" s="93"/>
    </row>
    <row r="1878" spans="1:10" s="65" customFormat="1" ht="14" x14ac:dyDescent="0.35">
      <c r="A1878" s="145"/>
      <c r="B1878" s="152"/>
      <c r="E1878" s="102"/>
      <c r="F1878" s="102"/>
      <c r="G1878" s="102"/>
      <c r="I1878" s="93"/>
      <c r="J1878" s="93"/>
    </row>
    <row r="1879" spans="1:10" s="65" customFormat="1" ht="14" x14ac:dyDescent="0.35">
      <c r="A1879" s="145"/>
      <c r="B1879" s="152"/>
      <c r="E1879" s="102"/>
      <c r="F1879" s="102"/>
      <c r="G1879" s="102"/>
      <c r="I1879" s="93"/>
      <c r="J1879" s="93"/>
    </row>
    <row r="1880" spans="1:10" s="65" customFormat="1" ht="14" x14ac:dyDescent="0.35">
      <c r="A1880" s="145"/>
      <c r="B1880" s="152"/>
      <c r="E1880" s="102"/>
      <c r="F1880" s="102"/>
      <c r="G1880" s="102"/>
      <c r="I1880" s="93"/>
      <c r="J1880" s="93"/>
    </row>
    <row r="1881" spans="1:10" s="65" customFormat="1" ht="14" x14ac:dyDescent="0.35">
      <c r="A1881" s="145"/>
      <c r="B1881" s="152"/>
      <c r="E1881" s="102"/>
      <c r="F1881" s="102"/>
      <c r="G1881" s="102"/>
      <c r="I1881" s="93"/>
      <c r="J1881" s="93"/>
    </row>
    <row r="1882" spans="1:10" s="65" customFormat="1" ht="14" x14ac:dyDescent="0.35">
      <c r="A1882" s="145"/>
      <c r="B1882" s="152"/>
      <c r="E1882" s="102"/>
      <c r="F1882" s="102"/>
      <c r="G1882" s="102"/>
      <c r="I1882" s="93"/>
      <c r="J1882" s="93"/>
    </row>
    <row r="1883" spans="1:10" s="65" customFormat="1" ht="14" x14ac:dyDescent="0.35">
      <c r="A1883" s="145"/>
      <c r="B1883" s="152"/>
      <c r="E1883" s="102"/>
      <c r="F1883" s="102"/>
      <c r="G1883" s="102"/>
      <c r="I1883" s="93"/>
      <c r="J1883" s="93"/>
    </row>
    <row r="1884" spans="1:10" s="65" customFormat="1" ht="14" x14ac:dyDescent="0.35">
      <c r="A1884" s="145"/>
      <c r="B1884" s="152"/>
      <c r="E1884" s="102"/>
      <c r="F1884" s="102"/>
      <c r="G1884" s="102"/>
      <c r="I1884" s="93"/>
      <c r="J1884" s="93"/>
    </row>
    <row r="1885" spans="1:10" s="65" customFormat="1" ht="14" x14ac:dyDescent="0.35">
      <c r="A1885" s="145"/>
      <c r="B1885" s="152"/>
      <c r="E1885" s="102"/>
      <c r="F1885" s="102"/>
      <c r="G1885" s="102"/>
      <c r="I1885" s="93"/>
      <c r="J1885" s="93"/>
    </row>
    <row r="1886" spans="1:10" s="65" customFormat="1" ht="14" x14ac:dyDescent="0.35">
      <c r="A1886" s="145"/>
      <c r="B1886" s="152"/>
      <c r="E1886" s="102"/>
      <c r="F1886" s="102"/>
      <c r="G1886" s="102"/>
      <c r="I1886" s="93"/>
      <c r="J1886" s="93"/>
    </row>
    <row r="1887" spans="1:10" s="65" customFormat="1" ht="14" x14ac:dyDescent="0.35">
      <c r="A1887" s="145"/>
      <c r="B1887" s="152"/>
      <c r="E1887" s="102"/>
      <c r="F1887" s="102"/>
      <c r="G1887" s="102"/>
      <c r="I1887" s="93"/>
      <c r="J1887" s="93"/>
    </row>
    <row r="1888" spans="1:10" s="65" customFormat="1" ht="14" x14ac:dyDescent="0.35">
      <c r="A1888" s="145"/>
      <c r="B1888" s="152"/>
      <c r="E1888" s="102"/>
      <c r="F1888" s="102"/>
      <c r="G1888" s="102"/>
      <c r="I1888" s="93"/>
      <c r="J1888" s="93"/>
    </row>
    <row r="1889" spans="1:10" s="65" customFormat="1" ht="14" x14ac:dyDescent="0.35">
      <c r="A1889" s="145"/>
      <c r="B1889" s="152"/>
      <c r="E1889" s="102"/>
      <c r="F1889" s="102"/>
      <c r="G1889" s="102"/>
      <c r="I1889" s="93"/>
      <c r="J1889" s="93"/>
    </row>
    <row r="1890" spans="1:10" s="65" customFormat="1" ht="14" x14ac:dyDescent="0.35">
      <c r="A1890" s="145"/>
      <c r="B1890" s="152"/>
      <c r="E1890" s="102"/>
      <c r="F1890" s="102"/>
      <c r="G1890" s="102"/>
      <c r="I1890" s="93"/>
      <c r="J1890" s="93"/>
    </row>
    <row r="1891" spans="1:10" s="65" customFormat="1" ht="14" x14ac:dyDescent="0.35">
      <c r="A1891" s="145"/>
      <c r="B1891" s="152"/>
      <c r="E1891" s="102"/>
      <c r="F1891" s="102"/>
      <c r="G1891" s="102"/>
      <c r="I1891" s="93"/>
      <c r="J1891" s="93"/>
    </row>
    <row r="1892" spans="1:10" s="65" customFormat="1" ht="14" x14ac:dyDescent="0.35">
      <c r="A1892" s="145"/>
      <c r="B1892" s="152"/>
      <c r="E1892" s="102"/>
      <c r="F1892" s="102"/>
      <c r="G1892" s="102"/>
      <c r="I1892" s="93"/>
      <c r="J1892" s="93"/>
    </row>
    <row r="1893" spans="1:10" s="65" customFormat="1" ht="14" x14ac:dyDescent="0.35">
      <c r="A1893" s="145"/>
      <c r="B1893" s="152"/>
      <c r="E1893" s="102"/>
      <c r="F1893" s="102"/>
      <c r="G1893" s="102"/>
      <c r="I1893" s="93"/>
      <c r="J1893" s="93"/>
    </row>
    <row r="1894" spans="1:10" s="65" customFormat="1" ht="14" x14ac:dyDescent="0.35">
      <c r="A1894" s="145"/>
      <c r="B1894" s="152"/>
      <c r="E1894" s="102"/>
      <c r="F1894" s="102"/>
      <c r="G1894" s="102"/>
      <c r="I1894" s="93"/>
      <c r="J1894" s="93"/>
    </row>
    <row r="1895" spans="1:10" s="65" customFormat="1" ht="14" x14ac:dyDescent="0.35">
      <c r="A1895" s="145"/>
      <c r="B1895" s="152"/>
      <c r="E1895" s="102"/>
      <c r="F1895" s="102"/>
      <c r="G1895" s="102"/>
      <c r="I1895" s="93"/>
      <c r="J1895" s="93"/>
    </row>
    <row r="1896" spans="1:10" s="65" customFormat="1" ht="14" x14ac:dyDescent="0.35">
      <c r="A1896" s="145"/>
      <c r="B1896" s="152"/>
      <c r="E1896" s="102"/>
      <c r="F1896" s="102"/>
      <c r="G1896" s="102"/>
      <c r="I1896" s="93"/>
      <c r="J1896" s="93"/>
    </row>
    <row r="1897" spans="1:10" s="65" customFormat="1" ht="14" x14ac:dyDescent="0.35">
      <c r="A1897" s="145"/>
      <c r="B1897" s="152"/>
      <c r="E1897" s="102"/>
      <c r="F1897" s="102"/>
      <c r="G1897" s="102"/>
      <c r="I1897" s="93"/>
      <c r="J1897" s="93"/>
    </row>
    <row r="1898" spans="1:10" s="65" customFormat="1" ht="14" x14ac:dyDescent="0.35">
      <c r="A1898" s="145"/>
      <c r="B1898" s="152"/>
      <c r="E1898" s="102"/>
      <c r="F1898" s="102"/>
      <c r="G1898" s="102"/>
      <c r="I1898" s="93"/>
      <c r="J1898" s="93"/>
    </row>
    <row r="1899" spans="1:10" s="65" customFormat="1" ht="14" x14ac:dyDescent="0.35">
      <c r="A1899" s="145"/>
      <c r="B1899" s="152"/>
      <c r="E1899" s="102"/>
      <c r="F1899" s="102"/>
      <c r="G1899" s="102"/>
      <c r="I1899" s="93"/>
      <c r="J1899" s="93"/>
    </row>
    <row r="1900" spans="1:10" s="65" customFormat="1" ht="14" x14ac:dyDescent="0.35">
      <c r="A1900" s="145"/>
      <c r="B1900" s="152"/>
      <c r="E1900" s="102"/>
      <c r="F1900" s="102"/>
      <c r="G1900" s="102"/>
      <c r="I1900" s="93"/>
      <c r="J1900" s="93"/>
    </row>
    <row r="1901" spans="1:10" s="65" customFormat="1" ht="14" x14ac:dyDescent="0.35">
      <c r="A1901" s="145"/>
      <c r="B1901" s="152"/>
      <c r="E1901" s="102"/>
      <c r="F1901" s="102"/>
      <c r="G1901" s="102"/>
      <c r="I1901" s="93"/>
      <c r="J1901" s="93"/>
    </row>
    <row r="1902" spans="1:10" s="65" customFormat="1" ht="14" x14ac:dyDescent="0.35">
      <c r="A1902" s="145"/>
      <c r="B1902" s="152"/>
      <c r="E1902" s="102"/>
      <c r="F1902" s="102"/>
      <c r="G1902" s="102"/>
      <c r="I1902" s="93"/>
      <c r="J1902" s="93"/>
    </row>
    <row r="1903" spans="1:10" s="65" customFormat="1" ht="14" x14ac:dyDescent="0.35">
      <c r="A1903" s="145"/>
      <c r="B1903" s="152"/>
      <c r="E1903" s="102"/>
      <c r="F1903" s="102"/>
      <c r="G1903" s="102"/>
      <c r="I1903" s="93"/>
      <c r="J1903" s="93"/>
    </row>
    <row r="1904" spans="1:10" s="65" customFormat="1" ht="14" x14ac:dyDescent="0.35">
      <c r="A1904" s="145"/>
      <c r="B1904" s="152"/>
      <c r="E1904" s="102"/>
      <c r="F1904" s="102"/>
      <c r="G1904" s="102"/>
      <c r="I1904" s="93"/>
      <c r="J1904" s="93"/>
    </row>
    <row r="1905" spans="1:10" s="65" customFormat="1" ht="14" x14ac:dyDescent="0.35">
      <c r="A1905" s="145"/>
      <c r="B1905" s="152"/>
      <c r="E1905" s="102"/>
      <c r="F1905" s="102"/>
      <c r="G1905" s="102"/>
      <c r="I1905" s="93"/>
      <c r="J1905" s="93"/>
    </row>
    <row r="1906" spans="1:10" s="65" customFormat="1" ht="14" x14ac:dyDescent="0.35">
      <c r="A1906" s="145"/>
      <c r="B1906" s="152"/>
      <c r="E1906" s="102"/>
      <c r="F1906" s="102"/>
      <c r="G1906" s="102"/>
      <c r="I1906" s="93"/>
      <c r="J1906" s="93"/>
    </row>
    <row r="1907" spans="1:10" s="65" customFormat="1" ht="14" x14ac:dyDescent="0.35">
      <c r="A1907" s="145"/>
      <c r="B1907" s="152"/>
      <c r="E1907" s="102"/>
      <c r="F1907" s="102"/>
      <c r="G1907" s="102"/>
      <c r="I1907" s="93"/>
      <c r="J1907" s="93"/>
    </row>
    <row r="1908" spans="1:10" s="65" customFormat="1" ht="14" x14ac:dyDescent="0.35">
      <c r="A1908" s="145"/>
      <c r="B1908" s="152"/>
      <c r="E1908" s="102"/>
      <c r="F1908" s="102"/>
      <c r="G1908" s="102"/>
      <c r="I1908" s="93"/>
      <c r="J1908" s="93"/>
    </row>
    <row r="1909" spans="1:10" s="65" customFormat="1" ht="14" x14ac:dyDescent="0.35">
      <c r="A1909" s="145"/>
      <c r="B1909" s="152"/>
      <c r="E1909" s="102"/>
      <c r="F1909" s="102"/>
      <c r="G1909" s="102"/>
      <c r="I1909" s="93"/>
      <c r="J1909" s="93"/>
    </row>
    <row r="1910" spans="1:10" s="65" customFormat="1" ht="14" x14ac:dyDescent="0.35">
      <c r="A1910" s="145"/>
      <c r="B1910" s="152"/>
      <c r="E1910" s="102"/>
      <c r="F1910" s="102"/>
      <c r="G1910" s="102"/>
      <c r="I1910" s="93"/>
      <c r="J1910" s="93"/>
    </row>
    <row r="1911" spans="1:10" s="65" customFormat="1" ht="14" x14ac:dyDescent="0.35">
      <c r="A1911" s="145"/>
      <c r="B1911" s="152"/>
      <c r="E1911" s="102"/>
      <c r="F1911" s="102"/>
      <c r="G1911" s="102"/>
      <c r="I1911" s="93"/>
      <c r="J1911" s="93"/>
    </row>
    <row r="1912" spans="1:10" s="65" customFormat="1" ht="14" x14ac:dyDescent="0.35">
      <c r="A1912" s="145"/>
      <c r="B1912" s="152"/>
      <c r="E1912" s="102"/>
      <c r="F1912" s="102"/>
      <c r="G1912" s="102"/>
      <c r="I1912" s="93"/>
      <c r="J1912" s="93"/>
    </row>
    <row r="1913" spans="1:10" s="65" customFormat="1" ht="14" x14ac:dyDescent="0.35">
      <c r="A1913" s="145"/>
      <c r="B1913" s="152"/>
      <c r="E1913" s="102"/>
      <c r="F1913" s="102"/>
      <c r="G1913" s="102"/>
      <c r="I1913" s="93"/>
      <c r="J1913" s="93"/>
    </row>
    <row r="1914" spans="1:10" s="65" customFormat="1" ht="14" x14ac:dyDescent="0.35">
      <c r="A1914" s="145"/>
      <c r="B1914" s="152"/>
      <c r="E1914" s="102"/>
      <c r="F1914" s="102"/>
      <c r="G1914" s="102"/>
      <c r="I1914" s="93"/>
      <c r="J1914" s="93"/>
    </row>
    <row r="1915" spans="1:10" s="65" customFormat="1" ht="14" x14ac:dyDescent="0.35">
      <c r="A1915" s="145"/>
      <c r="B1915" s="152"/>
      <c r="E1915" s="102"/>
      <c r="F1915" s="102"/>
      <c r="G1915" s="102"/>
      <c r="I1915" s="93"/>
      <c r="J1915" s="93"/>
    </row>
    <row r="1916" spans="1:10" s="65" customFormat="1" ht="14" x14ac:dyDescent="0.35">
      <c r="A1916" s="145"/>
      <c r="B1916" s="152"/>
      <c r="E1916" s="102"/>
      <c r="F1916" s="102"/>
      <c r="G1916" s="102"/>
      <c r="I1916" s="93"/>
      <c r="J1916" s="93"/>
    </row>
    <row r="1917" spans="1:10" s="65" customFormat="1" ht="14" x14ac:dyDescent="0.35">
      <c r="A1917" s="145"/>
      <c r="B1917" s="152"/>
      <c r="E1917" s="102"/>
      <c r="F1917" s="102"/>
      <c r="G1917" s="102"/>
      <c r="I1917" s="93"/>
      <c r="J1917" s="93"/>
    </row>
    <row r="1918" spans="1:10" s="65" customFormat="1" ht="14" x14ac:dyDescent="0.35">
      <c r="A1918" s="145"/>
      <c r="B1918" s="152"/>
      <c r="E1918" s="102"/>
      <c r="F1918" s="102"/>
      <c r="G1918" s="102"/>
      <c r="I1918" s="93"/>
      <c r="J1918" s="93"/>
    </row>
    <row r="1919" spans="1:10" s="65" customFormat="1" ht="14" x14ac:dyDescent="0.35">
      <c r="A1919" s="145"/>
      <c r="B1919" s="152"/>
      <c r="E1919" s="102"/>
      <c r="F1919" s="102"/>
      <c r="G1919" s="102"/>
      <c r="I1919" s="93"/>
      <c r="J1919" s="93"/>
    </row>
    <row r="1920" spans="1:10" s="65" customFormat="1" ht="14" x14ac:dyDescent="0.35">
      <c r="A1920" s="145"/>
      <c r="B1920" s="152"/>
      <c r="E1920" s="102"/>
      <c r="F1920" s="102"/>
      <c r="G1920" s="102"/>
      <c r="I1920" s="93"/>
      <c r="J1920" s="93"/>
    </row>
    <row r="1921" spans="1:10" s="65" customFormat="1" ht="14" x14ac:dyDescent="0.35">
      <c r="A1921" s="145"/>
      <c r="B1921" s="152"/>
      <c r="E1921" s="102"/>
      <c r="F1921" s="102"/>
      <c r="G1921" s="102"/>
      <c r="I1921" s="93"/>
      <c r="J1921" s="93"/>
    </row>
    <row r="1922" spans="1:10" s="65" customFormat="1" ht="14" x14ac:dyDescent="0.35">
      <c r="A1922" s="145"/>
      <c r="B1922" s="152"/>
      <c r="E1922" s="102"/>
      <c r="F1922" s="102"/>
      <c r="G1922" s="102"/>
      <c r="I1922" s="93"/>
      <c r="J1922" s="93"/>
    </row>
    <row r="1923" spans="1:10" s="65" customFormat="1" ht="14" x14ac:dyDescent="0.35">
      <c r="A1923" s="145"/>
      <c r="B1923" s="152"/>
      <c r="E1923" s="102"/>
      <c r="F1923" s="102"/>
      <c r="G1923" s="102"/>
      <c r="I1923" s="93"/>
      <c r="J1923" s="93"/>
    </row>
    <row r="1924" spans="1:10" s="65" customFormat="1" ht="14" x14ac:dyDescent="0.35">
      <c r="A1924" s="145"/>
      <c r="B1924" s="152"/>
      <c r="E1924" s="102"/>
      <c r="F1924" s="102"/>
      <c r="G1924" s="102"/>
      <c r="I1924" s="93"/>
      <c r="J1924" s="93"/>
    </row>
    <row r="1925" spans="1:10" s="65" customFormat="1" ht="14" x14ac:dyDescent="0.35">
      <c r="A1925" s="145"/>
      <c r="B1925" s="152"/>
      <c r="E1925" s="102"/>
      <c r="F1925" s="102"/>
      <c r="G1925" s="102"/>
      <c r="I1925" s="93"/>
      <c r="J1925" s="93"/>
    </row>
    <row r="1926" spans="1:10" s="65" customFormat="1" ht="14" x14ac:dyDescent="0.35">
      <c r="A1926" s="145"/>
      <c r="B1926" s="152"/>
      <c r="E1926" s="102"/>
      <c r="F1926" s="102"/>
      <c r="G1926" s="102"/>
      <c r="I1926" s="93"/>
      <c r="J1926" s="93"/>
    </row>
    <row r="1927" spans="1:10" s="65" customFormat="1" ht="14" x14ac:dyDescent="0.35">
      <c r="A1927" s="145"/>
      <c r="B1927" s="152"/>
      <c r="E1927" s="102"/>
      <c r="F1927" s="102"/>
      <c r="G1927" s="102"/>
      <c r="I1927" s="93"/>
      <c r="J1927" s="93"/>
    </row>
    <row r="1928" spans="1:10" s="65" customFormat="1" ht="14" x14ac:dyDescent="0.35">
      <c r="A1928" s="145"/>
      <c r="B1928" s="152"/>
      <c r="E1928" s="102"/>
      <c r="F1928" s="102"/>
      <c r="G1928" s="102"/>
      <c r="I1928" s="93"/>
      <c r="J1928" s="93"/>
    </row>
    <row r="1929" spans="1:10" s="65" customFormat="1" ht="14" x14ac:dyDescent="0.35">
      <c r="A1929" s="145"/>
      <c r="B1929" s="152"/>
      <c r="E1929" s="102"/>
      <c r="F1929" s="102"/>
      <c r="G1929" s="102"/>
      <c r="I1929" s="93"/>
      <c r="J1929" s="93"/>
    </row>
    <row r="1930" spans="1:10" s="65" customFormat="1" ht="14" x14ac:dyDescent="0.35">
      <c r="A1930" s="145"/>
      <c r="B1930" s="152"/>
      <c r="E1930" s="102"/>
      <c r="F1930" s="102"/>
      <c r="G1930" s="102"/>
      <c r="I1930" s="93"/>
      <c r="J1930" s="93"/>
    </row>
    <row r="1931" spans="1:10" s="65" customFormat="1" ht="14" x14ac:dyDescent="0.35">
      <c r="A1931" s="145"/>
      <c r="B1931" s="152"/>
      <c r="E1931" s="102"/>
      <c r="F1931" s="102"/>
      <c r="G1931" s="102"/>
      <c r="I1931" s="93"/>
      <c r="J1931" s="93"/>
    </row>
    <row r="1932" spans="1:10" s="65" customFormat="1" ht="14" x14ac:dyDescent="0.35">
      <c r="A1932" s="145"/>
      <c r="B1932" s="152"/>
      <c r="E1932" s="102"/>
      <c r="F1932" s="102"/>
      <c r="G1932" s="102"/>
      <c r="I1932" s="93"/>
      <c r="J1932" s="93"/>
    </row>
    <row r="1933" spans="1:10" s="65" customFormat="1" ht="14" x14ac:dyDescent="0.35">
      <c r="A1933" s="145"/>
      <c r="B1933" s="152"/>
      <c r="E1933" s="102"/>
      <c r="F1933" s="102"/>
      <c r="G1933" s="102"/>
      <c r="I1933" s="93"/>
      <c r="J1933" s="93"/>
    </row>
    <row r="1934" spans="1:10" s="65" customFormat="1" ht="14" x14ac:dyDescent="0.35">
      <c r="A1934" s="145"/>
      <c r="B1934" s="152"/>
      <c r="E1934" s="102"/>
      <c r="F1934" s="102"/>
      <c r="G1934" s="102"/>
      <c r="I1934" s="93"/>
      <c r="J1934" s="93"/>
    </row>
    <row r="1935" spans="1:10" s="65" customFormat="1" ht="14" x14ac:dyDescent="0.35">
      <c r="A1935" s="145"/>
      <c r="B1935" s="152"/>
      <c r="E1935" s="102"/>
      <c r="F1935" s="102"/>
      <c r="G1935" s="102"/>
      <c r="I1935" s="93"/>
      <c r="J1935" s="93"/>
    </row>
    <row r="1936" spans="1:10" s="65" customFormat="1" ht="14" x14ac:dyDescent="0.35">
      <c r="A1936" s="145"/>
      <c r="B1936" s="152"/>
      <c r="E1936" s="102"/>
      <c r="F1936" s="102"/>
      <c r="G1936" s="102"/>
      <c r="I1936" s="93"/>
      <c r="J1936" s="93"/>
    </row>
    <row r="1937" spans="1:10" s="65" customFormat="1" ht="14" x14ac:dyDescent="0.35">
      <c r="A1937" s="145"/>
      <c r="B1937" s="152"/>
      <c r="E1937" s="102"/>
      <c r="F1937" s="102"/>
      <c r="G1937" s="102"/>
      <c r="I1937" s="93"/>
      <c r="J1937" s="93"/>
    </row>
    <row r="1938" spans="1:10" s="65" customFormat="1" ht="14" x14ac:dyDescent="0.35">
      <c r="A1938" s="145"/>
      <c r="B1938" s="152"/>
      <c r="E1938" s="102"/>
      <c r="F1938" s="102"/>
      <c r="G1938" s="102"/>
      <c r="I1938" s="93"/>
      <c r="J1938" s="93"/>
    </row>
    <row r="1939" spans="1:10" s="65" customFormat="1" ht="14" x14ac:dyDescent="0.35">
      <c r="A1939" s="145"/>
      <c r="B1939" s="152"/>
      <c r="E1939" s="102"/>
      <c r="F1939" s="102"/>
      <c r="G1939" s="102"/>
      <c r="I1939" s="93"/>
      <c r="J1939" s="93"/>
    </row>
    <row r="1940" spans="1:10" s="65" customFormat="1" ht="14" x14ac:dyDescent="0.35">
      <c r="A1940" s="145"/>
      <c r="B1940" s="152"/>
      <c r="E1940" s="102"/>
      <c r="F1940" s="102"/>
      <c r="G1940" s="102"/>
      <c r="I1940" s="93"/>
      <c r="J1940" s="93"/>
    </row>
    <row r="1941" spans="1:10" s="65" customFormat="1" ht="14" x14ac:dyDescent="0.35">
      <c r="A1941" s="145"/>
      <c r="B1941" s="152"/>
      <c r="E1941" s="102"/>
      <c r="F1941" s="102"/>
      <c r="G1941" s="102"/>
      <c r="I1941" s="93"/>
      <c r="J1941" s="93"/>
    </row>
    <row r="1942" spans="1:10" s="65" customFormat="1" ht="14" x14ac:dyDescent="0.35">
      <c r="A1942" s="145"/>
      <c r="B1942" s="152"/>
      <c r="E1942" s="102"/>
      <c r="F1942" s="102"/>
      <c r="G1942" s="102"/>
      <c r="I1942" s="93"/>
      <c r="J1942" s="93"/>
    </row>
    <row r="1943" spans="1:10" s="65" customFormat="1" ht="14" x14ac:dyDescent="0.35">
      <c r="A1943" s="145"/>
      <c r="B1943" s="152"/>
      <c r="E1943" s="102"/>
      <c r="F1943" s="102"/>
      <c r="G1943" s="102"/>
      <c r="I1943" s="93"/>
      <c r="J1943" s="93"/>
    </row>
    <row r="1944" spans="1:10" s="65" customFormat="1" ht="14" x14ac:dyDescent="0.35">
      <c r="A1944" s="145"/>
      <c r="B1944" s="152"/>
      <c r="E1944" s="102"/>
      <c r="F1944" s="102"/>
      <c r="G1944" s="102"/>
      <c r="I1944" s="93"/>
      <c r="J1944" s="93"/>
    </row>
    <row r="1945" spans="1:10" s="65" customFormat="1" ht="14" x14ac:dyDescent="0.35">
      <c r="A1945" s="145"/>
      <c r="B1945" s="152"/>
      <c r="E1945" s="102"/>
      <c r="F1945" s="102"/>
      <c r="G1945" s="102"/>
      <c r="I1945" s="93"/>
      <c r="J1945" s="93"/>
    </row>
    <row r="1946" spans="1:10" s="65" customFormat="1" ht="14" x14ac:dyDescent="0.35">
      <c r="A1946" s="145"/>
      <c r="B1946" s="152"/>
      <c r="E1946" s="102"/>
      <c r="F1946" s="102"/>
      <c r="G1946" s="102"/>
      <c r="I1946" s="93"/>
      <c r="J1946" s="93"/>
    </row>
    <row r="1947" spans="1:10" s="65" customFormat="1" ht="14" x14ac:dyDescent="0.35">
      <c r="A1947" s="145"/>
      <c r="B1947" s="152"/>
      <c r="E1947" s="102"/>
      <c r="F1947" s="102"/>
      <c r="G1947" s="102"/>
      <c r="I1947" s="93"/>
      <c r="J1947" s="93"/>
    </row>
    <row r="1948" spans="1:10" s="65" customFormat="1" ht="14" x14ac:dyDescent="0.35">
      <c r="A1948" s="145"/>
      <c r="B1948" s="152"/>
      <c r="E1948" s="102"/>
      <c r="F1948" s="102"/>
      <c r="G1948" s="102"/>
      <c r="I1948" s="93"/>
      <c r="J1948" s="93"/>
    </row>
    <row r="1949" spans="1:10" s="65" customFormat="1" ht="14" x14ac:dyDescent="0.35">
      <c r="A1949" s="145"/>
      <c r="B1949" s="152"/>
      <c r="E1949" s="102"/>
      <c r="F1949" s="102"/>
      <c r="G1949" s="102"/>
      <c r="I1949" s="93"/>
      <c r="J1949" s="93"/>
    </row>
    <row r="1950" spans="1:10" s="65" customFormat="1" ht="14" x14ac:dyDescent="0.35">
      <c r="A1950" s="145"/>
      <c r="B1950" s="152"/>
      <c r="E1950" s="102"/>
      <c r="F1950" s="102"/>
      <c r="G1950" s="102"/>
      <c r="I1950" s="93"/>
      <c r="J1950" s="93"/>
    </row>
    <row r="1951" spans="1:10" s="65" customFormat="1" ht="14" x14ac:dyDescent="0.35">
      <c r="A1951" s="145"/>
      <c r="B1951" s="152"/>
      <c r="E1951" s="102"/>
      <c r="F1951" s="102"/>
      <c r="G1951" s="102"/>
      <c r="I1951" s="93"/>
      <c r="J1951" s="93"/>
    </row>
    <row r="1952" spans="1:10" s="65" customFormat="1" ht="14" x14ac:dyDescent="0.35">
      <c r="A1952" s="145"/>
      <c r="B1952" s="152"/>
      <c r="E1952" s="102"/>
      <c r="F1952" s="102"/>
      <c r="G1952" s="102"/>
      <c r="I1952" s="93"/>
      <c r="J1952" s="93"/>
    </row>
    <row r="1953" spans="1:10" s="65" customFormat="1" ht="14" x14ac:dyDescent="0.35">
      <c r="A1953" s="145"/>
      <c r="B1953" s="152"/>
      <c r="E1953" s="102"/>
      <c r="F1953" s="102"/>
      <c r="G1953" s="102"/>
      <c r="I1953" s="93"/>
      <c r="J1953" s="93"/>
    </row>
    <row r="1954" spans="1:10" s="65" customFormat="1" ht="14" x14ac:dyDescent="0.35">
      <c r="A1954" s="145"/>
      <c r="B1954" s="152"/>
      <c r="E1954" s="102"/>
      <c r="F1954" s="102"/>
      <c r="G1954" s="102"/>
      <c r="I1954" s="93"/>
      <c r="J1954" s="93"/>
    </row>
    <row r="1955" spans="1:10" s="65" customFormat="1" ht="14" x14ac:dyDescent="0.35">
      <c r="A1955" s="145"/>
      <c r="B1955" s="152"/>
      <c r="E1955" s="102"/>
      <c r="F1955" s="102"/>
      <c r="G1955" s="102"/>
      <c r="I1955" s="93"/>
      <c r="J1955" s="93"/>
    </row>
    <row r="1956" spans="1:10" s="65" customFormat="1" ht="14" x14ac:dyDescent="0.35">
      <c r="A1956" s="145"/>
      <c r="B1956" s="152"/>
      <c r="E1956" s="102"/>
      <c r="F1956" s="102"/>
      <c r="G1956" s="102"/>
      <c r="I1956" s="93"/>
      <c r="J1956" s="93"/>
    </row>
    <row r="1957" spans="1:10" s="65" customFormat="1" ht="14" x14ac:dyDescent="0.35">
      <c r="A1957" s="145"/>
      <c r="B1957" s="152"/>
      <c r="E1957" s="102"/>
      <c r="F1957" s="102"/>
      <c r="G1957" s="102"/>
      <c r="I1957" s="93"/>
      <c r="J1957" s="93"/>
    </row>
    <row r="1958" spans="1:10" s="65" customFormat="1" ht="14" x14ac:dyDescent="0.35">
      <c r="A1958" s="145"/>
      <c r="B1958" s="152"/>
      <c r="E1958" s="102"/>
      <c r="F1958" s="102"/>
      <c r="G1958" s="102"/>
      <c r="I1958" s="93"/>
      <c r="J1958" s="93"/>
    </row>
    <row r="1959" spans="1:10" s="65" customFormat="1" ht="14" x14ac:dyDescent="0.35">
      <c r="A1959" s="145"/>
      <c r="B1959" s="152"/>
      <c r="E1959" s="102"/>
      <c r="F1959" s="102"/>
      <c r="G1959" s="102"/>
      <c r="I1959" s="93"/>
      <c r="J1959" s="93"/>
    </row>
    <row r="1960" spans="1:10" s="65" customFormat="1" ht="14" x14ac:dyDescent="0.35">
      <c r="A1960" s="145"/>
      <c r="B1960" s="152"/>
      <c r="E1960" s="102"/>
      <c r="F1960" s="102"/>
      <c r="G1960" s="102"/>
      <c r="I1960" s="93"/>
      <c r="J1960" s="93"/>
    </row>
    <row r="1961" spans="1:10" s="65" customFormat="1" ht="14" x14ac:dyDescent="0.35">
      <c r="A1961" s="145"/>
      <c r="B1961" s="152"/>
      <c r="E1961" s="102"/>
      <c r="F1961" s="102"/>
      <c r="G1961" s="102"/>
      <c r="I1961" s="93"/>
      <c r="J1961" s="93"/>
    </row>
    <row r="1962" spans="1:10" s="65" customFormat="1" ht="14" x14ac:dyDescent="0.35">
      <c r="A1962" s="145"/>
      <c r="B1962" s="152"/>
      <c r="E1962" s="102"/>
      <c r="F1962" s="102"/>
      <c r="G1962" s="102"/>
      <c r="I1962" s="93"/>
      <c r="J1962" s="93"/>
    </row>
    <row r="1963" spans="1:10" s="65" customFormat="1" ht="14" x14ac:dyDescent="0.35">
      <c r="A1963" s="145"/>
      <c r="B1963" s="152"/>
      <c r="E1963" s="102"/>
      <c r="F1963" s="102"/>
      <c r="G1963" s="102"/>
      <c r="I1963" s="93"/>
      <c r="J1963" s="93"/>
    </row>
    <row r="1964" spans="1:10" s="65" customFormat="1" ht="14" x14ac:dyDescent="0.35">
      <c r="A1964" s="145"/>
      <c r="B1964" s="152"/>
      <c r="E1964" s="102"/>
      <c r="F1964" s="102"/>
      <c r="G1964" s="102"/>
      <c r="I1964" s="93"/>
      <c r="J1964" s="93"/>
    </row>
    <row r="1965" spans="1:10" s="65" customFormat="1" ht="14" x14ac:dyDescent="0.35">
      <c r="A1965" s="145"/>
      <c r="B1965" s="152"/>
      <c r="E1965" s="102"/>
      <c r="F1965" s="102"/>
      <c r="G1965" s="102"/>
      <c r="I1965" s="93"/>
      <c r="J1965" s="93"/>
    </row>
    <row r="1966" spans="1:10" s="65" customFormat="1" ht="14" x14ac:dyDescent="0.35">
      <c r="A1966" s="145"/>
      <c r="B1966" s="152"/>
      <c r="E1966" s="102"/>
      <c r="F1966" s="102"/>
      <c r="G1966" s="102"/>
      <c r="I1966" s="93"/>
      <c r="J1966" s="93"/>
    </row>
    <row r="1967" spans="1:10" s="65" customFormat="1" ht="14" x14ac:dyDescent="0.35">
      <c r="A1967" s="145"/>
      <c r="B1967" s="152"/>
      <c r="E1967" s="102"/>
      <c r="F1967" s="102"/>
      <c r="G1967" s="102"/>
      <c r="I1967" s="93"/>
      <c r="J1967" s="93"/>
    </row>
    <row r="1968" spans="1:10" s="65" customFormat="1" ht="14" x14ac:dyDescent="0.35">
      <c r="A1968" s="145"/>
      <c r="B1968" s="152"/>
      <c r="E1968" s="102"/>
      <c r="F1968" s="102"/>
      <c r="G1968" s="102"/>
      <c r="I1968" s="93"/>
      <c r="J1968" s="93"/>
    </row>
    <row r="1969" spans="1:10" s="65" customFormat="1" ht="14" x14ac:dyDescent="0.35">
      <c r="A1969" s="145"/>
      <c r="B1969" s="152"/>
      <c r="E1969" s="102"/>
      <c r="F1969" s="102"/>
      <c r="G1969" s="102"/>
      <c r="I1969" s="93"/>
      <c r="J1969" s="93"/>
    </row>
    <row r="1970" spans="1:10" s="65" customFormat="1" ht="14" x14ac:dyDescent="0.35">
      <c r="A1970" s="145"/>
      <c r="B1970" s="152"/>
      <c r="E1970" s="102"/>
      <c r="F1970" s="102"/>
      <c r="G1970" s="102"/>
      <c r="I1970" s="93"/>
      <c r="J1970" s="93"/>
    </row>
    <row r="1971" spans="1:10" s="65" customFormat="1" ht="14" x14ac:dyDescent="0.35">
      <c r="A1971" s="145"/>
      <c r="B1971" s="152"/>
      <c r="E1971" s="102"/>
      <c r="F1971" s="102"/>
      <c r="G1971" s="102"/>
      <c r="I1971" s="93"/>
      <c r="J1971" s="93"/>
    </row>
    <row r="1972" spans="1:10" s="65" customFormat="1" ht="14" x14ac:dyDescent="0.35">
      <c r="A1972" s="145"/>
      <c r="B1972" s="152"/>
      <c r="E1972" s="102"/>
      <c r="F1972" s="102"/>
      <c r="G1972" s="102"/>
      <c r="I1972" s="93"/>
      <c r="J1972" s="93"/>
    </row>
    <row r="1973" spans="1:10" s="65" customFormat="1" ht="14" x14ac:dyDescent="0.35">
      <c r="A1973" s="145"/>
      <c r="B1973" s="152"/>
      <c r="E1973" s="102"/>
      <c r="F1973" s="102"/>
      <c r="G1973" s="102"/>
      <c r="I1973" s="93"/>
      <c r="J1973" s="93"/>
    </row>
    <row r="1974" spans="1:10" s="65" customFormat="1" ht="14" x14ac:dyDescent="0.35">
      <c r="A1974" s="145"/>
      <c r="B1974" s="152"/>
      <c r="E1974" s="102"/>
      <c r="F1974" s="102"/>
      <c r="G1974" s="102"/>
      <c r="I1974" s="93"/>
      <c r="J1974" s="93"/>
    </row>
    <row r="1975" spans="1:10" s="65" customFormat="1" ht="14" x14ac:dyDescent="0.35">
      <c r="A1975" s="145"/>
      <c r="B1975" s="152"/>
      <c r="E1975" s="102"/>
      <c r="F1975" s="102"/>
      <c r="G1975" s="102"/>
      <c r="I1975" s="93"/>
      <c r="J1975" s="93"/>
    </row>
    <row r="1976" spans="1:10" s="65" customFormat="1" ht="14" x14ac:dyDescent="0.35">
      <c r="A1976" s="145"/>
      <c r="B1976" s="152"/>
      <c r="E1976" s="102"/>
      <c r="F1976" s="102"/>
      <c r="G1976" s="102"/>
      <c r="I1976" s="93"/>
      <c r="J1976" s="93"/>
    </row>
    <row r="1977" spans="1:10" s="65" customFormat="1" ht="14" x14ac:dyDescent="0.35">
      <c r="A1977" s="145"/>
      <c r="B1977" s="152"/>
      <c r="E1977" s="102"/>
      <c r="F1977" s="102"/>
      <c r="G1977" s="102"/>
      <c r="I1977" s="93"/>
      <c r="J1977" s="93"/>
    </row>
    <row r="1978" spans="1:10" s="65" customFormat="1" ht="14" x14ac:dyDescent="0.35">
      <c r="A1978" s="145"/>
      <c r="B1978" s="152"/>
      <c r="E1978" s="102"/>
      <c r="F1978" s="102"/>
      <c r="G1978" s="102"/>
      <c r="I1978" s="93"/>
      <c r="J1978" s="93"/>
    </row>
    <row r="1979" spans="1:10" s="65" customFormat="1" ht="14" x14ac:dyDescent="0.35">
      <c r="A1979" s="145"/>
      <c r="B1979" s="152"/>
      <c r="E1979" s="102"/>
      <c r="F1979" s="102"/>
      <c r="G1979" s="102"/>
      <c r="I1979" s="93"/>
      <c r="J1979" s="93"/>
    </row>
    <row r="1980" spans="1:10" s="65" customFormat="1" ht="14" x14ac:dyDescent="0.35">
      <c r="A1980" s="145"/>
      <c r="B1980" s="152"/>
      <c r="E1980" s="102"/>
      <c r="F1980" s="102"/>
      <c r="G1980" s="102"/>
      <c r="I1980" s="93"/>
      <c r="J1980" s="93"/>
    </row>
    <row r="1981" spans="1:10" s="65" customFormat="1" ht="14" x14ac:dyDescent="0.35">
      <c r="A1981" s="145"/>
      <c r="B1981" s="152"/>
      <c r="E1981" s="102"/>
      <c r="F1981" s="102"/>
      <c r="G1981" s="102"/>
      <c r="I1981" s="93"/>
      <c r="J1981" s="93"/>
    </row>
    <row r="1982" spans="1:10" s="65" customFormat="1" ht="14" x14ac:dyDescent="0.35">
      <c r="A1982" s="145"/>
      <c r="B1982" s="152"/>
      <c r="E1982" s="102"/>
      <c r="F1982" s="102"/>
      <c r="G1982" s="102"/>
      <c r="I1982" s="93"/>
      <c r="J1982" s="93"/>
    </row>
    <row r="1983" spans="1:10" s="65" customFormat="1" ht="14" x14ac:dyDescent="0.35">
      <c r="A1983" s="145"/>
      <c r="B1983" s="152"/>
      <c r="E1983" s="102"/>
      <c r="F1983" s="102"/>
      <c r="G1983" s="102"/>
      <c r="I1983" s="93"/>
      <c r="J1983" s="93"/>
    </row>
    <row r="1984" spans="1:10" s="65" customFormat="1" ht="14" x14ac:dyDescent="0.35">
      <c r="A1984" s="145"/>
      <c r="B1984" s="152"/>
      <c r="E1984" s="102"/>
      <c r="F1984" s="102"/>
      <c r="G1984" s="102"/>
      <c r="I1984" s="93"/>
      <c r="J1984" s="93"/>
    </row>
    <row r="1985" spans="1:10" s="65" customFormat="1" ht="14" x14ac:dyDescent="0.35">
      <c r="A1985" s="145"/>
      <c r="B1985" s="152"/>
      <c r="E1985" s="102"/>
      <c r="F1985" s="102"/>
      <c r="G1985" s="102"/>
      <c r="I1985" s="93"/>
      <c r="J1985" s="93"/>
    </row>
    <row r="1986" spans="1:10" s="65" customFormat="1" ht="14" x14ac:dyDescent="0.35">
      <c r="A1986" s="145"/>
      <c r="B1986" s="152"/>
      <c r="E1986" s="102"/>
      <c r="F1986" s="102"/>
      <c r="G1986" s="102"/>
      <c r="I1986" s="93"/>
      <c r="J1986" s="93"/>
    </row>
    <row r="1987" spans="1:10" s="65" customFormat="1" ht="14" x14ac:dyDescent="0.35">
      <c r="A1987" s="145"/>
      <c r="B1987" s="152"/>
      <c r="E1987" s="102"/>
      <c r="F1987" s="102"/>
      <c r="G1987" s="102"/>
      <c r="I1987" s="93"/>
      <c r="J1987" s="93"/>
    </row>
    <row r="1988" spans="1:10" s="65" customFormat="1" ht="14" x14ac:dyDescent="0.35">
      <c r="A1988" s="145"/>
      <c r="B1988" s="152"/>
      <c r="E1988" s="102"/>
      <c r="F1988" s="102"/>
      <c r="G1988" s="102"/>
      <c r="I1988" s="93"/>
      <c r="J1988" s="93"/>
    </row>
    <row r="1989" spans="1:10" s="65" customFormat="1" ht="14" x14ac:dyDescent="0.35">
      <c r="A1989" s="145"/>
      <c r="B1989" s="152"/>
      <c r="E1989" s="102"/>
      <c r="F1989" s="102"/>
      <c r="G1989" s="102"/>
      <c r="I1989" s="93"/>
      <c r="J1989" s="93"/>
    </row>
    <row r="1990" spans="1:10" s="65" customFormat="1" ht="14" x14ac:dyDescent="0.35">
      <c r="A1990" s="145"/>
      <c r="B1990" s="152"/>
      <c r="E1990" s="102"/>
      <c r="F1990" s="102"/>
      <c r="G1990" s="102"/>
      <c r="I1990" s="93"/>
      <c r="J1990" s="93"/>
    </row>
    <row r="1991" spans="1:10" s="65" customFormat="1" ht="14" x14ac:dyDescent="0.35">
      <c r="A1991" s="145"/>
      <c r="B1991" s="152"/>
      <c r="E1991" s="102"/>
      <c r="F1991" s="102"/>
      <c r="G1991" s="102"/>
      <c r="I1991" s="93"/>
      <c r="J1991" s="93"/>
    </row>
    <row r="1992" spans="1:10" s="65" customFormat="1" ht="14" x14ac:dyDescent="0.35">
      <c r="A1992" s="145"/>
      <c r="B1992" s="152"/>
      <c r="E1992" s="102"/>
      <c r="F1992" s="102"/>
      <c r="G1992" s="102"/>
      <c r="I1992" s="93"/>
      <c r="J1992" s="93"/>
    </row>
    <row r="1993" spans="1:10" s="65" customFormat="1" ht="14" x14ac:dyDescent="0.35">
      <c r="A1993" s="145"/>
      <c r="B1993" s="152"/>
      <c r="E1993" s="102"/>
      <c r="F1993" s="102"/>
      <c r="G1993" s="102"/>
      <c r="I1993" s="93"/>
      <c r="J1993" s="93"/>
    </row>
    <row r="1994" spans="1:10" s="65" customFormat="1" ht="14" x14ac:dyDescent="0.35">
      <c r="A1994" s="145"/>
      <c r="B1994" s="152"/>
      <c r="E1994" s="102"/>
      <c r="F1994" s="102"/>
      <c r="G1994" s="102"/>
      <c r="I1994" s="93"/>
      <c r="J1994" s="93"/>
    </row>
    <row r="1995" spans="1:10" s="65" customFormat="1" ht="14" x14ac:dyDescent="0.35">
      <c r="A1995" s="145"/>
      <c r="B1995" s="152"/>
      <c r="E1995" s="102"/>
      <c r="F1995" s="102"/>
      <c r="G1995" s="102"/>
      <c r="I1995" s="93"/>
      <c r="J1995" s="93"/>
    </row>
    <row r="1996" spans="1:10" s="65" customFormat="1" ht="14" x14ac:dyDescent="0.35">
      <c r="A1996" s="145"/>
      <c r="B1996" s="152"/>
      <c r="E1996" s="102"/>
      <c r="F1996" s="102"/>
      <c r="G1996" s="102"/>
      <c r="I1996" s="93"/>
      <c r="J1996" s="93"/>
    </row>
    <row r="1997" spans="1:10" s="65" customFormat="1" ht="14" x14ac:dyDescent="0.35">
      <c r="A1997" s="145"/>
      <c r="B1997" s="152"/>
      <c r="E1997" s="102"/>
      <c r="F1997" s="102"/>
      <c r="G1997" s="102"/>
      <c r="I1997" s="93"/>
      <c r="J1997" s="93"/>
    </row>
    <row r="1998" spans="1:10" s="65" customFormat="1" ht="14" x14ac:dyDescent="0.35">
      <c r="A1998" s="145"/>
      <c r="B1998" s="152"/>
      <c r="E1998" s="102"/>
      <c r="F1998" s="102"/>
      <c r="G1998" s="102"/>
      <c r="I1998" s="93"/>
      <c r="J1998" s="93"/>
    </row>
    <row r="1999" spans="1:10" s="65" customFormat="1" ht="14" x14ac:dyDescent="0.35">
      <c r="A1999" s="145"/>
      <c r="B1999" s="152"/>
      <c r="E1999" s="102"/>
      <c r="F1999" s="102"/>
      <c r="G1999" s="102"/>
      <c r="I1999" s="93"/>
      <c r="J1999" s="93"/>
    </row>
    <row r="2000" spans="1:10" s="65" customFormat="1" ht="14" x14ac:dyDescent="0.35">
      <c r="A2000" s="145"/>
      <c r="B2000" s="152"/>
      <c r="E2000" s="102"/>
      <c r="F2000" s="102"/>
      <c r="G2000" s="102"/>
      <c r="I2000" s="93"/>
      <c r="J2000" s="93"/>
    </row>
    <row r="2001" spans="1:10" s="65" customFormat="1" ht="14" x14ac:dyDescent="0.35">
      <c r="A2001" s="145"/>
      <c r="B2001" s="152"/>
      <c r="E2001" s="102"/>
      <c r="F2001" s="102"/>
      <c r="G2001" s="102"/>
      <c r="I2001" s="93"/>
      <c r="J2001" s="93"/>
    </row>
    <row r="2002" spans="1:10" s="65" customFormat="1" ht="14" x14ac:dyDescent="0.35">
      <c r="A2002" s="145"/>
      <c r="B2002" s="152"/>
      <c r="E2002" s="102"/>
      <c r="F2002" s="102"/>
      <c r="G2002" s="102"/>
      <c r="I2002" s="93"/>
      <c r="J2002" s="93"/>
    </row>
    <row r="2003" spans="1:10" s="65" customFormat="1" ht="14" x14ac:dyDescent="0.35">
      <c r="A2003" s="145"/>
      <c r="B2003" s="152"/>
      <c r="E2003" s="102"/>
      <c r="F2003" s="102"/>
      <c r="G2003" s="102"/>
      <c r="I2003" s="93"/>
      <c r="J2003" s="93"/>
    </row>
    <row r="2004" spans="1:10" s="65" customFormat="1" ht="14" x14ac:dyDescent="0.35">
      <c r="A2004" s="145"/>
      <c r="B2004" s="152"/>
      <c r="E2004" s="102"/>
      <c r="F2004" s="102"/>
      <c r="G2004" s="102"/>
      <c r="I2004" s="93"/>
      <c r="J2004" s="93"/>
    </row>
    <row r="2005" spans="1:10" s="65" customFormat="1" ht="14" x14ac:dyDescent="0.35">
      <c r="A2005" s="145"/>
      <c r="B2005" s="152"/>
      <c r="E2005" s="102"/>
      <c r="F2005" s="102"/>
      <c r="G2005" s="102"/>
      <c r="I2005" s="93"/>
      <c r="J2005" s="93"/>
    </row>
    <row r="2006" spans="1:10" s="65" customFormat="1" ht="14" x14ac:dyDescent="0.35">
      <c r="A2006" s="145"/>
      <c r="B2006" s="152"/>
      <c r="E2006" s="102"/>
      <c r="F2006" s="102"/>
      <c r="G2006" s="102"/>
      <c r="I2006" s="93"/>
      <c r="J2006" s="93"/>
    </row>
    <row r="2007" spans="1:10" s="65" customFormat="1" ht="14" x14ac:dyDescent="0.35">
      <c r="A2007" s="145"/>
      <c r="B2007" s="152"/>
      <c r="E2007" s="102"/>
      <c r="F2007" s="102"/>
      <c r="G2007" s="102"/>
      <c r="I2007" s="93"/>
      <c r="J2007" s="93"/>
    </row>
    <row r="2008" spans="1:10" s="65" customFormat="1" ht="14" x14ac:dyDescent="0.35">
      <c r="A2008" s="145"/>
      <c r="B2008" s="152"/>
      <c r="E2008" s="102"/>
      <c r="F2008" s="102"/>
      <c r="G2008" s="102"/>
      <c r="I2008" s="93"/>
      <c r="J2008" s="93"/>
    </row>
    <row r="2009" spans="1:10" s="65" customFormat="1" ht="14" x14ac:dyDescent="0.35">
      <c r="A2009" s="145"/>
      <c r="B2009" s="152"/>
      <c r="E2009" s="102"/>
      <c r="F2009" s="102"/>
      <c r="G2009" s="102"/>
      <c r="I2009" s="93"/>
      <c r="J2009" s="93"/>
    </row>
    <row r="2010" spans="1:10" s="65" customFormat="1" ht="14" x14ac:dyDescent="0.35">
      <c r="A2010" s="145"/>
      <c r="B2010" s="152"/>
      <c r="E2010" s="102"/>
      <c r="F2010" s="102"/>
      <c r="G2010" s="102"/>
      <c r="I2010" s="93"/>
      <c r="J2010" s="93"/>
    </row>
    <row r="2011" spans="1:10" s="65" customFormat="1" ht="14" x14ac:dyDescent="0.35">
      <c r="A2011" s="145"/>
      <c r="B2011" s="152"/>
      <c r="E2011" s="102"/>
      <c r="F2011" s="102"/>
      <c r="G2011" s="102"/>
      <c r="I2011" s="93"/>
      <c r="J2011" s="93"/>
    </row>
    <row r="2012" spans="1:10" s="65" customFormat="1" ht="14" x14ac:dyDescent="0.35">
      <c r="A2012" s="145"/>
      <c r="B2012" s="152"/>
      <c r="E2012" s="102"/>
      <c r="F2012" s="102"/>
      <c r="G2012" s="102"/>
      <c r="I2012" s="93"/>
      <c r="J2012" s="93"/>
    </row>
    <row r="2013" spans="1:10" s="65" customFormat="1" ht="14" x14ac:dyDescent="0.35">
      <c r="A2013" s="145"/>
      <c r="B2013" s="152"/>
      <c r="E2013" s="102"/>
      <c r="F2013" s="102"/>
      <c r="G2013" s="102"/>
      <c r="I2013" s="93"/>
      <c r="J2013" s="93"/>
    </row>
    <row r="2014" spans="1:10" s="65" customFormat="1" ht="14" x14ac:dyDescent="0.35">
      <c r="A2014" s="145"/>
      <c r="B2014" s="152"/>
      <c r="E2014" s="102"/>
      <c r="F2014" s="102"/>
      <c r="G2014" s="102"/>
      <c r="I2014" s="93"/>
      <c r="J2014" s="93"/>
    </row>
    <row r="2015" spans="1:10" s="65" customFormat="1" ht="14" x14ac:dyDescent="0.35">
      <c r="A2015" s="145"/>
      <c r="B2015" s="152"/>
      <c r="E2015" s="102"/>
      <c r="F2015" s="102"/>
      <c r="G2015" s="102"/>
      <c r="I2015" s="93"/>
      <c r="J2015" s="93"/>
    </row>
    <row r="2016" spans="1:10" s="65" customFormat="1" ht="14" x14ac:dyDescent="0.35">
      <c r="A2016" s="145"/>
      <c r="B2016" s="152"/>
      <c r="E2016" s="102"/>
      <c r="F2016" s="102"/>
      <c r="G2016" s="102"/>
      <c r="I2016" s="93"/>
      <c r="J2016" s="93"/>
    </row>
    <row r="2017" spans="1:10" s="65" customFormat="1" ht="14" x14ac:dyDescent="0.35">
      <c r="A2017" s="145"/>
      <c r="B2017" s="152"/>
      <c r="E2017" s="102"/>
      <c r="F2017" s="102"/>
      <c r="G2017" s="102"/>
      <c r="I2017" s="93"/>
      <c r="J2017" s="93"/>
    </row>
    <row r="2018" spans="1:10" s="65" customFormat="1" ht="14" x14ac:dyDescent="0.35">
      <c r="A2018" s="145"/>
      <c r="B2018" s="152"/>
      <c r="E2018" s="102"/>
      <c r="F2018" s="102"/>
      <c r="G2018" s="102"/>
      <c r="I2018" s="93"/>
      <c r="J2018" s="93"/>
    </row>
    <row r="2019" spans="1:10" s="65" customFormat="1" ht="14" x14ac:dyDescent="0.35">
      <c r="A2019" s="145"/>
      <c r="B2019" s="152"/>
      <c r="E2019" s="102"/>
      <c r="F2019" s="102"/>
      <c r="G2019" s="102"/>
      <c r="I2019" s="93"/>
      <c r="J2019" s="93"/>
    </row>
    <row r="2020" spans="1:10" s="65" customFormat="1" ht="14" x14ac:dyDescent="0.35">
      <c r="A2020" s="145"/>
      <c r="B2020" s="152"/>
      <c r="E2020" s="102"/>
      <c r="F2020" s="102"/>
      <c r="G2020" s="102"/>
      <c r="I2020" s="93"/>
      <c r="J2020" s="93"/>
    </row>
    <row r="2021" spans="1:10" s="65" customFormat="1" ht="14" x14ac:dyDescent="0.35">
      <c r="A2021" s="145"/>
      <c r="B2021" s="152"/>
      <c r="E2021" s="102"/>
      <c r="F2021" s="102"/>
      <c r="G2021" s="102"/>
      <c r="I2021" s="93"/>
      <c r="J2021" s="93"/>
    </row>
    <row r="2022" spans="1:10" s="65" customFormat="1" ht="14" x14ac:dyDescent="0.35">
      <c r="A2022" s="145"/>
      <c r="B2022" s="152"/>
      <c r="E2022" s="102"/>
      <c r="F2022" s="102"/>
      <c r="G2022" s="102"/>
      <c r="I2022" s="93"/>
      <c r="J2022" s="93"/>
    </row>
    <row r="2023" spans="1:10" s="65" customFormat="1" ht="14" x14ac:dyDescent="0.35">
      <c r="A2023" s="145"/>
      <c r="B2023" s="152"/>
      <c r="E2023" s="102"/>
      <c r="F2023" s="102"/>
      <c r="G2023" s="102"/>
      <c r="I2023" s="93"/>
      <c r="J2023" s="93"/>
    </row>
    <row r="2024" spans="1:10" s="65" customFormat="1" ht="14" x14ac:dyDescent="0.35">
      <c r="A2024" s="145"/>
      <c r="B2024" s="152"/>
      <c r="E2024" s="102"/>
      <c r="F2024" s="102"/>
      <c r="G2024" s="102"/>
      <c r="I2024" s="93"/>
      <c r="J2024" s="93"/>
    </row>
    <row r="2025" spans="1:10" s="65" customFormat="1" ht="14" x14ac:dyDescent="0.35">
      <c r="A2025" s="145"/>
      <c r="B2025" s="152"/>
      <c r="E2025" s="102"/>
      <c r="F2025" s="102"/>
      <c r="G2025" s="102"/>
      <c r="I2025" s="93"/>
      <c r="J2025" s="93"/>
    </row>
    <row r="2026" spans="1:10" s="65" customFormat="1" ht="14" x14ac:dyDescent="0.35">
      <c r="A2026" s="145"/>
      <c r="B2026" s="152"/>
      <c r="E2026" s="102"/>
      <c r="F2026" s="102"/>
      <c r="G2026" s="102"/>
      <c r="I2026" s="93"/>
      <c r="J2026" s="93"/>
    </row>
    <row r="2027" spans="1:10" s="65" customFormat="1" ht="14" x14ac:dyDescent="0.35">
      <c r="A2027" s="145"/>
      <c r="B2027" s="152"/>
      <c r="E2027" s="102"/>
      <c r="F2027" s="102"/>
      <c r="G2027" s="102"/>
      <c r="I2027" s="93"/>
      <c r="J2027" s="93"/>
    </row>
    <row r="2028" spans="1:10" s="65" customFormat="1" ht="14" x14ac:dyDescent="0.35">
      <c r="A2028" s="145"/>
      <c r="B2028" s="152"/>
      <c r="E2028" s="102"/>
      <c r="F2028" s="102"/>
      <c r="G2028" s="102"/>
      <c r="I2028" s="93"/>
      <c r="J2028" s="93"/>
    </row>
    <row r="2029" spans="1:10" s="65" customFormat="1" ht="14" x14ac:dyDescent="0.35">
      <c r="A2029" s="145"/>
      <c r="B2029" s="152"/>
      <c r="E2029" s="102"/>
      <c r="F2029" s="102"/>
      <c r="G2029" s="102"/>
      <c r="I2029" s="93"/>
      <c r="J2029" s="93"/>
    </row>
    <row r="2030" spans="1:10" s="65" customFormat="1" ht="14" x14ac:dyDescent="0.35">
      <c r="A2030" s="145"/>
      <c r="B2030" s="152"/>
      <c r="E2030" s="102"/>
      <c r="F2030" s="102"/>
      <c r="G2030" s="102"/>
      <c r="I2030" s="93"/>
      <c r="J2030" s="93"/>
    </row>
    <row r="2031" spans="1:10" s="65" customFormat="1" ht="14" x14ac:dyDescent="0.35">
      <c r="A2031" s="145"/>
      <c r="B2031" s="152"/>
      <c r="E2031" s="102"/>
      <c r="F2031" s="102"/>
      <c r="G2031" s="102"/>
      <c r="I2031" s="93"/>
      <c r="J2031" s="93"/>
    </row>
    <row r="2032" spans="1:10" s="65" customFormat="1" ht="14" x14ac:dyDescent="0.35">
      <c r="A2032" s="145"/>
      <c r="B2032" s="152"/>
      <c r="E2032" s="102"/>
      <c r="F2032" s="102"/>
      <c r="G2032" s="102"/>
      <c r="I2032" s="93"/>
      <c r="J2032" s="93"/>
    </row>
    <row r="2033" spans="1:10" s="65" customFormat="1" ht="14" x14ac:dyDescent="0.35">
      <c r="A2033" s="145"/>
      <c r="B2033" s="152"/>
      <c r="E2033" s="102"/>
      <c r="F2033" s="102"/>
      <c r="G2033" s="102"/>
      <c r="I2033" s="93"/>
      <c r="J2033" s="93"/>
    </row>
    <row r="2034" spans="1:10" s="65" customFormat="1" ht="14" x14ac:dyDescent="0.35">
      <c r="A2034" s="145"/>
      <c r="B2034" s="152"/>
      <c r="E2034" s="102"/>
      <c r="F2034" s="102"/>
      <c r="G2034" s="102"/>
      <c r="I2034" s="93"/>
      <c r="J2034" s="93"/>
    </row>
    <row r="2035" spans="1:10" s="65" customFormat="1" ht="14" x14ac:dyDescent="0.35">
      <c r="A2035" s="145"/>
      <c r="B2035" s="152"/>
      <c r="E2035" s="102"/>
      <c r="F2035" s="102"/>
      <c r="G2035" s="102"/>
      <c r="I2035" s="93"/>
      <c r="J2035" s="93"/>
    </row>
    <row r="2036" spans="1:10" s="65" customFormat="1" ht="14" x14ac:dyDescent="0.35">
      <c r="A2036" s="145"/>
      <c r="B2036" s="152"/>
      <c r="E2036" s="102"/>
      <c r="F2036" s="102"/>
      <c r="G2036" s="102"/>
      <c r="I2036" s="93"/>
      <c r="J2036" s="93"/>
    </row>
    <row r="2037" spans="1:10" s="65" customFormat="1" ht="14" x14ac:dyDescent="0.35">
      <c r="A2037" s="145"/>
      <c r="B2037" s="152"/>
      <c r="E2037" s="102"/>
      <c r="F2037" s="102"/>
      <c r="G2037" s="102"/>
      <c r="I2037" s="93"/>
      <c r="J2037" s="93"/>
    </row>
    <row r="2038" spans="1:10" s="65" customFormat="1" ht="14" x14ac:dyDescent="0.35">
      <c r="A2038" s="145"/>
      <c r="B2038" s="152"/>
      <c r="E2038" s="102"/>
      <c r="F2038" s="102"/>
      <c r="G2038" s="102"/>
      <c r="I2038" s="93"/>
      <c r="J2038" s="93"/>
    </row>
    <row r="2039" spans="1:10" s="65" customFormat="1" ht="14" x14ac:dyDescent="0.35">
      <c r="A2039" s="145"/>
      <c r="B2039" s="152"/>
      <c r="E2039" s="102"/>
      <c r="F2039" s="102"/>
      <c r="G2039" s="102"/>
      <c r="I2039" s="93"/>
      <c r="J2039" s="93"/>
    </row>
    <row r="2040" spans="1:10" s="65" customFormat="1" ht="14" x14ac:dyDescent="0.35">
      <c r="A2040" s="145"/>
      <c r="B2040" s="152"/>
      <c r="E2040" s="102"/>
      <c r="F2040" s="102"/>
      <c r="G2040" s="102"/>
      <c r="I2040" s="93"/>
      <c r="J2040" s="93"/>
    </row>
    <row r="2041" spans="1:10" s="65" customFormat="1" ht="14" x14ac:dyDescent="0.35">
      <c r="A2041" s="145"/>
      <c r="B2041" s="152"/>
      <c r="E2041" s="102"/>
      <c r="F2041" s="102"/>
      <c r="G2041" s="102"/>
      <c r="I2041" s="93"/>
      <c r="J2041" s="93"/>
    </row>
    <row r="2042" spans="1:10" s="65" customFormat="1" ht="14" x14ac:dyDescent="0.35">
      <c r="A2042" s="145"/>
      <c r="B2042" s="152"/>
      <c r="E2042" s="102"/>
      <c r="F2042" s="102"/>
      <c r="G2042" s="102"/>
      <c r="I2042" s="93"/>
      <c r="J2042" s="93"/>
    </row>
    <row r="2043" spans="1:10" s="65" customFormat="1" ht="14" x14ac:dyDescent="0.35">
      <c r="A2043" s="145"/>
      <c r="B2043" s="152"/>
      <c r="E2043" s="102"/>
      <c r="F2043" s="102"/>
      <c r="G2043" s="102"/>
      <c r="I2043" s="93"/>
      <c r="J2043" s="93"/>
    </row>
    <row r="2044" spans="1:10" s="65" customFormat="1" ht="14" x14ac:dyDescent="0.35">
      <c r="A2044" s="145"/>
      <c r="B2044" s="152"/>
      <c r="E2044" s="102"/>
      <c r="F2044" s="102"/>
      <c r="G2044" s="102"/>
      <c r="I2044" s="93"/>
      <c r="J2044" s="93"/>
    </row>
    <row r="2045" spans="1:10" s="65" customFormat="1" ht="14" x14ac:dyDescent="0.35">
      <c r="A2045" s="145"/>
      <c r="B2045" s="152"/>
      <c r="E2045" s="102"/>
      <c r="F2045" s="102"/>
      <c r="G2045" s="102"/>
      <c r="I2045" s="93"/>
      <c r="J2045" s="93"/>
    </row>
    <row r="2046" spans="1:10" s="65" customFormat="1" ht="14" x14ac:dyDescent="0.35">
      <c r="A2046" s="145"/>
      <c r="B2046" s="152"/>
      <c r="E2046" s="102"/>
      <c r="F2046" s="102"/>
      <c r="G2046" s="102"/>
      <c r="I2046" s="93"/>
      <c r="J2046" s="93"/>
    </row>
    <row r="2047" spans="1:10" s="65" customFormat="1" ht="14" x14ac:dyDescent="0.35">
      <c r="A2047" s="145"/>
      <c r="B2047" s="152"/>
      <c r="E2047" s="102"/>
      <c r="F2047" s="102"/>
      <c r="G2047" s="102"/>
      <c r="I2047" s="93"/>
      <c r="J2047" s="93"/>
    </row>
    <row r="2048" spans="1:10" s="65" customFormat="1" ht="14" x14ac:dyDescent="0.35">
      <c r="A2048" s="145"/>
      <c r="B2048" s="152"/>
      <c r="E2048" s="102"/>
      <c r="F2048" s="102"/>
      <c r="G2048" s="102"/>
      <c r="I2048" s="93"/>
      <c r="J2048" s="93"/>
    </row>
    <row r="2049" spans="1:10" s="65" customFormat="1" ht="14" x14ac:dyDescent="0.35">
      <c r="A2049" s="145"/>
      <c r="B2049" s="152"/>
      <c r="E2049" s="102"/>
      <c r="F2049" s="102"/>
      <c r="G2049" s="102"/>
      <c r="I2049" s="93"/>
      <c r="J2049" s="93"/>
    </row>
    <row r="2050" spans="1:10" s="65" customFormat="1" ht="14" x14ac:dyDescent="0.35">
      <c r="A2050" s="145"/>
      <c r="B2050" s="152"/>
      <c r="E2050" s="102"/>
      <c r="F2050" s="102"/>
      <c r="G2050" s="102"/>
      <c r="I2050" s="93"/>
      <c r="J2050" s="93"/>
    </row>
    <row r="2051" spans="1:10" s="65" customFormat="1" ht="14" x14ac:dyDescent="0.35">
      <c r="A2051" s="145"/>
      <c r="B2051" s="152"/>
      <c r="E2051" s="102"/>
      <c r="F2051" s="102"/>
      <c r="G2051" s="102"/>
      <c r="I2051" s="93"/>
      <c r="J2051" s="93"/>
    </row>
    <row r="2052" spans="1:10" s="65" customFormat="1" ht="14" x14ac:dyDescent="0.35">
      <c r="A2052" s="145"/>
      <c r="B2052" s="152"/>
      <c r="E2052" s="102"/>
      <c r="F2052" s="102"/>
      <c r="G2052" s="102"/>
      <c r="I2052" s="93"/>
      <c r="J2052" s="93"/>
    </row>
    <row r="2053" spans="1:10" s="65" customFormat="1" ht="14" x14ac:dyDescent="0.35">
      <c r="A2053" s="145"/>
      <c r="B2053" s="152"/>
      <c r="E2053" s="102"/>
      <c r="F2053" s="102"/>
      <c r="G2053" s="102"/>
      <c r="I2053" s="93"/>
      <c r="J2053" s="93"/>
    </row>
    <row r="2054" spans="1:10" s="65" customFormat="1" ht="14" x14ac:dyDescent="0.35">
      <c r="A2054" s="145"/>
      <c r="B2054" s="152"/>
      <c r="E2054" s="102"/>
      <c r="F2054" s="102"/>
      <c r="G2054" s="102"/>
      <c r="I2054" s="93"/>
      <c r="J2054" s="93"/>
    </row>
    <row r="2055" spans="1:10" s="65" customFormat="1" ht="14" x14ac:dyDescent="0.35">
      <c r="A2055" s="145"/>
      <c r="B2055" s="152"/>
      <c r="E2055" s="102"/>
      <c r="F2055" s="102"/>
      <c r="G2055" s="102"/>
      <c r="I2055" s="93"/>
      <c r="J2055" s="93"/>
    </row>
    <row r="2056" spans="1:10" s="65" customFormat="1" ht="14" x14ac:dyDescent="0.35">
      <c r="A2056" s="145"/>
      <c r="B2056" s="152"/>
      <c r="E2056" s="102"/>
      <c r="F2056" s="102"/>
      <c r="G2056" s="102"/>
      <c r="I2056" s="93"/>
      <c r="J2056" s="93"/>
    </row>
    <row r="2057" spans="1:10" s="65" customFormat="1" ht="14" x14ac:dyDescent="0.35">
      <c r="A2057" s="145"/>
      <c r="B2057" s="152"/>
      <c r="E2057" s="102"/>
      <c r="F2057" s="102"/>
      <c r="G2057" s="102"/>
      <c r="I2057" s="93"/>
      <c r="J2057" s="93"/>
    </row>
    <row r="2058" spans="1:10" s="65" customFormat="1" ht="14" x14ac:dyDescent="0.35">
      <c r="A2058" s="145"/>
      <c r="B2058" s="152"/>
      <c r="E2058" s="102"/>
      <c r="F2058" s="102"/>
      <c r="G2058" s="102"/>
      <c r="I2058" s="93"/>
      <c r="J2058" s="93"/>
    </row>
    <row r="2059" spans="1:10" s="65" customFormat="1" ht="14" x14ac:dyDescent="0.35">
      <c r="A2059" s="145"/>
      <c r="B2059" s="152"/>
      <c r="E2059" s="102"/>
      <c r="F2059" s="102"/>
      <c r="G2059" s="102"/>
      <c r="I2059" s="93"/>
      <c r="J2059" s="93"/>
    </row>
    <row r="2060" spans="1:10" s="65" customFormat="1" ht="14" x14ac:dyDescent="0.35">
      <c r="A2060" s="145"/>
      <c r="B2060" s="152"/>
      <c r="E2060" s="102"/>
      <c r="F2060" s="102"/>
      <c r="G2060" s="102"/>
      <c r="I2060" s="93"/>
      <c r="J2060" s="93"/>
    </row>
    <row r="2061" spans="1:10" s="65" customFormat="1" ht="14" x14ac:dyDescent="0.35">
      <c r="A2061" s="145"/>
      <c r="B2061" s="152"/>
      <c r="E2061" s="102"/>
      <c r="F2061" s="102"/>
      <c r="G2061" s="102"/>
      <c r="I2061" s="93"/>
      <c r="J2061" s="93"/>
    </row>
    <row r="2062" spans="1:10" s="65" customFormat="1" ht="14" x14ac:dyDescent="0.35">
      <c r="A2062" s="145"/>
      <c r="B2062" s="152"/>
      <c r="E2062" s="102"/>
      <c r="F2062" s="102"/>
      <c r="G2062" s="102"/>
      <c r="I2062" s="93"/>
      <c r="J2062" s="93"/>
    </row>
    <row r="2063" spans="1:10" s="65" customFormat="1" ht="14" x14ac:dyDescent="0.35">
      <c r="A2063" s="145"/>
      <c r="B2063" s="152"/>
      <c r="E2063" s="102"/>
      <c r="F2063" s="102"/>
      <c r="G2063" s="102"/>
      <c r="I2063" s="93"/>
      <c r="J2063" s="93"/>
    </row>
    <row r="2064" spans="1:10" s="65" customFormat="1" ht="14" x14ac:dyDescent="0.35">
      <c r="A2064" s="145"/>
      <c r="B2064" s="152"/>
      <c r="E2064" s="102"/>
      <c r="F2064" s="102"/>
      <c r="G2064" s="102"/>
      <c r="I2064" s="93"/>
      <c r="J2064" s="93"/>
    </row>
    <row r="2065" spans="1:10" s="65" customFormat="1" ht="14" x14ac:dyDescent="0.35">
      <c r="A2065" s="145"/>
      <c r="B2065" s="152"/>
      <c r="E2065" s="102"/>
      <c r="F2065" s="102"/>
      <c r="G2065" s="102"/>
      <c r="I2065" s="93"/>
      <c r="J2065" s="93"/>
    </row>
    <row r="2066" spans="1:10" s="65" customFormat="1" ht="14" x14ac:dyDescent="0.35">
      <c r="A2066" s="145"/>
      <c r="B2066" s="152"/>
      <c r="E2066" s="102"/>
      <c r="F2066" s="102"/>
      <c r="G2066" s="102"/>
      <c r="I2066" s="93"/>
      <c r="J2066" s="93"/>
    </row>
    <row r="2067" spans="1:10" s="65" customFormat="1" ht="14" x14ac:dyDescent="0.35">
      <c r="A2067" s="145"/>
      <c r="B2067" s="152"/>
      <c r="E2067" s="102"/>
      <c r="F2067" s="102"/>
      <c r="G2067" s="102"/>
      <c r="I2067" s="93"/>
      <c r="J2067" s="93"/>
    </row>
    <row r="2068" spans="1:10" s="65" customFormat="1" ht="14" x14ac:dyDescent="0.35">
      <c r="A2068" s="145"/>
      <c r="B2068" s="152"/>
      <c r="E2068" s="102"/>
      <c r="F2068" s="102"/>
      <c r="G2068" s="102"/>
      <c r="I2068" s="93"/>
      <c r="J2068" s="93"/>
    </row>
    <row r="2069" spans="1:10" s="65" customFormat="1" ht="14" x14ac:dyDescent="0.35">
      <c r="A2069" s="145"/>
      <c r="B2069" s="152"/>
      <c r="E2069" s="102"/>
      <c r="F2069" s="102"/>
      <c r="G2069" s="102"/>
      <c r="I2069" s="93"/>
      <c r="J2069" s="93"/>
    </row>
    <row r="2070" spans="1:10" s="65" customFormat="1" ht="14" x14ac:dyDescent="0.35">
      <c r="A2070" s="145"/>
      <c r="B2070" s="152"/>
      <c r="E2070" s="102"/>
      <c r="F2070" s="102"/>
      <c r="G2070" s="102"/>
      <c r="I2070" s="93"/>
      <c r="J2070" s="93"/>
    </row>
    <row r="2071" spans="1:10" s="65" customFormat="1" ht="14" x14ac:dyDescent="0.35">
      <c r="A2071" s="145"/>
      <c r="B2071" s="152"/>
      <c r="E2071" s="102"/>
      <c r="F2071" s="102"/>
      <c r="G2071" s="102"/>
      <c r="I2071" s="93"/>
      <c r="J2071" s="93"/>
    </row>
    <row r="2072" spans="1:10" s="65" customFormat="1" ht="14" x14ac:dyDescent="0.35">
      <c r="A2072" s="145"/>
      <c r="B2072" s="152"/>
      <c r="E2072" s="102"/>
      <c r="F2072" s="102"/>
      <c r="G2072" s="102"/>
      <c r="I2072" s="93"/>
      <c r="J2072" s="93"/>
    </row>
    <row r="2073" spans="1:10" s="65" customFormat="1" ht="14" x14ac:dyDescent="0.35">
      <c r="A2073" s="145"/>
      <c r="B2073" s="152"/>
      <c r="E2073" s="102"/>
      <c r="F2073" s="102"/>
      <c r="G2073" s="102"/>
      <c r="I2073" s="93"/>
      <c r="J2073" s="93"/>
    </row>
    <row r="2074" spans="1:10" s="65" customFormat="1" ht="14" x14ac:dyDescent="0.35">
      <c r="A2074" s="145"/>
      <c r="B2074" s="152"/>
      <c r="E2074" s="102"/>
      <c r="F2074" s="102"/>
      <c r="G2074" s="102"/>
      <c r="I2074" s="93"/>
      <c r="J2074" s="93"/>
    </row>
    <row r="2075" spans="1:10" s="65" customFormat="1" ht="14" x14ac:dyDescent="0.35">
      <c r="A2075" s="145"/>
      <c r="B2075" s="152"/>
      <c r="E2075" s="102"/>
      <c r="F2075" s="102"/>
      <c r="G2075" s="102"/>
      <c r="I2075" s="93"/>
      <c r="J2075" s="93"/>
    </row>
    <row r="2076" spans="1:10" s="65" customFormat="1" ht="14" x14ac:dyDescent="0.35">
      <c r="A2076" s="145"/>
      <c r="B2076" s="152"/>
      <c r="E2076" s="102"/>
      <c r="F2076" s="102"/>
      <c r="G2076" s="102"/>
      <c r="I2076" s="93"/>
      <c r="J2076" s="93"/>
    </row>
    <row r="2077" spans="1:10" s="65" customFormat="1" ht="14" x14ac:dyDescent="0.35">
      <c r="A2077" s="145"/>
      <c r="B2077" s="152"/>
      <c r="E2077" s="102"/>
      <c r="F2077" s="102"/>
      <c r="G2077" s="102"/>
      <c r="I2077" s="93"/>
      <c r="J2077" s="93"/>
    </row>
    <row r="2078" spans="1:10" s="65" customFormat="1" ht="14" x14ac:dyDescent="0.35">
      <c r="A2078" s="145"/>
      <c r="B2078" s="152"/>
      <c r="E2078" s="102"/>
      <c r="F2078" s="102"/>
      <c r="G2078" s="102"/>
      <c r="I2078" s="93"/>
      <c r="J2078" s="93"/>
    </row>
    <row r="2079" spans="1:10" s="65" customFormat="1" ht="14" x14ac:dyDescent="0.35">
      <c r="A2079" s="145"/>
      <c r="B2079" s="152"/>
      <c r="E2079" s="102"/>
      <c r="F2079" s="102"/>
      <c r="G2079" s="102"/>
      <c r="I2079" s="93"/>
      <c r="J2079" s="93"/>
    </row>
    <row r="2080" spans="1:10" s="65" customFormat="1" ht="14" x14ac:dyDescent="0.35">
      <c r="A2080" s="145"/>
      <c r="B2080" s="152"/>
      <c r="E2080" s="102"/>
      <c r="F2080" s="102"/>
      <c r="G2080" s="102"/>
      <c r="I2080" s="93"/>
      <c r="J2080" s="93"/>
    </row>
    <row r="2081" spans="1:10" s="65" customFormat="1" ht="14" x14ac:dyDescent="0.35">
      <c r="A2081" s="145"/>
      <c r="B2081" s="152"/>
      <c r="E2081" s="102"/>
      <c r="F2081" s="102"/>
      <c r="G2081" s="102"/>
      <c r="I2081" s="93"/>
      <c r="J2081" s="93"/>
    </row>
    <row r="2082" spans="1:10" s="65" customFormat="1" ht="14" x14ac:dyDescent="0.35">
      <c r="A2082" s="145"/>
      <c r="B2082" s="152"/>
      <c r="E2082" s="102"/>
      <c r="F2082" s="102"/>
      <c r="G2082" s="102"/>
      <c r="I2082" s="93"/>
      <c r="J2082" s="93"/>
    </row>
    <row r="2083" spans="1:10" s="65" customFormat="1" ht="14" x14ac:dyDescent="0.35">
      <c r="A2083" s="145"/>
      <c r="B2083" s="152"/>
      <c r="E2083" s="102"/>
      <c r="F2083" s="102"/>
      <c r="G2083" s="102"/>
      <c r="I2083" s="93"/>
      <c r="J2083" s="93"/>
    </row>
    <row r="2084" spans="1:10" s="65" customFormat="1" ht="14" x14ac:dyDescent="0.35">
      <c r="A2084" s="145"/>
      <c r="B2084" s="152"/>
      <c r="E2084" s="102"/>
      <c r="F2084" s="102"/>
      <c r="G2084" s="102"/>
      <c r="I2084" s="93"/>
      <c r="J2084" s="93"/>
    </row>
    <row r="2085" spans="1:10" s="65" customFormat="1" ht="14" x14ac:dyDescent="0.35">
      <c r="A2085" s="145"/>
      <c r="B2085" s="152"/>
      <c r="E2085" s="102"/>
      <c r="F2085" s="102"/>
      <c r="G2085" s="102"/>
      <c r="I2085" s="93"/>
      <c r="J2085" s="93"/>
    </row>
    <row r="2086" spans="1:10" s="65" customFormat="1" ht="14" x14ac:dyDescent="0.35">
      <c r="A2086" s="145"/>
      <c r="B2086" s="152"/>
      <c r="E2086" s="102"/>
      <c r="F2086" s="102"/>
      <c r="G2086" s="102"/>
      <c r="I2086" s="93"/>
      <c r="J2086" s="93"/>
    </row>
    <row r="2087" spans="1:10" s="65" customFormat="1" ht="14" x14ac:dyDescent="0.35">
      <c r="A2087" s="145"/>
      <c r="B2087" s="152"/>
      <c r="E2087" s="102"/>
      <c r="F2087" s="102"/>
      <c r="G2087" s="102"/>
      <c r="I2087" s="93"/>
      <c r="J2087" s="93"/>
    </row>
    <row r="2088" spans="1:10" s="65" customFormat="1" ht="14" x14ac:dyDescent="0.35">
      <c r="A2088" s="145"/>
      <c r="B2088" s="152"/>
      <c r="E2088" s="102"/>
      <c r="F2088" s="102"/>
      <c r="G2088" s="102"/>
      <c r="I2088" s="93"/>
      <c r="J2088" s="93"/>
    </row>
    <row r="2089" spans="1:10" s="65" customFormat="1" ht="14" x14ac:dyDescent="0.35">
      <c r="A2089" s="145"/>
      <c r="B2089" s="152"/>
      <c r="E2089" s="102"/>
      <c r="F2089" s="102"/>
      <c r="G2089" s="102"/>
      <c r="I2089" s="93"/>
      <c r="J2089" s="93"/>
    </row>
    <row r="2090" spans="1:10" s="65" customFormat="1" ht="14" x14ac:dyDescent="0.35">
      <c r="A2090" s="145"/>
      <c r="B2090" s="152"/>
      <c r="E2090" s="102"/>
      <c r="F2090" s="102"/>
      <c r="G2090" s="102"/>
      <c r="I2090" s="93"/>
      <c r="J2090" s="93"/>
    </row>
    <row r="2091" spans="1:10" s="65" customFormat="1" ht="14" x14ac:dyDescent="0.35">
      <c r="A2091" s="145"/>
      <c r="B2091" s="152"/>
      <c r="E2091" s="102"/>
      <c r="F2091" s="102"/>
      <c r="G2091" s="102"/>
      <c r="I2091" s="93"/>
      <c r="J2091" s="93"/>
    </row>
    <row r="2092" spans="1:10" s="65" customFormat="1" ht="14" x14ac:dyDescent="0.35">
      <c r="A2092" s="145"/>
      <c r="B2092" s="152"/>
      <c r="E2092" s="102"/>
      <c r="F2092" s="102"/>
      <c r="G2092" s="102"/>
      <c r="I2092" s="93"/>
      <c r="J2092" s="93"/>
    </row>
    <row r="2093" spans="1:10" s="65" customFormat="1" ht="14" x14ac:dyDescent="0.35">
      <c r="A2093" s="145"/>
      <c r="B2093" s="152"/>
      <c r="E2093" s="102"/>
      <c r="F2093" s="102"/>
      <c r="G2093" s="102"/>
      <c r="I2093" s="93"/>
      <c r="J2093" s="93"/>
    </row>
    <row r="2094" spans="1:10" s="65" customFormat="1" ht="14" x14ac:dyDescent="0.35">
      <c r="A2094" s="145"/>
      <c r="B2094" s="152"/>
      <c r="E2094" s="102"/>
      <c r="F2094" s="102"/>
      <c r="G2094" s="102"/>
      <c r="I2094" s="93"/>
      <c r="J2094" s="93"/>
    </row>
    <row r="2095" spans="1:10" s="65" customFormat="1" ht="14" x14ac:dyDescent="0.35">
      <c r="A2095" s="145"/>
      <c r="B2095" s="152"/>
      <c r="E2095" s="102"/>
      <c r="F2095" s="102"/>
      <c r="G2095" s="102"/>
      <c r="I2095" s="93"/>
      <c r="J2095" s="93"/>
    </row>
    <row r="2096" spans="1:10" s="65" customFormat="1" ht="14" x14ac:dyDescent="0.35">
      <c r="A2096" s="145"/>
      <c r="B2096" s="152"/>
      <c r="E2096" s="102"/>
      <c r="F2096" s="102"/>
      <c r="G2096" s="102"/>
      <c r="I2096" s="93"/>
      <c r="J2096" s="93"/>
    </row>
    <row r="2097" spans="1:10" s="65" customFormat="1" ht="14" x14ac:dyDescent="0.35">
      <c r="A2097" s="145"/>
      <c r="B2097" s="152"/>
      <c r="E2097" s="102"/>
      <c r="F2097" s="102"/>
      <c r="G2097" s="102"/>
      <c r="I2097" s="93"/>
      <c r="J2097" s="93"/>
    </row>
    <row r="2098" spans="1:10" s="65" customFormat="1" ht="14" x14ac:dyDescent="0.35">
      <c r="A2098" s="145"/>
      <c r="B2098" s="152"/>
      <c r="E2098" s="102"/>
      <c r="F2098" s="102"/>
      <c r="G2098" s="102"/>
      <c r="I2098" s="93"/>
      <c r="J2098" s="93"/>
    </row>
    <row r="2099" spans="1:10" s="65" customFormat="1" ht="14" x14ac:dyDescent="0.35">
      <c r="A2099" s="145"/>
      <c r="B2099" s="152"/>
      <c r="E2099" s="102"/>
      <c r="F2099" s="102"/>
      <c r="G2099" s="102"/>
      <c r="I2099" s="93"/>
      <c r="J2099" s="93"/>
    </row>
    <row r="2100" spans="1:10" s="65" customFormat="1" ht="14" x14ac:dyDescent="0.35">
      <c r="A2100" s="145"/>
      <c r="B2100" s="152"/>
      <c r="E2100" s="102"/>
      <c r="F2100" s="102"/>
      <c r="G2100" s="102"/>
      <c r="I2100" s="93"/>
      <c r="J2100" s="93"/>
    </row>
    <row r="2101" spans="1:10" s="65" customFormat="1" ht="14" x14ac:dyDescent="0.35">
      <c r="A2101" s="145"/>
      <c r="B2101" s="152"/>
      <c r="E2101" s="102"/>
      <c r="F2101" s="102"/>
      <c r="G2101" s="102"/>
      <c r="I2101" s="93"/>
      <c r="J2101" s="93"/>
    </row>
    <row r="2102" spans="1:10" s="65" customFormat="1" ht="14" x14ac:dyDescent="0.35">
      <c r="A2102" s="145"/>
      <c r="B2102" s="152"/>
      <c r="E2102" s="102"/>
      <c r="F2102" s="102"/>
      <c r="G2102" s="102"/>
      <c r="I2102" s="93"/>
      <c r="J2102" s="93"/>
    </row>
    <row r="2103" spans="1:10" s="65" customFormat="1" ht="14" x14ac:dyDescent="0.35">
      <c r="A2103" s="145"/>
      <c r="B2103" s="152"/>
      <c r="E2103" s="102"/>
      <c r="F2103" s="102"/>
      <c r="G2103" s="102"/>
      <c r="I2103" s="93"/>
      <c r="J2103" s="93"/>
    </row>
    <row r="2104" spans="1:10" s="65" customFormat="1" ht="14" x14ac:dyDescent="0.35">
      <c r="A2104" s="145"/>
      <c r="B2104" s="152"/>
      <c r="E2104" s="102"/>
      <c r="F2104" s="102"/>
      <c r="G2104" s="102"/>
      <c r="I2104" s="93"/>
      <c r="J2104" s="93"/>
    </row>
    <row r="2105" spans="1:10" s="65" customFormat="1" ht="14" x14ac:dyDescent="0.35">
      <c r="A2105" s="145"/>
      <c r="B2105" s="152"/>
      <c r="E2105" s="102"/>
      <c r="F2105" s="102"/>
      <c r="G2105" s="102"/>
      <c r="I2105" s="93"/>
      <c r="J2105" s="93"/>
    </row>
    <row r="2106" spans="1:10" s="65" customFormat="1" ht="14" x14ac:dyDescent="0.35">
      <c r="A2106" s="145"/>
      <c r="B2106" s="152"/>
      <c r="E2106" s="102"/>
      <c r="F2106" s="102"/>
      <c r="G2106" s="102"/>
      <c r="I2106" s="93"/>
      <c r="J2106" s="93"/>
    </row>
    <row r="2107" spans="1:10" s="65" customFormat="1" ht="14" x14ac:dyDescent="0.35">
      <c r="A2107" s="145"/>
      <c r="B2107" s="152"/>
      <c r="E2107" s="102"/>
      <c r="F2107" s="102"/>
      <c r="G2107" s="102"/>
      <c r="I2107" s="93"/>
      <c r="J2107" s="93"/>
    </row>
    <row r="2108" spans="1:10" s="65" customFormat="1" ht="14" x14ac:dyDescent="0.35">
      <c r="A2108" s="145"/>
      <c r="B2108" s="152"/>
      <c r="E2108" s="102"/>
      <c r="F2108" s="102"/>
      <c r="G2108" s="102"/>
      <c r="I2108" s="93"/>
      <c r="J2108" s="93"/>
    </row>
    <row r="2109" spans="1:10" s="65" customFormat="1" ht="14" x14ac:dyDescent="0.35">
      <c r="A2109" s="145"/>
      <c r="B2109" s="152"/>
      <c r="E2109" s="102"/>
      <c r="F2109" s="102"/>
      <c r="G2109" s="102"/>
      <c r="I2109" s="93"/>
      <c r="J2109" s="93"/>
    </row>
    <row r="2110" spans="1:10" s="65" customFormat="1" ht="14" x14ac:dyDescent="0.35">
      <c r="A2110" s="145"/>
      <c r="B2110" s="152"/>
      <c r="E2110" s="102"/>
      <c r="F2110" s="102"/>
      <c r="G2110" s="102"/>
      <c r="I2110" s="93"/>
      <c r="J2110" s="93"/>
    </row>
    <row r="2111" spans="1:10" s="65" customFormat="1" ht="14" x14ac:dyDescent="0.35">
      <c r="A2111" s="145"/>
      <c r="B2111" s="152"/>
      <c r="E2111" s="102"/>
      <c r="F2111" s="102"/>
      <c r="G2111" s="102"/>
      <c r="I2111" s="93"/>
      <c r="J2111" s="93"/>
    </row>
    <row r="2112" spans="1:10" s="65" customFormat="1" ht="14" x14ac:dyDescent="0.35">
      <c r="A2112" s="145"/>
      <c r="B2112" s="152"/>
      <c r="E2112" s="102"/>
      <c r="F2112" s="102"/>
      <c r="G2112" s="102"/>
      <c r="I2112" s="93"/>
      <c r="J2112" s="93"/>
    </row>
    <row r="2113" spans="1:10" s="65" customFormat="1" ht="14" x14ac:dyDescent="0.35">
      <c r="A2113" s="145"/>
      <c r="B2113" s="152"/>
      <c r="E2113" s="102"/>
      <c r="F2113" s="102"/>
      <c r="G2113" s="102"/>
      <c r="I2113" s="93"/>
      <c r="J2113" s="93"/>
    </row>
    <row r="2114" spans="1:10" s="65" customFormat="1" ht="14" x14ac:dyDescent="0.35">
      <c r="A2114" s="145"/>
      <c r="B2114" s="152"/>
      <c r="E2114" s="102"/>
      <c r="F2114" s="102"/>
      <c r="G2114" s="102"/>
      <c r="I2114" s="93"/>
      <c r="J2114" s="93"/>
    </row>
    <row r="2115" spans="1:10" s="65" customFormat="1" ht="14" x14ac:dyDescent="0.35">
      <c r="A2115" s="145"/>
      <c r="B2115" s="152"/>
      <c r="E2115" s="102"/>
      <c r="F2115" s="102"/>
      <c r="G2115" s="102"/>
      <c r="I2115" s="93"/>
      <c r="J2115" s="93"/>
    </row>
    <row r="2116" spans="1:10" s="65" customFormat="1" ht="14" x14ac:dyDescent="0.35">
      <c r="A2116" s="145"/>
      <c r="B2116" s="152"/>
      <c r="E2116" s="102"/>
      <c r="F2116" s="102"/>
      <c r="G2116" s="102"/>
      <c r="I2116" s="93"/>
      <c r="J2116" s="93"/>
    </row>
    <row r="2117" spans="1:10" s="65" customFormat="1" ht="14" x14ac:dyDescent="0.35">
      <c r="A2117" s="145"/>
      <c r="B2117" s="152"/>
      <c r="E2117" s="102"/>
      <c r="F2117" s="102"/>
      <c r="G2117" s="102"/>
      <c r="I2117" s="93"/>
      <c r="J2117" s="93"/>
    </row>
    <row r="2118" spans="1:10" s="65" customFormat="1" ht="14" x14ac:dyDescent="0.35">
      <c r="A2118" s="145"/>
      <c r="B2118" s="152"/>
      <c r="E2118" s="102"/>
      <c r="F2118" s="102"/>
      <c r="G2118" s="102"/>
      <c r="I2118" s="93"/>
      <c r="J2118" s="93"/>
    </row>
    <row r="2119" spans="1:10" s="65" customFormat="1" ht="14" x14ac:dyDescent="0.35">
      <c r="A2119" s="145"/>
      <c r="B2119" s="152"/>
      <c r="E2119" s="102"/>
      <c r="F2119" s="102"/>
      <c r="G2119" s="102"/>
      <c r="I2119" s="93"/>
      <c r="J2119" s="93"/>
    </row>
    <row r="2120" spans="1:10" s="65" customFormat="1" ht="14" x14ac:dyDescent="0.35">
      <c r="A2120" s="145"/>
      <c r="B2120" s="152"/>
      <c r="E2120" s="102"/>
      <c r="F2120" s="102"/>
      <c r="G2120" s="102"/>
      <c r="I2120" s="93"/>
      <c r="J2120" s="93"/>
    </row>
    <row r="2121" spans="1:10" s="65" customFormat="1" ht="14" x14ac:dyDescent="0.35">
      <c r="A2121" s="145"/>
      <c r="B2121" s="152"/>
      <c r="E2121" s="102"/>
      <c r="F2121" s="102"/>
      <c r="G2121" s="102"/>
      <c r="I2121" s="93"/>
      <c r="J2121" s="93"/>
    </row>
    <row r="2122" spans="1:10" s="65" customFormat="1" ht="14" x14ac:dyDescent="0.35">
      <c r="A2122" s="145"/>
      <c r="B2122" s="152"/>
      <c r="E2122" s="102"/>
      <c r="F2122" s="102"/>
      <c r="G2122" s="102"/>
      <c r="I2122" s="93"/>
      <c r="J2122" s="93"/>
    </row>
    <row r="2123" spans="1:10" s="65" customFormat="1" ht="14" x14ac:dyDescent="0.35">
      <c r="A2123" s="145"/>
      <c r="B2123" s="152"/>
      <c r="E2123" s="102"/>
      <c r="F2123" s="102"/>
      <c r="G2123" s="102"/>
      <c r="I2123" s="93"/>
      <c r="J2123" s="93"/>
    </row>
    <row r="2124" spans="1:10" s="65" customFormat="1" ht="14" x14ac:dyDescent="0.35">
      <c r="A2124" s="145"/>
      <c r="B2124" s="152"/>
      <c r="E2124" s="102"/>
      <c r="F2124" s="102"/>
      <c r="G2124" s="102"/>
      <c r="I2124" s="93"/>
      <c r="J2124" s="93"/>
    </row>
    <row r="2125" spans="1:10" s="65" customFormat="1" ht="14" x14ac:dyDescent="0.35">
      <c r="A2125" s="145"/>
      <c r="B2125" s="152"/>
      <c r="E2125" s="102"/>
      <c r="F2125" s="102"/>
      <c r="G2125" s="102"/>
      <c r="I2125" s="93"/>
      <c r="J2125" s="93"/>
    </row>
    <row r="2126" spans="1:10" s="65" customFormat="1" ht="14" x14ac:dyDescent="0.35">
      <c r="A2126" s="145"/>
      <c r="B2126" s="152"/>
      <c r="E2126" s="102"/>
      <c r="F2126" s="102"/>
      <c r="G2126" s="102"/>
      <c r="I2126" s="93"/>
      <c r="J2126" s="93"/>
    </row>
    <row r="2127" spans="1:10" s="65" customFormat="1" ht="14" x14ac:dyDescent="0.35">
      <c r="A2127" s="145"/>
      <c r="B2127" s="152"/>
      <c r="E2127" s="102"/>
      <c r="F2127" s="102"/>
      <c r="G2127" s="102"/>
      <c r="I2127" s="93"/>
      <c r="J2127" s="93"/>
    </row>
    <row r="2128" spans="1:10" s="65" customFormat="1" ht="14" x14ac:dyDescent="0.35">
      <c r="A2128" s="145"/>
      <c r="B2128" s="152"/>
      <c r="E2128" s="102"/>
      <c r="F2128" s="102"/>
      <c r="G2128" s="102"/>
      <c r="I2128" s="93"/>
      <c r="J2128" s="93"/>
    </row>
    <row r="2129" spans="1:10" s="65" customFormat="1" ht="14" x14ac:dyDescent="0.35">
      <c r="A2129" s="145"/>
      <c r="B2129" s="152"/>
      <c r="E2129" s="102"/>
      <c r="F2129" s="102"/>
      <c r="G2129" s="102"/>
      <c r="I2129" s="93"/>
      <c r="J2129" s="93"/>
    </row>
    <row r="2130" spans="1:10" s="65" customFormat="1" ht="14" x14ac:dyDescent="0.35">
      <c r="A2130" s="145"/>
      <c r="B2130" s="152"/>
      <c r="E2130" s="102"/>
      <c r="F2130" s="102"/>
      <c r="G2130" s="102"/>
      <c r="I2130" s="93"/>
      <c r="J2130" s="93"/>
    </row>
    <row r="2131" spans="1:10" s="65" customFormat="1" ht="14" x14ac:dyDescent="0.35">
      <c r="A2131" s="145"/>
      <c r="B2131" s="152"/>
      <c r="E2131" s="102"/>
      <c r="F2131" s="102"/>
      <c r="G2131" s="102"/>
      <c r="I2131" s="93"/>
      <c r="J2131" s="93"/>
    </row>
    <row r="2132" spans="1:10" s="65" customFormat="1" ht="14" x14ac:dyDescent="0.35">
      <c r="A2132" s="145"/>
      <c r="B2132" s="152"/>
      <c r="E2132" s="102"/>
      <c r="F2132" s="102"/>
      <c r="G2132" s="102"/>
      <c r="I2132" s="93"/>
      <c r="J2132" s="93"/>
    </row>
    <row r="2133" spans="1:10" s="65" customFormat="1" ht="14" x14ac:dyDescent="0.35">
      <c r="A2133" s="145"/>
      <c r="B2133" s="152"/>
      <c r="E2133" s="102"/>
      <c r="F2133" s="102"/>
      <c r="G2133" s="102"/>
      <c r="I2133" s="93"/>
      <c r="J2133" s="93"/>
    </row>
    <row r="2134" spans="1:10" s="65" customFormat="1" ht="14" x14ac:dyDescent="0.35">
      <c r="A2134" s="145"/>
      <c r="B2134" s="152"/>
      <c r="E2134" s="102"/>
      <c r="F2134" s="102"/>
      <c r="G2134" s="102"/>
      <c r="I2134" s="93"/>
      <c r="J2134" s="93"/>
    </row>
    <row r="2135" spans="1:10" s="65" customFormat="1" ht="14" x14ac:dyDescent="0.35">
      <c r="A2135" s="145"/>
      <c r="B2135" s="152"/>
      <c r="E2135" s="102"/>
      <c r="F2135" s="102"/>
      <c r="G2135" s="102"/>
      <c r="I2135" s="93"/>
      <c r="J2135" s="93"/>
    </row>
    <row r="2136" spans="1:10" s="65" customFormat="1" ht="14" x14ac:dyDescent="0.35">
      <c r="A2136" s="145"/>
      <c r="B2136" s="152"/>
      <c r="E2136" s="102"/>
      <c r="F2136" s="102"/>
      <c r="G2136" s="102"/>
      <c r="I2136" s="93"/>
      <c r="J2136" s="93"/>
    </row>
    <row r="2137" spans="1:10" s="65" customFormat="1" ht="14" x14ac:dyDescent="0.35">
      <c r="A2137" s="145"/>
      <c r="B2137" s="152"/>
      <c r="E2137" s="102"/>
      <c r="F2137" s="102"/>
      <c r="G2137" s="102"/>
      <c r="I2137" s="93"/>
      <c r="J2137" s="93"/>
    </row>
    <row r="2138" spans="1:10" s="65" customFormat="1" ht="14" x14ac:dyDescent="0.35">
      <c r="A2138" s="145"/>
      <c r="B2138" s="152"/>
      <c r="E2138" s="102"/>
      <c r="F2138" s="102"/>
      <c r="G2138" s="102"/>
      <c r="I2138" s="93"/>
      <c r="J2138" s="93"/>
    </row>
    <row r="2139" spans="1:10" s="65" customFormat="1" ht="14" x14ac:dyDescent="0.35">
      <c r="A2139" s="145"/>
      <c r="B2139" s="152"/>
      <c r="E2139" s="102"/>
      <c r="F2139" s="102"/>
      <c r="G2139" s="102"/>
      <c r="I2139" s="93"/>
      <c r="J2139" s="93"/>
    </row>
    <row r="2140" spans="1:10" s="65" customFormat="1" ht="14" x14ac:dyDescent="0.35">
      <c r="A2140" s="145"/>
      <c r="B2140" s="152"/>
      <c r="E2140" s="102"/>
      <c r="F2140" s="102"/>
      <c r="G2140" s="102"/>
      <c r="I2140" s="93"/>
      <c r="J2140" s="93"/>
    </row>
    <row r="2141" spans="1:10" s="65" customFormat="1" ht="14" x14ac:dyDescent="0.35">
      <c r="A2141" s="145"/>
      <c r="B2141" s="152"/>
      <c r="E2141" s="102"/>
      <c r="F2141" s="102"/>
      <c r="G2141" s="102"/>
      <c r="I2141" s="93"/>
      <c r="J2141" s="93"/>
    </row>
    <row r="2142" spans="1:10" s="65" customFormat="1" ht="14" x14ac:dyDescent="0.35">
      <c r="A2142" s="145"/>
      <c r="B2142" s="152"/>
      <c r="E2142" s="102"/>
      <c r="F2142" s="102"/>
      <c r="G2142" s="102"/>
      <c r="I2142" s="93"/>
      <c r="J2142" s="93"/>
    </row>
    <row r="2143" spans="1:10" s="65" customFormat="1" ht="14" x14ac:dyDescent="0.35">
      <c r="A2143" s="145"/>
      <c r="B2143" s="152"/>
      <c r="E2143" s="102"/>
      <c r="F2143" s="102"/>
      <c r="G2143" s="102"/>
      <c r="I2143" s="93"/>
      <c r="J2143" s="93"/>
    </row>
    <row r="2144" spans="1:10" s="65" customFormat="1" ht="14" x14ac:dyDescent="0.35">
      <c r="A2144" s="145"/>
      <c r="B2144" s="152"/>
      <c r="E2144" s="102"/>
      <c r="F2144" s="102"/>
      <c r="G2144" s="102"/>
      <c r="I2144" s="93"/>
      <c r="J2144" s="93"/>
    </row>
    <row r="2145" spans="1:10" s="65" customFormat="1" ht="14" x14ac:dyDescent="0.35">
      <c r="A2145" s="145"/>
      <c r="B2145" s="152"/>
      <c r="E2145" s="102"/>
      <c r="F2145" s="102"/>
      <c r="G2145" s="102"/>
      <c r="I2145" s="93"/>
      <c r="J2145" s="93"/>
    </row>
    <row r="2146" spans="1:10" s="65" customFormat="1" ht="14" x14ac:dyDescent="0.35">
      <c r="A2146" s="145"/>
      <c r="B2146" s="152"/>
      <c r="E2146" s="102"/>
      <c r="F2146" s="102"/>
      <c r="G2146" s="102"/>
      <c r="I2146" s="93"/>
      <c r="J2146" s="93"/>
    </row>
    <row r="2147" spans="1:10" s="65" customFormat="1" ht="14" x14ac:dyDescent="0.35">
      <c r="A2147" s="145"/>
      <c r="B2147" s="152"/>
      <c r="E2147" s="102"/>
      <c r="F2147" s="102"/>
      <c r="G2147" s="102"/>
      <c r="I2147" s="93"/>
      <c r="J2147" s="93"/>
    </row>
    <row r="2148" spans="1:10" s="65" customFormat="1" ht="14" x14ac:dyDescent="0.35">
      <c r="A2148" s="145"/>
      <c r="B2148" s="152"/>
      <c r="E2148" s="102"/>
      <c r="F2148" s="102"/>
      <c r="G2148" s="102"/>
      <c r="I2148" s="93"/>
      <c r="J2148" s="93"/>
    </row>
    <row r="2149" spans="1:10" s="65" customFormat="1" ht="14" x14ac:dyDescent="0.35">
      <c r="A2149" s="145"/>
      <c r="B2149" s="152"/>
      <c r="E2149" s="102"/>
      <c r="F2149" s="102"/>
      <c r="G2149" s="102"/>
      <c r="I2149" s="93"/>
      <c r="J2149" s="93"/>
    </row>
    <row r="2150" spans="1:10" s="65" customFormat="1" ht="14" x14ac:dyDescent="0.35">
      <c r="A2150" s="145"/>
      <c r="B2150" s="152"/>
      <c r="E2150" s="102"/>
      <c r="F2150" s="102"/>
      <c r="G2150" s="102"/>
      <c r="I2150" s="93"/>
      <c r="J2150" s="93"/>
    </row>
    <row r="2151" spans="1:10" s="65" customFormat="1" ht="14" x14ac:dyDescent="0.35">
      <c r="A2151" s="145"/>
      <c r="B2151" s="152"/>
      <c r="E2151" s="102"/>
      <c r="F2151" s="102"/>
      <c r="G2151" s="102"/>
      <c r="I2151" s="93"/>
      <c r="J2151" s="93"/>
    </row>
    <row r="2152" spans="1:10" s="65" customFormat="1" ht="14" x14ac:dyDescent="0.35">
      <c r="A2152" s="145"/>
      <c r="B2152" s="152"/>
      <c r="E2152" s="102"/>
      <c r="F2152" s="102"/>
      <c r="G2152" s="102"/>
      <c r="I2152" s="93"/>
      <c r="J2152" s="93"/>
    </row>
    <row r="2153" spans="1:10" s="65" customFormat="1" ht="14" x14ac:dyDescent="0.35">
      <c r="A2153" s="145"/>
      <c r="B2153" s="152"/>
      <c r="E2153" s="102"/>
      <c r="F2153" s="102"/>
      <c r="G2153" s="102"/>
      <c r="I2153" s="93"/>
      <c r="J2153" s="93"/>
    </row>
    <row r="2154" spans="1:10" s="65" customFormat="1" ht="14" x14ac:dyDescent="0.35">
      <c r="A2154" s="145"/>
      <c r="B2154" s="152"/>
      <c r="E2154" s="102"/>
      <c r="F2154" s="102"/>
      <c r="G2154" s="102"/>
      <c r="I2154" s="93"/>
      <c r="J2154" s="93"/>
    </row>
    <row r="2155" spans="1:10" s="65" customFormat="1" ht="14" x14ac:dyDescent="0.35">
      <c r="A2155" s="145"/>
      <c r="B2155" s="152"/>
      <c r="E2155" s="102"/>
      <c r="F2155" s="102"/>
      <c r="G2155" s="102"/>
      <c r="I2155" s="93"/>
      <c r="J2155" s="93"/>
    </row>
    <row r="2156" spans="1:10" s="65" customFormat="1" ht="14" x14ac:dyDescent="0.35">
      <c r="A2156" s="145"/>
      <c r="B2156" s="152"/>
      <c r="E2156" s="102"/>
      <c r="F2156" s="102"/>
      <c r="G2156" s="102"/>
      <c r="I2156" s="93"/>
      <c r="J2156" s="93"/>
    </row>
    <row r="2157" spans="1:10" s="65" customFormat="1" ht="14" x14ac:dyDescent="0.35">
      <c r="A2157" s="145"/>
      <c r="B2157" s="152"/>
      <c r="E2157" s="102"/>
      <c r="F2157" s="102"/>
      <c r="G2157" s="102"/>
      <c r="I2157" s="93"/>
      <c r="J2157" s="93"/>
    </row>
    <row r="2158" spans="1:10" s="65" customFormat="1" ht="14" x14ac:dyDescent="0.35">
      <c r="A2158" s="145"/>
      <c r="B2158" s="152"/>
      <c r="E2158" s="102"/>
      <c r="F2158" s="102"/>
      <c r="G2158" s="102"/>
      <c r="I2158" s="93"/>
      <c r="J2158" s="93"/>
    </row>
    <row r="2159" spans="1:10" s="65" customFormat="1" ht="14" x14ac:dyDescent="0.35">
      <c r="A2159" s="145"/>
      <c r="B2159" s="152"/>
      <c r="E2159" s="102"/>
      <c r="F2159" s="102"/>
      <c r="G2159" s="102"/>
      <c r="I2159" s="93"/>
      <c r="J2159" s="93"/>
    </row>
    <row r="2160" spans="1:10" s="65" customFormat="1" ht="14" x14ac:dyDescent="0.35">
      <c r="A2160" s="145"/>
      <c r="B2160" s="152"/>
      <c r="E2160" s="102"/>
      <c r="F2160" s="102"/>
      <c r="G2160" s="102"/>
      <c r="I2160" s="93"/>
      <c r="J2160" s="93"/>
    </row>
    <row r="2161" spans="1:10" s="65" customFormat="1" ht="14" x14ac:dyDescent="0.35">
      <c r="A2161" s="145"/>
      <c r="B2161" s="152"/>
      <c r="E2161" s="102"/>
      <c r="F2161" s="102"/>
      <c r="G2161" s="102"/>
      <c r="I2161" s="93"/>
      <c r="J2161" s="93"/>
    </row>
    <row r="2162" spans="1:10" s="65" customFormat="1" ht="14" x14ac:dyDescent="0.35">
      <c r="A2162" s="145"/>
      <c r="B2162" s="152"/>
      <c r="E2162" s="102"/>
      <c r="F2162" s="102"/>
      <c r="G2162" s="102"/>
      <c r="I2162" s="93"/>
      <c r="J2162" s="93"/>
    </row>
    <row r="2163" spans="1:10" s="65" customFormat="1" ht="14" x14ac:dyDescent="0.35">
      <c r="A2163" s="145"/>
      <c r="B2163" s="152"/>
      <c r="E2163" s="102"/>
      <c r="F2163" s="102"/>
      <c r="G2163" s="102"/>
      <c r="I2163" s="93"/>
      <c r="J2163" s="93"/>
    </row>
    <row r="2164" spans="1:10" s="65" customFormat="1" ht="14" x14ac:dyDescent="0.35">
      <c r="A2164" s="145"/>
      <c r="B2164" s="152"/>
      <c r="E2164" s="102"/>
      <c r="F2164" s="102"/>
      <c r="G2164" s="102"/>
      <c r="I2164" s="93"/>
      <c r="J2164" s="93"/>
    </row>
    <row r="2165" spans="1:10" s="65" customFormat="1" ht="14" x14ac:dyDescent="0.35">
      <c r="A2165" s="145"/>
      <c r="B2165" s="152"/>
      <c r="E2165" s="102"/>
      <c r="F2165" s="102"/>
      <c r="G2165" s="102"/>
      <c r="I2165" s="93"/>
      <c r="J2165" s="93"/>
    </row>
    <row r="2166" spans="1:10" s="65" customFormat="1" ht="14" x14ac:dyDescent="0.35">
      <c r="A2166" s="145"/>
      <c r="B2166" s="152"/>
      <c r="E2166" s="102"/>
      <c r="F2166" s="102"/>
      <c r="G2166" s="102"/>
      <c r="I2166" s="93"/>
      <c r="J2166" s="93"/>
    </row>
    <row r="2167" spans="1:10" s="65" customFormat="1" ht="14" x14ac:dyDescent="0.35">
      <c r="A2167" s="145"/>
      <c r="B2167" s="152"/>
      <c r="E2167" s="102"/>
      <c r="F2167" s="102"/>
      <c r="G2167" s="102"/>
      <c r="I2167" s="93"/>
      <c r="J2167" s="93"/>
    </row>
    <row r="2168" spans="1:10" s="65" customFormat="1" ht="14" x14ac:dyDescent="0.35">
      <c r="A2168" s="145"/>
      <c r="B2168" s="152"/>
      <c r="E2168" s="102"/>
      <c r="F2168" s="102"/>
      <c r="G2168" s="102"/>
      <c r="I2168" s="93"/>
      <c r="J2168" s="93"/>
    </row>
    <row r="2169" spans="1:10" s="65" customFormat="1" ht="14" x14ac:dyDescent="0.35">
      <c r="A2169" s="145"/>
      <c r="B2169" s="152"/>
      <c r="E2169" s="102"/>
      <c r="F2169" s="102"/>
      <c r="G2169" s="102"/>
      <c r="I2169" s="93"/>
      <c r="J2169" s="93"/>
    </row>
    <row r="2170" spans="1:10" s="65" customFormat="1" ht="14" x14ac:dyDescent="0.35">
      <c r="A2170" s="145"/>
      <c r="B2170" s="152"/>
      <c r="E2170" s="102"/>
      <c r="F2170" s="102"/>
      <c r="G2170" s="102"/>
      <c r="I2170" s="93"/>
      <c r="J2170" s="93"/>
    </row>
    <row r="2171" spans="1:10" s="65" customFormat="1" ht="14" x14ac:dyDescent="0.35">
      <c r="A2171" s="145"/>
      <c r="B2171" s="152"/>
      <c r="E2171" s="102"/>
      <c r="F2171" s="102"/>
      <c r="G2171" s="102"/>
      <c r="I2171" s="93"/>
      <c r="J2171" s="93"/>
    </row>
    <row r="2172" spans="1:10" s="65" customFormat="1" ht="14" x14ac:dyDescent="0.35">
      <c r="A2172" s="145"/>
      <c r="B2172" s="152"/>
      <c r="E2172" s="102"/>
      <c r="F2172" s="102"/>
      <c r="G2172" s="102"/>
      <c r="I2172" s="93"/>
      <c r="J2172" s="93"/>
    </row>
    <row r="2173" spans="1:10" s="65" customFormat="1" ht="14" x14ac:dyDescent="0.35">
      <c r="A2173" s="145"/>
      <c r="B2173" s="152"/>
      <c r="E2173" s="102"/>
      <c r="F2173" s="102"/>
      <c r="G2173" s="102"/>
      <c r="I2173" s="93"/>
      <c r="J2173" s="93"/>
    </row>
    <row r="2174" spans="1:10" s="65" customFormat="1" ht="14" x14ac:dyDescent="0.35">
      <c r="A2174" s="145"/>
      <c r="B2174" s="152"/>
      <c r="E2174" s="102"/>
      <c r="F2174" s="102"/>
      <c r="G2174" s="102"/>
      <c r="I2174" s="93"/>
      <c r="J2174" s="93"/>
    </row>
    <row r="2175" spans="1:10" s="65" customFormat="1" ht="14" x14ac:dyDescent="0.35">
      <c r="A2175" s="145"/>
      <c r="B2175" s="152"/>
      <c r="E2175" s="102"/>
      <c r="F2175" s="102"/>
      <c r="G2175" s="102"/>
      <c r="I2175" s="93"/>
      <c r="J2175" s="93"/>
    </row>
    <row r="2176" spans="1:10" s="65" customFormat="1" ht="14" x14ac:dyDescent="0.35">
      <c r="A2176" s="145"/>
      <c r="B2176" s="152"/>
      <c r="E2176" s="102"/>
      <c r="F2176" s="102"/>
      <c r="G2176" s="102"/>
      <c r="I2176" s="93"/>
      <c r="J2176" s="93"/>
    </row>
    <row r="2177" spans="1:10" s="65" customFormat="1" ht="14" x14ac:dyDescent="0.35">
      <c r="A2177" s="145"/>
      <c r="B2177" s="152"/>
      <c r="E2177" s="102"/>
      <c r="F2177" s="102"/>
      <c r="G2177" s="102"/>
      <c r="I2177" s="93"/>
      <c r="J2177" s="93"/>
    </row>
    <row r="2178" spans="1:10" s="65" customFormat="1" ht="14" x14ac:dyDescent="0.35">
      <c r="A2178" s="145"/>
      <c r="B2178" s="152"/>
      <c r="E2178" s="102"/>
      <c r="F2178" s="102"/>
      <c r="G2178" s="102"/>
      <c r="I2178" s="93"/>
      <c r="J2178" s="93"/>
    </row>
    <row r="2179" spans="1:10" s="65" customFormat="1" ht="14" x14ac:dyDescent="0.35">
      <c r="A2179" s="145"/>
      <c r="B2179" s="152"/>
      <c r="E2179" s="102"/>
      <c r="F2179" s="102"/>
      <c r="G2179" s="102"/>
      <c r="I2179" s="93"/>
      <c r="J2179" s="93"/>
    </row>
    <row r="2180" spans="1:10" s="65" customFormat="1" ht="14" x14ac:dyDescent="0.35">
      <c r="A2180" s="145"/>
      <c r="B2180" s="152"/>
      <c r="E2180" s="102"/>
      <c r="F2180" s="102"/>
      <c r="G2180" s="102"/>
      <c r="I2180" s="93"/>
      <c r="J2180" s="93"/>
    </row>
    <row r="2181" spans="1:10" s="65" customFormat="1" ht="14" x14ac:dyDescent="0.35">
      <c r="A2181" s="145"/>
      <c r="B2181" s="152"/>
      <c r="E2181" s="102"/>
      <c r="F2181" s="102"/>
      <c r="G2181" s="102"/>
      <c r="I2181" s="93"/>
      <c r="J2181" s="93"/>
    </row>
    <row r="2182" spans="1:10" s="65" customFormat="1" ht="14" x14ac:dyDescent="0.35">
      <c r="A2182" s="145"/>
      <c r="B2182" s="152"/>
      <c r="E2182" s="102"/>
      <c r="F2182" s="102"/>
      <c r="G2182" s="102"/>
      <c r="I2182" s="93"/>
      <c r="J2182" s="93"/>
    </row>
    <row r="2183" spans="1:10" s="65" customFormat="1" ht="14" x14ac:dyDescent="0.35">
      <c r="A2183" s="145"/>
      <c r="B2183" s="152"/>
      <c r="E2183" s="102"/>
      <c r="F2183" s="102"/>
      <c r="G2183" s="102"/>
      <c r="I2183" s="93"/>
      <c r="J2183" s="93"/>
    </row>
    <row r="2184" spans="1:10" s="65" customFormat="1" ht="14" x14ac:dyDescent="0.35">
      <c r="A2184" s="145"/>
      <c r="B2184" s="152"/>
      <c r="E2184" s="102"/>
      <c r="F2184" s="102"/>
      <c r="G2184" s="102"/>
      <c r="I2184" s="93"/>
      <c r="J2184" s="93"/>
    </row>
    <row r="2185" spans="1:10" s="65" customFormat="1" ht="14" x14ac:dyDescent="0.35">
      <c r="A2185" s="145"/>
      <c r="B2185" s="152"/>
      <c r="E2185" s="102"/>
      <c r="F2185" s="102"/>
      <c r="G2185" s="102"/>
      <c r="I2185" s="93"/>
      <c r="J2185" s="93"/>
    </row>
    <row r="2186" spans="1:10" s="65" customFormat="1" ht="14" x14ac:dyDescent="0.35">
      <c r="A2186" s="145"/>
      <c r="B2186" s="152"/>
      <c r="E2186" s="102"/>
      <c r="F2186" s="102"/>
      <c r="G2186" s="102"/>
      <c r="I2186" s="93"/>
      <c r="J2186" s="93"/>
    </row>
    <row r="2187" spans="1:10" s="65" customFormat="1" ht="14" x14ac:dyDescent="0.35">
      <c r="A2187" s="145"/>
      <c r="B2187" s="152"/>
      <c r="E2187" s="102"/>
      <c r="F2187" s="102"/>
      <c r="G2187" s="102"/>
      <c r="I2187" s="93"/>
      <c r="J2187" s="93"/>
    </row>
    <row r="2188" spans="1:10" s="65" customFormat="1" ht="14" x14ac:dyDescent="0.35">
      <c r="A2188" s="145"/>
      <c r="B2188" s="152"/>
      <c r="E2188" s="102"/>
      <c r="F2188" s="102"/>
      <c r="G2188" s="102"/>
      <c r="I2188" s="93"/>
      <c r="J2188" s="93"/>
    </row>
    <row r="2189" spans="1:10" s="65" customFormat="1" ht="14" x14ac:dyDescent="0.35">
      <c r="A2189" s="145"/>
      <c r="B2189" s="152"/>
      <c r="E2189" s="102"/>
      <c r="F2189" s="102"/>
      <c r="G2189" s="102"/>
      <c r="I2189" s="93"/>
      <c r="J2189" s="93"/>
    </row>
    <row r="2190" spans="1:10" s="65" customFormat="1" ht="14" x14ac:dyDescent="0.35">
      <c r="A2190" s="145"/>
      <c r="B2190" s="152"/>
      <c r="E2190" s="102"/>
      <c r="F2190" s="102"/>
      <c r="G2190" s="102"/>
      <c r="I2190" s="93"/>
      <c r="J2190" s="93"/>
    </row>
    <row r="2191" spans="1:10" s="65" customFormat="1" ht="14" x14ac:dyDescent="0.35">
      <c r="A2191" s="145"/>
      <c r="B2191" s="152"/>
      <c r="E2191" s="102"/>
      <c r="F2191" s="102"/>
      <c r="G2191" s="102"/>
      <c r="I2191" s="93"/>
      <c r="J2191" s="93"/>
    </row>
    <row r="2192" spans="1:10" s="65" customFormat="1" ht="14" x14ac:dyDescent="0.35">
      <c r="A2192" s="145"/>
      <c r="B2192" s="152"/>
      <c r="E2192" s="102"/>
      <c r="F2192" s="102"/>
      <c r="G2192" s="102"/>
      <c r="I2192" s="93"/>
      <c r="J2192" s="93"/>
    </row>
    <row r="2193" spans="1:10" s="65" customFormat="1" ht="14" x14ac:dyDescent="0.35">
      <c r="A2193" s="145"/>
      <c r="B2193" s="152"/>
      <c r="E2193" s="102"/>
      <c r="F2193" s="102"/>
      <c r="G2193" s="102"/>
      <c r="I2193" s="93"/>
      <c r="J2193" s="93"/>
    </row>
    <row r="2194" spans="1:10" s="65" customFormat="1" ht="14" x14ac:dyDescent="0.35">
      <c r="A2194" s="145"/>
      <c r="B2194" s="152"/>
      <c r="E2194" s="102"/>
      <c r="F2194" s="102"/>
      <c r="G2194" s="102"/>
      <c r="I2194" s="93"/>
      <c r="J2194" s="93"/>
    </row>
    <row r="2195" spans="1:10" s="65" customFormat="1" ht="14" x14ac:dyDescent="0.35">
      <c r="A2195" s="145"/>
      <c r="B2195" s="152"/>
      <c r="E2195" s="102"/>
      <c r="F2195" s="102"/>
      <c r="G2195" s="102"/>
      <c r="I2195" s="93"/>
      <c r="J2195" s="93"/>
    </row>
    <row r="2196" spans="1:10" s="65" customFormat="1" ht="14" x14ac:dyDescent="0.35">
      <c r="A2196" s="145"/>
      <c r="B2196" s="152"/>
      <c r="E2196" s="102"/>
      <c r="F2196" s="102"/>
      <c r="G2196" s="102"/>
      <c r="I2196" s="93"/>
      <c r="J2196" s="93"/>
    </row>
    <row r="2197" spans="1:10" s="65" customFormat="1" ht="14" x14ac:dyDescent="0.35">
      <c r="A2197" s="145"/>
      <c r="B2197" s="152"/>
      <c r="E2197" s="102"/>
      <c r="F2197" s="102"/>
      <c r="G2197" s="102"/>
      <c r="I2197" s="93"/>
      <c r="J2197" s="93"/>
    </row>
    <row r="2198" spans="1:10" s="65" customFormat="1" ht="14" x14ac:dyDescent="0.35">
      <c r="A2198" s="145"/>
      <c r="B2198" s="152"/>
      <c r="E2198" s="102"/>
      <c r="F2198" s="102"/>
      <c r="G2198" s="102"/>
      <c r="I2198" s="93"/>
      <c r="J2198" s="93"/>
    </row>
    <row r="2199" spans="1:10" s="65" customFormat="1" ht="14" x14ac:dyDescent="0.35">
      <c r="A2199" s="145"/>
      <c r="B2199" s="152"/>
      <c r="E2199" s="102"/>
      <c r="F2199" s="102"/>
      <c r="G2199" s="102"/>
      <c r="I2199" s="93"/>
      <c r="J2199" s="93"/>
    </row>
    <row r="2200" spans="1:10" s="65" customFormat="1" ht="14" x14ac:dyDescent="0.35">
      <c r="A2200" s="145"/>
      <c r="B2200" s="152"/>
      <c r="E2200" s="102"/>
      <c r="F2200" s="102"/>
      <c r="G2200" s="102"/>
      <c r="I2200" s="93"/>
      <c r="J2200" s="93"/>
    </row>
    <row r="2201" spans="1:10" s="65" customFormat="1" ht="14" x14ac:dyDescent="0.35">
      <c r="A2201" s="145"/>
      <c r="B2201" s="152"/>
      <c r="E2201" s="102"/>
      <c r="F2201" s="102"/>
      <c r="G2201" s="102"/>
      <c r="I2201" s="93"/>
      <c r="J2201" s="93"/>
    </row>
    <row r="2202" spans="1:10" s="65" customFormat="1" ht="14" x14ac:dyDescent="0.35">
      <c r="A2202" s="145"/>
      <c r="B2202" s="152"/>
      <c r="E2202" s="102"/>
      <c r="F2202" s="102"/>
      <c r="G2202" s="102"/>
      <c r="I2202" s="93"/>
      <c r="J2202" s="93"/>
    </row>
    <row r="2203" spans="1:10" s="65" customFormat="1" ht="14" x14ac:dyDescent="0.35">
      <c r="A2203" s="145"/>
      <c r="B2203" s="152"/>
      <c r="E2203" s="102"/>
      <c r="F2203" s="102"/>
      <c r="G2203" s="102"/>
      <c r="I2203" s="93"/>
      <c r="J2203" s="93"/>
    </row>
    <row r="2204" spans="1:10" s="65" customFormat="1" ht="14" x14ac:dyDescent="0.35">
      <c r="A2204" s="145"/>
      <c r="B2204" s="152"/>
      <c r="E2204" s="102"/>
      <c r="F2204" s="102"/>
      <c r="G2204" s="102"/>
      <c r="I2204" s="93"/>
      <c r="J2204" s="93"/>
    </row>
    <row r="2205" spans="1:10" s="65" customFormat="1" ht="14" x14ac:dyDescent="0.35">
      <c r="A2205" s="145"/>
      <c r="B2205" s="152"/>
      <c r="E2205" s="102"/>
      <c r="F2205" s="102"/>
      <c r="G2205" s="102"/>
      <c r="I2205" s="93"/>
      <c r="J2205" s="93"/>
    </row>
    <row r="2206" spans="1:10" s="65" customFormat="1" ht="14" x14ac:dyDescent="0.35">
      <c r="A2206" s="145"/>
      <c r="B2206" s="152"/>
      <c r="E2206" s="102"/>
      <c r="F2206" s="102"/>
      <c r="G2206" s="102"/>
      <c r="I2206" s="93"/>
      <c r="J2206" s="93"/>
    </row>
    <row r="2207" spans="1:10" s="65" customFormat="1" ht="14" x14ac:dyDescent="0.35">
      <c r="A2207" s="145"/>
      <c r="B2207" s="152"/>
      <c r="E2207" s="102"/>
      <c r="F2207" s="102"/>
      <c r="G2207" s="102"/>
      <c r="I2207" s="93"/>
      <c r="J2207" s="93"/>
    </row>
    <row r="2208" spans="1:10" s="65" customFormat="1" ht="14" x14ac:dyDescent="0.35">
      <c r="A2208" s="145"/>
      <c r="B2208" s="152"/>
      <c r="E2208" s="102"/>
      <c r="F2208" s="102"/>
      <c r="G2208" s="102"/>
      <c r="I2208" s="93"/>
      <c r="J2208" s="93"/>
    </row>
    <row r="2209" spans="1:10" s="65" customFormat="1" ht="14" x14ac:dyDescent="0.35">
      <c r="A2209" s="145"/>
      <c r="B2209" s="152"/>
      <c r="E2209" s="102"/>
      <c r="F2209" s="102"/>
      <c r="G2209" s="102"/>
      <c r="I2209" s="93"/>
      <c r="J2209" s="93"/>
    </row>
    <row r="2210" spans="1:10" s="65" customFormat="1" ht="14" x14ac:dyDescent="0.35">
      <c r="A2210" s="145"/>
      <c r="B2210" s="152"/>
      <c r="E2210" s="102"/>
      <c r="F2210" s="102"/>
      <c r="G2210" s="102"/>
      <c r="I2210" s="93"/>
      <c r="J2210" s="93"/>
    </row>
    <row r="2211" spans="1:10" s="65" customFormat="1" ht="14" x14ac:dyDescent="0.35">
      <c r="A2211" s="145"/>
      <c r="B2211" s="152"/>
      <c r="E2211" s="102"/>
      <c r="F2211" s="102"/>
      <c r="G2211" s="102"/>
      <c r="I2211" s="93"/>
      <c r="J2211" s="93"/>
    </row>
    <row r="2212" spans="1:10" s="65" customFormat="1" ht="14" x14ac:dyDescent="0.35">
      <c r="A2212" s="145"/>
      <c r="B2212" s="152"/>
      <c r="E2212" s="102"/>
      <c r="F2212" s="102"/>
      <c r="G2212" s="102"/>
      <c r="I2212" s="93"/>
      <c r="J2212" s="93"/>
    </row>
    <row r="2213" spans="1:10" s="65" customFormat="1" ht="14" x14ac:dyDescent="0.35">
      <c r="A2213" s="145"/>
      <c r="B2213" s="152"/>
      <c r="E2213" s="102"/>
      <c r="F2213" s="102"/>
      <c r="G2213" s="102"/>
      <c r="I2213" s="93"/>
      <c r="J2213" s="93"/>
    </row>
    <row r="2214" spans="1:10" s="65" customFormat="1" ht="14" x14ac:dyDescent="0.35">
      <c r="A2214" s="145"/>
      <c r="B2214" s="152"/>
      <c r="E2214" s="102"/>
      <c r="F2214" s="102"/>
      <c r="G2214" s="102"/>
      <c r="I2214" s="93"/>
      <c r="J2214" s="93"/>
    </row>
    <row r="2215" spans="1:10" s="65" customFormat="1" ht="14" x14ac:dyDescent="0.35">
      <c r="A2215" s="145"/>
      <c r="B2215" s="152"/>
      <c r="E2215" s="102"/>
      <c r="F2215" s="102"/>
      <c r="G2215" s="102"/>
      <c r="I2215" s="93"/>
      <c r="J2215" s="93"/>
    </row>
    <row r="2216" spans="1:10" s="65" customFormat="1" ht="14" x14ac:dyDescent="0.35">
      <c r="A2216" s="145"/>
      <c r="B2216" s="152"/>
      <c r="E2216" s="102"/>
      <c r="F2216" s="102"/>
      <c r="G2216" s="102"/>
      <c r="I2216" s="93"/>
      <c r="J2216" s="93"/>
    </row>
    <row r="2217" spans="1:10" s="65" customFormat="1" ht="14" x14ac:dyDescent="0.35">
      <c r="A2217" s="145"/>
      <c r="B2217" s="152"/>
      <c r="E2217" s="102"/>
      <c r="F2217" s="102"/>
      <c r="G2217" s="102"/>
      <c r="I2217" s="93"/>
      <c r="J2217" s="93"/>
    </row>
    <row r="2218" spans="1:10" s="65" customFormat="1" ht="14" x14ac:dyDescent="0.35">
      <c r="A2218" s="145"/>
      <c r="B2218" s="152"/>
      <c r="E2218" s="102"/>
      <c r="F2218" s="102"/>
      <c r="G2218" s="102"/>
      <c r="I2218" s="93"/>
      <c r="J2218" s="93"/>
    </row>
    <row r="2219" spans="1:10" s="65" customFormat="1" ht="14" x14ac:dyDescent="0.35">
      <c r="A2219" s="145"/>
      <c r="B2219" s="152"/>
      <c r="E2219" s="102"/>
      <c r="F2219" s="102"/>
      <c r="G2219" s="102"/>
      <c r="I2219" s="93"/>
      <c r="J2219" s="93"/>
    </row>
    <row r="2220" spans="1:10" s="65" customFormat="1" ht="14" x14ac:dyDescent="0.35">
      <c r="A2220" s="145"/>
      <c r="B2220" s="152"/>
      <c r="E2220" s="102"/>
      <c r="F2220" s="102"/>
      <c r="G2220" s="102"/>
      <c r="I2220" s="93"/>
      <c r="J2220" s="93"/>
    </row>
    <row r="2221" spans="1:10" s="65" customFormat="1" ht="14" x14ac:dyDescent="0.35">
      <c r="A2221" s="145"/>
      <c r="B2221" s="152"/>
      <c r="E2221" s="102"/>
      <c r="F2221" s="102"/>
      <c r="G2221" s="102"/>
      <c r="I2221" s="93"/>
      <c r="J2221" s="93"/>
    </row>
    <row r="2222" spans="1:10" s="65" customFormat="1" ht="14" x14ac:dyDescent="0.35">
      <c r="A2222" s="145"/>
      <c r="B2222" s="152"/>
      <c r="E2222" s="102"/>
      <c r="F2222" s="102"/>
      <c r="G2222" s="102"/>
      <c r="I2222" s="93"/>
      <c r="J2222" s="93"/>
    </row>
    <row r="2223" spans="1:10" s="65" customFormat="1" ht="14" x14ac:dyDescent="0.35">
      <c r="A2223" s="145"/>
      <c r="B2223" s="152"/>
      <c r="E2223" s="102"/>
      <c r="F2223" s="102"/>
      <c r="G2223" s="102"/>
      <c r="I2223" s="93"/>
      <c r="J2223" s="93"/>
    </row>
    <row r="2224" spans="1:10" s="65" customFormat="1" ht="14" x14ac:dyDescent="0.35">
      <c r="A2224" s="145"/>
      <c r="B2224" s="152"/>
      <c r="E2224" s="102"/>
      <c r="F2224" s="102"/>
      <c r="G2224" s="102"/>
      <c r="I2224" s="93"/>
      <c r="J2224" s="93"/>
    </row>
    <row r="2225" spans="1:10" s="65" customFormat="1" ht="14" x14ac:dyDescent="0.35">
      <c r="A2225" s="145"/>
      <c r="B2225" s="152"/>
      <c r="E2225" s="102"/>
      <c r="F2225" s="102"/>
      <c r="G2225" s="102"/>
      <c r="I2225" s="93"/>
      <c r="J2225" s="93"/>
    </row>
    <row r="2226" spans="1:10" s="65" customFormat="1" ht="14" x14ac:dyDescent="0.35">
      <c r="A2226" s="145"/>
      <c r="B2226" s="152"/>
      <c r="E2226" s="102"/>
      <c r="F2226" s="102"/>
      <c r="G2226" s="102"/>
      <c r="I2226" s="93"/>
      <c r="J2226" s="93"/>
    </row>
    <row r="2227" spans="1:10" s="65" customFormat="1" ht="14" x14ac:dyDescent="0.35">
      <c r="A2227" s="145"/>
      <c r="B2227" s="152"/>
      <c r="E2227" s="102"/>
      <c r="F2227" s="102"/>
      <c r="G2227" s="102"/>
      <c r="I2227" s="93"/>
      <c r="J2227" s="93"/>
    </row>
    <row r="2228" spans="1:10" s="65" customFormat="1" ht="14" x14ac:dyDescent="0.35">
      <c r="A2228" s="145"/>
      <c r="B2228" s="152"/>
      <c r="E2228" s="102"/>
      <c r="F2228" s="102"/>
      <c r="G2228" s="102"/>
      <c r="I2228" s="93"/>
      <c r="J2228" s="93"/>
    </row>
    <row r="2229" spans="1:10" s="65" customFormat="1" ht="14" x14ac:dyDescent="0.35">
      <c r="A2229" s="145"/>
      <c r="B2229" s="152"/>
      <c r="E2229" s="102"/>
      <c r="F2229" s="102"/>
      <c r="G2229" s="102"/>
      <c r="I2229" s="93"/>
      <c r="J2229" s="93"/>
    </row>
    <row r="2230" spans="1:10" s="65" customFormat="1" ht="14" x14ac:dyDescent="0.35">
      <c r="A2230" s="145"/>
      <c r="B2230" s="152"/>
      <c r="E2230" s="102"/>
      <c r="F2230" s="102"/>
      <c r="G2230" s="102"/>
      <c r="I2230" s="93"/>
      <c r="J2230" s="93"/>
    </row>
    <row r="2231" spans="1:10" s="65" customFormat="1" ht="14" x14ac:dyDescent="0.35">
      <c r="A2231" s="145"/>
      <c r="B2231" s="152"/>
      <c r="E2231" s="102"/>
      <c r="F2231" s="102"/>
      <c r="G2231" s="102"/>
      <c r="I2231" s="93"/>
      <c r="J2231" s="93"/>
    </row>
    <row r="2232" spans="1:10" s="65" customFormat="1" ht="14" x14ac:dyDescent="0.35">
      <c r="A2232" s="145"/>
      <c r="B2232" s="152"/>
      <c r="E2232" s="102"/>
      <c r="F2232" s="102"/>
      <c r="G2232" s="102"/>
      <c r="I2232" s="93"/>
      <c r="J2232" s="93"/>
    </row>
    <row r="2233" spans="1:10" s="65" customFormat="1" ht="14" x14ac:dyDescent="0.35">
      <c r="A2233" s="145"/>
      <c r="B2233" s="152"/>
      <c r="E2233" s="102"/>
      <c r="F2233" s="102"/>
      <c r="G2233" s="102"/>
      <c r="I2233" s="93"/>
      <c r="J2233" s="93"/>
    </row>
    <row r="2234" spans="1:10" s="65" customFormat="1" ht="14" x14ac:dyDescent="0.35">
      <c r="A2234" s="145"/>
      <c r="B2234" s="152"/>
      <c r="E2234" s="102"/>
      <c r="F2234" s="102"/>
      <c r="G2234" s="102"/>
      <c r="I2234" s="93"/>
      <c r="J2234" s="93"/>
    </row>
    <row r="2235" spans="1:10" s="65" customFormat="1" ht="14" x14ac:dyDescent="0.35">
      <c r="A2235" s="145"/>
      <c r="B2235" s="152"/>
      <c r="E2235" s="102"/>
      <c r="F2235" s="102"/>
      <c r="G2235" s="102"/>
      <c r="I2235" s="93"/>
      <c r="J2235" s="93"/>
    </row>
    <row r="2236" spans="1:10" s="65" customFormat="1" ht="14" x14ac:dyDescent="0.35">
      <c r="A2236" s="145"/>
      <c r="B2236" s="152"/>
      <c r="E2236" s="102"/>
      <c r="F2236" s="102"/>
      <c r="G2236" s="102"/>
      <c r="I2236" s="93"/>
      <c r="J2236" s="93"/>
    </row>
    <row r="2237" spans="1:10" s="65" customFormat="1" ht="14" x14ac:dyDescent="0.35">
      <c r="A2237" s="145"/>
      <c r="B2237" s="152"/>
      <c r="E2237" s="102"/>
      <c r="F2237" s="102"/>
      <c r="G2237" s="102"/>
      <c r="I2237" s="93"/>
      <c r="J2237" s="93"/>
    </row>
    <row r="2238" spans="1:10" s="65" customFormat="1" ht="14" x14ac:dyDescent="0.35">
      <c r="A2238" s="145"/>
      <c r="B2238" s="152"/>
      <c r="E2238" s="102"/>
      <c r="F2238" s="102"/>
      <c r="G2238" s="102"/>
      <c r="I2238" s="93"/>
      <c r="J2238" s="93"/>
    </row>
    <row r="2239" spans="1:10" s="65" customFormat="1" ht="14" x14ac:dyDescent="0.35">
      <c r="A2239" s="145"/>
      <c r="B2239" s="152"/>
      <c r="E2239" s="102"/>
      <c r="F2239" s="102"/>
      <c r="G2239" s="102"/>
      <c r="I2239" s="93"/>
      <c r="J2239" s="93"/>
    </row>
    <row r="2240" spans="1:10" s="65" customFormat="1" ht="14" x14ac:dyDescent="0.35">
      <c r="A2240" s="145"/>
      <c r="B2240" s="152"/>
      <c r="E2240" s="102"/>
      <c r="F2240" s="102"/>
      <c r="G2240" s="102"/>
      <c r="I2240" s="93"/>
      <c r="J2240" s="93"/>
    </row>
    <row r="2241" spans="1:10" s="65" customFormat="1" ht="14" x14ac:dyDescent="0.35">
      <c r="A2241" s="145"/>
      <c r="B2241" s="152"/>
      <c r="E2241" s="102"/>
      <c r="F2241" s="102"/>
      <c r="G2241" s="102"/>
      <c r="I2241" s="93"/>
      <c r="J2241" s="93"/>
    </row>
    <row r="2242" spans="1:10" s="65" customFormat="1" ht="14" x14ac:dyDescent="0.35">
      <c r="A2242" s="145"/>
      <c r="B2242" s="152"/>
      <c r="E2242" s="102"/>
      <c r="F2242" s="102"/>
      <c r="G2242" s="102"/>
      <c r="I2242" s="93"/>
      <c r="J2242" s="93"/>
    </row>
    <row r="2243" spans="1:10" s="65" customFormat="1" ht="14" x14ac:dyDescent="0.35">
      <c r="A2243" s="145"/>
      <c r="B2243" s="152"/>
      <c r="E2243" s="102"/>
      <c r="F2243" s="102"/>
      <c r="G2243" s="102"/>
      <c r="I2243" s="93"/>
      <c r="J2243" s="93"/>
    </row>
    <row r="2244" spans="1:10" s="65" customFormat="1" ht="14" x14ac:dyDescent="0.35">
      <c r="A2244" s="145"/>
      <c r="B2244" s="152"/>
      <c r="E2244" s="102"/>
      <c r="F2244" s="102"/>
      <c r="G2244" s="102"/>
      <c r="I2244" s="93"/>
      <c r="J2244" s="93"/>
    </row>
    <row r="2245" spans="1:10" s="65" customFormat="1" ht="14" x14ac:dyDescent="0.35">
      <c r="A2245" s="145"/>
      <c r="B2245" s="152"/>
      <c r="E2245" s="102"/>
      <c r="F2245" s="102"/>
      <c r="G2245" s="102"/>
      <c r="I2245" s="93"/>
      <c r="J2245" s="93"/>
    </row>
    <row r="2246" spans="1:10" s="65" customFormat="1" ht="14" x14ac:dyDescent="0.35">
      <c r="A2246" s="145"/>
      <c r="B2246" s="152"/>
      <c r="E2246" s="102"/>
      <c r="F2246" s="102"/>
      <c r="G2246" s="102"/>
      <c r="I2246" s="93"/>
      <c r="J2246" s="93"/>
    </row>
    <row r="2247" spans="1:10" s="65" customFormat="1" ht="14" x14ac:dyDescent="0.35">
      <c r="A2247" s="145"/>
      <c r="B2247" s="152"/>
      <c r="E2247" s="102"/>
      <c r="F2247" s="102"/>
      <c r="G2247" s="102"/>
      <c r="I2247" s="93"/>
      <c r="J2247" s="93"/>
    </row>
    <row r="2248" spans="1:10" s="65" customFormat="1" ht="14" x14ac:dyDescent="0.35">
      <c r="A2248" s="145"/>
      <c r="B2248" s="152"/>
      <c r="E2248" s="102"/>
      <c r="F2248" s="102"/>
      <c r="G2248" s="102"/>
      <c r="I2248" s="93"/>
      <c r="J2248" s="93"/>
    </row>
    <row r="2249" spans="1:10" s="65" customFormat="1" ht="14" x14ac:dyDescent="0.35">
      <c r="A2249" s="145"/>
      <c r="B2249" s="152"/>
      <c r="E2249" s="102"/>
      <c r="F2249" s="102"/>
      <c r="G2249" s="102"/>
      <c r="I2249" s="93"/>
      <c r="J2249" s="93"/>
    </row>
    <row r="2250" spans="1:10" s="65" customFormat="1" ht="14" x14ac:dyDescent="0.35">
      <c r="A2250" s="145"/>
      <c r="B2250" s="152"/>
      <c r="E2250" s="102"/>
      <c r="F2250" s="102"/>
      <c r="G2250" s="102"/>
      <c r="I2250" s="93"/>
      <c r="J2250" s="93"/>
    </row>
    <row r="2251" spans="1:10" s="65" customFormat="1" ht="14" x14ac:dyDescent="0.35">
      <c r="A2251" s="145"/>
      <c r="B2251" s="152"/>
      <c r="E2251" s="102"/>
      <c r="F2251" s="102"/>
      <c r="G2251" s="102"/>
      <c r="I2251" s="93"/>
      <c r="J2251" s="93"/>
    </row>
    <row r="2252" spans="1:10" s="65" customFormat="1" ht="14" x14ac:dyDescent="0.35">
      <c r="A2252" s="145"/>
      <c r="B2252" s="152"/>
      <c r="E2252" s="102"/>
      <c r="F2252" s="102"/>
      <c r="G2252" s="102"/>
      <c r="I2252" s="93"/>
      <c r="J2252" s="93"/>
    </row>
    <row r="2253" spans="1:10" s="65" customFormat="1" ht="14" x14ac:dyDescent="0.35">
      <c r="A2253" s="145"/>
      <c r="B2253" s="152"/>
      <c r="E2253" s="102"/>
      <c r="F2253" s="102"/>
      <c r="G2253" s="102"/>
      <c r="I2253" s="93"/>
      <c r="J2253" s="93"/>
    </row>
    <row r="2254" spans="1:10" s="65" customFormat="1" ht="14" x14ac:dyDescent="0.35">
      <c r="A2254" s="145"/>
      <c r="B2254" s="152"/>
      <c r="E2254" s="102"/>
      <c r="F2254" s="102"/>
      <c r="G2254" s="102"/>
      <c r="I2254" s="93"/>
      <c r="J2254" s="93"/>
    </row>
    <row r="2255" spans="1:10" s="65" customFormat="1" ht="14" x14ac:dyDescent="0.35">
      <c r="A2255" s="145"/>
      <c r="B2255" s="152"/>
      <c r="E2255" s="102"/>
      <c r="F2255" s="102"/>
      <c r="G2255" s="102"/>
      <c r="I2255" s="93"/>
      <c r="J2255" s="93"/>
    </row>
    <row r="2256" spans="1:10" s="65" customFormat="1" ht="14" x14ac:dyDescent="0.35">
      <c r="A2256" s="145"/>
      <c r="B2256" s="152"/>
      <c r="E2256" s="102"/>
      <c r="F2256" s="102"/>
      <c r="G2256" s="102"/>
      <c r="I2256" s="93"/>
      <c r="J2256" s="93"/>
    </row>
    <row r="2257" spans="1:10" s="65" customFormat="1" ht="14" x14ac:dyDescent="0.35">
      <c r="A2257" s="145"/>
      <c r="B2257" s="152"/>
      <c r="E2257" s="102"/>
      <c r="F2257" s="102"/>
      <c r="G2257" s="102"/>
      <c r="I2257" s="93"/>
      <c r="J2257" s="93"/>
    </row>
    <row r="2258" spans="1:10" s="65" customFormat="1" ht="14" x14ac:dyDescent="0.35">
      <c r="A2258" s="145"/>
      <c r="B2258" s="152"/>
      <c r="E2258" s="102"/>
      <c r="F2258" s="102"/>
      <c r="G2258" s="102"/>
      <c r="I2258" s="93"/>
      <c r="J2258" s="93"/>
    </row>
    <row r="2259" spans="1:10" s="65" customFormat="1" ht="14" x14ac:dyDescent="0.35">
      <c r="A2259" s="145"/>
      <c r="B2259" s="152"/>
      <c r="E2259" s="102"/>
      <c r="F2259" s="102"/>
      <c r="G2259" s="102"/>
      <c r="I2259" s="93"/>
      <c r="J2259" s="93"/>
    </row>
    <row r="2260" spans="1:10" s="65" customFormat="1" ht="14" x14ac:dyDescent="0.35">
      <c r="A2260" s="145"/>
      <c r="B2260" s="152"/>
      <c r="E2260" s="102"/>
      <c r="F2260" s="102"/>
      <c r="G2260" s="102"/>
      <c r="I2260" s="93"/>
      <c r="J2260" s="93"/>
    </row>
    <row r="2261" spans="1:10" s="65" customFormat="1" ht="14" x14ac:dyDescent="0.35">
      <c r="A2261" s="145"/>
      <c r="B2261" s="152"/>
      <c r="E2261" s="102"/>
      <c r="F2261" s="102"/>
      <c r="G2261" s="102"/>
      <c r="I2261" s="93"/>
      <c r="J2261" s="93"/>
    </row>
    <row r="2262" spans="1:10" s="65" customFormat="1" ht="14" x14ac:dyDescent="0.35">
      <c r="A2262" s="145"/>
      <c r="B2262" s="152"/>
      <c r="E2262" s="102"/>
      <c r="F2262" s="102"/>
      <c r="G2262" s="102"/>
      <c r="I2262" s="93"/>
      <c r="J2262" s="93"/>
    </row>
    <row r="2263" spans="1:10" s="65" customFormat="1" ht="14" x14ac:dyDescent="0.35">
      <c r="A2263" s="145"/>
      <c r="B2263" s="152"/>
      <c r="E2263" s="102"/>
      <c r="F2263" s="102"/>
      <c r="G2263" s="102"/>
      <c r="I2263" s="93"/>
      <c r="J2263" s="93"/>
    </row>
    <row r="2264" spans="1:10" s="65" customFormat="1" ht="14" x14ac:dyDescent="0.35">
      <c r="A2264" s="145"/>
      <c r="B2264" s="152"/>
      <c r="E2264" s="102"/>
      <c r="F2264" s="102"/>
      <c r="G2264" s="102"/>
      <c r="I2264" s="93"/>
      <c r="J2264" s="93"/>
    </row>
    <row r="2265" spans="1:10" s="65" customFormat="1" ht="14" x14ac:dyDescent="0.35">
      <c r="A2265" s="145"/>
      <c r="B2265" s="152"/>
      <c r="E2265" s="102"/>
      <c r="F2265" s="102"/>
      <c r="G2265" s="102"/>
      <c r="I2265" s="93"/>
      <c r="J2265" s="93"/>
    </row>
    <row r="2266" spans="1:10" s="65" customFormat="1" ht="14" x14ac:dyDescent="0.35">
      <c r="A2266" s="145"/>
      <c r="B2266" s="152"/>
      <c r="E2266" s="102"/>
      <c r="F2266" s="102"/>
      <c r="G2266" s="102"/>
      <c r="I2266" s="93"/>
      <c r="J2266" s="93"/>
    </row>
    <row r="2267" spans="1:10" s="65" customFormat="1" ht="14" x14ac:dyDescent="0.35">
      <c r="A2267" s="145"/>
      <c r="B2267" s="152"/>
      <c r="E2267" s="102"/>
      <c r="F2267" s="102"/>
      <c r="G2267" s="102"/>
      <c r="I2267" s="93"/>
      <c r="J2267" s="93"/>
    </row>
    <row r="2268" spans="1:10" s="65" customFormat="1" ht="14" x14ac:dyDescent="0.35">
      <c r="A2268" s="145"/>
      <c r="B2268" s="152"/>
      <c r="E2268" s="102"/>
      <c r="F2268" s="102"/>
      <c r="G2268" s="102"/>
      <c r="I2268" s="93"/>
      <c r="J2268" s="93"/>
    </row>
    <row r="2269" spans="1:10" s="65" customFormat="1" ht="14" x14ac:dyDescent="0.35">
      <c r="A2269" s="145"/>
      <c r="B2269" s="152"/>
      <c r="E2269" s="102"/>
      <c r="F2269" s="102"/>
      <c r="G2269" s="102"/>
      <c r="I2269" s="93"/>
      <c r="J2269" s="93"/>
    </row>
    <row r="2270" spans="1:10" s="65" customFormat="1" ht="14" x14ac:dyDescent="0.35">
      <c r="A2270" s="145"/>
      <c r="B2270" s="152"/>
      <c r="E2270" s="102"/>
      <c r="F2270" s="102"/>
      <c r="G2270" s="102"/>
      <c r="I2270" s="93"/>
      <c r="J2270" s="93"/>
    </row>
    <row r="2271" spans="1:10" s="65" customFormat="1" ht="14" x14ac:dyDescent="0.35">
      <c r="A2271" s="145"/>
      <c r="B2271" s="152"/>
      <c r="E2271" s="102"/>
      <c r="F2271" s="102"/>
      <c r="G2271" s="102"/>
      <c r="I2271" s="93"/>
      <c r="J2271" s="93"/>
    </row>
    <row r="2272" spans="1:10" s="65" customFormat="1" ht="14" x14ac:dyDescent="0.35">
      <c r="A2272" s="145"/>
      <c r="B2272" s="152"/>
      <c r="E2272" s="102"/>
      <c r="F2272" s="102"/>
      <c r="G2272" s="102"/>
      <c r="I2272" s="93"/>
      <c r="J2272" s="93"/>
    </row>
    <row r="2273" spans="1:10" s="65" customFormat="1" ht="14" x14ac:dyDescent="0.35">
      <c r="A2273" s="145"/>
      <c r="B2273" s="152"/>
      <c r="E2273" s="102"/>
      <c r="F2273" s="102"/>
      <c r="G2273" s="102"/>
      <c r="I2273" s="93"/>
      <c r="J2273" s="93"/>
    </row>
    <row r="2274" spans="1:10" s="65" customFormat="1" ht="14" x14ac:dyDescent="0.35">
      <c r="A2274" s="145"/>
      <c r="B2274" s="152"/>
      <c r="E2274" s="102"/>
      <c r="F2274" s="102"/>
      <c r="G2274" s="102"/>
      <c r="I2274" s="93"/>
      <c r="J2274" s="93"/>
    </row>
    <row r="2275" spans="1:10" s="65" customFormat="1" ht="14" x14ac:dyDescent="0.35">
      <c r="A2275" s="145"/>
      <c r="B2275" s="152"/>
      <c r="E2275" s="102"/>
      <c r="F2275" s="102"/>
      <c r="G2275" s="102"/>
      <c r="I2275" s="93"/>
      <c r="J2275" s="93"/>
    </row>
    <row r="2276" spans="1:10" s="65" customFormat="1" ht="14" x14ac:dyDescent="0.35">
      <c r="A2276" s="145"/>
      <c r="B2276" s="152"/>
      <c r="E2276" s="102"/>
      <c r="F2276" s="102"/>
      <c r="G2276" s="102"/>
      <c r="I2276" s="93"/>
      <c r="J2276" s="93"/>
    </row>
    <row r="2277" spans="1:10" s="65" customFormat="1" ht="14" x14ac:dyDescent="0.35">
      <c r="A2277" s="145"/>
      <c r="B2277" s="152"/>
      <c r="E2277" s="102"/>
      <c r="F2277" s="102"/>
      <c r="G2277" s="102"/>
      <c r="I2277" s="93"/>
      <c r="J2277" s="93"/>
    </row>
    <row r="2278" spans="1:10" s="65" customFormat="1" ht="14" x14ac:dyDescent="0.35">
      <c r="A2278" s="145"/>
      <c r="B2278" s="152"/>
      <c r="E2278" s="102"/>
      <c r="F2278" s="102"/>
      <c r="G2278" s="102"/>
      <c r="I2278" s="93"/>
      <c r="J2278" s="93"/>
    </row>
    <row r="2279" spans="1:10" s="65" customFormat="1" ht="14" x14ac:dyDescent="0.35">
      <c r="A2279" s="145"/>
      <c r="B2279" s="152"/>
      <c r="E2279" s="102"/>
      <c r="F2279" s="102"/>
      <c r="G2279" s="102"/>
      <c r="I2279" s="93"/>
      <c r="J2279" s="93"/>
    </row>
    <row r="2280" spans="1:10" s="65" customFormat="1" ht="14" x14ac:dyDescent="0.35">
      <c r="A2280" s="145"/>
      <c r="B2280" s="152"/>
      <c r="E2280" s="102"/>
      <c r="F2280" s="102"/>
      <c r="G2280" s="102"/>
      <c r="I2280" s="93"/>
      <c r="J2280" s="93"/>
    </row>
    <row r="2281" spans="1:10" s="65" customFormat="1" ht="14" x14ac:dyDescent="0.35">
      <c r="A2281" s="145"/>
      <c r="B2281" s="152"/>
      <c r="E2281" s="102"/>
      <c r="F2281" s="102"/>
      <c r="G2281" s="102"/>
      <c r="I2281" s="93"/>
      <c r="J2281" s="93"/>
    </row>
    <row r="2282" spans="1:10" s="65" customFormat="1" ht="14" x14ac:dyDescent="0.35">
      <c r="A2282" s="145"/>
      <c r="B2282" s="152"/>
      <c r="E2282" s="102"/>
      <c r="F2282" s="102"/>
      <c r="G2282" s="102"/>
      <c r="I2282" s="93"/>
      <c r="J2282" s="93"/>
    </row>
    <row r="2283" spans="1:10" s="65" customFormat="1" ht="14" x14ac:dyDescent="0.35">
      <c r="A2283" s="145"/>
      <c r="B2283" s="152"/>
      <c r="E2283" s="102"/>
      <c r="F2283" s="102"/>
      <c r="G2283" s="102"/>
      <c r="I2283" s="93"/>
      <c r="J2283" s="93"/>
    </row>
    <row r="2284" spans="1:10" s="65" customFormat="1" ht="14" x14ac:dyDescent="0.35">
      <c r="A2284" s="145"/>
      <c r="B2284" s="152"/>
      <c r="E2284" s="102"/>
      <c r="F2284" s="102"/>
      <c r="G2284" s="102"/>
      <c r="I2284" s="93"/>
      <c r="J2284" s="93"/>
    </row>
    <row r="2285" spans="1:10" s="65" customFormat="1" ht="14" x14ac:dyDescent="0.35">
      <c r="A2285" s="145"/>
      <c r="B2285" s="152"/>
      <c r="E2285" s="102"/>
      <c r="F2285" s="102"/>
      <c r="G2285" s="102"/>
      <c r="I2285" s="93"/>
      <c r="J2285" s="93"/>
    </row>
    <row r="2286" spans="1:10" s="65" customFormat="1" ht="14" x14ac:dyDescent="0.35">
      <c r="A2286" s="145"/>
      <c r="B2286" s="152"/>
      <c r="E2286" s="102"/>
      <c r="F2286" s="102"/>
      <c r="G2286" s="102"/>
      <c r="I2286" s="93"/>
      <c r="J2286" s="93"/>
    </row>
    <row r="2287" spans="1:10" s="65" customFormat="1" ht="14" x14ac:dyDescent="0.35">
      <c r="A2287" s="145"/>
      <c r="B2287" s="152"/>
      <c r="E2287" s="102"/>
      <c r="F2287" s="102"/>
      <c r="G2287" s="102"/>
      <c r="I2287" s="93"/>
      <c r="J2287" s="93"/>
    </row>
    <row r="2288" spans="1:10" s="65" customFormat="1" ht="14" x14ac:dyDescent="0.35">
      <c r="A2288" s="145"/>
      <c r="B2288" s="152"/>
      <c r="E2288" s="102"/>
      <c r="F2288" s="102"/>
      <c r="G2288" s="102"/>
      <c r="I2288" s="93"/>
      <c r="J2288" s="93"/>
    </row>
    <row r="2289" spans="1:10" s="65" customFormat="1" ht="14" x14ac:dyDescent="0.35">
      <c r="A2289" s="145"/>
      <c r="B2289" s="152"/>
      <c r="E2289" s="102"/>
      <c r="F2289" s="102"/>
      <c r="G2289" s="102"/>
      <c r="I2289" s="93"/>
      <c r="J2289" s="93"/>
    </row>
    <row r="2290" spans="1:10" s="65" customFormat="1" ht="14" x14ac:dyDescent="0.35">
      <c r="A2290" s="145"/>
      <c r="B2290" s="152"/>
      <c r="E2290" s="102"/>
      <c r="F2290" s="102"/>
      <c r="G2290" s="102"/>
      <c r="I2290" s="93"/>
      <c r="J2290" s="93"/>
    </row>
    <row r="2291" spans="1:10" s="65" customFormat="1" ht="14" x14ac:dyDescent="0.35">
      <c r="A2291" s="145"/>
      <c r="B2291" s="152"/>
      <c r="E2291" s="102"/>
      <c r="F2291" s="102"/>
      <c r="G2291" s="102"/>
      <c r="I2291" s="93"/>
      <c r="J2291" s="93"/>
    </row>
    <row r="2292" spans="1:10" s="65" customFormat="1" ht="14" x14ac:dyDescent="0.35">
      <c r="A2292" s="145"/>
      <c r="B2292" s="152"/>
      <c r="E2292" s="102"/>
      <c r="F2292" s="102"/>
      <c r="G2292" s="102"/>
      <c r="I2292" s="93"/>
      <c r="J2292" s="93"/>
    </row>
    <row r="2293" spans="1:10" s="65" customFormat="1" ht="14" x14ac:dyDescent="0.35">
      <c r="A2293" s="145"/>
      <c r="B2293" s="152"/>
      <c r="E2293" s="102"/>
      <c r="F2293" s="102"/>
      <c r="G2293" s="102"/>
      <c r="I2293" s="93"/>
      <c r="J2293" s="93"/>
    </row>
    <row r="2294" spans="1:10" s="65" customFormat="1" ht="14" x14ac:dyDescent="0.35">
      <c r="A2294" s="145"/>
      <c r="B2294" s="152"/>
      <c r="E2294" s="102"/>
      <c r="F2294" s="102"/>
      <c r="G2294" s="102"/>
      <c r="I2294" s="93"/>
      <c r="J2294" s="93"/>
    </row>
    <row r="2295" spans="1:10" s="65" customFormat="1" ht="14" x14ac:dyDescent="0.35">
      <c r="A2295" s="145"/>
      <c r="B2295" s="152"/>
      <c r="E2295" s="102"/>
      <c r="F2295" s="102"/>
      <c r="G2295" s="102"/>
      <c r="I2295" s="93"/>
      <c r="J2295" s="93"/>
    </row>
    <row r="2296" spans="1:10" s="65" customFormat="1" ht="14" x14ac:dyDescent="0.35">
      <c r="A2296" s="145"/>
      <c r="B2296" s="152"/>
      <c r="E2296" s="102"/>
      <c r="F2296" s="102"/>
      <c r="G2296" s="102"/>
      <c r="I2296" s="93"/>
      <c r="J2296" s="93"/>
    </row>
    <row r="2297" spans="1:10" s="65" customFormat="1" ht="14" x14ac:dyDescent="0.35">
      <c r="A2297" s="145"/>
      <c r="B2297" s="152"/>
      <c r="E2297" s="102"/>
      <c r="F2297" s="102"/>
      <c r="G2297" s="102"/>
      <c r="I2297" s="93"/>
      <c r="J2297" s="93"/>
    </row>
    <row r="2298" spans="1:10" s="65" customFormat="1" ht="14" x14ac:dyDescent="0.35">
      <c r="A2298" s="145"/>
      <c r="B2298" s="152"/>
      <c r="E2298" s="102"/>
      <c r="F2298" s="102"/>
      <c r="G2298" s="102"/>
      <c r="I2298" s="93"/>
      <c r="J2298" s="93"/>
    </row>
    <row r="2299" spans="1:10" s="65" customFormat="1" ht="14" x14ac:dyDescent="0.35">
      <c r="A2299" s="145"/>
      <c r="B2299" s="152"/>
      <c r="E2299" s="102"/>
      <c r="F2299" s="102"/>
      <c r="G2299" s="102"/>
      <c r="I2299" s="93"/>
      <c r="J2299" s="93"/>
    </row>
    <row r="2300" spans="1:10" s="65" customFormat="1" ht="14" x14ac:dyDescent="0.35">
      <c r="A2300" s="145"/>
      <c r="B2300" s="152"/>
      <c r="E2300" s="102"/>
      <c r="F2300" s="102"/>
      <c r="G2300" s="102"/>
      <c r="I2300" s="93"/>
      <c r="J2300" s="93"/>
    </row>
    <row r="2301" spans="1:10" s="65" customFormat="1" ht="14" x14ac:dyDescent="0.35">
      <c r="A2301" s="145"/>
      <c r="B2301" s="152"/>
      <c r="E2301" s="102"/>
      <c r="F2301" s="102"/>
      <c r="G2301" s="102"/>
      <c r="I2301" s="93"/>
      <c r="J2301" s="93"/>
    </row>
    <row r="2302" spans="1:10" s="65" customFormat="1" ht="14" x14ac:dyDescent="0.35">
      <c r="A2302" s="145"/>
      <c r="B2302" s="152"/>
      <c r="E2302" s="102"/>
      <c r="F2302" s="102"/>
      <c r="G2302" s="102"/>
      <c r="I2302" s="93"/>
      <c r="J2302" s="93"/>
    </row>
    <row r="2303" spans="1:10" s="65" customFormat="1" ht="14" x14ac:dyDescent="0.35">
      <c r="A2303" s="145"/>
      <c r="B2303" s="152"/>
      <c r="E2303" s="102"/>
      <c r="F2303" s="102"/>
      <c r="G2303" s="102"/>
      <c r="I2303" s="93"/>
      <c r="J2303" s="93"/>
    </row>
    <row r="2304" spans="1:10" s="65" customFormat="1" ht="14" x14ac:dyDescent="0.35">
      <c r="A2304" s="145"/>
      <c r="B2304" s="152"/>
      <c r="E2304" s="102"/>
      <c r="F2304" s="102"/>
      <c r="G2304" s="102"/>
      <c r="I2304" s="93"/>
      <c r="J2304" s="93"/>
    </row>
    <row r="2305" spans="1:10" s="65" customFormat="1" ht="14" x14ac:dyDescent="0.35">
      <c r="A2305" s="145"/>
      <c r="B2305" s="152"/>
      <c r="E2305" s="102"/>
      <c r="F2305" s="102"/>
      <c r="G2305" s="102"/>
      <c r="I2305" s="93"/>
      <c r="J2305" s="93"/>
    </row>
    <row r="2306" spans="1:10" s="65" customFormat="1" ht="14" x14ac:dyDescent="0.35">
      <c r="A2306" s="145"/>
      <c r="B2306" s="152"/>
      <c r="E2306" s="102"/>
      <c r="F2306" s="102"/>
      <c r="G2306" s="102"/>
      <c r="I2306" s="93"/>
      <c r="J2306" s="93"/>
    </row>
    <row r="2307" spans="1:10" s="65" customFormat="1" ht="14" x14ac:dyDescent="0.35">
      <c r="A2307" s="145"/>
      <c r="B2307" s="152"/>
      <c r="E2307" s="102"/>
      <c r="F2307" s="102"/>
      <c r="G2307" s="102"/>
      <c r="I2307" s="93"/>
      <c r="J2307" s="93"/>
    </row>
    <row r="2308" spans="1:10" s="65" customFormat="1" ht="14" x14ac:dyDescent="0.35">
      <c r="A2308" s="145"/>
      <c r="B2308" s="152"/>
      <c r="E2308" s="102"/>
      <c r="F2308" s="102"/>
      <c r="G2308" s="102"/>
      <c r="I2308" s="93"/>
      <c r="J2308" s="93"/>
    </row>
    <row r="2309" spans="1:10" s="65" customFormat="1" ht="14" x14ac:dyDescent="0.35">
      <c r="A2309" s="145"/>
      <c r="B2309" s="152"/>
      <c r="E2309" s="102"/>
      <c r="F2309" s="102"/>
      <c r="G2309" s="102"/>
      <c r="I2309" s="93"/>
      <c r="J2309" s="93"/>
    </row>
    <row r="2310" spans="1:10" s="65" customFormat="1" ht="14" x14ac:dyDescent="0.35">
      <c r="A2310" s="145"/>
      <c r="B2310" s="152"/>
      <c r="E2310" s="102"/>
      <c r="F2310" s="102"/>
      <c r="G2310" s="102"/>
      <c r="I2310" s="93"/>
      <c r="J2310" s="93"/>
    </row>
    <row r="2311" spans="1:10" s="65" customFormat="1" ht="14" x14ac:dyDescent="0.35">
      <c r="A2311" s="145"/>
      <c r="B2311" s="152"/>
      <c r="E2311" s="102"/>
      <c r="F2311" s="102"/>
      <c r="G2311" s="102"/>
      <c r="I2311" s="93"/>
      <c r="J2311" s="93"/>
    </row>
    <row r="2312" spans="1:10" s="65" customFormat="1" ht="14" x14ac:dyDescent="0.35">
      <c r="A2312" s="145"/>
      <c r="B2312" s="152"/>
      <c r="E2312" s="102"/>
      <c r="F2312" s="102"/>
      <c r="G2312" s="102"/>
      <c r="I2312" s="93"/>
      <c r="J2312" s="93"/>
    </row>
    <row r="2313" spans="1:10" s="65" customFormat="1" ht="14" x14ac:dyDescent="0.35">
      <c r="A2313" s="145"/>
      <c r="B2313" s="152"/>
      <c r="E2313" s="102"/>
      <c r="F2313" s="102"/>
      <c r="G2313" s="102"/>
      <c r="I2313" s="93"/>
      <c r="J2313" s="93"/>
    </row>
    <row r="2314" spans="1:10" s="65" customFormat="1" ht="14" x14ac:dyDescent="0.35">
      <c r="A2314" s="145"/>
      <c r="B2314" s="152"/>
      <c r="E2314" s="102"/>
      <c r="F2314" s="102"/>
      <c r="G2314" s="102"/>
      <c r="I2314" s="93"/>
      <c r="J2314" s="93"/>
    </row>
    <row r="2315" spans="1:10" s="65" customFormat="1" ht="14" x14ac:dyDescent="0.35">
      <c r="A2315" s="145"/>
      <c r="B2315" s="152"/>
      <c r="E2315" s="102"/>
      <c r="F2315" s="102"/>
      <c r="G2315" s="102"/>
      <c r="I2315" s="93"/>
      <c r="J2315" s="93"/>
    </row>
    <row r="2316" spans="1:10" s="65" customFormat="1" ht="14" x14ac:dyDescent="0.35">
      <c r="A2316" s="145"/>
      <c r="B2316" s="152"/>
      <c r="E2316" s="102"/>
      <c r="F2316" s="102"/>
      <c r="G2316" s="102"/>
      <c r="I2316" s="93"/>
      <c r="J2316" s="93"/>
    </row>
    <row r="2317" spans="1:10" s="65" customFormat="1" ht="14" x14ac:dyDescent="0.35">
      <c r="A2317" s="145"/>
      <c r="B2317" s="152"/>
      <c r="E2317" s="102"/>
      <c r="F2317" s="102"/>
      <c r="G2317" s="102"/>
      <c r="I2317" s="93"/>
      <c r="J2317" s="93"/>
    </row>
    <row r="2318" spans="1:10" s="65" customFormat="1" ht="14" x14ac:dyDescent="0.35">
      <c r="A2318" s="145"/>
      <c r="B2318" s="152"/>
      <c r="E2318" s="102"/>
      <c r="F2318" s="102"/>
      <c r="G2318" s="102"/>
      <c r="I2318" s="93"/>
      <c r="J2318" s="93"/>
    </row>
    <row r="2319" spans="1:10" s="65" customFormat="1" ht="14" x14ac:dyDescent="0.35">
      <c r="A2319" s="145"/>
      <c r="B2319" s="152"/>
      <c r="E2319" s="102"/>
      <c r="F2319" s="102"/>
      <c r="G2319" s="102"/>
      <c r="I2319" s="93"/>
      <c r="J2319" s="93"/>
    </row>
    <row r="2320" spans="1:10" s="65" customFormat="1" ht="14" x14ac:dyDescent="0.35">
      <c r="A2320" s="145"/>
      <c r="B2320" s="152"/>
      <c r="E2320" s="102"/>
      <c r="F2320" s="102"/>
      <c r="G2320" s="102"/>
      <c r="I2320" s="93"/>
      <c r="J2320" s="93"/>
    </row>
    <row r="2321" spans="1:10" s="65" customFormat="1" ht="14" x14ac:dyDescent="0.35">
      <c r="A2321" s="145"/>
      <c r="B2321" s="152"/>
      <c r="E2321" s="102"/>
      <c r="F2321" s="102"/>
      <c r="G2321" s="102"/>
      <c r="I2321" s="93"/>
      <c r="J2321" s="93"/>
    </row>
    <row r="2322" spans="1:10" s="65" customFormat="1" ht="14" x14ac:dyDescent="0.35">
      <c r="A2322" s="145"/>
      <c r="B2322" s="152"/>
      <c r="E2322" s="102"/>
      <c r="F2322" s="102"/>
      <c r="G2322" s="102"/>
      <c r="I2322" s="93"/>
      <c r="J2322" s="93"/>
    </row>
    <row r="2323" spans="1:10" s="65" customFormat="1" ht="14" x14ac:dyDescent="0.35">
      <c r="A2323" s="145"/>
      <c r="B2323" s="152"/>
      <c r="E2323" s="102"/>
      <c r="F2323" s="102"/>
      <c r="G2323" s="102"/>
      <c r="I2323" s="93"/>
      <c r="J2323" s="93"/>
    </row>
    <row r="2324" spans="1:10" s="65" customFormat="1" ht="14" x14ac:dyDescent="0.35">
      <c r="A2324" s="145"/>
      <c r="B2324" s="152"/>
      <c r="E2324" s="102"/>
      <c r="F2324" s="102"/>
      <c r="G2324" s="102"/>
      <c r="I2324" s="93"/>
      <c r="J2324" s="93"/>
    </row>
    <row r="2325" spans="1:10" s="65" customFormat="1" ht="14" x14ac:dyDescent="0.35">
      <c r="A2325" s="145"/>
      <c r="B2325" s="152"/>
      <c r="E2325" s="102"/>
      <c r="F2325" s="102"/>
      <c r="G2325" s="102"/>
      <c r="I2325" s="93"/>
      <c r="J2325" s="93"/>
    </row>
    <row r="2326" spans="1:10" s="65" customFormat="1" ht="14" x14ac:dyDescent="0.35">
      <c r="A2326" s="145"/>
      <c r="B2326" s="152"/>
      <c r="E2326" s="102"/>
      <c r="F2326" s="102"/>
      <c r="G2326" s="102"/>
      <c r="I2326" s="93"/>
      <c r="J2326" s="93"/>
    </row>
    <row r="2327" spans="1:10" s="65" customFormat="1" ht="14" x14ac:dyDescent="0.35">
      <c r="A2327" s="145"/>
      <c r="B2327" s="152"/>
      <c r="E2327" s="102"/>
      <c r="F2327" s="102"/>
      <c r="G2327" s="102"/>
      <c r="I2327" s="93"/>
      <c r="J2327" s="93"/>
    </row>
    <row r="2328" spans="1:10" s="65" customFormat="1" ht="14" x14ac:dyDescent="0.35">
      <c r="A2328" s="145"/>
      <c r="B2328" s="152"/>
      <c r="E2328" s="102"/>
      <c r="F2328" s="102"/>
      <c r="G2328" s="102"/>
      <c r="I2328" s="93"/>
      <c r="J2328" s="93"/>
    </row>
    <row r="2329" spans="1:10" s="65" customFormat="1" ht="14" x14ac:dyDescent="0.35">
      <c r="A2329" s="145"/>
      <c r="B2329" s="152"/>
      <c r="E2329" s="102"/>
      <c r="F2329" s="102"/>
      <c r="G2329" s="102"/>
      <c r="I2329" s="93"/>
      <c r="J2329" s="93"/>
    </row>
    <row r="2330" spans="1:10" s="65" customFormat="1" ht="14" x14ac:dyDescent="0.35">
      <c r="A2330" s="145"/>
      <c r="B2330" s="152"/>
      <c r="E2330" s="102"/>
      <c r="F2330" s="102"/>
      <c r="G2330" s="102"/>
      <c r="I2330" s="93"/>
      <c r="J2330" s="93"/>
    </row>
    <row r="2331" spans="1:10" s="65" customFormat="1" ht="14" x14ac:dyDescent="0.35">
      <c r="A2331" s="145"/>
      <c r="B2331" s="152"/>
      <c r="E2331" s="102"/>
      <c r="F2331" s="102"/>
      <c r="G2331" s="102"/>
      <c r="I2331" s="93"/>
      <c r="J2331" s="93"/>
    </row>
    <row r="2332" spans="1:10" s="65" customFormat="1" ht="14" x14ac:dyDescent="0.35">
      <c r="A2332" s="145"/>
      <c r="B2332" s="152"/>
      <c r="E2332" s="102"/>
      <c r="F2332" s="102"/>
      <c r="G2332" s="102"/>
      <c r="I2332" s="93"/>
      <c r="J2332" s="93"/>
    </row>
    <row r="2333" spans="1:10" s="65" customFormat="1" ht="14" x14ac:dyDescent="0.35">
      <c r="A2333" s="145"/>
      <c r="B2333" s="152"/>
      <c r="E2333" s="102"/>
      <c r="F2333" s="102"/>
      <c r="G2333" s="102"/>
      <c r="I2333" s="93"/>
      <c r="J2333" s="93"/>
    </row>
    <row r="2334" spans="1:10" s="65" customFormat="1" ht="14" x14ac:dyDescent="0.35">
      <c r="A2334" s="145"/>
      <c r="B2334" s="152"/>
      <c r="E2334" s="102"/>
      <c r="F2334" s="102"/>
      <c r="G2334" s="102"/>
      <c r="I2334" s="93"/>
      <c r="J2334" s="93"/>
    </row>
    <row r="2335" spans="1:10" s="65" customFormat="1" ht="14" x14ac:dyDescent="0.35">
      <c r="A2335" s="145"/>
      <c r="B2335" s="152"/>
      <c r="E2335" s="102"/>
      <c r="F2335" s="102"/>
      <c r="G2335" s="102"/>
      <c r="I2335" s="93"/>
      <c r="J2335" s="93"/>
    </row>
    <row r="2336" spans="1:10" s="65" customFormat="1" ht="14" x14ac:dyDescent="0.35">
      <c r="A2336" s="145"/>
      <c r="B2336" s="152"/>
      <c r="E2336" s="102"/>
      <c r="F2336" s="102"/>
      <c r="G2336" s="102"/>
      <c r="I2336" s="93"/>
      <c r="J2336" s="93"/>
    </row>
    <row r="2337" spans="1:10" s="65" customFormat="1" ht="14" x14ac:dyDescent="0.35">
      <c r="A2337" s="145"/>
      <c r="B2337" s="152"/>
      <c r="E2337" s="102"/>
      <c r="F2337" s="102"/>
      <c r="G2337" s="102"/>
      <c r="I2337" s="93"/>
      <c r="J2337" s="93"/>
    </row>
    <row r="2338" spans="1:10" s="65" customFormat="1" ht="14" x14ac:dyDescent="0.35">
      <c r="A2338" s="145"/>
      <c r="B2338" s="152"/>
      <c r="E2338" s="102"/>
      <c r="F2338" s="102"/>
      <c r="G2338" s="102"/>
      <c r="I2338" s="93"/>
      <c r="J2338" s="93"/>
    </row>
    <row r="2339" spans="1:10" s="65" customFormat="1" ht="14" x14ac:dyDescent="0.35">
      <c r="A2339" s="145"/>
      <c r="B2339" s="152"/>
      <c r="E2339" s="102"/>
      <c r="F2339" s="102"/>
      <c r="G2339" s="102"/>
      <c r="I2339" s="93"/>
      <c r="J2339" s="93"/>
    </row>
    <row r="2340" spans="1:10" s="65" customFormat="1" ht="14" x14ac:dyDescent="0.35">
      <c r="A2340" s="145"/>
      <c r="B2340" s="152"/>
      <c r="E2340" s="102"/>
      <c r="F2340" s="102"/>
      <c r="G2340" s="102"/>
      <c r="I2340" s="93"/>
      <c r="J2340" s="93"/>
    </row>
    <row r="2341" spans="1:10" s="65" customFormat="1" ht="14" x14ac:dyDescent="0.35">
      <c r="A2341" s="145"/>
      <c r="B2341" s="152"/>
      <c r="E2341" s="102"/>
      <c r="F2341" s="102"/>
      <c r="G2341" s="102"/>
      <c r="I2341" s="93"/>
      <c r="J2341" s="93"/>
    </row>
    <row r="2342" spans="1:10" s="65" customFormat="1" ht="14" x14ac:dyDescent="0.35">
      <c r="A2342" s="145"/>
      <c r="B2342" s="152"/>
      <c r="E2342" s="102"/>
      <c r="F2342" s="102"/>
      <c r="G2342" s="102"/>
      <c r="I2342" s="93"/>
      <c r="J2342" s="93"/>
    </row>
    <row r="2343" spans="1:10" s="65" customFormat="1" ht="14" x14ac:dyDescent="0.35">
      <c r="A2343" s="145"/>
      <c r="B2343" s="152"/>
      <c r="E2343" s="102"/>
      <c r="F2343" s="102"/>
      <c r="G2343" s="102"/>
      <c r="I2343" s="93"/>
      <c r="J2343" s="93"/>
    </row>
    <row r="2344" spans="1:10" s="65" customFormat="1" ht="14" x14ac:dyDescent="0.35">
      <c r="A2344" s="145"/>
      <c r="B2344" s="152"/>
      <c r="E2344" s="102"/>
      <c r="F2344" s="102"/>
      <c r="G2344" s="102"/>
      <c r="I2344" s="93"/>
      <c r="J2344" s="93"/>
    </row>
    <row r="2345" spans="1:10" s="65" customFormat="1" ht="14" x14ac:dyDescent="0.35">
      <c r="A2345" s="145"/>
      <c r="B2345" s="152"/>
      <c r="E2345" s="102"/>
      <c r="F2345" s="102"/>
      <c r="G2345" s="102"/>
      <c r="I2345" s="93"/>
      <c r="J2345" s="93"/>
    </row>
    <row r="2346" spans="1:10" s="65" customFormat="1" ht="14" x14ac:dyDescent="0.35">
      <c r="A2346" s="145"/>
      <c r="B2346" s="152"/>
      <c r="E2346" s="102"/>
      <c r="F2346" s="102"/>
      <c r="G2346" s="102"/>
      <c r="I2346" s="93"/>
      <c r="J2346" s="93"/>
    </row>
    <row r="2347" spans="1:10" s="65" customFormat="1" ht="14" x14ac:dyDescent="0.35">
      <c r="A2347" s="145"/>
      <c r="B2347" s="152"/>
      <c r="E2347" s="102"/>
      <c r="F2347" s="102"/>
      <c r="G2347" s="102"/>
      <c r="I2347" s="93"/>
      <c r="J2347" s="93"/>
    </row>
    <row r="2348" spans="1:10" s="65" customFormat="1" ht="14" x14ac:dyDescent="0.35">
      <c r="A2348" s="145"/>
      <c r="B2348" s="152"/>
      <c r="E2348" s="102"/>
      <c r="F2348" s="102"/>
      <c r="G2348" s="102"/>
      <c r="I2348" s="93"/>
      <c r="J2348" s="93"/>
    </row>
    <row r="2349" spans="1:10" s="65" customFormat="1" ht="14" x14ac:dyDescent="0.35">
      <c r="A2349" s="145"/>
      <c r="B2349" s="152"/>
      <c r="E2349" s="102"/>
      <c r="F2349" s="102"/>
      <c r="G2349" s="102"/>
      <c r="I2349" s="93"/>
      <c r="J2349" s="93"/>
    </row>
    <row r="2350" spans="1:10" s="65" customFormat="1" ht="14" x14ac:dyDescent="0.35">
      <c r="A2350" s="145"/>
      <c r="B2350" s="152"/>
      <c r="E2350" s="102"/>
      <c r="F2350" s="102"/>
      <c r="G2350" s="102"/>
      <c r="I2350" s="93"/>
      <c r="J2350" s="93"/>
    </row>
    <row r="2351" spans="1:10" s="65" customFormat="1" ht="14" x14ac:dyDescent="0.35">
      <c r="A2351" s="145"/>
      <c r="B2351" s="152"/>
      <c r="E2351" s="102"/>
      <c r="F2351" s="102"/>
      <c r="G2351" s="102"/>
      <c r="I2351" s="93"/>
      <c r="J2351" s="93"/>
    </row>
    <row r="2352" spans="1:10" s="65" customFormat="1" ht="14" x14ac:dyDescent="0.35">
      <c r="A2352" s="145"/>
      <c r="B2352" s="152"/>
      <c r="E2352" s="102"/>
      <c r="F2352" s="102"/>
      <c r="G2352" s="102"/>
      <c r="I2352" s="93"/>
      <c r="J2352" s="93"/>
    </row>
    <row r="2353" spans="1:10" s="65" customFormat="1" ht="14" x14ac:dyDescent="0.35">
      <c r="A2353" s="145"/>
      <c r="B2353" s="152"/>
      <c r="E2353" s="102"/>
      <c r="F2353" s="102"/>
      <c r="G2353" s="102"/>
      <c r="I2353" s="93"/>
      <c r="J2353" s="93"/>
    </row>
    <row r="2354" spans="1:10" s="65" customFormat="1" ht="14" x14ac:dyDescent="0.35">
      <c r="A2354" s="145"/>
      <c r="B2354" s="152"/>
      <c r="E2354" s="102"/>
      <c r="F2354" s="102"/>
      <c r="G2354" s="102"/>
      <c r="I2354" s="93"/>
      <c r="J2354" s="93"/>
    </row>
    <row r="2355" spans="1:10" s="65" customFormat="1" ht="14" x14ac:dyDescent="0.35">
      <c r="A2355" s="145"/>
      <c r="B2355" s="152"/>
      <c r="E2355" s="102"/>
      <c r="F2355" s="102"/>
      <c r="G2355" s="102"/>
      <c r="I2355" s="93"/>
      <c r="J2355" s="93"/>
    </row>
    <row r="2356" spans="1:10" s="65" customFormat="1" ht="14" x14ac:dyDescent="0.35">
      <c r="A2356" s="145"/>
      <c r="B2356" s="152"/>
      <c r="E2356" s="102"/>
      <c r="F2356" s="102"/>
      <c r="G2356" s="102"/>
      <c r="I2356" s="93"/>
      <c r="J2356" s="93"/>
    </row>
    <row r="2357" spans="1:10" s="65" customFormat="1" ht="14" x14ac:dyDescent="0.35">
      <c r="A2357" s="145"/>
      <c r="B2357" s="152"/>
      <c r="E2357" s="102"/>
      <c r="F2357" s="102"/>
      <c r="G2357" s="102"/>
      <c r="I2357" s="93"/>
      <c r="J2357" s="93"/>
    </row>
    <row r="2358" spans="1:10" s="65" customFormat="1" ht="14" x14ac:dyDescent="0.35">
      <c r="A2358" s="145"/>
      <c r="B2358" s="152"/>
      <c r="E2358" s="102"/>
      <c r="F2358" s="102"/>
      <c r="G2358" s="102"/>
      <c r="I2358" s="93"/>
      <c r="J2358" s="93"/>
    </row>
    <row r="2359" spans="1:10" s="65" customFormat="1" ht="14" x14ac:dyDescent="0.35">
      <c r="A2359" s="145"/>
      <c r="B2359" s="152"/>
      <c r="E2359" s="102"/>
      <c r="F2359" s="102"/>
      <c r="G2359" s="102"/>
      <c r="I2359" s="93"/>
      <c r="J2359" s="93"/>
    </row>
    <row r="2360" spans="1:10" s="65" customFormat="1" ht="14" x14ac:dyDescent="0.35">
      <c r="A2360" s="145"/>
      <c r="B2360" s="152"/>
      <c r="E2360" s="102"/>
      <c r="F2360" s="102"/>
      <c r="G2360" s="102"/>
      <c r="I2360" s="93"/>
      <c r="J2360" s="93"/>
    </row>
    <row r="2361" spans="1:10" s="65" customFormat="1" ht="14" x14ac:dyDescent="0.35">
      <c r="A2361" s="145"/>
      <c r="B2361" s="152"/>
      <c r="E2361" s="102"/>
      <c r="F2361" s="102"/>
      <c r="G2361" s="102"/>
      <c r="I2361" s="93"/>
      <c r="J2361" s="93"/>
    </row>
    <row r="2362" spans="1:10" s="65" customFormat="1" ht="14" x14ac:dyDescent="0.35">
      <c r="A2362" s="145"/>
      <c r="B2362" s="152"/>
      <c r="E2362" s="102"/>
      <c r="F2362" s="102"/>
      <c r="G2362" s="102"/>
      <c r="I2362" s="93"/>
      <c r="J2362" s="93"/>
    </row>
    <row r="2363" spans="1:10" s="65" customFormat="1" ht="14" x14ac:dyDescent="0.35">
      <c r="A2363" s="145"/>
      <c r="B2363" s="152"/>
      <c r="E2363" s="102"/>
      <c r="F2363" s="102"/>
      <c r="G2363" s="102"/>
      <c r="I2363" s="93"/>
      <c r="J2363" s="93"/>
    </row>
    <row r="2364" spans="1:10" s="65" customFormat="1" ht="14" x14ac:dyDescent="0.35">
      <c r="A2364" s="145"/>
      <c r="B2364" s="152"/>
      <c r="E2364" s="102"/>
      <c r="F2364" s="102"/>
      <c r="G2364" s="102"/>
      <c r="I2364" s="93"/>
      <c r="J2364" s="93"/>
    </row>
    <row r="2365" spans="1:10" s="65" customFormat="1" ht="14" x14ac:dyDescent="0.35">
      <c r="A2365" s="145"/>
      <c r="B2365" s="152"/>
      <c r="E2365" s="102"/>
      <c r="F2365" s="102"/>
      <c r="G2365" s="102"/>
      <c r="I2365" s="93"/>
      <c r="J2365" s="93"/>
    </row>
    <row r="2366" spans="1:10" s="65" customFormat="1" ht="14" x14ac:dyDescent="0.35">
      <c r="A2366" s="145"/>
      <c r="B2366" s="152"/>
      <c r="E2366" s="102"/>
      <c r="F2366" s="102"/>
      <c r="G2366" s="102"/>
      <c r="I2366" s="93"/>
      <c r="J2366" s="93"/>
    </row>
    <row r="2367" spans="1:10" s="65" customFormat="1" ht="14" x14ac:dyDescent="0.35">
      <c r="A2367" s="145"/>
      <c r="B2367" s="152"/>
      <c r="E2367" s="102"/>
      <c r="F2367" s="102"/>
      <c r="G2367" s="102"/>
      <c r="I2367" s="93"/>
      <c r="J2367" s="93"/>
    </row>
    <row r="2368" spans="1:10" s="65" customFormat="1" ht="14" x14ac:dyDescent="0.35">
      <c r="A2368" s="145"/>
      <c r="B2368" s="152"/>
      <c r="E2368" s="102"/>
      <c r="F2368" s="102"/>
      <c r="G2368" s="102"/>
      <c r="I2368" s="93"/>
      <c r="J2368" s="93"/>
    </row>
    <row r="2369" spans="1:10" s="65" customFormat="1" ht="14" x14ac:dyDescent="0.35">
      <c r="A2369" s="145"/>
      <c r="B2369" s="152"/>
      <c r="E2369" s="102"/>
      <c r="F2369" s="102"/>
      <c r="G2369" s="102"/>
      <c r="I2369" s="93"/>
      <c r="J2369" s="93"/>
    </row>
    <row r="2370" spans="1:10" s="65" customFormat="1" ht="14" x14ac:dyDescent="0.35">
      <c r="A2370" s="145"/>
      <c r="B2370" s="152"/>
      <c r="E2370" s="102"/>
      <c r="F2370" s="102"/>
      <c r="G2370" s="102"/>
      <c r="I2370" s="93"/>
      <c r="J2370" s="93"/>
    </row>
    <row r="2371" spans="1:10" s="65" customFormat="1" ht="14" x14ac:dyDescent="0.35">
      <c r="A2371" s="145"/>
      <c r="B2371" s="152"/>
      <c r="E2371" s="102"/>
      <c r="F2371" s="102"/>
      <c r="G2371" s="102"/>
      <c r="I2371" s="93"/>
      <c r="J2371" s="93"/>
    </row>
    <row r="2372" spans="1:10" s="65" customFormat="1" ht="14" x14ac:dyDescent="0.35">
      <c r="A2372" s="145"/>
      <c r="B2372" s="152"/>
      <c r="E2372" s="102"/>
      <c r="F2372" s="102"/>
      <c r="G2372" s="102"/>
      <c r="I2372" s="93"/>
      <c r="J2372" s="93"/>
    </row>
    <row r="2373" spans="1:10" s="65" customFormat="1" ht="14" x14ac:dyDescent="0.35">
      <c r="A2373" s="145"/>
      <c r="B2373" s="152"/>
      <c r="E2373" s="102"/>
      <c r="F2373" s="102"/>
      <c r="G2373" s="102"/>
      <c r="I2373" s="93"/>
      <c r="J2373" s="93"/>
    </row>
    <row r="2374" spans="1:10" s="65" customFormat="1" ht="14" x14ac:dyDescent="0.35">
      <c r="A2374" s="145"/>
      <c r="B2374" s="152"/>
      <c r="E2374" s="102"/>
      <c r="F2374" s="102"/>
      <c r="G2374" s="102"/>
      <c r="I2374" s="93"/>
      <c r="J2374" s="93"/>
    </row>
    <row r="2375" spans="1:10" s="65" customFormat="1" ht="14" x14ac:dyDescent="0.35">
      <c r="A2375" s="145"/>
      <c r="B2375" s="152"/>
      <c r="E2375" s="102"/>
      <c r="F2375" s="102"/>
      <c r="G2375" s="102"/>
      <c r="I2375" s="93"/>
      <c r="J2375" s="93"/>
    </row>
    <row r="2376" spans="1:10" s="65" customFormat="1" ht="14" x14ac:dyDescent="0.35">
      <c r="A2376" s="145"/>
      <c r="B2376" s="152"/>
      <c r="E2376" s="102"/>
      <c r="F2376" s="102"/>
      <c r="G2376" s="102"/>
      <c r="I2376" s="93"/>
      <c r="J2376" s="93"/>
    </row>
    <row r="2377" spans="1:10" s="65" customFormat="1" ht="14" x14ac:dyDescent="0.35">
      <c r="A2377" s="145"/>
      <c r="B2377" s="152"/>
      <c r="E2377" s="102"/>
      <c r="F2377" s="102"/>
      <c r="G2377" s="102"/>
      <c r="I2377" s="93"/>
      <c r="J2377" s="93"/>
    </row>
    <row r="2378" spans="1:10" s="65" customFormat="1" ht="14" x14ac:dyDescent="0.35">
      <c r="A2378" s="145"/>
      <c r="B2378" s="152"/>
      <c r="E2378" s="102"/>
      <c r="F2378" s="102"/>
      <c r="G2378" s="102"/>
      <c r="I2378" s="93"/>
      <c r="J2378" s="93"/>
    </row>
    <row r="2379" spans="1:10" s="65" customFormat="1" ht="14" x14ac:dyDescent="0.35">
      <c r="A2379" s="145"/>
      <c r="B2379" s="152"/>
      <c r="E2379" s="102"/>
      <c r="F2379" s="102"/>
      <c r="G2379" s="102"/>
      <c r="I2379" s="93"/>
      <c r="J2379" s="93"/>
    </row>
    <row r="2380" spans="1:10" s="65" customFormat="1" ht="14" x14ac:dyDescent="0.35">
      <c r="A2380" s="145"/>
      <c r="B2380" s="152"/>
      <c r="E2380" s="102"/>
      <c r="F2380" s="102"/>
      <c r="G2380" s="102"/>
      <c r="I2380" s="93"/>
      <c r="J2380" s="93"/>
    </row>
    <row r="2381" spans="1:10" s="65" customFormat="1" ht="14" x14ac:dyDescent="0.35">
      <c r="A2381" s="145"/>
      <c r="B2381" s="152"/>
      <c r="E2381" s="102"/>
      <c r="F2381" s="102"/>
      <c r="G2381" s="102"/>
      <c r="I2381" s="93"/>
      <c r="J2381" s="93"/>
    </row>
    <row r="2382" spans="1:10" s="65" customFormat="1" ht="14" x14ac:dyDescent="0.35">
      <c r="A2382" s="145"/>
      <c r="B2382" s="152"/>
      <c r="E2382" s="102"/>
      <c r="F2382" s="102"/>
      <c r="G2382" s="102"/>
      <c r="I2382" s="93"/>
      <c r="J2382" s="93"/>
    </row>
    <row r="2383" spans="1:10" s="65" customFormat="1" ht="14" x14ac:dyDescent="0.35">
      <c r="A2383" s="145"/>
      <c r="B2383" s="152"/>
      <c r="E2383" s="102"/>
      <c r="F2383" s="102"/>
      <c r="G2383" s="102"/>
      <c r="I2383" s="93"/>
      <c r="J2383" s="93"/>
    </row>
    <row r="2384" spans="1:10" s="65" customFormat="1" ht="14" x14ac:dyDescent="0.35">
      <c r="A2384" s="145"/>
      <c r="B2384" s="152"/>
      <c r="E2384" s="102"/>
      <c r="F2384" s="102"/>
      <c r="G2384" s="102"/>
      <c r="I2384" s="93"/>
      <c r="J2384" s="93"/>
    </row>
    <row r="2385" spans="1:10" s="65" customFormat="1" ht="14" x14ac:dyDescent="0.35">
      <c r="A2385" s="145"/>
      <c r="B2385" s="152"/>
      <c r="E2385" s="102"/>
      <c r="F2385" s="102"/>
      <c r="G2385" s="102"/>
      <c r="I2385" s="93"/>
      <c r="J2385" s="93"/>
    </row>
    <row r="2386" spans="1:10" s="65" customFormat="1" ht="14" x14ac:dyDescent="0.35">
      <c r="A2386" s="145"/>
      <c r="B2386" s="152"/>
      <c r="E2386" s="102"/>
      <c r="F2386" s="102"/>
      <c r="G2386" s="102"/>
      <c r="I2386" s="93"/>
      <c r="J2386" s="93"/>
    </row>
    <row r="2387" spans="1:10" s="65" customFormat="1" ht="14" x14ac:dyDescent="0.35">
      <c r="A2387" s="145"/>
      <c r="B2387" s="152"/>
      <c r="E2387" s="102"/>
      <c r="F2387" s="102"/>
      <c r="G2387" s="102"/>
      <c r="I2387" s="93"/>
      <c r="J2387" s="93"/>
    </row>
    <row r="2388" spans="1:10" s="65" customFormat="1" ht="14" x14ac:dyDescent="0.35">
      <c r="A2388" s="145"/>
      <c r="B2388" s="152"/>
      <c r="E2388" s="102"/>
      <c r="F2388" s="102"/>
      <c r="G2388" s="102"/>
      <c r="I2388" s="93"/>
      <c r="J2388" s="93"/>
    </row>
    <row r="2389" spans="1:10" s="65" customFormat="1" ht="14" x14ac:dyDescent="0.35">
      <c r="A2389" s="145"/>
      <c r="B2389" s="152"/>
      <c r="E2389" s="102"/>
      <c r="F2389" s="102"/>
      <c r="G2389" s="102"/>
      <c r="I2389" s="93"/>
      <c r="J2389" s="93"/>
    </row>
    <row r="2390" spans="1:10" s="65" customFormat="1" ht="14" x14ac:dyDescent="0.35">
      <c r="A2390" s="145"/>
      <c r="B2390" s="152"/>
      <c r="E2390" s="102"/>
      <c r="F2390" s="102"/>
      <c r="G2390" s="102"/>
      <c r="I2390" s="93"/>
      <c r="J2390" s="93"/>
    </row>
    <row r="2391" spans="1:10" s="65" customFormat="1" ht="14" x14ac:dyDescent="0.35">
      <c r="A2391" s="145"/>
      <c r="B2391" s="152"/>
      <c r="E2391" s="102"/>
      <c r="F2391" s="102"/>
      <c r="G2391" s="102"/>
      <c r="I2391" s="93"/>
      <c r="J2391" s="93"/>
    </row>
    <row r="2392" spans="1:10" s="65" customFormat="1" ht="14" x14ac:dyDescent="0.35">
      <c r="A2392" s="145"/>
      <c r="B2392" s="152"/>
      <c r="E2392" s="102"/>
      <c r="F2392" s="102"/>
      <c r="G2392" s="102"/>
      <c r="I2392" s="93"/>
      <c r="J2392" s="93"/>
    </row>
    <row r="2393" spans="1:10" s="65" customFormat="1" ht="14" x14ac:dyDescent="0.35">
      <c r="A2393" s="145"/>
      <c r="B2393" s="152"/>
      <c r="E2393" s="102"/>
      <c r="F2393" s="102"/>
      <c r="G2393" s="102"/>
      <c r="I2393" s="93"/>
      <c r="J2393" s="93"/>
    </row>
    <row r="2394" spans="1:10" s="65" customFormat="1" ht="14" x14ac:dyDescent="0.35">
      <c r="A2394" s="145"/>
      <c r="B2394" s="152"/>
      <c r="E2394" s="102"/>
      <c r="F2394" s="102"/>
      <c r="G2394" s="102"/>
      <c r="I2394" s="93"/>
      <c r="J2394" s="93"/>
    </row>
    <row r="2395" spans="1:10" s="65" customFormat="1" ht="14" x14ac:dyDescent="0.35">
      <c r="A2395" s="145"/>
      <c r="B2395" s="152"/>
      <c r="E2395" s="102"/>
      <c r="F2395" s="102"/>
      <c r="G2395" s="102"/>
      <c r="I2395" s="93"/>
      <c r="J2395" s="93"/>
    </row>
    <row r="2396" spans="1:10" s="65" customFormat="1" ht="14" x14ac:dyDescent="0.35">
      <c r="A2396" s="145"/>
      <c r="B2396" s="152"/>
      <c r="E2396" s="102"/>
      <c r="F2396" s="102"/>
      <c r="G2396" s="102"/>
      <c r="I2396" s="93"/>
      <c r="J2396" s="93"/>
    </row>
    <row r="2397" spans="1:10" s="65" customFormat="1" ht="14" x14ac:dyDescent="0.35">
      <c r="A2397" s="145"/>
      <c r="B2397" s="152"/>
      <c r="E2397" s="102"/>
      <c r="F2397" s="102"/>
      <c r="G2397" s="102"/>
      <c r="I2397" s="93"/>
      <c r="J2397" s="93"/>
    </row>
    <row r="2398" spans="1:10" s="65" customFormat="1" ht="14" x14ac:dyDescent="0.35">
      <c r="A2398" s="145"/>
      <c r="B2398" s="152"/>
      <c r="E2398" s="102"/>
      <c r="F2398" s="102"/>
      <c r="G2398" s="102"/>
      <c r="I2398" s="93"/>
      <c r="J2398" s="93"/>
    </row>
    <row r="2399" spans="1:10" s="65" customFormat="1" ht="14" x14ac:dyDescent="0.35">
      <c r="A2399" s="145"/>
      <c r="B2399" s="152"/>
      <c r="E2399" s="102"/>
      <c r="F2399" s="102"/>
      <c r="G2399" s="102"/>
      <c r="I2399" s="93"/>
      <c r="J2399" s="93"/>
    </row>
    <row r="2400" spans="1:10" s="65" customFormat="1" ht="14" x14ac:dyDescent="0.35">
      <c r="A2400" s="145"/>
      <c r="B2400" s="152"/>
      <c r="E2400" s="102"/>
      <c r="F2400" s="102"/>
      <c r="G2400" s="102"/>
      <c r="I2400" s="93"/>
      <c r="J2400" s="93"/>
    </row>
    <row r="2401" spans="1:10" s="65" customFormat="1" ht="14" x14ac:dyDescent="0.35">
      <c r="A2401" s="145"/>
      <c r="B2401" s="152"/>
      <c r="E2401" s="102"/>
      <c r="F2401" s="102"/>
      <c r="G2401" s="102"/>
      <c r="I2401" s="93"/>
      <c r="J2401" s="93"/>
    </row>
    <row r="2402" spans="1:10" s="65" customFormat="1" ht="14" x14ac:dyDescent="0.35">
      <c r="A2402" s="145"/>
      <c r="B2402" s="152"/>
      <c r="E2402" s="102"/>
      <c r="F2402" s="102"/>
      <c r="G2402" s="102"/>
      <c r="I2402" s="93"/>
      <c r="J2402" s="93"/>
    </row>
    <row r="2403" spans="1:10" s="65" customFormat="1" ht="14" x14ac:dyDescent="0.35">
      <c r="A2403" s="145"/>
      <c r="B2403" s="152"/>
      <c r="E2403" s="102"/>
      <c r="F2403" s="102"/>
      <c r="G2403" s="102"/>
      <c r="I2403" s="93"/>
      <c r="J2403" s="93"/>
    </row>
    <row r="2404" spans="1:10" s="65" customFormat="1" ht="14" x14ac:dyDescent="0.35">
      <c r="A2404" s="145"/>
      <c r="B2404" s="152"/>
      <c r="E2404" s="102"/>
      <c r="F2404" s="102"/>
      <c r="G2404" s="102"/>
      <c r="I2404" s="93"/>
      <c r="J2404" s="93"/>
    </row>
    <row r="2405" spans="1:10" s="65" customFormat="1" ht="14" x14ac:dyDescent="0.35">
      <c r="A2405" s="145"/>
      <c r="B2405" s="152"/>
      <c r="E2405" s="102"/>
      <c r="F2405" s="102"/>
      <c r="G2405" s="102"/>
      <c r="I2405" s="93"/>
      <c r="J2405" s="93"/>
    </row>
    <row r="2406" spans="1:10" s="65" customFormat="1" ht="14" x14ac:dyDescent="0.35">
      <c r="A2406" s="145"/>
      <c r="B2406" s="152"/>
      <c r="E2406" s="102"/>
      <c r="F2406" s="102"/>
      <c r="G2406" s="102"/>
      <c r="I2406" s="93"/>
      <c r="J2406" s="93"/>
    </row>
    <row r="2407" spans="1:10" s="65" customFormat="1" ht="14" x14ac:dyDescent="0.35">
      <c r="A2407" s="145"/>
      <c r="B2407" s="152"/>
      <c r="E2407" s="102"/>
      <c r="F2407" s="102"/>
      <c r="G2407" s="102"/>
      <c r="I2407" s="93"/>
      <c r="J2407" s="93"/>
    </row>
    <row r="2408" spans="1:10" s="65" customFormat="1" ht="14" x14ac:dyDescent="0.35">
      <c r="A2408" s="145"/>
      <c r="B2408" s="152"/>
      <c r="E2408" s="102"/>
      <c r="F2408" s="102"/>
      <c r="G2408" s="102"/>
      <c r="I2408" s="93"/>
      <c r="J2408" s="93"/>
    </row>
    <row r="2409" spans="1:10" s="65" customFormat="1" ht="14" x14ac:dyDescent="0.35">
      <c r="A2409" s="145"/>
      <c r="B2409" s="152"/>
      <c r="E2409" s="102"/>
      <c r="F2409" s="102"/>
      <c r="G2409" s="102"/>
      <c r="I2409" s="93"/>
      <c r="J2409" s="93"/>
    </row>
    <row r="2410" spans="1:10" s="65" customFormat="1" ht="14" x14ac:dyDescent="0.35">
      <c r="A2410" s="145"/>
      <c r="B2410" s="152"/>
      <c r="E2410" s="102"/>
      <c r="F2410" s="102"/>
      <c r="G2410" s="102"/>
      <c r="I2410" s="93"/>
      <c r="J2410" s="93"/>
    </row>
    <row r="2411" spans="1:10" s="65" customFormat="1" ht="14" x14ac:dyDescent="0.35">
      <c r="A2411" s="145"/>
      <c r="B2411" s="152"/>
      <c r="E2411" s="102"/>
      <c r="F2411" s="102"/>
      <c r="G2411" s="102"/>
      <c r="I2411" s="93"/>
      <c r="J2411" s="93"/>
    </row>
    <row r="2412" spans="1:10" s="65" customFormat="1" ht="14" x14ac:dyDescent="0.35">
      <c r="A2412" s="145"/>
      <c r="B2412" s="152"/>
      <c r="E2412" s="102"/>
      <c r="F2412" s="102"/>
      <c r="G2412" s="102"/>
      <c r="I2412" s="93"/>
      <c r="J2412" s="93"/>
    </row>
    <row r="2413" spans="1:10" s="65" customFormat="1" ht="14" x14ac:dyDescent="0.35">
      <c r="A2413" s="145"/>
      <c r="B2413" s="152"/>
      <c r="E2413" s="102"/>
      <c r="F2413" s="102"/>
      <c r="G2413" s="102"/>
      <c r="I2413" s="93"/>
      <c r="J2413" s="93"/>
    </row>
    <row r="2414" spans="1:10" s="65" customFormat="1" ht="14" x14ac:dyDescent="0.35">
      <c r="A2414" s="145"/>
      <c r="B2414" s="152"/>
      <c r="E2414" s="102"/>
      <c r="F2414" s="102"/>
      <c r="G2414" s="102"/>
      <c r="I2414" s="93"/>
      <c r="J2414" s="93"/>
    </row>
    <row r="2415" spans="1:10" s="65" customFormat="1" ht="14" x14ac:dyDescent="0.35">
      <c r="A2415" s="145"/>
      <c r="B2415" s="152"/>
      <c r="E2415" s="102"/>
      <c r="F2415" s="102"/>
      <c r="G2415" s="102"/>
      <c r="I2415" s="93"/>
      <c r="J2415" s="93"/>
    </row>
    <row r="2416" spans="1:10" s="65" customFormat="1" ht="14" x14ac:dyDescent="0.35">
      <c r="A2416" s="145"/>
      <c r="B2416" s="152"/>
      <c r="E2416" s="102"/>
      <c r="F2416" s="102"/>
      <c r="G2416" s="102"/>
      <c r="I2416" s="93"/>
      <c r="J2416" s="93"/>
    </row>
    <row r="2417" spans="1:10" s="65" customFormat="1" ht="14" x14ac:dyDescent="0.35">
      <c r="A2417" s="145"/>
      <c r="B2417" s="152"/>
      <c r="E2417" s="102"/>
      <c r="F2417" s="102"/>
      <c r="G2417" s="102"/>
      <c r="I2417" s="93"/>
      <c r="J2417" s="93"/>
    </row>
    <row r="2418" spans="1:10" s="65" customFormat="1" ht="14" x14ac:dyDescent="0.35">
      <c r="A2418" s="145"/>
      <c r="B2418" s="152"/>
      <c r="E2418" s="102"/>
      <c r="F2418" s="102"/>
      <c r="G2418" s="102"/>
      <c r="I2418" s="93"/>
      <c r="J2418" s="93"/>
    </row>
    <row r="2419" spans="1:10" s="65" customFormat="1" ht="14" x14ac:dyDescent="0.35">
      <c r="A2419" s="145"/>
      <c r="B2419" s="152"/>
      <c r="E2419" s="102"/>
      <c r="F2419" s="102"/>
      <c r="G2419" s="102"/>
      <c r="I2419" s="93"/>
      <c r="J2419" s="93"/>
    </row>
    <row r="2420" spans="1:10" s="65" customFormat="1" ht="14" x14ac:dyDescent="0.35">
      <c r="A2420" s="145"/>
      <c r="B2420" s="152"/>
      <c r="E2420" s="102"/>
      <c r="F2420" s="102"/>
      <c r="G2420" s="102"/>
      <c r="I2420" s="93"/>
      <c r="J2420" s="93"/>
    </row>
    <row r="2421" spans="1:10" s="65" customFormat="1" ht="14" x14ac:dyDescent="0.35">
      <c r="A2421" s="145"/>
      <c r="B2421" s="152"/>
      <c r="E2421" s="102"/>
      <c r="F2421" s="102"/>
      <c r="G2421" s="102"/>
      <c r="I2421" s="93"/>
      <c r="J2421" s="93"/>
    </row>
    <row r="2422" spans="1:10" s="65" customFormat="1" ht="14" x14ac:dyDescent="0.35">
      <c r="A2422" s="145"/>
      <c r="B2422" s="152"/>
      <c r="E2422" s="102"/>
      <c r="F2422" s="102"/>
      <c r="G2422" s="102"/>
      <c r="I2422" s="93"/>
      <c r="J2422" s="93"/>
    </row>
    <row r="2423" spans="1:10" s="65" customFormat="1" ht="14" x14ac:dyDescent="0.35">
      <c r="A2423" s="145"/>
      <c r="B2423" s="152"/>
      <c r="E2423" s="102"/>
      <c r="F2423" s="102"/>
      <c r="G2423" s="102"/>
      <c r="I2423" s="93"/>
      <c r="J2423" s="93"/>
    </row>
    <row r="2424" spans="1:10" s="65" customFormat="1" ht="14" x14ac:dyDescent="0.35">
      <c r="A2424" s="145"/>
      <c r="B2424" s="152"/>
      <c r="E2424" s="102"/>
      <c r="F2424" s="102"/>
      <c r="G2424" s="102"/>
      <c r="I2424" s="93"/>
      <c r="J2424" s="93"/>
    </row>
    <row r="2425" spans="1:10" s="65" customFormat="1" ht="14" x14ac:dyDescent="0.35">
      <c r="A2425" s="145"/>
      <c r="B2425" s="152"/>
      <c r="E2425" s="102"/>
      <c r="F2425" s="102"/>
      <c r="G2425" s="102"/>
      <c r="I2425" s="93"/>
      <c r="J2425" s="93"/>
    </row>
    <row r="2426" spans="1:10" s="65" customFormat="1" ht="14" x14ac:dyDescent="0.35">
      <c r="A2426" s="145"/>
      <c r="B2426" s="152"/>
      <c r="E2426" s="102"/>
      <c r="F2426" s="102"/>
      <c r="G2426" s="102"/>
      <c r="I2426" s="93"/>
      <c r="J2426" s="93"/>
    </row>
    <row r="2427" spans="1:10" s="65" customFormat="1" ht="14" x14ac:dyDescent="0.35">
      <c r="A2427" s="145"/>
      <c r="B2427" s="152"/>
      <c r="E2427" s="102"/>
      <c r="F2427" s="102"/>
      <c r="G2427" s="102"/>
      <c r="I2427" s="93"/>
      <c r="J2427" s="93"/>
    </row>
    <row r="2428" spans="1:10" s="65" customFormat="1" ht="14" x14ac:dyDescent="0.35">
      <c r="A2428" s="145"/>
      <c r="B2428" s="152"/>
      <c r="E2428" s="102"/>
      <c r="F2428" s="102"/>
      <c r="G2428" s="102"/>
      <c r="I2428" s="93"/>
      <c r="J2428" s="93"/>
    </row>
    <row r="2429" spans="1:10" s="65" customFormat="1" ht="14" x14ac:dyDescent="0.35">
      <c r="A2429" s="145"/>
      <c r="B2429" s="152"/>
      <c r="E2429" s="102"/>
      <c r="F2429" s="102"/>
      <c r="G2429" s="102"/>
      <c r="I2429" s="93"/>
      <c r="J2429" s="93"/>
    </row>
    <row r="2430" spans="1:10" s="65" customFormat="1" ht="14" x14ac:dyDescent="0.35">
      <c r="A2430" s="145"/>
      <c r="B2430" s="152"/>
      <c r="E2430" s="102"/>
      <c r="F2430" s="102"/>
      <c r="G2430" s="102"/>
      <c r="I2430" s="93"/>
      <c r="J2430" s="93"/>
    </row>
    <row r="2431" spans="1:10" s="65" customFormat="1" ht="14" x14ac:dyDescent="0.35">
      <c r="A2431" s="145"/>
      <c r="B2431" s="152"/>
      <c r="E2431" s="102"/>
      <c r="F2431" s="102"/>
      <c r="G2431" s="102"/>
      <c r="I2431" s="93"/>
      <c r="J2431" s="93"/>
    </row>
    <row r="2432" spans="1:10" s="65" customFormat="1" ht="14" x14ac:dyDescent="0.35">
      <c r="A2432" s="145"/>
      <c r="B2432" s="152"/>
      <c r="E2432" s="102"/>
      <c r="F2432" s="102"/>
      <c r="G2432" s="102"/>
      <c r="I2432" s="93"/>
      <c r="J2432" s="93"/>
    </row>
    <row r="2433" spans="1:10" s="65" customFormat="1" ht="14" x14ac:dyDescent="0.35">
      <c r="A2433" s="145"/>
      <c r="B2433" s="152"/>
      <c r="E2433" s="102"/>
      <c r="F2433" s="102"/>
      <c r="G2433" s="102"/>
      <c r="I2433" s="93"/>
      <c r="J2433" s="93"/>
    </row>
    <row r="2434" spans="1:10" s="65" customFormat="1" ht="14" x14ac:dyDescent="0.35">
      <c r="A2434" s="145"/>
      <c r="B2434" s="152"/>
      <c r="E2434" s="102"/>
      <c r="F2434" s="102"/>
      <c r="G2434" s="102"/>
      <c r="I2434" s="93"/>
      <c r="J2434" s="93"/>
    </row>
    <row r="2435" spans="1:10" s="65" customFormat="1" ht="14" x14ac:dyDescent="0.35">
      <c r="A2435" s="145"/>
      <c r="B2435" s="152"/>
      <c r="E2435" s="102"/>
      <c r="F2435" s="102"/>
      <c r="G2435" s="102"/>
      <c r="I2435" s="93"/>
      <c r="J2435" s="93"/>
    </row>
    <row r="2436" spans="1:10" s="65" customFormat="1" ht="14" x14ac:dyDescent="0.35">
      <c r="A2436" s="145"/>
      <c r="B2436" s="152"/>
      <c r="E2436" s="102"/>
      <c r="F2436" s="102"/>
      <c r="G2436" s="102"/>
      <c r="I2436" s="93"/>
      <c r="J2436" s="93"/>
    </row>
    <row r="2437" spans="1:10" s="65" customFormat="1" ht="14" x14ac:dyDescent="0.35">
      <c r="A2437" s="145"/>
      <c r="B2437" s="152"/>
      <c r="E2437" s="102"/>
      <c r="F2437" s="102"/>
      <c r="G2437" s="102"/>
      <c r="I2437" s="93"/>
      <c r="J2437" s="93"/>
    </row>
    <row r="2438" spans="1:10" s="65" customFormat="1" ht="14" x14ac:dyDescent="0.35">
      <c r="A2438" s="145"/>
      <c r="B2438" s="152"/>
      <c r="E2438" s="102"/>
      <c r="F2438" s="102"/>
      <c r="G2438" s="102"/>
      <c r="I2438" s="93"/>
      <c r="J2438" s="93"/>
    </row>
    <row r="2439" spans="1:10" s="65" customFormat="1" ht="14" x14ac:dyDescent="0.35">
      <c r="A2439" s="145"/>
      <c r="B2439" s="152"/>
      <c r="E2439" s="102"/>
      <c r="F2439" s="102"/>
      <c r="G2439" s="102"/>
      <c r="I2439" s="93"/>
      <c r="J2439" s="93"/>
    </row>
    <row r="2440" spans="1:10" s="65" customFormat="1" ht="14" x14ac:dyDescent="0.35">
      <c r="A2440" s="145"/>
      <c r="B2440" s="152"/>
      <c r="E2440" s="102"/>
      <c r="F2440" s="102"/>
      <c r="G2440" s="102"/>
      <c r="I2440" s="93"/>
      <c r="J2440" s="93"/>
    </row>
    <row r="2441" spans="1:10" s="65" customFormat="1" ht="14" x14ac:dyDescent="0.35">
      <c r="A2441" s="145"/>
      <c r="B2441" s="152"/>
      <c r="E2441" s="102"/>
      <c r="F2441" s="102"/>
      <c r="G2441" s="102"/>
      <c r="I2441" s="93"/>
      <c r="J2441" s="93"/>
    </row>
    <row r="2442" spans="1:10" s="65" customFormat="1" ht="14" x14ac:dyDescent="0.35">
      <c r="A2442" s="145"/>
      <c r="B2442" s="152"/>
      <c r="E2442" s="102"/>
      <c r="F2442" s="102"/>
      <c r="G2442" s="102"/>
      <c r="I2442" s="93"/>
      <c r="J2442" s="93"/>
    </row>
    <row r="2443" spans="1:10" s="65" customFormat="1" ht="14" x14ac:dyDescent="0.35">
      <c r="A2443" s="145"/>
      <c r="B2443" s="152"/>
      <c r="E2443" s="102"/>
      <c r="F2443" s="102"/>
      <c r="G2443" s="102"/>
      <c r="I2443" s="93"/>
      <c r="J2443" s="93"/>
    </row>
    <row r="2444" spans="1:10" s="65" customFormat="1" ht="14" x14ac:dyDescent="0.35">
      <c r="A2444" s="145"/>
      <c r="B2444" s="152"/>
      <c r="E2444" s="102"/>
      <c r="F2444" s="102"/>
      <c r="G2444" s="102"/>
      <c r="I2444" s="93"/>
      <c r="J2444" s="93"/>
    </row>
    <row r="2445" spans="1:10" s="65" customFormat="1" ht="14" x14ac:dyDescent="0.35">
      <c r="A2445" s="145"/>
      <c r="B2445" s="152"/>
      <c r="E2445" s="102"/>
      <c r="F2445" s="102"/>
      <c r="G2445" s="102"/>
      <c r="I2445" s="93"/>
      <c r="J2445" s="93"/>
    </row>
    <row r="2446" spans="1:10" s="65" customFormat="1" ht="14" x14ac:dyDescent="0.35">
      <c r="A2446" s="145"/>
      <c r="B2446" s="152"/>
      <c r="E2446" s="102"/>
      <c r="F2446" s="102"/>
      <c r="G2446" s="102"/>
      <c r="I2446" s="93"/>
      <c r="J2446" s="93"/>
    </row>
    <row r="2447" spans="1:10" s="65" customFormat="1" ht="14" x14ac:dyDescent="0.35">
      <c r="A2447" s="145"/>
      <c r="B2447" s="152"/>
      <c r="E2447" s="102"/>
      <c r="F2447" s="102"/>
      <c r="G2447" s="102"/>
      <c r="I2447" s="93"/>
      <c r="J2447" s="93"/>
    </row>
    <row r="2448" spans="1:10" s="65" customFormat="1" ht="14" x14ac:dyDescent="0.35">
      <c r="A2448" s="145"/>
      <c r="B2448" s="152"/>
      <c r="E2448" s="102"/>
      <c r="F2448" s="102"/>
      <c r="G2448" s="102"/>
      <c r="I2448" s="93"/>
      <c r="J2448" s="93"/>
    </row>
    <row r="2449" spans="1:10" s="65" customFormat="1" ht="14" x14ac:dyDescent="0.35">
      <c r="A2449" s="145"/>
      <c r="B2449" s="152"/>
      <c r="E2449" s="102"/>
      <c r="F2449" s="102"/>
      <c r="G2449" s="102"/>
      <c r="I2449" s="93"/>
      <c r="J2449" s="93"/>
    </row>
    <row r="2450" spans="1:10" s="65" customFormat="1" ht="14" x14ac:dyDescent="0.35">
      <c r="A2450" s="145"/>
      <c r="B2450" s="152"/>
      <c r="E2450" s="102"/>
      <c r="F2450" s="102"/>
      <c r="G2450" s="102"/>
      <c r="I2450" s="93"/>
      <c r="J2450" s="93"/>
    </row>
    <row r="2451" spans="1:10" s="65" customFormat="1" ht="14" x14ac:dyDescent="0.35">
      <c r="A2451" s="145"/>
      <c r="B2451" s="152"/>
      <c r="E2451" s="102"/>
      <c r="F2451" s="102"/>
      <c r="G2451" s="102"/>
      <c r="I2451" s="93"/>
      <c r="J2451" s="93"/>
    </row>
    <row r="2452" spans="1:10" s="65" customFormat="1" ht="14" x14ac:dyDescent="0.35">
      <c r="A2452" s="145"/>
      <c r="B2452" s="152"/>
      <c r="E2452" s="102"/>
      <c r="F2452" s="102"/>
      <c r="G2452" s="102"/>
      <c r="I2452" s="93"/>
      <c r="J2452" s="93"/>
    </row>
    <row r="2453" spans="1:10" s="65" customFormat="1" ht="14" x14ac:dyDescent="0.35">
      <c r="A2453" s="145"/>
      <c r="B2453" s="152"/>
      <c r="E2453" s="102"/>
      <c r="F2453" s="102"/>
      <c r="G2453" s="102"/>
      <c r="I2453" s="93"/>
      <c r="J2453" s="93"/>
    </row>
    <row r="2454" spans="1:10" s="65" customFormat="1" ht="14" x14ac:dyDescent="0.35">
      <c r="A2454" s="145"/>
      <c r="B2454" s="152"/>
      <c r="E2454" s="102"/>
      <c r="F2454" s="102"/>
      <c r="G2454" s="102"/>
      <c r="I2454" s="93"/>
      <c r="J2454" s="93"/>
    </row>
    <row r="2455" spans="1:10" s="65" customFormat="1" ht="14" x14ac:dyDescent="0.35">
      <c r="A2455" s="145"/>
      <c r="B2455" s="152"/>
      <c r="E2455" s="102"/>
      <c r="F2455" s="102"/>
      <c r="G2455" s="102"/>
      <c r="I2455" s="93"/>
      <c r="J2455" s="93"/>
    </row>
    <row r="2456" spans="1:10" s="65" customFormat="1" ht="14" x14ac:dyDescent="0.35">
      <c r="A2456" s="145"/>
      <c r="B2456" s="152"/>
      <c r="E2456" s="102"/>
      <c r="F2456" s="102"/>
      <c r="G2456" s="102"/>
      <c r="I2456" s="93"/>
      <c r="J2456" s="93"/>
    </row>
    <row r="2457" spans="1:10" s="65" customFormat="1" ht="14" x14ac:dyDescent="0.35">
      <c r="A2457" s="145"/>
      <c r="B2457" s="152"/>
      <c r="E2457" s="102"/>
      <c r="F2457" s="102"/>
      <c r="G2457" s="102"/>
      <c r="I2457" s="93"/>
      <c r="J2457" s="93"/>
    </row>
    <row r="2458" spans="1:10" s="65" customFormat="1" ht="14" x14ac:dyDescent="0.35">
      <c r="A2458" s="145"/>
      <c r="B2458" s="152"/>
      <c r="E2458" s="102"/>
      <c r="F2458" s="102"/>
      <c r="G2458" s="102"/>
      <c r="I2458" s="93"/>
      <c r="J2458" s="93"/>
    </row>
    <row r="2459" spans="1:10" s="65" customFormat="1" ht="14" x14ac:dyDescent="0.35">
      <c r="A2459" s="145"/>
      <c r="B2459" s="152"/>
      <c r="E2459" s="102"/>
      <c r="F2459" s="102"/>
      <c r="G2459" s="102"/>
      <c r="I2459" s="93"/>
      <c r="J2459" s="93"/>
    </row>
    <row r="2460" spans="1:10" s="65" customFormat="1" ht="14" x14ac:dyDescent="0.35">
      <c r="A2460" s="145"/>
      <c r="B2460" s="152"/>
      <c r="E2460" s="102"/>
      <c r="F2460" s="102"/>
      <c r="G2460" s="102"/>
      <c r="I2460" s="93"/>
      <c r="J2460" s="93"/>
    </row>
    <row r="2461" spans="1:10" s="65" customFormat="1" ht="14" x14ac:dyDescent="0.35">
      <c r="A2461" s="145"/>
      <c r="B2461" s="152"/>
      <c r="E2461" s="102"/>
      <c r="F2461" s="102"/>
      <c r="G2461" s="102"/>
      <c r="I2461" s="93"/>
      <c r="J2461" s="93"/>
    </row>
    <row r="2462" spans="1:10" s="65" customFormat="1" ht="14" x14ac:dyDescent="0.35">
      <c r="A2462" s="145"/>
      <c r="B2462" s="152"/>
      <c r="E2462" s="102"/>
      <c r="F2462" s="102"/>
      <c r="G2462" s="102"/>
      <c r="I2462" s="93"/>
      <c r="J2462" s="93"/>
    </row>
    <row r="2463" spans="1:10" s="65" customFormat="1" ht="14" x14ac:dyDescent="0.35">
      <c r="A2463" s="145"/>
      <c r="B2463" s="152"/>
      <c r="E2463" s="102"/>
      <c r="F2463" s="102"/>
      <c r="G2463" s="102"/>
      <c r="I2463" s="93"/>
      <c r="J2463" s="93"/>
    </row>
    <row r="2464" spans="1:10" s="65" customFormat="1" ht="14" x14ac:dyDescent="0.35">
      <c r="A2464" s="145"/>
      <c r="B2464" s="152"/>
      <c r="E2464" s="102"/>
      <c r="F2464" s="102"/>
      <c r="G2464" s="102"/>
      <c r="I2464" s="93"/>
      <c r="J2464" s="93"/>
    </row>
    <row r="2465" spans="1:10" s="65" customFormat="1" ht="14" x14ac:dyDescent="0.35">
      <c r="A2465" s="145"/>
      <c r="B2465" s="152"/>
      <c r="E2465" s="102"/>
      <c r="F2465" s="102"/>
      <c r="G2465" s="102"/>
      <c r="I2465" s="93"/>
      <c r="J2465" s="93"/>
    </row>
    <row r="2466" spans="1:10" s="65" customFormat="1" ht="14" x14ac:dyDescent="0.35">
      <c r="A2466" s="145"/>
      <c r="B2466" s="152"/>
      <c r="E2466" s="102"/>
      <c r="F2466" s="102"/>
      <c r="G2466" s="102"/>
      <c r="I2466" s="93"/>
      <c r="J2466" s="93"/>
    </row>
    <row r="2467" spans="1:10" s="65" customFormat="1" ht="14" x14ac:dyDescent="0.35">
      <c r="A2467" s="145"/>
      <c r="B2467" s="152"/>
      <c r="E2467" s="102"/>
      <c r="F2467" s="102"/>
      <c r="G2467" s="102"/>
      <c r="I2467" s="93"/>
      <c r="J2467" s="93"/>
    </row>
    <row r="2468" spans="1:10" s="65" customFormat="1" ht="14" x14ac:dyDescent="0.35">
      <c r="A2468" s="145"/>
      <c r="B2468" s="152"/>
      <c r="E2468" s="102"/>
      <c r="F2468" s="102"/>
      <c r="G2468" s="102"/>
      <c r="I2468" s="93"/>
      <c r="J2468" s="93"/>
    </row>
    <row r="2469" spans="1:10" s="65" customFormat="1" ht="14" x14ac:dyDescent="0.35">
      <c r="A2469" s="145"/>
      <c r="B2469" s="152"/>
      <c r="E2469" s="102"/>
      <c r="F2469" s="102"/>
      <c r="G2469" s="102"/>
      <c r="I2469" s="93"/>
      <c r="J2469" s="93"/>
    </row>
    <row r="2470" spans="1:10" s="65" customFormat="1" ht="14" x14ac:dyDescent="0.35">
      <c r="A2470" s="145"/>
      <c r="B2470" s="152"/>
      <c r="E2470" s="102"/>
      <c r="F2470" s="102"/>
      <c r="G2470" s="102"/>
      <c r="I2470" s="93"/>
      <c r="J2470" s="93"/>
    </row>
    <row r="2471" spans="1:10" s="65" customFormat="1" ht="14" x14ac:dyDescent="0.35">
      <c r="A2471" s="145"/>
      <c r="B2471" s="152"/>
      <c r="E2471" s="102"/>
      <c r="F2471" s="102"/>
      <c r="G2471" s="102"/>
      <c r="I2471" s="93"/>
      <c r="J2471" s="93"/>
    </row>
    <row r="2472" spans="1:10" s="65" customFormat="1" ht="14" x14ac:dyDescent="0.35">
      <c r="A2472" s="145"/>
      <c r="B2472" s="152"/>
      <c r="E2472" s="102"/>
      <c r="F2472" s="102"/>
      <c r="G2472" s="102"/>
      <c r="I2472" s="93"/>
      <c r="J2472" s="93"/>
    </row>
    <row r="2473" spans="1:10" s="65" customFormat="1" ht="14" x14ac:dyDescent="0.35">
      <c r="A2473" s="145"/>
      <c r="B2473" s="152"/>
      <c r="E2473" s="102"/>
      <c r="F2473" s="102"/>
      <c r="G2473" s="102"/>
      <c r="I2473" s="93"/>
      <c r="J2473" s="93"/>
    </row>
    <row r="2474" spans="1:10" s="65" customFormat="1" ht="14" x14ac:dyDescent="0.35">
      <c r="A2474" s="145"/>
      <c r="B2474" s="152"/>
      <c r="E2474" s="102"/>
      <c r="F2474" s="102"/>
      <c r="G2474" s="102"/>
      <c r="I2474" s="93"/>
      <c r="J2474" s="93"/>
    </row>
    <row r="2475" spans="1:10" s="65" customFormat="1" ht="14" x14ac:dyDescent="0.35">
      <c r="A2475" s="145"/>
      <c r="B2475" s="152"/>
      <c r="E2475" s="102"/>
      <c r="F2475" s="102"/>
      <c r="G2475" s="102"/>
      <c r="I2475" s="93"/>
      <c r="J2475" s="93"/>
    </row>
    <row r="2476" spans="1:10" s="65" customFormat="1" ht="14" x14ac:dyDescent="0.35">
      <c r="A2476" s="145"/>
      <c r="B2476" s="152"/>
      <c r="E2476" s="102"/>
      <c r="F2476" s="102"/>
      <c r="G2476" s="102"/>
      <c r="I2476" s="93"/>
      <c r="J2476" s="93"/>
    </row>
    <row r="2477" spans="1:10" s="65" customFormat="1" ht="14" x14ac:dyDescent="0.35">
      <c r="A2477" s="145"/>
      <c r="B2477" s="152"/>
      <c r="E2477" s="102"/>
      <c r="F2477" s="102"/>
      <c r="G2477" s="102"/>
      <c r="I2477" s="93"/>
      <c r="J2477" s="93"/>
    </row>
    <row r="2478" spans="1:10" s="65" customFormat="1" ht="14" x14ac:dyDescent="0.35">
      <c r="A2478" s="145"/>
      <c r="B2478" s="152"/>
      <c r="E2478" s="102"/>
      <c r="F2478" s="102"/>
      <c r="G2478" s="102"/>
      <c r="I2478" s="93"/>
      <c r="J2478" s="93"/>
    </row>
    <row r="2479" spans="1:10" s="65" customFormat="1" ht="14" x14ac:dyDescent="0.35">
      <c r="A2479" s="145"/>
      <c r="B2479" s="152"/>
      <c r="E2479" s="102"/>
      <c r="F2479" s="102"/>
      <c r="G2479" s="102"/>
      <c r="I2479" s="93"/>
      <c r="J2479" s="93"/>
    </row>
    <row r="2480" spans="1:10" s="65" customFormat="1" ht="14" x14ac:dyDescent="0.35">
      <c r="A2480" s="145"/>
      <c r="B2480" s="152"/>
      <c r="E2480" s="102"/>
      <c r="F2480" s="102"/>
      <c r="G2480" s="102"/>
      <c r="I2480" s="93"/>
      <c r="J2480" s="93"/>
    </row>
    <row r="2481" spans="1:10" s="65" customFormat="1" ht="14" x14ac:dyDescent="0.35">
      <c r="A2481" s="145"/>
      <c r="B2481" s="152"/>
      <c r="E2481" s="102"/>
      <c r="F2481" s="102"/>
      <c r="G2481" s="102"/>
      <c r="I2481" s="93"/>
      <c r="J2481" s="93"/>
    </row>
    <row r="2482" spans="1:10" s="65" customFormat="1" ht="14" x14ac:dyDescent="0.35">
      <c r="A2482" s="145"/>
      <c r="B2482" s="152"/>
      <c r="E2482" s="102"/>
      <c r="F2482" s="102"/>
      <c r="G2482" s="102"/>
      <c r="I2482" s="93"/>
      <c r="J2482" s="93"/>
    </row>
    <row r="2483" spans="1:10" s="65" customFormat="1" ht="14" x14ac:dyDescent="0.35">
      <c r="A2483" s="145"/>
      <c r="B2483" s="152"/>
      <c r="E2483" s="102"/>
      <c r="F2483" s="102"/>
      <c r="G2483" s="102"/>
      <c r="I2483" s="93"/>
      <c r="J2483" s="93"/>
    </row>
    <row r="2484" spans="1:10" s="65" customFormat="1" ht="14" x14ac:dyDescent="0.35">
      <c r="A2484" s="145"/>
      <c r="B2484" s="152"/>
      <c r="E2484" s="102"/>
      <c r="F2484" s="102"/>
      <c r="G2484" s="102"/>
      <c r="I2484" s="93"/>
      <c r="J2484" s="93"/>
    </row>
    <row r="2485" spans="1:10" s="65" customFormat="1" ht="14" x14ac:dyDescent="0.35">
      <c r="A2485" s="145"/>
      <c r="B2485" s="152"/>
      <c r="E2485" s="102"/>
      <c r="F2485" s="102"/>
      <c r="G2485" s="102"/>
      <c r="I2485" s="93"/>
      <c r="J2485" s="93"/>
    </row>
    <row r="2486" spans="1:10" s="65" customFormat="1" ht="14" x14ac:dyDescent="0.35">
      <c r="A2486" s="145"/>
      <c r="B2486" s="152"/>
      <c r="E2486" s="102"/>
      <c r="F2486" s="102"/>
      <c r="G2486" s="102"/>
      <c r="I2486" s="93"/>
      <c r="J2486" s="93"/>
    </row>
    <row r="2487" spans="1:10" s="65" customFormat="1" ht="14" x14ac:dyDescent="0.35">
      <c r="A2487" s="145"/>
      <c r="B2487" s="152"/>
      <c r="E2487" s="102"/>
      <c r="F2487" s="102"/>
      <c r="G2487" s="102"/>
      <c r="I2487" s="93"/>
      <c r="J2487" s="93"/>
    </row>
    <row r="2488" spans="1:10" s="65" customFormat="1" ht="14" x14ac:dyDescent="0.35">
      <c r="A2488" s="145"/>
      <c r="B2488" s="152"/>
      <c r="E2488" s="102"/>
      <c r="F2488" s="102"/>
      <c r="G2488" s="102"/>
      <c r="I2488" s="93"/>
      <c r="J2488" s="93"/>
    </row>
    <row r="2489" spans="1:10" s="65" customFormat="1" ht="14" x14ac:dyDescent="0.35">
      <c r="A2489" s="145"/>
      <c r="B2489" s="152"/>
      <c r="E2489" s="102"/>
      <c r="F2489" s="102"/>
      <c r="G2489" s="102"/>
      <c r="I2489" s="93"/>
      <c r="J2489" s="93"/>
    </row>
    <row r="2490" spans="1:10" s="65" customFormat="1" ht="14" x14ac:dyDescent="0.35">
      <c r="A2490" s="145"/>
      <c r="B2490" s="152"/>
      <c r="E2490" s="102"/>
      <c r="F2490" s="102"/>
      <c r="G2490" s="102"/>
      <c r="I2490" s="93"/>
      <c r="J2490" s="93"/>
    </row>
    <row r="2491" spans="1:10" s="65" customFormat="1" ht="14" x14ac:dyDescent="0.35">
      <c r="A2491" s="145"/>
      <c r="B2491" s="152"/>
      <c r="E2491" s="102"/>
      <c r="F2491" s="102"/>
      <c r="G2491" s="102"/>
      <c r="I2491" s="93"/>
      <c r="J2491" s="93"/>
    </row>
    <row r="2492" spans="1:10" s="65" customFormat="1" ht="14" x14ac:dyDescent="0.35">
      <c r="A2492" s="145"/>
      <c r="B2492" s="152"/>
      <c r="E2492" s="102"/>
      <c r="F2492" s="102"/>
      <c r="G2492" s="102"/>
      <c r="I2492" s="93"/>
      <c r="J2492" s="93"/>
    </row>
    <row r="2493" spans="1:10" s="65" customFormat="1" ht="14" x14ac:dyDescent="0.35">
      <c r="A2493" s="145"/>
      <c r="B2493" s="152"/>
      <c r="E2493" s="102"/>
      <c r="F2493" s="102"/>
      <c r="G2493" s="102"/>
      <c r="I2493" s="93"/>
      <c r="J2493" s="93"/>
    </row>
    <row r="2494" spans="1:10" s="65" customFormat="1" ht="14" x14ac:dyDescent="0.35">
      <c r="A2494" s="145"/>
      <c r="B2494" s="152"/>
      <c r="E2494" s="102"/>
      <c r="F2494" s="102"/>
      <c r="G2494" s="102"/>
      <c r="I2494" s="93"/>
      <c r="J2494" s="93"/>
    </row>
    <row r="2495" spans="1:10" s="65" customFormat="1" ht="14" x14ac:dyDescent="0.35">
      <c r="A2495" s="145"/>
      <c r="B2495" s="152"/>
      <c r="E2495" s="102"/>
      <c r="F2495" s="102"/>
      <c r="G2495" s="102"/>
      <c r="I2495" s="93"/>
      <c r="J2495" s="93"/>
    </row>
    <row r="2496" spans="1:10" s="65" customFormat="1" ht="14" x14ac:dyDescent="0.35">
      <c r="A2496" s="145"/>
      <c r="B2496" s="152"/>
      <c r="E2496" s="102"/>
      <c r="F2496" s="102"/>
      <c r="G2496" s="102"/>
      <c r="I2496" s="93"/>
      <c r="J2496" s="93"/>
    </row>
    <row r="2497" spans="1:10" s="65" customFormat="1" ht="14" x14ac:dyDescent="0.35">
      <c r="A2497" s="145"/>
      <c r="B2497" s="152"/>
      <c r="E2497" s="102"/>
      <c r="F2497" s="102"/>
      <c r="G2497" s="102"/>
      <c r="I2497" s="93"/>
      <c r="J2497" s="93"/>
    </row>
    <row r="2498" spans="1:10" s="65" customFormat="1" ht="14" x14ac:dyDescent="0.35">
      <c r="A2498" s="145"/>
      <c r="B2498" s="152"/>
      <c r="E2498" s="102"/>
      <c r="F2498" s="102"/>
      <c r="G2498" s="102"/>
      <c r="I2498" s="93"/>
      <c r="J2498" s="93"/>
    </row>
    <row r="2499" spans="1:10" s="65" customFormat="1" ht="14" x14ac:dyDescent="0.35">
      <c r="A2499" s="145"/>
      <c r="B2499" s="152"/>
      <c r="E2499" s="102"/>
      <c r="F2499" s="102"/>
      <c r="G2499" s="102"/>
      <c r="I2499" s="93"/>
      <c r="J2499" s="93"/>
    </row>
    <row r="2500" spans="1:10" s="65" customFormat="1" ht="14" x14ac:dyDescent="0.35">
      <c r="A2500" s="145"/>
      <c r="B2500" s="152"/>
      <c r="E2500" s="102"/>
      <c r="F2500" s="102"/>
      <c r="G2500" s="102"/>
      <c r="I2500" s="93"/>
      <c r="J2500" s="93"/>
    </row>
    <row r="2501" spans="1:10" s="65" customFormat="1" ht="14" x14ac:dyDescent="0.35">
      <c r="A2501" s="145"/>
      <c r="B2501" s="152"/>
      <c r="E2501" s="102"/>
      <c r="F2501" s="102"/>
      <c r="G2501" s="102"/>
      <c r="I2501" s="93"/>
      <c r="J2501" s="93"/>
    </row>
    <row r="2502" spans="1:10" s="65" customFormat="1" ht="14" x14ac:dyDescent="0.35">
      <c r="A2502" s="145"/>
      <c r="B2502" s="152"/>
      <c r="E2502" s="102"/>
      <c r="F2502" s="102"/>
      <c r="G2502" s="102"/>
      <c r="I2502" s="93"/>
      <c r="J2502" s="93"/>
    </row>
    <row r="2503" spans="1:10" s="65" customFormat="1" ht="14" x14ac:dyDescent="0.35">
      <c r="A2503" s="145"/>
      <c r="B2503" s="152"/>
      <c r="E2503" s="102"/>
      <c r="F2503" s="102"/>
      <c r="G2503" s="102"/>
      <c r="I2503" s="93"/>
      <c r="J2503" s="93"/>
    </row>
    <row r="2504" spans="1:10" s="65" customFormat="1" ht="14" x14ac:dyDescent="0.35">
      <c r="A2504" s="145"/>
      <c r="B2504" s="152"/>
      <c r="E2504" s="102"/>
      <c r="F2504" s="102"/>
      <c r="G2504" s="102"/>
      <c r="I2504" s="93"/>
      <c r="J2504" s="93"/>
    </row>
    <row r="2505" spans="1:10" s="65" customFormat="1" ht="14" x14ac:dyDescent="0.35">
      <c r="A2505" s="145"/>
      <c r="B2505" s="152"/>
      <c r="E2505" s="102"/>
      <c r="F2505" s="102"/>
      <c r="G2505" s="102"/>
      <c r="I2505" s="93"/>
      <c r="J2505" s="93"/>
    </row>
    <row r="2506" spans="1:10" s="65" customFormat="1" ht="14" x14ac:dyDescent="0.35">
      <c r="A2506" s="145"/>
      <c r="B2506" s="152"/>
      <c r="E2506" s="102"/>
      <c r="F2506" s="102"/>
      <c r="G2506" s="102"/>
      <c r="I2506" s="93"/>
      <c r="J2506" s="93"/>
    </row>
    <row r="2507" spans="1:10" s="65" customFormat="1" ht="14" x14ac:dyDescent="0.35">
      <c r="A2507" s="145"/>
      <c r="B2507" s="152"/>
      <c r="E2507" s="102"/>
      <c r="F2507" s="102"/>
      <c r="G2507" s="102"/>
      <c r="I2507" s="93"/>
      <c r="J2507" s="93"/>
    </row>
    <row r="2508" spans="1:10" s="65" customFormat="1" ht="14" x14ac:dyDescent="0.35">
      <c r="A2508" s="145"/>
      <c r="B2508" s="152"/>
      <c r="E2508" s="102"/>
      <c r="F2508" s="102"/>
      <c r="G2508" s="102"/>
      <c r="I2508" s="93"/>
      <c r="J2508" s="93"/>
    </row>
    <row r="2509" spans="1:10" s="65" customFormat="1" ht="14" x14ac:dyDescent="0.35">
      <c r="A2509" s="145"/>
      <c r="B2509" s="152"/>
      <c r="E2509" s="102"/>
      <c r="F2509" s="102"/>
      <c r="G2509" s="102"/>
      <c r="I2509" s="93"/>
      <c r="J2509" s="93"/>
    </row>
    <row r="2510" spans="1:10" s="65" customFormat="1" ht="14" x14ac:dyDescent="0.35">
      <c r="A2510" s="145"/>
      <c r="B2510" s="152"/>
      <c r="E2510" s="102"/>
      <c r="F2510" s="102"/>
      <c r="G2510" s="102"/>
      <c r="I2510" s="93"/>
      <c r="J2510" s="93"/>
    </row>
    <row r="2511" spans="1:10" s="65" customFormat="1" ht="14" x14ac:dyDescent="0.35">
      <c r="A2511" s="145"/>
      <c r="B2511" s="152"/>
      <c r="E2511" s="102"/>
      <c r="F2511" s="102"/>
      <c r="G2511" s="102"/>
      <c r="I2511" s="93"/>
      <c r="J2511" s="93"/>
    </row>
    <row r="2512" spans="1:10" s="65" customFormat="1" ht="14" x14ac:dyDescent="0.35">
      <c r="A2512" s="145"/>
      <c r="B2512" s="152"/>
      <c r="E2512" s="102"/>
      <c r="F2512" s="102"/>
      <c r="G2512" s="102"/>
      <c r="I2512" s="93"/>
      <c r="J2512" s="93"/>
    </row>
    <row r="2513" spans="1:10" s="65" customFormat="1" ht="14" x14ac:dyDescent="0.35">
      <c r="A2513" s="145"/>
      <c r="B2513" s="152"/>
      <c r="E2513" s="102"/>
      <c r="F2513" s="102"/>
      <c r="G2513" s="102"/>
      <c r="I2513" s="93"/>
      <c r="J2513" s="93"/>
    </row>
    <row r="2514" spans="1:10" s="65" customFormat="1" ht="14" x14ac:dyDescent="0.35">
      <c r="A2514" s="145"/>
      <c r="B2514" s="152"/>
      <c r="E2514" s="102"/>
      <c r="F2514" s="102"/>
      <c r="G2514" s="102"/>
      <c r="I2514" s="93"/>
      <c r="J2514" s="93"/>
    </row>
    <row r="2515" spans="1:10" s="65" customFormat="1" ht="14" x14ac:dyDescent="0.35">
      <c r="A2515" s="145"/>
      <c r="B2515" s="152"/>
      <c r="E2515" s="102"/>
      <c r="F2515" s="102"/>
      <c r="G2515" s="102"/>
      <c r="I2515" s="93"/>
      <c r="J2515" s="93"/>
    </row>
    <row r="2516" spans="1:10" s="65" customFormat="1" ht="14" x14ac:dyDescent="0.35">
      <c r="A2516" s="145"/>
      <c r="B2516" s="152"/>
      <c r="E2516" s="102"/>
      <c r="F2516" s="102"/>
      <c r="G2516" s="102"/>
      <c r="I2516" s="93"/>
      <c r="J2516" s="93"/>
    </row>
    <row r="2517" spans="1:10" s="65" customFormat="1" ht="14" x14ac:dyDescent="0.35">
      <c r="A2517" s="145"/>
      <c r="B2517" s="152"/>
      <c r="E2517" s="102"/>
      <c r="F2517" s="102"/>
      <c r="G2517" s="102"/>
      <c r="I2517" s="93"/>
      <c r="J2517" s="93"/>
    </row>
    <row r="2518" spans="1:10" s="65" customFormat="1" ht="14" x14ac:dyDescent="0.35">
      <c r="A2518" s="145"/>
      <c r="B2518" s="152"/>
      <c r="E2518" s="102"/>
      <c r="F2518" s="102"/>
      <c r="G2518" s="102"/>
      <c r="I2518" s="93"/>
      <c r="J2518" s="93"/>
    </row>
    <row r="2519" spans="1:10" s="65" customFormat="1" ht="14" x14ac:dyDescent="0.35">
      <c r="A2519" s="145"/>
      <c r="B2519" s="152"/>
      <c r="E2519" s="102"/>
      <c r="F2519" s="102"/>
      <c r="G2519" s="102"/>
      <c r="I2519" s="93"/>
      <c r="J2519" s="93"/>
    </row>
    <row r="2520" spans="1:10" s="65" customFormat="1" ht="14" x14ac:dyDescent="0.35">
      <c r="A2520" s="145"/>
      <c r="B2520" s="152"/>
      <c r="E2520" s="102"/>
      <c r="F2520" s="102"/>
      <c r="G2520" s="102"/>
      <c r="I2520" s="93"/>
      <c r="J2520" s="93"/>
    </row>
    <row r="2521" spans="1:10" s="65" customFormat="1" ht="14" x14ac:dyDescent="0.35">
      <c r="A2521" s="145"/>
      <c r="B2521" s="152"/>
      <c r="E2521" s="102"/>
      <c r="F2521" s="102"/>
      <c r="G2521" s="102"/>
      <c r="I2521" s="93"/>
      <c r="J2521" s="93"/>
    </row>
    <row r="2522" spans="1:10" s="65" customFormat="1" ht="14" x14ac:dyDescent="0.35">
      <c r="A2522" s="145"/>
      <c r="B2522" s="152"/>
      <c r="E2522" s="102"/>
      <c r="F2522" s="102"/>
      <c r="G2522" s="102"/>
      <c r="I2522" s="93"/>
      <c r="J2522" s="93"/>
    </row>
    <row r="2523" spans="1:10" s="65" customFormat="1" ht="14" x14ac:dyDescent="0.35">
      <c r="A2523" s="145"/>
      <c r="B2523" s="152"/>
      <c r="E2523" s="102"/>
      <c r="F2523" s="102"/>
      <c r="G2523" s="102"/>
      <c r="I2523" s="93"/>
      <c r="J2523" s="93"/>
    </row>
    <row r="2524" spans="1:10" s="65" customFormat="1" ht="14" x14ac:dyDescent="0.35">
      <c r="A2524" s="145"/>
      <c r="B2524" s="152"/>
      <c r="E2524" s="102"/>
      <c r="F2524" s="102"/>
      <c r="G2524" s="102"/>
      <c r="I2524" s="93"/>
      <c r="J2524" s="93"/>
    </row>
    <row r="2525" spans="1:10" s="65" customFormat="1" ht="14" x14ac:dyDescent="0.35">
      <c r="A2525" s="145"/>
      <c r="B2525" s="152"/>
      <c r="E2525" s="102"/>
      <c r="F2525" s="102"/>
      <c r="G2525" s="102"/>
      <c r="I2525" s="93"/>
      <c r="J2525" s="93"/>
    </row>
    <row r="2526" spans="1:10" s="65" customFormat="1" ht="14" x14ac:dyDescent="0.35">
      <c r="A2526" s="145"/>
      <c r="B2526" s="152"/>
      <c r="E2526" s="102"/>
      <c r="F2526" s="102"/>
      <c r="G2526" s="102"/>
      <c r="I2526" s="93"/>
      <c r="J2526" s="93"/>
    </row>
    <row r="2527" spans="1:10" s="65" customFormat="1" ht="14" x14ac:dyDescent="0.35">
      <c r="A2527" s="145"/>
      <c r="B2527" s="152"/>
      <c r="E2527" s="102"/>
      <c r="F2527" s="102"/>
      <c r="G2527" s="102"/>
      <c r="I2527" s="93"/>
      <c r="J2527" s="93"/>
    </row>
    <row r="2528" spans="1:10" s="65" customFormat="1" ht="14" x14ac:dyDescent="0.35">
      <c r="A2528" s="145"/>
      <c r="B2528" s="152"/>
      <c r="E2528" s="102"/>
      <c r="F2528" s="102"/>
      <c r="G2528" s="102"/>
      <c r="I2528" s="93"/>
      <c r="J2528" s="93"/>
    </row>
    <row r="2529" spans="1:10" s="65" customFormat="1" ht="14" x14ac:dyDescent="0.35">
      <c r="A2529" s="145"/>
      <c r="B2529" s="152"/>
      <c r="E2529" s="102"/>
      <c r="F2529" s="102"/>
      <c r="G2529" s="102"/>
      <c r="I2529" s="93"/>
      <c r="J2529" s="93"/>
    </row>
    <row r="2530" spans="1:10" s="65" customFormat="1" ht="14" x14ac:dyDescent="0.35">
      <c r="A2530" s="145"/>
      <c r="B2530" s="152"/>
      <c r="E2530" s="102"/>
      <c r="F2530" s="102"/>
      <c r="G2530" s="102"/>
      <c r="I2530" s="93"/>
      <c r="J2530" s="93"/>
    </row>
    <row r="2531" spans="1:10" s="65" customFormat="1" ht="14" x14ac:dyDescent="0.35">
      <c r="A2531" s="145"/>
      <c r="B2531" s="152"/>
      <c r="E2531" s="102"/>
      <c r="F2531" s="102"/>
      <c r="G2531" s="102"/>
      <c r="I2531" s="93"/>
      <c r="J2531" s="93"/>
    </row>
    <row r="2532" spans="1:10" s="65" customFormat="1" ht="14" x14ac:dyDescent="0.35">
      <c r="A2532" s="145"/>
      <c r="B2532" s="152"/>
      <c r="E2532" s="102"/>
      <c r="F2532" s="102"/>
      <c r="G2532" s="102"/>
      <c r="I2532" s="93"/>
      <c r="J2532" s="93"/>
    </row>
    <row r="2533" spans="1:10" s="65" customFormat="1" ht="14" x14ac:dyDescent="0.35">
      <c r="A2533" s="145"/>
      <c r="B2533" s="152"/>
      <c r="E2533" s="102"/>
      <c r="F2533" s="102"/>
      <c r="G2533" s="102"/>
      <c r="I2533" s="93"/>
      <c r="J2533" s="93"/>
    </row>
    <row r="2534" spans="1:10" s="65" customFormat="1" ht="14" x14ac:dyDescent="0.35">
      <c r="A2534" s="145"/>
      <c r="B2534" s="152"/>
      <c r="E2534" s="102"/>
      <c r="F2534" s="102"/>
      <c r="G2534" s="102"/>
      <c r="I2534" s="93"/>
      <c r="J2534" s="93"/>
    </row>
    <row r="2535" spans="1:10" s="65" customFormat="1" ht="14" x14ac:dyDescent="0.35">
      <c r="A2535" s="145"/>
      <c r="B2535" s="152"/>
      <c r="E2535" s="102"/>
      <c r="F2535" s="102"/>
      <c r="G2535" s="102"/>
      <c r="I2535" s="93"/>
      <c r="J2535" s="93"/>
    </row>
    <row r="2536" spans="1:10" s="65" customFormat="1" ht="14" x14ac:dyDescent="0.35">
      <c r="A2536" s="145"/>
      <c r="B2536" s="152"/>
      <c r="E2536" s="102"/>
      <c r="F2536" s="102"/>
      <c r="G2536" s="102"/>
      <c r="I2536" s="93"/>
      <c r="J2536" s="93"/>
    </row>
    <row r="2537" spans="1:10" s="65" customFormat="1" ht="14" x14ac:dyDescent="0.35">
      <c r="A2537" s="145"/>
      <c r="B2537" s="152"/>
      <c r="E2537" s="102"/>
      <c r="F2537" s="102"/>
      <c r="G2537" s="102"/>
      <c r="I2537" s="93"/>
      <c r="J2537" s="93"/>
    </row>
    <row r="2538" spans="1:10" s="65" customFormat="1" ht="14" x14ac:dyDescent="0.35">
      <c r="A2538" s="145"/>
      <c r="B2538" s="152"/>
      <c r="E2538" s="102"/>
      <c r="F2538" s="102"/>
      <c r="G2538" s="102"/>
      <c r="I2538" s="93"/>
      <c r="J2538" s="93"/>
    </row>
    <row r="2539" spans="1:10" s="65" customFormat="1" ht="14" x14ac:dyDescent="0.35">
      <c r="A2539" s="145"/>
      <c r="B2539" s="152"/>
      <c r="E2539" s="102"/>
      <c r="F2539" s="102"/>
      <c r="G2539" s="102"/>
      <c r="I2539" s="93"/>
      <c r="J2539" s="93"/>
    </row>
    <row r="2540" spans="1:10" s="65" customFormat="1" ht="14" x14ac:dyDescent="0.35">
      <c r="A2540" s="145"/>
      <c r="B2540" s="152"/>
      <c r="E2540" s="102"/>
      <c r="F2540" s="102"/>
      <c r="G2540" s="102"/>
      <c r="I2540" s="93"/>
      <c r="J2540" s="93"/>
    </row>
    <row r="2541" spans="1:10" s="65" customFormat="1" ht="14" x14ac:dyDescent="0.35">
      <c r="A2541" s="145"/>
      <c r="B2541" s="152"/>
      <c r="E2541" s="102"/>
      <c r="F2541" s="102"/>
      <c r="G2541" s="102"/>
      <c r="I2541" s="93"/>
      <c r="J2541" s="93"/>
    </row>
    <row r="2542" spans="1:10" s="65" customFormat="1" ht="14" x14ac:dyDescent="0.35">
      <c r="A2542" s="145"/>
      <c r="B2542" s="152"/>
      <c r="E2542" s="102"/>
      <c r="F2542" s="102"/>
      <c r="G2542" s="102"/>
      <c r="I2542" s="93"/>
      <c r="J2542" s="93"/>
    </row>
    <row r="2543" spans="1:10" s="65" customFormat="1" ht="14" x14ac:dyDescent="0.35">
      <c r="A2543" s="145"/>
      <c r="B2543" s="152"/>
      <c r="E2543" s="102"/>
      <c r="F2543" s="102"/>
      <c r="G2543" s="102"/>
      <c r="I2543" s="93"/>
      <c r="J2543" s="93"/>
    </row>
    <row r="2544" spans="1:10" s="65" customFormat="1" ht="14" x14ac:dyDescent="0.35">
      <c r="A2544" s="145"/>
      <c r="B2544" s="152"/>
      <c r="E2544" s="102"/>
      <c r="F2544" s="102"/>
      <c r="G2544" s="102"/>
      <c r="I2544" s="93"/>
      <c r="J2544" s="93"/>
    </row>
    <row r="2545" spans="1:10" s="65" customFormat="1" ht="14" x14ac:dyDescent="0.35">
      <c r="A2545" s="145"/>
      <c r="B2545" s="152"/>
      <c r="E2545" s="102"/>
      <c r="F2545" s="102"/>
      <c r="G2545" s="102"/>
      <c r="I2545" s="93"/>
      <c r="J2545" s="93"/>
    </row>
    <row r="2546" spans="1:10" s="65" customFormat="1" ht="14" x14ac:dyDescent="0.35">
      <c r="A2546" s="145"/>
      <c r="B2546" s="152"/>
      <c r="E2546" s="102"/>
      <c r="F2546" s="102"/>
      <c r="G2546" s="102"/>
      <c r="I2546" s="93"/>
      <c r="J2546" s="93"/>
    </row>
    <row r="2547" spans="1:10" s="65" customFormat="1" ht="14" x14ac:dyDescent="0.35">
      <c r="A2547" s="145"/>
      <c r="B2547" s="152"/>
      <c r="E2547" s="102"/>
      <c r="F2547" s="102"/>
      <c r="G2547" s="102"/>
      <c r="I2547" s="93"/>
      <c r="J2547" s="93"/>
    </row>
    <row r="2548" spans="1:10" s="65" customFormat="1" ht="14" x14ac:dyDescent="0.35">
      <c r="A2548" s="145"/>
      <c r="B2548" s="152"/>
      <c r="E2548" s="102"/>
      <c r="F2548" s="102"/>
      <c r="G2548" s="102"/>
      <c r="I2548" s="93"/>
      <c r="J2548" s="93"/>
    </row>
    <row r="2549" spans="1:10" s="65" customFormat="1" ht="14" x14ac:dyDescent="0.35">
      <c r="A2549" s="145"/>
      <c r="B2549" s="152"/>
      <c r="E2549" s="102"/>
      <c r="F2549" s="102"/>
      <c r="G2549" s="102"/>
      <c r="I2549" s="93"/>
      <c r="J2549" s="93"/>
    </row>
    <row r="2550" spans="1:10" s="65" customFormat="1" ht="14" x14ac:dyDescent="0.35">
      <c r="A2550" s="145"/>
      <c r="B2550" s="152"/>
      <c r="E2550" s="102"/>
      <c r="F2550" s="102"/>
      <c r="G2550" s="102"/>
      <c r="I2550" s="93"/>
      <c r="J2550" s="93"/>
    </row>
    <row r="2551" spans="1:10" s="65" customFormat="1" ht="14" x14ac:dyDescent="0.35">
      <c r="A2551" s="145"/>
      <c r="B2551" s="152"/>
      <c r="E2551" s="102"/>
      <c r="F2551" s="102"/>
      <c r="G2551" s="102"/>
      <c r="I2551" s="93"/>
      <c r="J2551" s="93"/>
    </row>
    <row r="2552" spans="1:10" s="65" customFormat="1" ht="14" x14ac:dyDescent="0.35">
      <c r="A2552" s="145"/>
      <c r="B2552" s="152"/>
      <c r="E2552" s="102"/>
      <c r="F2552" s="102"/>
      <c r="G2552" s="102"/>
      <c r="I2552" s="93"/>
      <c r="J2552" s="93"/>
    </row>
    <row r="2553" spans="1:10" s="65" customFormat="1" ht="14" x14ac:dyDescent="0.35">
      <c r="A2553" s="145"/>
      <c r="B2553" s="152"/>
      <c r="E2553" s="102"/>
      <c r="F2553" s="102"/>
      <c r="G2553" s="102"/>
      <c r="I2553" s="93"/>
      <c r="J2553" s="93"/>
    </row>
    <row r="2554" spans="1:10" s="65" customFormat="1" ht="14" x14ac:dyDescent="0.35">
      <c r="A2554" s="145"/>
      <c r="B2554" s="152"/>
      <c r="E2554" s="102"/>
      <c r="F2554" s="102"/>
      <c r="G2554" s="102"/>
      <c r="I2554" s="93"/>
      <c r="J2554" s="93"/>
    </row>
    <row r="2555" spans="1:10" s="65" customFormat="1" ht="14" x14ac:dyDescent="0.35">
      <c r="A2555" s="145"/>
      <c r="B2555" s="152"/>
      <c r="E2555" s="102"/>
      <c r="F2555" s="102"/>
      <c r="G2555" s="102"/>
      <c r="I2555" s="93"/>
      <c r="J2555" s="93"/>
    </row>
    <row r="2556" spans="1:10" s="65" customFormat="1" ht="14" x14ac:dyDescent="0.35">
      <c r="A2556" s="145"/>
      <c r="B2556" s="152"/>
      <c r="E2556" s="102"/>
      <c r="F2556" s="102"/>
      <c r="G2556" s="102"/>
      <c r="I2556" s="93"/>
      <c r="J2556" s="93"/>
    </row>
    <row r="2557" spans="1:10" s="65" customFormat="1" ht="14" x14ac:dyDescent="0.35">
      <c r="A2557" s="145"/>
      <c r="B2557" s="152"/>
      <c r="E2557" s="102"/>
      <c r="F2557" s="102"/>
      <c r="G2557" s="102"/>
      <c r="I2557" s="93"/>
      <c r="J2557" s="93"/>
    </row>
    <row r="2558" spans="1:10" s="65" customFormat="1" ht="14" x14ac:dyDescent="0.35">
      <c r="A2558" s="145"/>
      <c r="B2558" s="152"/>
      <c r="E2558" s="102"/>
      <c r="F2558" s="102"/>
      <c r="G2558" s="102"/>
      <c r="I2558" s="93"/>
      <c r="J2558" s="93"/>
    </row>
    <row r="2559" spans="1:10" s="65" customFormat="1" ht="14" x14ac:dyDescent="0.35">
      <c r="A2559" s="145"/>
      <c r="B2559" s="152"/>
      <c r="E2559" s="102"/>
      <c r="F2559" s="102"/>
      <c r="G2559" s="102"/>
      <c r="I2559" s="93"/>
      <c r="J2559" s="93"/>
    </row>
    <row r="2560" spans="1:10" s="65" customFormat="1" ht="14" x14ac:dyDescent="0.35">
      <c r="A2560" s="145"/>
      <c r="B2560" s="152"/>
      <c r="E2560" s="102"/>
      <c r="F2560" s="102"/>
      <c r="G2560" s="102"/>
      <c r="I2560" s="93"/>
      <c r="J2560" s="93"/>
    </row>
    <row r="2561" spans="1:10" s="65" customFormat="1" ht="14" x14ac:dyDescent="0.35">
      <c r="A2561" s="145"/>
      <c r="B2561" s="152"/>
      <c r="E2561" s="102"/>
      <c r="F2561" s="102"/>
      <c r="G2561" s="102"/>
      <c r="I2561" s="93"/>
      <c r="J2561" s="93"/>
    </row>
    <row r="2562" spans="1:10" s="65" customFormat="1" ht="14" x14ac:dyDescent="0.35">
      <c r="A2562" s="145"/>
      <c r="B2562" s="152"/>
      <c r="E2562" s="102"/>
      <c r="F2562" s="102"/>
      <c r="G2562" s="102"/>
      <c r="I2562" s="93"/>
      <c r="J2562" s="93"/>
    </row>
    <row r="2563" spans="1:10" s="65" customFormat="1" ht="14" x14ac:dyDescent="0.35">
      <c r="A2563" s="145"/>
      <c r="B2563" s="152"/>
      <c r="E2563" s="102"/>
      <c r="F2563" s="102"/>
      <c r="G2563" s="102"/>
      <c r="I2563" s="93"/>
      <c r="J2563" s="93"/>
    </row>
    <row r="2564" spans="1:10" s="65" customFormat="1" ht="14" x14ac:dyDescent="0.35">
      <c r="A2564" s="145"/>
      <c r="B2564" s="152"/>
      <c r="E2564" s="102"/>
      <c r="F2564" s="102"/>
      <c r="G2564" s="102"/>
      <c r="I2564" s="93"/>
      <c r="J2564" s="93"/>
    </row>
    <row r="2565" spans="1:10" s="65" customFormat="1" ht="14" x14ac:dyDescent="0.35">
      <c r="A2565" s="145"/>
      <c r="B2565" s="152"/>
      <c r="E2565" s="102"/>
      <c r="F2565" s="102"/>
      <c r="G2565" s="102"/>
      <c r="I2565" s="93"/>
      <c r="J2565" s="93"/>
    </row>
    <row r="2566" spans="1:10" s="65" customFormat="1" ht="14" x14ac:dyDescent="0.35">
      <c r="A2566" s="145"/>
      <c r="B2566" s="152"/>
      <c r="E2566" s="102"/>
      <c r="F2566" s="102"/>
      <c r="G2566" s="102"/>
      <c r="I2566" s="93"/>
      <c r="J2566" s="93"/>
    </row>
    <row r="2567" spans="1:10" s="65" customFormat="1" ht="14" x14ac:dyDescent="0.35">
      <c r="A2567" s="145"/>
      <c r="B2567" s="152"/>
      <c r="E2567" s="102"/>
      <c r="F2567" s="102"/>
      <c r="G2567" s="102"/>
      <c r="I2567" s="93"/>
      <c r="J2567" s="93"/>
    </row>
    <row r="2568" spans="1:10" s="65" customFormat="1" ht="14" x14ac:dyDescent="0.35">
      <c r="A2568" s="145"/>
      <c r="B2568" s="152"/>
      <c r="E2568" s="102"/>
      <c r="F2568" s="102"/>
      <c r="G2568" s="102"/>
      <c r="I2568" s="93"/>
      <c r="J2568" s="93"/>
    </row>
    <row r="2569" spans="1:10" s="65" customFormat="1" ht="14" x14ac:dyDescent="0.35">
      <c r="A2569" s="145"/>
      <c r="B2569" s="152"/>
      <c r="E2569" s="102"/>
      <c r="F2569" s="102"/>
      <c r="G2569" s="102"/>
      <c r="I2569" s="93"/>
      <c r="J2569" s="93"/>
    </row>
    <row r="2570" spans="1:10" s="65" customFormat="1" ht="14" x14ac:dyDescent="0.35">
      <c r="A2570" s="145"/>
      <c r="B2570" s="152"/>
      <c r="E2570" s="102"/>
      <c r="F2570" s="102"/>
      <c r="G2570" s="102"/>
      <c r="I2570" s="93"/>
      <c r="J2570" s="93"/>
    </row>
    <row r="2571" spans="1:10" s="65" customFormat="1" ht="14" x14ac:dyDescent="0.35">
      <c r="A2571" s="145"/>
      <c r="B2571" s="152"/>
      <c r="E2571" s="102"/>
      <c r="F2571" s="102"/>
      <c r="G2571" s="102"/>
      <c r="I2571" s="93"/>
      <c r="J2571" s="93"/>
    </row>
    <row r="2572" spans="1:10" s="65" customFormat="1" ht="14" x14ac:dyDescent="0.35">
      <c r="A2572" s="145"/>
      <c r="B2572" s="152"/>
      <c r="E2572" s="102"/>
      <c r="F2572" s="102"/>
      <c r="G2572" s="102"/>
      <c r="I2572" s="93"/>
      <c r="J2572" s="93"/>
    </row>
    <row r="2573" spans="1:10" s="65" customFormat="1" ht="14" x14ac:dyDescent="0.35">
      <c r="A2573" s="145"/>
      <c r="B2573" s="152"/>
      <c r="E2573" s="102"/>
      <c r="F2573" s="102"/>
      <c r="G2573" s="102"/>
      <c r="I2573" s="93"/>
      <c r="J2573" s="93"/>
    </row>
    <row r="2574" spans="1:10" s="65" customFormat="1" ht="14" x14ac:dyDescent="0.35">
      <c r="A2574" s="145"/>
      <c r="B2574" s="152"/>
      <c r="E2574" s="102"/>
      <c r="F2574" s="102"/>
      <c r="G2574" s="102"/>
      <c r="I2574" s="93"/>
      <c r="J2574" s="93"/>
    </row>
    <row r="2575" spans="1:10" s="65" customFormat="1" ht="14" x14ac:dyDescent="0.35">
      <c r="A2575" s="145"/>
      <c r="B2575" s="152"/>
      <c r="E2575" s="102"/>
      <c r="F2575" s="102"/>
      <c r="G2575" s="102"/>
      <c r="I2575" s="93"/>
      <c r="J2575" s="93"/>
    </row>
    <row r="2576" spans="1:10" s="65" customFormat="1" ht="14" x14ac:dyDescent="0.35">
      <c r="A2576" s="145"/>
      <c r="B2576" s="152"/>
      <c r="E2576" s="102"/>
      <c r="F2576" s="102"/>
      <c r="G2576" s="102"/>
      <c r="I2576" s="93"/>
      <c r="J2576" s="93"/>
    </row>
    <row r="2577" spans="1:10" s="65" customFormat="1" ht="14" x14ac:dyDescent="0.35">
      <c r="A2577" s="145"/>
      <c r="B2577" s="152"/>
      <c r="E2577" s="102"/>
      <c r="F2577" s="102"/>
      <c r="G2577" s="102"/>
      <c r="I2577" s="93"/>
      <c r="J2577" s="93"/>
    </row>
    <row r="2578" spans="1:10" s="65" customFormat="1" ht="14" x14ac:dyDescent="0.35">
      <c r="A2578" s="145"/>
      <c r="B2578" s="152"/>
      <c r="E2578" s="102"/>
      <c r="F2578" s="102"/>
      <c r="G2578" s="102"/>
      <c r="I2578" s="93"/>
      <c r="J2578" s="93"/>
    </row>
    <row r="2579" spans="1:10" s="65" customFormat="1" ht="14" x14ac:dyDescent="0.35">
      <c r="A2579" s="145"/>
      <c r="B2579" s="152"/>
      <c r="E2579" s="102"/>
      <c r="F2579" s="102"/>
      <c r="G2579" s="102"/>
      <c r="I2579" s="93"/>
      <c r="J2579" s="93"/>
    </row>
    <row r="2580" spans="1:10" s="65" customFormat="1" ht="14" x14ac:dyDescent="0.35">
      <c r="A2580" s="145"/>
      <c r="B2580" s="152"/>
      <c r="E2580" s="102"/>
      <c r="F2580" s="102"/>
      <c r="G2580" s="102"/>
      <c r="I2580" s="93"/>
      <c r="J2580" s="93"/>
    </row>
    <row r="2581" spans="1:10" s="65" customFormat="1" ht="14" x14ac:dyDescent="0.35">
      <c r="A2581" s="145"/>
      <c r="B2581" s="152"/>
      <c r="E2581" s="102"/>
      <c r="F2581" s="102"/>
      <c r="G2581" s="102"/>
      <c r="I2581" s="93"/>
      <c r="J2581" s="93"/>
    </row>
    <row r="2582" spans="1:10" s="65" customFormat="1" ht="14" x14ac:dyDescent="0.35">
      <c r="A2582" s="145"/>
      <c r="B2582" s="152"/>
      <c r="E2582" s="102"/>
      <c r="F2582" s="102"/>
      <c r="G2582" s="102"/>
      <c r="I2582" s="93"/>
      <c r="J2582" s="93"/>
    </row>
    <row r="2583" spans="1:10" s="65" customFormat="1" ht="14" x14ac:dyDescent="0.35">
      <c r="A2583" s="145"/>
      <c r="B2583" s="152"/>
      <c r="E2583" s="102"/>
      <c r="F2583" s="102"/>
      <c r="G2583" s="102"/>
      <c r="I2583" s="93"/>
      <c r="J2583" s="93"/>
    </row>
    <row r="2584" spans="1:10" s="65" customFormat="1" ht="14" x14ac:dyDescent="0.35">
      <c r="A2584" s="145"/>
      <c r="B2584" s="152"/>
      <c r="E2584" s="102"/>
      <c r="F2584" s="102"/>
      <c r="G2584" s="102"/>
      <c r="I2584" s="93"/>
      <c r="J2584" s="93"/>
    </row>
    <row r="2585" spans="1:10" s="65" customFormat="1" ht="14" x14ac:dyDescent="0.35">
      <c r="A2585" s="145"/>
      <c r="B2585" s="152"/>
      <c r="E2585" s="102"/>
      <c r="F2585" s="102"/>
      <c r="G2585" s="102"/>
      <c r="I2585" s="93"/>
      <c r="J2585" s="93"/>
    </row>
    <row r="2586" spans="1:10" s="65" customFormat="1" ht="14" x14ac:dyDescent="0.35">
      <c r="A2586" s="145"/>
      <c r="B2586" s="152"/>
      <c r="E2586" s="102"/>
      <c r="F2586" s="102"/>
      <c r="G2586" s="102"/>
      <c r="I2586" s="93"/>
      <c r="J2586" s="93"/>
    </row>
    <row r="2587" spans="1:10" s="65" customFormat="1" ht="14" x14ac:dyDescent="0.35">
      <c r="A2587" s="145"/>
      <c r="B2587" s="152"/>
      <c r="E2587" s="102"/>
      <c r="F2587" s="102"/>
      <c r="G2587" s="102"/>
      <c r="I2587" s="93"/>
      <c r="J2587" s="93"/>
    </row>
    <row r="2588" spans="1:10" s="65" customFormat="1" ht="14" x14ac:dyDescent="0.35">
      <c r="A2588" s="145"/>
      <c r="B2588" s="152"/>
      <c r="E2588" s="102"/>
      <c r="F2588" s="102"/>
      <c r="G2588" s="102"/>
      <c r="I2588" s="93"/>
      <c r="J2588" s="93"/>
    </row>
    <row r="2589" spans="1:10" s="65" customFormat="1" ht="14" x14ac:dyDescent="0.35">
      <c r="A2589" s="145"/>
      <c r="B2589" s="152"/>
      <c r="E2589" s="102"/>
      <c r="F2589" s="102"/>
      <c r="G2589" s="102"/>
      <c r="I2589" s="93"/>
      <c r="J2589" s="93"/>
    </row>
    <row r="2590" spans="1:10" s="65" customFormat="1" ht="14" x14ac:dyDescent="0.35">
      <c r="A2590" s="145"/>
      <c r="B2590" s="152"/>
      <c r="E2590" s="102"/>
      <c r="F2590" s="102"/>
      <c r="G2590" s="102"/>
      <c r="I2590" s="93"/>
      <c r="J2590" s="93"/>
    </row>
    <row r="2591" spans="1:10" s="65" customFormat="1" ht="14" x14ac:dyDescent="0.35">
      <c r="A2591" s="145"/>
      <c r="B2591" s="152"/>
      <c r="E2591" s="102"/>
      <c r="F2591" s="102"/>
      <c r="G2591" s="102"/>
      <c r="I2591" s="93"/>
      <c r="J2591" s="93"/>
    </row>
    <row r="2592" spans="1:10" s="65" customFormat="1" ht="14" x14ac:dyDescent="0.35">
      <c r="A2592" s="145"/>
      <c r="B2592" s="152"/>
      <c r="E2592" s="102"/>
      <c r="F2592" s="102"/>
      <c r="G2592" s="102"/>
      <c r="I2592" s="93"/>
      <c r="J2592" s="93"/>
    </row>
    <row r="2593" spans="1:10" s="65" customFormat="1" ht="14" x14ac:dyDescent="0.35">
      <c r="A2593" s="145"/>
      <c r="B2593" s="152"/>
      <c r="E2593" s="102"/>
      <c r="F2593" s="102"/>
      <c r="G2593" s="102"/>
      <c r="I2593" s="93"/>
      <c r="J2593" s="93"/>
    </row>
    <row r="2594" spans="1:10" s="65" customFormat="1" ht="14" x14ac:dyDescent="0.35">
      <c r="A2594" s="145"/>
      <c r="B2594" s="152"/>
      <c r="E2594" s="102"/>
      <c r="F2594" s="102"/>
      <c r="G2594" s="102"/>
      <c r="I2594" s="93"/>
      <c r="J2594" s="93"/>
    </row>
    <row r="2595" spans="1:10" s="65" customFormat="1" ht="14" x14ac:dyDescent="0.35">
      <c r="A2595" s="145"/>
      <c r="B2595" s="152"/>
      <c r="E2595" s="102"/>
      <c r="F2595" s="102"/>
      <c r="G2595" s="102"/>
      <c r="I2595" s="93"/>
      <c r="J2595" s="93"/>
    </row>
    <row r="2596" spans="1:10" s="65" customFormat="1" ht="14" x14ac:dyDescent="0.35">
      <c r="A2596" s="145"/>
      <c r="B2596" s="152"/>
      <c r="E2596" s="102"/>
      <c r="F2596" s="102"/>
      <c r="G2596" s="102"/>
      <c r="I2596" s="93"/>
      <c r="J2596" s="93"/>
    </row>
    <row r="2597" spans="1:10" s="65" customFormat="1" ht="14" x14ac:dyDescent="0.35">
      <c r="A2597" s="145"/>
      <c r="B2597" s="152"/>
      <c r="E2597" s="102"/>
      <c r="F2597" s="102"/>
      <c r="G2597" s="102"/>
      <c r="I2597" s="93"/>
      <c r="J2597" s="93"/>
    </row>
    <row r="2598" spans="1:10" s="65" customFormat="1" ht="14" x14ac:dyDescent="0.35">
      <c r="A2598" s="145"/>
      <c r="B2598" s="152"/>
      <c r="E2598" s="102"/>
      <c r="F2598" s="102"/>
      <c r="G2598" s="102"/>
      <c r="I2598" s="93"/>
      <c r="J2598" s="93"/>
    </row>
    <row r="2599" spans="1:10" s="65" customFormat="1" ht="14" x14ac:dyDescent="0.35">
      <c r="A2599" s="145"/>
      <c r="B2599" s="152"/>
      <c r="E2599" s="102"/>
      <c r="F2599" s="102"/>
      <c r="G2599" s="102"/>
      <c r="I2599" s="93"/>
      <c r="J2599" s="93"/>
    </row>
    <row r="2600" spans="1:10" s="65" customFormat="1" ht="14" x14ac:dyDescent="0.35">
      <c r="A2600" s="145"/>
      <c r="B2600" s="152"/>
      <c r="E2600" s="102"/>
      <c r="F2600" s="102"/>
      <c r="G2600" s="102"/>
      <c r="I2600" s="93"/>
      <c r="J2600" s="93"/>
    </row>
    <row r="2601" spans="1:10" s="65" customFormat="1" ht="14" x14ac:dyDescent="0.35">
      <c r="A2601" s="145"/>
      <c r="B2601" s="152"/>
      <c r="E2601" s="102"/>
      <c r="F2601" s="102"/>
      <c r="G2601" s="102"/>
      <c r="I2601" s="93"/>
      <c r="J2601" s="93"/>
    </row>
    <row r="2602" spans="1:10" s="65" customFormat="1" ht="14" x14ac:dyDescent="0.35">
      <c r="A2602" s="145"/>
      <c r="B2602" s="152"/>
      <c r="E2602" s="102"/>
      <c r="F2602" s="102"/>
      <c r="G2602" s="102"/>
      <c r="I2602" s="93"/>
      <c r="J2602" s="93"/>
    </row>
    <row r="2603" spans="1:10" s="65" customFormat="1" ht="14" x14ac:dyDescent="0.35">
      <c r="A2603" s="145"/>
      <c r="B2603" s="152"/>
      <c r="E2603" s="102"/>
      <c r="F2603" s="102"/>
      <c r="G2603" s="102"/>
      <c r="I2603" s="93"/>
      <c r="J2603" s="93"/>
    </row>
    <row r="2604" spans="1:10" s="65" customFormat="1" ht="14" x14ac:dyDescent="0.35">
      <c r="A2604" s="145"/>
      <c r="B2604" s="152"/>
      <c r="E2604" s="102"/>
      <c r="F2604" s="102"/>
      <c r="G2604" s="102"/>
      <c r="I2604" s="93"/>
      <c r="J2604" s="93"/>
    </row>
    <row r="2605" spans="1:10" s="65" customFormat="1" ht="14" x14ac:dyDescent="0.35">
      <c r="A2605" s="145"/>
      <c r="B2605" s="152"/>
      <c r="E2605" s="102"/>
      <c r="F2605" s="102"/>
      <c r="G2605" s="102"/>
      <c r="I2605" s="93"/>
      <c r="J2605" s="93"/>
    </row>
    <row r="2606" spans="1:10" s="65" customFormat="1" ht="14" x14ac:dyDescent="0.35">
      <c r="A2606" s="145"/>
      <c r="B2606" s="152"/>
      <c r="E2606" s="102"/>
      <c r="F2606" s="102"/>
      <c r="G2606" s="102"/>
      <c r="I2606" s="93"/>
      <c r="J2606" s="93"/>
    </row>
    <row r="2607" spans="1:10" s="65" customFormat="1" ht="14" x14ac:dyDescent="0.35">
      <c r="A2607" s="145"/>
      <c r="B2607" s="152"/>
      <c r="E2607" s="102"/>
      <c r="F2607" s="102"/>
      <c r="G2607" s="102"/>
      <c r="I2607" s="93"/>
      <c r="J2607" s="93"/>
    </row>
    <row r="2608" spans="1:10" s="65" customFormat="1" ht="14" x14ac:dyDescent="0.35">
      <c r="A2608" s="145"/>
      <c r="B2608" s="152"/>
      <c r="E2608" s="102"/>
      <c r="F2608" s="102"/>
      <c r="G2608" s="102"/>
      <c r="I2608" s="93"/>
      <c r="J2608" s="93"/>
    </row>
    <row r="2609" spans="1:10" s="65" customFormat="1" ht="14" x14ac:dyDescent="0.35">
      <c r="A2609" s="145"/>
      <c r="B2609" s="152"/>
      <c r="E2609" s="102"/>
      <c r="F2609" s="102"/>
      <c r="G2609" s="102"/>
      <c r="I2609" s="93"/>
      <c r="J2609" s="93"/>
    </row>
    <row r="2610" spans="1:10" s="65" customFormat="1" ht="14" x14ac:dyDescent="0.35">
      <c r="A2610" s="145"/>
      <c r="B2610" s="152"/>
      <c r="E2610" s="102"/>
      <c r="F2610" s="102"/>
      <c r="G2610" s="102"/>
      <c r="I2610" s="93"/>
      <c r="J2610" s="93"/>
    </row>
    <row r="2611" spans="1:10" s="65" customFormat="1" ht="14" x14ac:dyDescent="0.35">
      <c r="A2611" s="145"/>
      <c r="B2611" s="152"/>
      <c r="E2611" s="102"/>
      <c r="F2611" s="102"/>
      <c r="G2611" s="102"/>
      <c r="I2611" s="93"/>
      <c r="J2611" s="93"/>
    </row>
    <row r="2612" spans="1:10" s="65" customFormat="1" ht="14" x14ac:dyDescent="0.35">
      <c r="A2612" s="145"/>
      <c r="B2612" s="152"/>
      <c r="E2612" s="102"/>
      <c r="F2612" s="102"/>
      <c r="G2612" s="102"/>
      <c r="I2612" s="93"/>
      <c r="J2612" s="93"/>
    </row>
    <row r="2613" spans="1:10" s="65" customFormat="1" ht="14" x14ac:dyDescent="0.35">
      <c r="A2613" s="145"/>
      <c r="B2613" s="152"/>
      <c r="E2613" s="102"/>
      <c r="F2613" s="102"/>
      <c r="G2613" s="102"/>
      <c r="I2613" s="93"/>
      <c r="J2613" s="93"/>
    </row>
    <row r="2614" spans="1:10" s="65" customFormat="1" ht="14" x14ac:dyDescent="0.35">
      <c r="A2614" s="145"/>
      <c r="B2614" s="152"/>
      <c r="E2614" s="102"/>
      <c r="F2614" s="102"/>
      <c r="G2614" s="102"/>
      <c r="I2614" s="93"/>
      <c r="J2614" s="93"/>
    </row>
    <row r="2615" spans="1:10" s="65" customFormat="1" ht="14" x14ac:dyDescent="0.35">
      <c r="A2615" s="145"/>
      <c r="B2615" s="152"/>
      <c r="E2615" s="102"/>
      <c r="F2615" s="102"/>
      <c r="G2615" s="102"/>
      <c r="I2615" s="93"/>
      <c r="J2615" s="93"/>
    </row>
    <row r="2616" spans="1:10" s="65" customFormat="1" ht="14" x14ac:dyDescent="0.35">
      <c r="A2616" s="145"/>
      <c r="B2616" s="152"/>
      <c r="E2616" s="102"/>
      <c r="F2616" s="102"/>
      <c r="G2616" s="102"/>
      <c r="I2616" s="93"/>
      <c r="J2616" s="93"/>
    </row>
    <row r="2617" spans="1:10" s="65" customFormat="1" ht="14" x14ac:dyDescent="0.35">
      <c r="A2617" s="145"/>
      <c r="B2617" s="152"/>
      <c r="E2617" s="102"/>
      <c r="F2617" s="102"/>
      <c r="G2617" s="102"/>
      <c r="I2617" s="93"/>
      <c r="J2617" s="93"/>
    </row>
    <row r="2618" spans="1:10" s="65" customFormat="1" ht="14" x14ac:dyDescent="0.35">
      <c r="A2618" s="145"/>
      <c r="B2618" s="152"/>
      <c r="E2618" s="102"/>
      <c r="F2618" s="102"/>
      <c r="G2618" s="102"/>
      <c r="I2618" s="93"/>
      <c r="J2618" s="93"/>
    </row>
    <row r="2619" spans="1:10" s="65" customFormat="1" ht="14" x14ac:dyDescent="0.35">
      <c r="A2619" s="145"/>
      <c r="B2619" s="152"/>
      <c r="E2619" s="102"/>
      <c r="F2619" s="102"/>
      <c r="G2619" s="102"/>
      <c r="I2619" s="93"/>
      <c r="J2619" s="93"/>
    </row>
    <row r="2620" spans="1:10" s="65" customFormat="1" ht="14" x14ac:dyDescent="0.35">
      <c r="A2620" s="145"/>
      <c r="B2620" s="152"/>
      <c r="E2620" s="102"/>
      <c r="F2620" s="102"/>
      <c r="G2620" s="102"/>
      <c r="I2620" s="93"/>
      <c r="J2620" s="93"/>
    </row>
    <row r="2621" spans="1:10" s="65" customFormat="1" ht="14" x14ac:dyDescent="0.35">
      <c r="A2621" s="145"/>
      <c r="B2621" s="152"/>
      <c r="E2621" s="102"/>
      <c r="F2621" s="102"/>
      <c r="G2621" s="102"/>
      <c r="I2621" s="93"/>
      <c r="J2621" s="93"/>
    </row>
    <row r="2622" spans="1:10" s="65" customFormat="1" ht="14" x14ac:dyDescent="0.35">
      <c r="A2622" s="145"/>
      <c r="B2622" s="152"/>
      <c r="E2622" s="102"/>
      <c r="F2622" s="102"/>
      <c r="G2622" s="102"/>
      <c r="I2622" s="93"/>
      <c r="J2622" s="93"/>
    </row>
    <row r="2623" spans="1:10" s="65" customFormat="1" ht="14" x14ac:dyDescent="0.35">
      <c r="A2623" s="145"/>
      <c r="B2623" s="152"/>
      <c r="E2623" s="102"/>
      <c r="F2623" s="102"/>
      <c r="G2623" s="102"/>
      <c r="I2623" s="93"/>
      <c r="J2623" s="93"/>
    </row>
    <row r="2624" spans="1:10" s="65" customFormat="1" ht="14" x14ac:dyDescent="0.35">
      <c r="A2624" s="145"/>
      <c r="B2624" s="152"/>
      <c r="E2624" s="102"/>
      <c r="F2624" s="102"/>
      <c r="G2624" s="102"/>
      <c r="I2624" s="93"/>
      <c r="J2624" s="93"/>
    </row>
    <row r="2625" spans="1:10" s="65" customFormat="1" ht="14" x14ac:dyDescent="0.35">
      <c r="A2625" s="145"/>
      <c r="B2625" s="152"/>
      <c r="E2625" s="102"/>
      <c r="F2625" s="102"/>
      <c r="G2625" s="102"/>
      <c r="I2625" s="93"/>
      <c r="J2625" s="93"/>
    </row>
    <row r="2626" spans="1:10" s="65" customFormat="1" ht="14" x14ac:dyDescent="0.35">
      <c r="A2626" s="145"/>
      <c r="B2626" s="152"/>
      <c r="E2626" s="102"/>
      <c r="F2626" s="102"/>
      <c r="G2626" s="102"/>
      <c r="I2626" s="93"/>
      <c r="J2626" s="93"/>
    </row>
    <row r="2627" spans="1:10" s="65" customFormat="1" ht="14" x14ac:dyDescent="0.35">
      <c r="A2627" s="145"/>
      <c r="B2627" s="152"/>
      <c r="E2627" s="102"/>
      <c r="F2627" s="102"/>
      <c r="G2627" s="102"/>
      <c r="I2627" s="93"/>
      <c r="J2627" s="93"/>
    </row>
    <row r="2628" spans="1:10" s="65" customFormat="1" ht="14" x14ac:dyDescent="0.35">
      <c r="A2628" s="145"/>
      <c r="B2628" s="152"/>
      <c r="E2628" s="102"/>
      <c r="F2628" s="102"/>
      <c r="G2628" s="102"/>
      <c r="I2628" s="93"/>
      <c r="J2628" s="93"/>
    </row>
    <row r="2629" spans="1:10" s="65" customFormat="1" ht="14" x14ac:dyDescent="0.35">
      <c r="A2629" s="145"/>
      <c r="B2629" s="152"/>
      <c r="E2629" s="102"/>
      <c r="F2629" s="102"/>
      <c r="G2629" s="102"/>
      <c r="I2629" s="93"/>
      <c r="J2629" s="93"/>
    </row>
    <row r="2630" spans="1:10" s="65" customFormat="1" ht="14" x14ac:dyDescent="0.35">
      <c r="A2630" s="145"/>
      <c r="B2630" s="152"/>
      <c r="E2630" s="102"/>
      <c r="F2630" s="102"/>
      <c r="G2630" s="102"/>
      <c r="I2630" s="93"/>
      <c r="J2630" s="93"/>
    </row>
    <row r="2631" spans="1:10" s="65" customFormat="1" ht="14" x14ac:dyDescent="0.35">
      <c r="A2631" s="145"/>
      <c r="B2631" s="152"/>
      <c r="E2631" s="102"/>
      <c r="F2631" s="102"/>
      <c r="G2631" s="102"/>
      <c r="I2631" s="93"/>
      <c r="J2631" s="93"/>
    </row>
    <row r="2632" spans="1:10" s="65" customFormat="1" ht="14" x14ac:dyDescent="0.35">
      <c r="A2632" s="145"/>
      <c r="B2632" s="152"/>
      <c r="E2632" s="102"/>
      <c r="F2632" s="102"/>
      <c r="G2632" s="102"/>
      <c r="I2632" s="93"/>
      <c r="J2632" s="93"/>
    </row>
    <row r="2633" spans="1:10" s="65" customFormat="1" ht="14" x14ac:dyDescent="0.35">
      <c r="A2633" s="145"/>
      <c r="B2633" s="152"/>
      <c r="E2633" s="102"/>
      <c r="F2633" s="102"/>
      <c r="G2633" s="102"/>
      <c r="I2633" s="93"/>
      <c r="J2633" s="93"/>
    </row>
    <row r="2634" spans="1:10" s="65" customFormat="1" ht="14" x14ac:dyDescent="0.35">
      <c r="A2634" s="145"/>
      <c r="B2634" s="152"/>
      <c r="E2634" s="102"/>
      <c r="F2634" s="102"/>
      <c r="G2634" s="102"/>
      <c r="I2634" s="93"/>
      <c r="J2634" s="93"/>
    </row>
    <row r="2635" spans="1:10" s="65" customFormat="1" ht="14" x14ac:dyDescent="0.35">
      <c r="A2635" s="145"/>
      <c r="B2635" s="152"/>
      <c r="E2635" s="102"/>
      <c r="F2635" s="102"/>
      <c r="G2635" s="102"/>
      <c r="I2635" s="93"/>
      <c r="J2635" s="93"/>
    </row>
    <row r="2636" spans="1:10" s="65" customFormat="1" ht="14" x14ac:dyDescent="0.35">
      <c r="A2636" s="145"/>
      <c r="B2636" s="152"/>
      <c r="E2636" s="102"/>
      <c r="F2636" s="102"/>
      <c r="G2636" s="102"/>
      <c r="I2636" s="93"/>
      <c r="J2636" s="93"/>
    </row>
    <row r="2637" spans="1:10" s="65" customFormat="1" ht="14" x14ac:dyDescent="0.35">
      <c r="A2637" s="145"/>
      <c r="B2637" s="152"/>
      <c r="E2637" s="102"/>
      <c r="F2637" s="102"/>
      <c r="G2637" s="102"/>
      <c r="I2637" s="93"/>
      <c r="J2637" s="93"/>
    </row>
    <row r="2638" spans="1:10" s="65" customFormat="1" ht="14" x14ac:dyDescent="0.35">
      <c r="A2638" s="145"/>
      <c r="B2638" s="152"/>
      <c r="E2638" s="102"/>
      <c r="F2638" s="102"/>
      <c r="G2638" s="102"/>
      <c r="I2638" s="93"/>
      <c r="J2638" s="93"/>
    </row>
    <row r="2639" spans="1:10" s="65" customFormat="1" ht="14" x14ac:dyDescent="0.35">
      <c r="A2639" s="145"/>
      <c r="B2639" s="152"/>
      <c r="E2639" s="102"/>
      <c r="F2639" s="102"/>
      <c r="G2639" s="102"/>
      <c r="I2639" s="93"/>
      <c r="J2639" s="93"/>
    </row>
    <row r="2640" spans="1:10" s="65" customFormat="1" ht="14" x14ac:dyDescent="0.35">
      <c r="A2640" s="145"/>
      <c r="B2640" s="152"/>
      <c r="E2640" s="102"/>
      <c r="F2640" s="102"/>
      <c r="G2640" s="102"/>
      <c r="I2640" s="93"/>
      <c r="J2640" s="93"/>
    </row>
    <row r="2641" spans="1:10" s="65" customFormat="1" ht="14" x14ac:dyDescent="0.35">
      <c r="A2641" s="145"/>
      <c r="B2641" s="152"/>
      <c r="E2641" s="102"/>
      <c r="F2641" s="102"/>
      <c r="G2641" s="102"/>
      <c r="I2641" s="93"/>
      <c r="J2641" s="93"/>
    </row>
    <row r="2642" spans="1:10" s="65" customFormat="1" ht="14" x14ac:dyDescent="0.35">
      <c r="A2642" s="145"/>
      <c r="B2642" s="152"/>
      <c r="E2642" s="102"/>
      <c r="F2642" s="102"/>
      <c r="G2642" s="102"/>
      <c r="I2642" s="93"/>
      <c r="J2642" s="93"/>
    </row>
    <row r="2643" spans="1:10" s="65" customFormat="1" ht="14" x14ac:dyDescent="0.35">
      <c r="A2643" s="145"/>
      <c r="B2643" s="152"/>
      <c r="E2643" s="102"/>
      <c r="F2643" s="102"/>
      <c r="G2643" s="102"/>
      <c r="I2643" s="93"/>
      <c r="J2643" s="93"/>
    </row>
    <row r="2644" spans="1:10" s="65" customFormat="1" ht="14" x14ac:dyDescent="0.35">
      <c r="A2644" s="145"/>
      <c r="B2644" s="152"/>
      <c r="E2644" s="102"/>
      <c r="F2644" s="102"/>
      <c r="G2644" s="102"/>
      <c r="I2644" s="93"/>
      <c r="J2644" s="93"/>
    </row>
    <row r="2645" spans="1:10" s="65" customFormat="1" ht="14" x14ac:dyDescent="0.35">
      <c r="A2645" s="145"/>
      <c r="B2645" s="152"/>
      <c r="E2645" s="102"/>
      <c r="F2645" s="102"/>
      <c r="G2645" s="102"/>
      <c r="I2645" s="93"/>
      <c r="J2645" s="93"/>
    </row>
    <row r="2646" spans="1:10" s="65" customFormat="1" ht="14" x14ac:dyDescent="0.35">
      <c r="A2646" s="145"/>
      <c r="B2646" s="152"/>
      <c r="E2646" s="102"/>
      <c r="F2646" s="102"/>
      <c r="G2646" s="102"/>
      <c r="I2646" s="93"/>
      <c r="J2646" s="93"/>
    </row>
    <row r="2647" spans="1:10" s="65" customFormat="1" ht="14" x14ac:dyDescent="0.35">
      <c r="A2647" s="145"/>
      <c r="B2647" s="152"/>
      <c r="E2647" s="102"/>
      <c r="F2647" s="102"/>
      <c r="G2647" s="102"/>
      <c r="I2647" s="93"/>
      <c r="J2647" s="93"/>
    </row>
    <row r="2648" spans="1:10" s="65" customFormat="1" ht="14" x14ac:dyDescent="0.35">
      <c r="A2648" s="145"/>
      <c r="B2648" s="152"/>
      <c r="E2648" s="102"/>
      <c r="F2648" s="102"/>
      <c r="G2648" s="102"/>
      <c r="I2648" s="93"/>
      <c r="J2648" s="93"/>
    </row>
    <row r="2649" spans="1:10" s="65" customFormat="1" ht="14" x14ac:dyDescent="0.35">
      <c r="A2649" s="145"/>
      <c r="B2649" s="152"/>
      <c r="E2649" s="102"/>
      <c r="F2649" s="102"/>
      <c r="G2649" s="102"/>
      <c r="I2649" s="93"/>
      <c r="J2649" s="93"/>
    </row>
    <row r="2650" spans="1:10" s="65" customFormat="1" ht="14" x14ac:dyDescent="0.35">
      <c r="A2650" s="145"/>
      <c r="B2650" s="152"/>
      <c r="E2650" s="102"/>
      <c r="F2650" s="102"/>
      <c r="G2650" s="102"/>
      <c r="I2650" s="93"/>
      <c r="J2650" s="93"/>
    </row>
    <row r="2651" spans="1:10" s="65" customFormat="1" ht="14" x14ac:dyDescent="0.35">
      <c r="A2651" s="145"/>
      <c r="B2651" s="152"/>
      <c r="E2651" s="102"/>
      <c r="F2651" s="102"/>
      <c r="G2651" s="102"/>
      <c r="I2651" s="93"/>
      <c r="J2651" s="93"/>
    </row>
    <row r="2652" spans="1:10" s="65" customFormat="1" ht="14" x14ac:dyDescent="0.35">
      <c r="A2652" s="145"/>
      <c r="B2652" s="152"/>
      <c r="E2652" s="102"/>
      <c r="F2652" s="102"/>
      <c r="G2652" s="102"/>
      <c r="I2652" s="93"/>
      <c r="J2652" s="93"/>
    </row>
    <row r="2653" spans="1:10" s="65" customFormat="1" ht="14" x14ac:dyDescent="0.35">
      <c r="A2653" s="145"/>
      <c r="B2653" s="152"/>
      <c r="E2653" s="102"/>
      <c r="F2653" s="102"/>
      <c r="G2653" s="102"/>
      <c r="I2653" s="93"/>
      <c r="J2653" s="93"/>
    </row>
    <row r="2654" spans="1:10" s="65" customFormat="1" ht="14" x14ac:dyDescent="0.35">
      <c r="A2654" s="145"/>
      <c r="B2654" s="152"/>
      <c r="E2654" s="102"/>
      <c r="F2654" s="102"/>
      <c r="G2654" s="102"/>
      <c r="I2654" s="93"/>
      <c r="J2654" s="93"/>
    </row>
    <row r="2655" spans="1:10" s="65" customFormat="1" ht="14" x14ac:dyDescent="0.35">
      <c r="A2655" s="145"/>
      <c r="B2655" s="152"/>
      <c r="E2655" s="102"/>
      <c r="F2655" s="102"/>
      <c r="G2655" s="102"/>
      <c r="I2655" s="93"/>
      <c r="J2655" s="93"/>
    </row>
    <row r="2656" spans="1:10" s="65" customFormat="1" ht="14" x14ac:dyDescent="0.35">
      <c r="A2656" s="145"/>
      <c r="B2656" s="152"/>
      <c r="E2656" s="102"/>
      <c r="F2656" s="102"/>
      <c r="G2656" s="102"/>
      <c r="I2656" s="93"/>
      <c r="J2656" s="93"/>
    </row>
    <row r="2657" spans="1:10" s="65" customFormat="1" ht="14" x14ac:dyDescent="0.35">
      <c r="A2657" s="145"/>
      <c r="B2657" s="152"/>
      <c r="E2657" s="102"/>
      <c r="F2657" s="102"/>
      <c r="G2657" s="102"/>
      <c r="I2657" s="93"/>
      <c r="J2657" s="93"/>
    </row>
    <row r="2658" spans="1:10" s="65" customFormat="1" ht="14" x14ac:dyDescent="0.35">
      <c r="A2658" s="145"/>
      <c r="B2658" s="152"/>
      <c r="E2658" s="102"/>
      <c r="F2658" s="102"/>
      <c r="G2658" s="102"/>
      <c r="I2658" s="93"/>
      <c r="J2658" s="93"/>
    </row>
    <row r="2659" spans="1:10" s="65" customFormat="1" ht="14" x14ac:dyDescent="0.35">
      <c r="A2659" s="145"/>
      <c r="B2659" s="152"/>
      <c r="E2659" s="102"/>
      <c r="F2659" s="102"/>
      <c r="G2659" s="102"/>
      <c r="I2659" s="93"/>
      <c r="J2659" s="93"/>
    </row>
    <row r="2660" spans="1:10" s="65" customFormat="1" ht="14" x14ac:dyDescent="0.35">
      <c r="A2660" s="145"/>
      <c r="B2660" s="152"/>
      <c r="E2660" s="102"/>
      <c r="F2660" s="102"/>
      <c r="G2660" s="102"/>
      <c r="I2660" s="93"/>
      <c r="J2660" s="93"/>
    </row>
    <row r="2661" spans="1:10" s="65" customFormat="1" ht="14" x14ac:dyDescent="0.35">
      <c r="A2661" s="145"/>
      <c r="B2661" s="152"/>
      <c r="E2661" s="102"/>
      <c r="F2661" s="102"/>
      <c r="G2661" s="102"/>
      <c r="I2661" s="93"/>
      <c r="J2661" s="93"/>
    </row>
    <row r="2662" spans="1:10" s="65" customFormat="1" ht="14" x14ac:dyDescent="0.35">
      <c r="A2662" s="145"/>
      <c r="B2662" s="152"/>
      <c r="E2662" s="102"/>
      <c r="F2662" s="102"/>
      <c r="G2662" s="102"/>
      <c r="I2662" s="93"/>
      <c r="J2662" s="93"/>
    </row>
    <row r="2663" spans="1:10" s="65" customFormat="1" ht="14" x14ac:dyDescent="0.35">
      <c r="A2663" s="145"/>
      <c r="B2663" s="152"/>
      <c r="E2663" s="102"/>
      <c r="F2663" s="102"/>
      <c r="G2663" s="102"/>
      <c r="I2663" s="93"/>
      <c r="J2663" s="93"/>
    </row>
    <row r="2664" spans="1:10" s="65" customFormat="1" ht="14" x14ac:dyDescent="0.35">
      <c r="A2664" s="145"/>
      <c r="B2664" s="152"/>
      <c r="E2664" s="102"/>
      <c r="F2664" s="102"/>
      <c r="G2664" s="102"/>
      <c r="I2664" s="93"/>
      <c r="J2664" s="93"/>
    </row>
    <row r="2665" spans="1:10" s="65" customFormat="1" ht="14" x14ac:dyDescent="0.35">
      <c r="A2665" s="145"/>
      <c r="B2665" s="152"/>
      <c r="E2665" s="102"/>
      <c r="F2665" s="102"/>
      <c r="G2665" s="102"/>
      <c r="I2665" s="93"/>
      <c r="J2665" s="93"/>
    </row>
    <row r="2666" spans="1:10" s="65" customFormat="1" ht="14" x14ac:dyDescent="0.35">
      <c r="A2666" s="145"/>
      <c r="B2666" s="152"/>
      <c r="E2666" s="102"/>
      <c r="F2666" s="102"/>
      <c r="G2666" s="102"/>
      <c r="I2666" s="93"/>
      <c r="J2666" s="93"/>
    </row>
    <row r="2667" spans="1:10" s="65" customFormat="1" ht="14" x14ac:dyDescent="0.35">
      <c r="A2667" s="145"/>
      <c r="B2667" s="152"/>
      <c r="E2667" s="102"/>
      <c r="F2667" s="102"/>
      <c r="G2667" s="102"/>
      <c r="I2667" s="93"/>
      <c r="J2667" s="93"/>
    </row>
    <row r="2668" spans="1:10" s="65" customFormat="1" ht="14" x14ac:dyDescent="0.35">
      <c r="A2668" s="145"/>
      <c r="B2668" s="152"/>
      <c r="E2668" s="102"/>
      <c r="F2668" s="102"/>
      <c r="G2668" s="102"/>
      <c r="I2668" s="93"/>
      <c r="J2668" s="93"/>
    </row>
    <row r="2669" spans="1:10" s="65" customFormat="1" ht="14" x14ac:dyDescent="0.35">
      <c r="A2669" s="145"/>
      <c r="B2669" s="152"/>
      <c r="E2669" s="102"/>
      <c r="F2669" s="102"/>
      <c r="G2669" s="102"/>
      <c r="I2669" s="93"/>
      <c r="J2669" s="93"/>
    </row>
    <row r="2670" spans="1:10" s="65" customFormat="1" ht="14" x14ac:dyDescent="0.35">
      <c r="A2670" s="145"/>
      <c r="B2670" s="152"/>
      <c r="E2670" s="102"/>
      <c r="F2670" s="102"/>
      <c r="G2670" s="102"/>
      <c r="I2670" s="93"/>
      <c r="J2670" s="93"/>
    </row>
    <row r="2671" spans="1:10" s="65" customFormat="1" ht="14" x14ac:dyDescent="0.35">
      <c r="A2671" s="145"/>
      <c r="B2671" s="152"/>
      <c r="E2671" s="102"/>
      <c r="F2671" s="102"/>
      <c r="G2671" s="102"/>
      <c r="I2671" s="93"/>
      <c r="J2671" s="93"/>
    </row>
    <row r="2672" spans="1:10" s="65" customFormat="1" ht="14" x14ac:dyDescent="0.35">
      <c r="A2672" s="145"/>
      <c r="B2672" s="152"/>
      <c r="E2672" s="102"/>
      <c r="F2672" s="102"/>
      <c r="G2672" s="102"/>
      <c r="I2672" s="93"/>
      <c r="J2672" s="93"/>
    </row>
    <row r="2673" spans="1:10" s="65" customFormat="1" ht="14" x14ac:dyDescent="0.35">
      <c r="A2673" s="145"/>
      <c r="B2673" s="152"/>
      <c r="E2673" s="102"/>
      <c r="F2673" s="102"/>
      <c r="G2673" s="102"/>
      <c r="I2673" s="93"/>
      <c r="J2673" s="93"/>
    </row>
    <row r="2674" spans="1:10" s="65" customFormat="1" ht="14" x14ac:dyDescent="0.35">
      <c r="A2674" s="145"/>
      <c r="B2674" s="152"/>
      <c r="E2674" s="102"/>
      <c r="F2674" s="102"/>
      <c r="G2674" s="102"/>
      <c r="I2674" s="93"/>
      <c r="J2674" s="93"/>
    </row>
    <row r="2675" spans="1:10" s="65" customFormat="1" ht="14" x14ac:dyDescent="0.35">
      <c r="A2675" s="145"/>
      <c r="B2675" s="152"/>
      <c r="E2675" s="102"/>
      <c r="F2675" s="102"/>
      <c r="G2675" s="102"/>
      <c r="I2675" s="93"/>
      <c r="J2675" s="93"/>
    </row>
    <row r="2676" spans="1:10" s="65" customFormat="1" ht="14" x14ac:dyDescent="0.35">
      <c r="A2676" s="145"/>
      <c r="B2676" s="152"/>
      <c r="E2676" s="102"/>
      <c r="F2676" s="102"/>
      <c r="G2676" s="102"/>
      <c r="I2676" s="93"/>
      <c r="J2676" s="93"/>
    </row>
    <row r="2677" spans="1:10" s="65" customFormat="1" ht="14" x14ac:dyDescent="0.35">
      <c r="A2677" s="145"/>
      <c r="B2677" s="152"/>
      <c r="E2677" s="102"/>
      <c r="F2677" s="102"/>
      <c r="G2677" s="102"/>
      <c r="I2677" s="93"/>
      <c r="J2677" s="93"/>
    </row>
    <row r="2678" spans="1:10" s="65" customFormat="1" ht="14" x14ac:dyDescent="0.35">
      <c r="A2678" s="145"/>
      <c r="B2678" s="152"/>
      <c r="E2678" s="102"/>
      <c r="F2678" s="102"/>
      <c r="G2678" s="102"/>
      <c r="I2678" s="93"/>
      <c r="J2678" s="93"/>
    </row>
    <row r="2679" spans="1:10" s="65" customFormat="1" ht="14" x14ac:dyDescent="0.35">
      <c r="A2679" s="145"/>
      <c r="B2679" s="152"/>
      <c r="E2679" s="102"/>
      <c r="F2679" s="102"/>
      <c r="G2679" s="102"/>
      <c r="I2679" s="93"/>
      <c r="J2679" s="93"/>
    </row>
    <row r="2680" spans="1:10" s="65" customFormat="1" ht="14" x14ac:dyDescent="0.35">
      <c r="A2680" s="145"/>
      <c r="B2680" s="152"/>
      <c r="E2680" s="102"/>
      <c r="F2680" s="102"/>
      <c r="G2680" s="102"/>
      <c r="I2680" s="93"/>
      <c r="J2680" s="93"/>
    </row>
    <row r="2681" spans="1:10" s="65" customFormat="1" ht="14" x14ac:dyDescent="0.35">
      <c r="A2681" s="145"/>
      <c r="B2681" s="152"/>
      <c r="E2681" s="102"/>
      <c r="F2681" s="102"/>
      <c r="G2681" s="102"/>
      <c r="I2681" s="93"/>
      <c r="J2681" s="93"/>
    </row>
    <row r="2682" spans="1:10" s="65" customFormat="1" ht="14" x14ac:dyDescent="0.35">
      <c r="A2682" s="145"/>
      <c r="B2682" s="152"/>
      <c r="E2682" s="102"/>
      <c r="F2682" s="102"/>
      <c r="G2682" s="102"/>
      <c r="I2682" s="93"/>
      <c r="J2682" s="93"/>
    </row>
    <row r="2683" spans="1:10" s="65" customFormat="1" ht="14" x14ac:dyDescent="0.35">
      <c r="A2683" s="145"/>
      <c r="B2683" s="152"/>
      <c r="E2683" s="102"/>
      <c r="F2683" s="102"/>
      <c r="G2683" s="102"/>
      <c r="I2683" s="93"/>
      <c r="J2683" s="93"/>
    </row>
    <row r="2684" spans="1:10" s="65" customFormat="1" ht="14" x14ac:dyDescent="0.35">
      <c r="A2684" s="145"/>
      <c r="B2684" s="152"/>
      <c r="E2684" s="102"/>
      <c r="F2684" s="102"/>
      <c r="G2684" s="102"/>
      <c r="I2684" s="93"/>
      <c r="J2684" s="93"/>
    </row>
    <row r="2685" spans="1:10" s="65" customFormat="1" ht="14" x14ac:dyDescent="0.35">
      <c r="A2685" s="145"/>
      <c r="B2685" s="152"/>
      <c r="E2685" s="102"/>
      <c r="F2685" s="102"/>
      <c r="G2685" s="102"/>
      <c r="I2685" s="93"/>
      <c r="J2685" s="93"/>
    </row>
    <row r="2686" spans="1:10" s="65" customFormat="1" ht="14" x14ac:dyDescent="0.35">
      <c r="A2686" s="145"/>
      <c r="B2686" s="152"/>
      <c r="E2686" s="102"/>
      <c r="F2686" s="102"/>
      <c r="G2686" s="102"/>
      <c r="I2686" s="93"/>
      <c r="J2686" s="93"/>
    </row>
    <row r="2687" spans="1:10" s="65" customFormat="1" ht="14" x14ac:dyDescent="0.35">
      <c r="A2687" s="145"/>
      <c r="B2687" s="152"/>
      <c r="E2687" s="102"/>
      <c r="F2687" s="102"/>
      <c r="G2687" s="102"/>
      <c r="I2687" s="93"/>
      <c r="J2687" s="93"/>
    </row>
    <row r="2688" spans="1:10" s="65" customFormat="1" ht="14" x14ac:dyDescent="0.35">
      <c r="A2688" s="145"/>
      <c r="B2688" s="152"/>
      <c r="E2688" s="102"/>
      <c r="F2688" s="102"/>
      <c r="G2688" s="102"/>
      <c r="I2688" s="93"/>
      <c r="J2688" s="93"/>
    </row>
    <row r="2689" spans="1:10" s="65" customFormat="1" ht="14" x14ac:dyDescent="0.35">
      <c r="A2689" s="145"/>
      <c r="B2689" s="152"/>
      <c r="E2689" s="102"/>
      <c r="F2689" s="102"/>
      <c r="G2689" s="102"/>
      <c r="I2689" s="93"/>
      <c r="J2689" s="93"/>
    </row>
    <row r="2690" spans="1:10" s="65" customFormat="1" ht="14" x14ac:dyDescent="0.35">
      <c r="A2690" s="145"/>
      <c r="B2690" s="152"/>
      <c r="E2690" s="102"/>
      <c r="F2690" s="102"/>
      <c r="G2690" s="102"/>
      <c r="I2690" s="93"/>
      <c r="J2690" s="93"/>
    </row>
    <row r="2691" spans="1:10" s="65" customFormat="1" ht="14" x14ac:dyDescent="0.35">
      <c r="A2691" s="145"/>
      <c r="B2691" s="152"/>
      <c r="E2691" s="102"/>
      <c r="F2691" s="102"/>
      <c r="G2691" s="102"/>
      <c r="I2691" s="93"/>
      <c r="J2691" s="93"/>
    </row>
    <row r="2692" spans="1:10" s="65" customFormat="1" ht="14" x14ac:dyDescent="0.35">
      <c r="A2692" s="145"/>
      <c r="B2692" s="152"/>
      <c r="E2692" s="102"/>
      <c r="F2692" s="102"/>
      <c r="G2692" s="102"/>
      <c r="I2692" s="93"/>
      <c r="J2692" s="93"/>
    </row>
    <row r="2693" spans="1:10" s="65" customFormat="1" ht="14" x14ac:dyDescent="0.35">
      <c r="A2693" s="145"/>
      <c r="B2693" s="152"/>
      <c r="E2693" s="102"/>
      <c r="F2693" s="102"/>
      <c r="G2693" s="102"/>
      <c r="I2693" s="93"/>
      <c r="J2693" s="93"/>
    </row>
    <row r="2694" spans="1:10" s="65" customFormat="1" ht="14" x14ac:dyDescent="0.35">
      <c r="A2694" s="145"/>
      <c r="B2694" s="152"/>
      <c r="E2694" s="102"/>
      <c r="F2694" s="102"/>
      <c r="G2694" s="102"/>
      <c r="I2694" s="93"/>
      <c r="J2694" s="93"/>
    </row>
    <row r="2695" spans="1:10" s="65" customFormat="1" ht="14" x14ac:dyDescent="0.35">
      <c r="A2695" s="145"/>
      <c r="B2695" s="152"/>
      <c r="E2695" s="102"/>
      <c r="F2695" s="102"/>
      <c r="G2695" s="102"/>
      <c r="I2695" s="93"/>
      <c r="J2695" s="93"/>
    </row>
    <row r="2696" spans="1:10" s="65" customFormat="1" ht="14" x14ac:dyDescent="0.35">
      <c r="A2696" s="145"/>
      <c r="B2696" s="152"/>
      <c r="E2696" s="102"/>
      <c r="F2696" s="102"/>
      <c r="G2696" s="102"/>
      <c r="I2696" s="93"/>
      <c r="J2696" s="93"/>
    </row>
    <row r="2697" spans="1:10" s="65" customFormat="1" ht="14" x14ac:dyDescent="0.35">
      <c r="A2697" s="145"/>
      <c r="B2697" s="152"/>
      <c r="E2697" s="102"/>
      <c r="F2697" s="102"/>
      <c r="G2697" s="102"/>
      <c r="I2697" s="93"/>
      <c r="J2697" s="93"/>
    </row>
    <row r="2698" spans="1:10" s="65" customFormat="1" ht="14" x14ac:dyDescent="0.35">
      <c r="A2698" s="145"/>
      <c r="B2698" s="152"/>
      <c r="E2698" s="102"/>
      <c r="F2698" s="102"/>
      <c r="G2698" s="102"/>
      <c r="I2698" s="93"/>
      <c r="J2698" s="93"/>
    </row>
    <row r="2699" spans="1:10" s="65" customFormat="1" ht="14" x14ac:dyDescent="0.35">
      <c r="A2699" s="145"/>
      <c r="B2699" s="152"/>
      <c r="E2699" s="102"/>
      <c r="F2699" s="102"/>
      <c r="G2699" s="102"/>
      <c r="I2699" s="93"/>
      <c r="J2699" s="93"/>
    </row>
    <row r="2700" spans="1:10" s="65" customFormat="1" ht="14" x14ac:dyDescent="0.35">
      <c r="A2700" s="145"/>
      <c r="B2700" s="152"/>
      <c r="E2700" s="102"/>
      <c r="F2700" s="102"/>
      <c r="G2700" s="102"/>
      <c r="I2700" s="93"/>
      <c r="J2700" s="93"/>
    </row>
    <row r="2701" spans="1:10" s="65" customFormat="1" ht="14" x14ac:dyDescent="0.35">
      <c r="A2701" s="145"/>
      <c r="B2701" s="152"/>
      <c r="E2701" s="102"/>
      <c r="F2701" s="102"/>
      <c r="G2701" s="102"/>
      <c r="I2701" s="93"/>
      <c r="J2701" s="93"/>
    </row>
    <row r="2702" spans="1:10" s="65" customFormat="1" ht="14" x14ac:dyDescent="0.35">
      <c r="A2702" s="145"/>
      <c r="B2702" s="152"/>
      <c r="E2702" s="102"/>
      <c r="F2702" s="102"/>
      <c r="G2702" s="102"/>
      <c r="I2702" s="93"/>
      <c r="J2702" s="93"/>
    </row>
    <row r="2703" spans="1:10" s="65" customFormat="1" ht="14" x14ac:dyDescent="0.35">
      <c r="A2703" s="145"/>
      <c r="B2703" s="152"/>
      <c r="E2703" s="102"/>
      <c r="F2703" s="102"/>
      <c r="G2703" s="102"/>
      <c r="I2703" s="93"/>
      <c r="J2703" s="93"/>
    </row>
    <row r="2704" spans="1:10" s="65" customFormat="1" ht="14" x14ac:dyDescent="0.35">
      <c r="A2704" s="145"/>
      <c r="B2704" s="152"/>
      <c r="E2704" s="102"/>
      <c r="F2704" s="102"/>
      <c r="G2704" s="102"/>
      <c r="I2704" s="93"/>
      <c r="J2704" s="93"/>
    </row>
    <row r="2705" spans="1:10" s="65" customFormat="1" ht="14" x14ac:dyDescent="0.35">
      <c r="A2705" s="145"/>
      <c r="B2705" s="152"/>
      <c r="E2705" s="102"/>
      <c r="F2705" s="102"/>
      <c r="G2705" s="102"/>
      <c r="I2705" s="93"/>
      <c r="J2705" s="93"/>
    </row>
    <row r="2706" spans="1:10" s="65" customFormat="1" ht="14" x14ac:dyDescent="0.35">
      <c r="A2706" s="145"/>
      <c r="B2706" s="152"/>
      <c r="E2706" s="102"/>
      <c r="F2706" s="102"/>
      <c r="G2706" s="102"/>
      <c r="I2706" s="93"/>
      <c r="J2706" s="93"/>
    </row>
    <row r="2707" spans="1:10" s="65" customFormat="1" ht="14" x14ac:dyDescent="0.35">
      <c r="A2707" s="145"/>
      <c r="B2707" s="152"/>
      <c r="E2707" s="102"/>
      <c r="F2707" s="102"/>
      <c r="G2707" s="102"/>
      <c r="I2707" s="93"/>
      <c r="J2707" s="93"/>
    </row>
    <row r="2708" spans="1:10" s="65" customFormat="1" ht="14" x14ac:dyDescent="0.35">
      <c r="A2708" s="145"/>
      <c r="B2708" s="152"/>
      <c r="E2708" s="102"/>
      <c r="F2708" s="102"/>
      <c r="G2708" s="102"/>
      <c r="I2708" s="93"/>
      <c r="J2708" s="93"/>
    </row>
    <row r="2709" spans="1:10" s="65" customFormat="1" ht="14" x14ac:dyDescent="0.35">
      <c r="A2709" s="145"/>
      <c r="B2709" s="152"/>
      <c r="E2709" s="102"/>
      <c r="F2709" s="102"/>
      <c r="G2709" s="102"/>
      <c r="I2709" s="93"/>
      <c r="J2709" s="93"/>
    </row>
    <row r="2710" spans="1:10" s="65" customFormat="1" ht="14" x14ac:dyDescent="0.35">
      <c r="A2710" s="145"/>
      <c r="B2710" s="152"/>
      <c r="E2710" s="102"/>
      <c r="F2710" s="102"/>
      <c r="G2710" s="102"/>
      <c r="I2710" s="93"/>
      <c r="J2710" s="93"/>
    </row>
    <row r="2711" spans="1:10" s="65" customFormat="1" ht="14" x14ac:dyDescent="0.35">
      <c r="A2711" s="145"/>
      <c r="B2711" s="152"/>
      <c r="E2711" s="102"/>
      <c r="F2711" s="102"/>
      <c r="G2711" s="102"/>
      <c r="I2711" s="93"/>
      <c r="J2711" s="93"/>
    </row>
    <row r="2712" spans="1:10" s="65" customFormat="1" ht="14" x14ac:dyDescent="0.35">
      <c r="A2712" s="145"/>
      <c r="B2712" s="152"/>
      <c r="E2712" s="102"/>
      <c r="F2712" s="102"/>
      <c r="G2712" s="102"/>
      <c r="I2712" s="93"/>
      <c r="J2712" s="93"/>
    </row>
    <row r="2713" spans="1:10" s="65" customFormat="1" ht="14" x14ac:dyDescent="0.35">
      <c r="A2713" s="145"/>
      <c r="B2713" s="152"/>
      <c r="E2713" s="102"/>
      <c r="F2713" s="102"/>
      <c r="G2713" s="102"/>
      <c r="I2713" s="93"/>
      <c r="J2713" s="93"/>
    </row>
    <row r="2714" spans="1:10" s="65" customFormat="1" ht="14" x14ac:dyDescent="0.35">
      <c r="A2714" s="145"/>
      <c r="B2714" s="152"/>
      <c r="E2714" s="102"/>
      <c r="F2714" s="102"/>
      <c r="G2714" s="102"/>
      <c r="I2714" s="93"/>
      <c r="J2714" s="93"/>
    </row>
    <row r="2715" spans="1:10" s="65" customFormat="1" ht="14" x14ac:dyDescent="0.35">
      <c r="A2715" s="145"/>
      <c r="B2715" s="152"/>
      <c r="E2715" s="102"/>
      <c r="F2715" s="102"/>
      <c r="G2715" s="102"/>
      <c r="I2715" s="93"/>
      <c r="J2715" s="93"/>
    </row>
    <row r="2716" spans="1:10" s="65" customFormat="1" ht="14" x14ac:dyDescent="0.35">
      <c r="A2716" s="145"/>
      <c r="B2716" s="152"/>
      <c r="E2716" s="102"/>
      <c r="F2716" s="102"/>
      <c r="G2716" s="102"/>
      <c r="I2716" s="93"/>
      <c r="J2716" s="93"/>
    </row>
    <row r="2717" spans="1:10" s="65" customFormat="1" ht="14" x14ac:dyDescent="0.35">
      <c r="A2717" s="145"/>
      <c r="B2717" s="152"/>
      <c r="E2717" s="102"/>
      <c r="F2717" s="102"/>
      <c r="G2717" s="102"/>
      <c r="I2717" s="93"/>
      <c r="J2717" s="93"/>
    </row>
    <row r="2718" spans="1:10" s="65" customFormat="1" ht="14" x14ac:dyDescent="0.35">
      <c r="A2718" s="145"/>
      <c r="B2718" s="152"/>
      <c r="E2718" s="102"/>
      <c r="F2718" s="102"/>
      <c r="G2718" s="102"/>
      <c r="I2718" s="93"/>
      <c r="J2718" s="93"/>
    </row>
    <row r="2719" spans="1:10" s="65" customFormat="1" ht="14" x14ac:dyDescent="0.35">
      <c r="A2719" s="145"/>
      <c r="B2719" s="152"/>
      <c r="E2719" s="102"/>
      <c r="F2719" s="102"/>
      <c r="G2719" s="102"/>
      <c r="I2719" s="93"/>
      <c r="J2719" s="93"/>
    </row>
    <row r="2720" spans="1:10" s="65" customFormat="1" ht="14" x14ac:dyDescent="0.35">
      <c r="A2720" s="145"/>
      <c r="B2720" s="152"/>
      <c r="E2720" s="102"/>
      <c r="F2720" s="102"/>
      <c r="G2720" s="102"/>
      <c r="I2720" s="93"/>
      <c r="J2720" s="93"/>
    </row>
    <row r="2721" spans="1:10" s="65" customFormat="1" ht="14" x14ac:dyDescent="0.35">
      <c r="A2721" s="145"/>
      <c r="B2721" s="152"/>
      <c r="E2721" s="102"/>
      <c r="F2721" s="102"/>
      <c r="G2721" s="102"/>
      <c r="I2721" s="93"/>
      <c r="J2721" s="93"/>
    </row>
    <row r="2722" spans="1:10" s="65" customFormat="1" ht="14" x14ac:dyDescent="0.35">
      <c r="A2722" s="145"/>
      <c r="B2722" s="152"/>
      <c r="E2722" s="102"/>
      <c r="F2722" s="102"/>
      <c r="G2722" s="102"/>
      <c r="I2722" s="93"/>
      <c r="J2722" s="93"/>
    </row>
    <row r="2723" spans="1:10" s="65" customFormat="1" ht="14" x14ac:dyDescent="0.35">
      <c r="A2723" s="145"/>
      <c r="B2723" s="152"/>
      <c r="E2723" s="102"/>
      <c r="F2723" s="102"/>
      <c r="G2723" s="102"/>
      <c r="I2723" s="93"/>
      <c r="J2723" s="93"/>
    </row>
    <row r="2724" spans="1:10" s="65" customFormat="1" ht="14" x14ac:dyDescent="0.35">
      <c r="A2724" s="145"/>
      <c r="B2724" s="152"/>
      <c r="E2724" s="102"/>
      <c r="F2724" s="102"/>
      <c r="G2724" s="102"/>
      <c r="I2724" s="93"/>
      <c r="J2724" s="93"/>
    </row>
    <row r="2725" spans="1:10" s="65" customFormat="1" ht="14" x14ac:dyDescent="0.35">
      <c r="A2725" s="145"/>
      <c r="B2725" s="152"/>
      <c r="E2725" s="102"/>
      <c r="F2725" s="102"/>
      <c r="G2725" s="102"/>
      <c r="I2725" s="93"/>
      <c r="J2725" s="93"/>
    </row>
    <row r="2726" spans="1:10" s="65" customFormat="1" ht="14" x14ac:dyDescent="0.35">
      <c r="A2726" s="145"/>
      <c r="B2726" s="152"/>
      <c r="E2726" s="102"/>
      <c r="F2726" s="102"/>
      <c r="G2726" s="102"/>
      <c r="I2726" s="93"/>
      <c r="J2726" s="93"/>
    </row>
    <row r="2727" spans="1:10" s="65" customFormat="1" ht="14" x14ac:dyDescent="0.35">
      <c r="A2727" s="145"/>
      <c r="B2727" s="152"/>
      <c r="E2727" s="102"/>
      <c r="F2727" s="102"/>
      <c r="G2727" s="102"/>
      <c r="I2727" s="93"/>
      <c r="J2727" s="93"/>
    </row>
    <row r="2728" spans="1:10" s="65" customFormat="1" ht="14" x14ac:dyDescent="0.35">
      <c r="A2728" s="145"/>
      <c r="B2728" s="152"/>
      <c r="E2728" s="102"/>
      <c r="F2728" s="102"/>
      <c r="G2728" s="102"/>
      <c r="I2728" s="93"/>
      <c r="J2728" s="93"/>
    </row>
    <row r="2729" spans="1:10" s="65" customFormat="1" ht="14" x14ac:dyDescent="0.35">
      <c r="A2729" s="145"/>
      <c r="B2729" s="152"/>
      <c r="E2729" s="102"/>
      <c r="F2729" s="102"/>
      <c r="G2729" s="102"/>
      <c r="I2729" s="93"/>
      <c r="J2729" s="93"/>
    </row>
    <row r="2730" spans="1:10" s="65" customFormat="1" ht="14" x14ac:dyDescent="0.35">
      <c r="A2730" s="145"/>
      <c r="B2730" s="152"/>
      <c r="E2730" s="102"/>
      <c r="F2730" s="102"/>
      <c r="G2730" s="102"/>
      <c r="I2730" s="93"/>
      <c r="J2730" s="93"/>
    </row>
    <row r="2731" spans="1:10" s="65" customFormat="1" ht="14" x14ac:dyDescent="0.35">
      <c r="A2731" s="145"/>
      <c r="B2731" s="152"/>
      <c r="E2731" s="102"/>
      <c r="F2731" s="102"/>
      <c r="G2731" s="102"/>
      <c r="I2731" s="93"/>
      <c r="J2731" s="93"/>
    </row>
    <row r="2732" spans="1:10" s="65" customFormat="1" ht="14" x14ac:dyDescent="0.35">
      <c r="A2732" s="145"/>
      <c r="B2732" s="152"/>
      <c r="E2732" s="102"/>
      <c r="F2732" s="102"/>
      <c r="G2732" s="102"/>
      <c r="I2732" s="93"/>
      <c r="J2732" s="93"/>
    </row>
    <row r="2733" spans="1:10" s="65" customFormat="1" ht="14" x14ac:dyDescent="0.35">
      <c r="A2733" s="145"/>
      <c r="B2733" s="152"/>
      <c r="E2733" s="102"/>
      <c r="F2733" s="102"/>
      <c r="G2733" s="102"/>
      <c r="I2733" s="93"/>
      <c r="J2733" s="93"/>
    </row>
    <row r="2734" spans="1:10" s="65" customFormat="1" ht="14" x14ac:dyDescent="0.35">
      <c r="A2734" s="145"/>
      <c r="B2734" s="152"/>
      <c r="E2734" s="102"/>
      <c r="F2734" s="102"/>
      <c r="G2734" s="102"/>
      <c r="I2734" s="93"/>
      <c r="J2734" s="93"/>
    </row>
    <row r="2735" spans="1:10" s="65" customFormat="1" ht="14" x14ac:dyDescent="0.35">
      <c r="A2735" s="145"/>
      <c r="B2735" s="152"/>
      <c r="E2735" s="102"/>
      <c r="F2735" s="102"/>
      <c r="G2735" s="102"/>
      <c r="I2735" s="93"/>
      <c r="J2735" s="93"/>
    </row>
    <row r="2736" spans="1:10" s="65" customFormat="1" ht="14" x14ac:dyDescent="0.35">
      <c r="A2736" s="145"/>
      <c r="B2736" s="152"/>
      <c r="E2736" s="102"/>
      <c r="F2736" s="102"/>
      <c r="G2736" s="102"/>
      <c r="I2736" s="93"/>
      <c r="J2736" s="93"/>
    </row>
    <row r="2737" spans="1:10" s="65" customFormat="1" ht="14" x14ac:dyDescent="0.35">
      <c r="A2737" s="145"/>
      <c r="B2737" s="152"/>
      <c r="E2737" s="102"/>
      <c r="F2737" s="102"/>
      <c r="G2737" s="102"/>
      <c r="I2737" s="93"/>
      <c r="J2737" s="93"/>
    </row>
    <row r="2738" spans="1:10" s="65" customFormat="1" ht="14" x14ac:dyDescent="0.35">
      <c r="A2738" s="145"/>
      <c r="B2738" s="152"/>
      <c r="E2738" s="102"/>
      <c r="F2738" s="102"/>
      <c r="G2738" s="102"/>
      <c r="I2738" s="93"/>
      <c r="J2738" s="93"/>
    </row>
    <row r="2739" spans="1:10" s="65" customFormat="1" ht="14" x14ac:dyDescent="0.35">
      <c r="A2739" s="145"/>
      <c r="B2739" s="152"/>
      <c r="E2739" s="102"/>
      <c r="F2739" s="102"/>
      <c r="G2739" s="102"/>
      <c r="I2739" s="93"/>
      <c r="J2739" s="93"/>
    </row>
    <row r="2740" spans="1:10" s="65" customFormat="1" ht="14" x14ac:dyDescent="0.35">
      <c r="A2740" s="145"/>
      <c r="B2740" s="152"/>
      <c r="E2740" s="102"/>
      <c r="F2740" s="102"/>
      <c r="G2740" s="102"/>
      <c r="I2740" s="93"/>
      <c r="J2740" s="93"/>
    </row>
    <row r="2741" spans="1:10" s="65" customFormat="1" ht="14" x14ac:dyDescent="0.35">
      <c r="A2741" s="145"/>
      <c r="B2741" s="152"/>
      <c r="E2741" s="102"/>
      <c r="F2741" s="102"/>
      <c r="G2741" s="102"/>
      <c r="I2741" s="93"/>
      <c r="J2741" s="93"/>
    </row>
    <row r="2742" spans="1:10" s="65" customFormat="1" ht="14" x14ac:dyDescent="0.35">
      <c r="A2742" s="145"/>
      <c r="B2742" s="152"/>
      <c r="E2742" s="102"/>
      <c r="F2742" s="102"/>
      <c r="G2742" s="102"/>
      <c r="I2742" s="93"/>
      <c r="J2742" s="93"/>
    </row>
    <row r="2743" spans="1:10" s="65" customFormat="1" ht="14" x14ac:dyDescent="0.35">
      <c r="A2743" s="145"/>
      <c r="B2743" s="152"/>
      <c r="E2743" s="102"/>
      <c r="F2743" s="102"/>
      <c r="G2743" s="102"/>
      <c r="I2743" s="93"/>
      <c r="J2743" s="93"/>
    </row>
    <row r="2744" spans="1:10" s="65" customFormat="1" ht="14" x14ac:dyDescent="0.35">
      <c r="A2744" s="145"/>
      <c r="B2744" s="152"/>
      <c r="E2744" s="102"/>
      <c r="F2744" s="102"/>
      <c r="G2744" s="102"/>
      <c r="I2744" s="93"/>
      <c r="J2744" s="93"/>
    </row>
    <row r="2745" spans="1:10" s="65" customFormat="1" ht="14" x14ac:dyDescent="0.35">
      <c r="A2745" s="145"/>
      <c r="B2745" s="152"/>
      <c r="E2745" s="102"/>
      <c r="F2745" s="102"/>
      <c r="G2745" s="102"/>
      <c r="I2745" s="93"/>
      <c r="J2745" s="93"/>
    </row>
    <row r="2746" spans="1:10" s="65" customFormat="1" ht="14" x14ac:dyDescent="0.35">
      <c r="A2746" s="145"/>
      <c r="B2746" s="152"/>
      <c r="E2746" s="102"/>
      <c r="F2746" s="102"/>
      <c r="G2746" s="102"/>
      <c r="I2746" s="93"/>
      <c r="J2746" s="93"/>
    </row>
    <row r="2747" spans="1:10" s="65" customFormat="1" ht="14" x14ac:dyDescent="0.35">
      <c r="A2747" s="145"/>
      <c r="B2747" s="152"/>
      <c r="E2747" s="102"/>
      <c r="F2747" s="102"/>
      <c r="G2747" s="102"/>
      <c r="I2747" s="93"/>
      <c r="J2747" s="93"/>
    </row>
    <row r="2748" spans="1:10" s="65" customFormat="1" ht="14" x14ac:dyDescent="0.35">
      <c r="A2748" s="145"/>
      <c r="B2748" s="152"/>
      <c r="E2748" s="102"/>
      <c r="F2748" s="102"/>
      <c r="G2748" s="102"/>
      <c r="I2748" s="93"/>
      <c r="J2748" s="93"/>
    </row>
    <row r="2749" spans="1:10" s="65" customFormat="1" ht="14" x14ac:dyDescent="0.35">
      <c r="A2749" s="145"/>
      <c r="B2749" s="152"/>
      <c r="E2749" s="102"/>
      <c r="F2749" s="102"/>
      <c r="G2749" s="102"/>
      <c r="I2749" s="93"/>
      <c r="J2749" s="93"/>
    </row>
    <row r="2750" spans="1:10" s="65" customFormat="1" ht="14" x14ac:dyDescent="0.35">
      <c r="A2750" s="145"/>
      <c r="B2750" s="152"/>
      <c r="E2750" s="102"/>
      <c r="F2750" s="102"/>
      <c r="G2750" s="102"/>
      <c r="I2750" s="93"/>
      <c r="J2750" s="93"/>
    </row>
    <row r="2751" spans="1:10" s="65" customFormat="1" ht="14" x14ac:dyDescent="0.35">
      <c r="A2751" s="145"/>
      <c r="B2751" s="152"/>
      <c r="E2751" s="102"/>
      <c r="F2751" s="102"/>
      <c r="G2751" s="102"/>
      <c r="I2751" s="93"/>
      <c r="J2751" s="93"/>
    </row>
    <row r="2752" spans="1:10" s="65" customFormat="1" ht="14" x14ac:dyDescent="0.35">
      <c r="A2752" s="145"/>
      <c r="B2752" s="152"/>
      <c r="E2752" s="102"/>
      <c r="F2752" s="102"/>
      <c r="G2752" s="102"/>
      <c r="I2752" s="93"/>
      <c r="J2752" s="93"/>
    </row>
    <row r="2753" spans="1:10" s="65" customFormat="1" ht="14" x14ac:dyDescent="0.35">
      <c r="A2753" s="145"/>
      <c r="B2753" s="152"/>
      <c r="E2753" s="102"/>
      <c r="F2753" s="102"/>
      <c r="G2753" s="102"/>
      <c r="I2753" s="93"/>
      <c r="J2753" s="93"/>
    </row>
    <row r="2754" spans="1:10" s="65" customFormat="1" ht="14" x14ac:dyDescent="0.35">
      <c r="A2754" s="145"/>
      <c r="B2754" s="152"/>
      <c r="E2754" s="102"/>
      <c r="F2754" s="102"/>
      <c r="G2754" s="102"/>
      <c r="I2754" s="93"/>
      <c r="J2754" s="93"/>
    </row>
    <row r="2755" spans="1:10" s="65" customFormat="1" ht="14" x14ac:dyDescent="0.35">
      <c r="A2755" s="145"/>
      <c r="B2755" s="152"/>
      <c r="E2755" s="102"/>
      <c r="F2755" s="102"/>
      <c r="G2755" s="102"/>
      <c r="I2755" s="93"/>
      <c r="J2755" s="93"/>
    </row>
    <row r="2756" spans="1:10" s="65" customFormat="1" ht="14" x14ac:dyDescent="0.35">
      <c r="A2756" s="145"/>
      <c r="B2756" s="152"/>
      <c r="E2756" s="102"/>
      <c r="F2756" s="102"/>
      <c r="G2756" s="102"/>
      <c r="I2756" s="93"/>
      <c r="J2756" s="93"/>
    </row>
    <row r="2757" spans="1:10" s="65" customFormat="1" ht="14" x14ac:dyDescent="0.35">
      <c r="A2757" s="145"/>
      <c r="B2757" s="152"/>
      <c r="E2757" s="102"/>
      <c r="F2757" s="102"/>
      <c r="G2757" s="102"/>
      <c r="I2757" s="93"/>
      <c r="J2757" s="93"/>
    </row>
    <row r="2758" spans="1:10" s="65" customFormat="1" ht="14" x14ac:dyDescent="0.35">
      <c r="A2758" s="145"/>
      <c r="B2758" s="152"/>
      <c r="E2758" s="102"/>
      <c r="F2758" s="102"/>
      <c r="G2758" s="102"/>
      <c r="I2758" s="93"/>
      <c r="J2758" s="93"/>
    </row>
    <row r="2759" spans="1:10" s="65" customFormat="1" ht="14" x14ac:dyDescent="0.35">
      <c r="A2759" s="145"/>
      <c r="B2759" s="152"/>
      <c r="E2759" s="102"/>
      <c r="F2759" s="102"/>
      <c r="G2759" s="102"/>
      <c r="I2759" s="93"/>
      <c r="J2759" s="93"/>
    </row>
    <row r="2760" spans="1:10" s="65" customFormat="1" ht="14" x14ac:dyDescent="0.35">
      <c r="A2760" s="145"/>
      <c r="B2760" s="152"/>
      <c r="E2760" s="102"/>
      <c r="F2760" s="102"/>
      <c r="G2760" s="102"/>
      <c r="I2760" s="93"/>
      <c r="J2760" s="93"/>
    </row>
    <row r="2761" spans="1:10" s="65" customFormat="1" ht="14" x14ac:dyDescent="0.35">
      <c r="A2761" s="145"/>
      <c r="B2761" s="152"/>
      <c r="E2761" s="102"/>
      <c r="F2761" s="102"/>
      <c r="G2761" s="102"/>
      <c r="I2761" s="93"/>
      <c r="J2761" s="93"/>
    </row>
    <row r="2762" spans="1:10" s="65" customFormat="1" ht="14" x14ac:dyDescent="0.35">
      <c r="A2762" s="145"/>
      <c r="B2762" s="152"/>
      <c r="E2762" s="102"/>
      <c r="F2762" s="102"/>
      <c r="G2762" s="102"/>
      <c r="I2762" s="93"/>
      <c r="J2762" s="93"/>
    </row>
    <row r="2763" spans="1:10" s="65" customFormat="1" ht="14" x14ac:dyDescent="0.35">
      <c r="A2763" s="145"/>
      <c r="B2763" s="152"/>
      <c r="E2763" s="102"/>
      <c r="F2763" s="102"/>
      <c r="G2763" s="102"/>
      <c r="I2763" s="93"/>
      <c r="J2763" s="93"/>
    </row>
    <row r="2764" spans="1:10" s="65" customFormat="1" ht="14" x14ac:dyDescent="0.35">
      <c r="A2764" s="145"/>
      <c r="B2764" s="152"/>
      <c r="E2764" s="102"/>
      <c r="F2764" s="102"/>
      <c r="G2764" s="102"/>
      <c r="I2764" s="93"/>
      <c r="J2764" s="93"/>
    </row>
    <row r="2765" spans="1:10" s="65" customFormat="1" ht="14" x14ac:dyDescent="0.35">
      <c r="A2765" s="145"/>
      <c r="B2765" s="152"/>
      <c r="E2765" s="102"/>
      <c r="F2765" s="102"/>
      <c r="G2765" s="102"/>
      <c r="I2765" s="93"/>
      <c r="J2765" s="93"/>
    </row>
    <row r="2766" spans="1:10" s="65" customFormat="1" ht="14" x14ac:dyDescent="0.35">
      <c r="A2766" s="145"/>
      <c r="B2766" s="152"/>
      <c r="E2766" s="102"/>
      <c r="F2766" s="102"/>
      <c r="G2766" s="102"/>
      <c r="I2766" s="93"/>
      <c r="J2766" s="93"/>
    </row>
    <row r="2767" spans="1:10" s="65" customFormat="1" ht="14" x14ac:dyDescent="0.35">
      <c r="A2767" s="145"/>
      <c r="B2767" s="152"/>
      <c r="E2767" s="102"/>
      <c r="F2767" s="102"/>
      <c r="G2767" s="102"/>
      <c r="I2767" s="93"/>
      <c r="J2767" s="93"/>
    </row>
    <row r="2768" spans="1:10" s="65" customFormat="1" ht="14" x14ac:dyDescent="0.35">
      <c r="A2768" s="145"/>
      <c r="B2768" s="152"/>
      <c r="E2768" s="102"/>
      <c r="F2768" s="102"/>
      <c r="G2768" s="102"/>
      <c r="I2768" s="93"/>
      <c r="J2768" s="93"/>
    </row>
    <row r="2769" spans="1:10" s="65" customFormat="1" ht="14" x14ac:dyDescent="0.35">
      <c r="A2769" s="145"/>
      <c r="B2769" s="152"/>
      <c r="E2769" s="102"/>
      <c r="F2769" s="102"/>
      <c r="G2769" s="102"/>
      <c r="I2769" s="93"/>
      <c r="J2769" s="93"/>
    </row>
    <row r="2770" spans="1:10" s="65" customFormat="1" ht="14" x14ac:dyDescent="0.35">
      <c r="A2770" s="145"/>
      <c r="B2770" s="152"/>
      <c r="E2770" s="102"/>
      <c r="F2770" s="102"/>
      <c r="G2770" s="102"/>
      <c r="I2770" s="93"/>
      <c r="J2770" s="93"/>
    </row>
    <row r="2771" spans="1:10" s="65" customFormat="1" ht="14" x14ac:dyDescent="0.35">
      <c r="A2771" s="145"/>
      <c r="B2771" s="152"/>
      <c r="E2771" s="102"/>
      <c r="F2771" s="102"/>
      <c r="G2771" s="102"/>
      <c r="I2771" s="93"/>
      <c r="J2771" s="93"/>
    </row>
    <row r="2772" spans="1:10" s="65" customFormat="1" ht="14" x14ac:dyDescent="0.35">
      <c r="A2772" s="145"/>
      <c r="B2772" s="152"/>
      <c r="E2772" s="102"/>
      <c r="F2772" s="102"/>
      <c r="G2772" s="102"/>
      <c r="I2772" s="93"/>
      <c r="J2772" s="93"/>
    </row>
    <row r="2773" spans="1:10" s="65" customFormat="1" ht="14" x14ac:dyDescent="0.35">
      <c r="A2773" s="145"/>
      <c r="B2773" s="152"/>
      <c r="E2773" s="102"/>
      <c r="F2773" s="102"/>
      <c r="G2773" s="102"/>
      <c r="I2773" s="93"/>
      <c r="J2773" s="93"/>
    </row>
    <row r="2774" spans="1:10" s="65" customFormat="1" ht="14" x14ac:dyDescent="0.35">
      <c r="A2774" s="145"/>
      <c r="B2774" s="152"/>
      <c r="E2774" s="102"/>
      <c r="F2774" s="102"/>
      <c r="G2774" s="102"/>
      <c r="I2774" s="93"/>
      <c r="J2774" s="93"/>
    </row>
    <row r="2775" spans="1:10" s="65" customFormat="1" ht="14" x14ac:dyDescent="0.35">
      <c r="A2775" s="145"/>
      <c r="B2775" s="152"/>
      <c r="E2775" s="102"/>
      <c r="F2775" s="102"/>
      <c r="G2775" s="102"/>
      <c r="I2775" s="93"/>
      <c r="J2775" s="93"/>
    </row>
    <row r="2776" spans="1:10" s="65" customFormat="1" ht="14" x14ac:dyDescent="0.35">
      <c r="A2776" s="145"/>
      <c r="B2776" s="152"/>
      <c r="E2776" s="102"/>
      <c r="F2776" s="102"/>
      <c r="G2776" s="102"/>
      <c r="I2776" s="93"/>
      <c r="J2776" s="93"/>
    </row>
    <row r="2777" spans="1:10" s="65" customFormat="1" ht="14" x14ac:dyDescent="0.35">
      <c r="A2777" s="145"/>
      <c r="B2777" s="152"/>
      <c r="E2777" s="102"/>
      <c r="F2777" s="102"/>
      <c r="G2777" s="102"/>
      <c r="I2777" s="93"/>
      <c r="J2777" s="93"/>
    </row>
    <row r="2778" spans="1:10" s="65" customFormat="1" ht="14" x14ac:dyDescent="0.35">
      <c r="A2778" s="145"/>
      <c r="B2778" s="152"/>
      <c r="E2778" s="102"/>
      <c r="F2778" s="102"/>
      <c r="G2778" s="102"/>
      <c r="I2778" s="93"/>
      <c r="J2778" s="93"/>
    </row>
    <row r="2779" spans="1:10" s="65" customFormat="1" ht="14" x14ac:dyDescent="0.35">
      <c r="A2779" s="145"/>
      <c r="B2779" s="152"/>
      <c r="E2779" s="102"/>
      <c r="F2779" s="102"/>
      <c r="G2779" s="102"/>
      <c r="I2779" s="93"/>
      <c r="J2779" s="93"/>
    </row>
    <row r="2780" spans="1:10" s="65" customFormat="1" ht="14" x14ac:dyDescent="0.35">
      <c r="A2780" s="145"/>
      <c r="B2780" s="152"/>
      <c r="E2780" s="102"/>
      <c r="F2780" s="102"/>
      <c r="G2780" s="102"/>
      <c r="I2780" s="93"/>
      <c r="J2780" s="93"/>
    </row>
    <row r="2781" spans="1:10" s="65" customFormat="1" ht="14" x14ac:dyDescent="0.35">
      <c r="A2781" s="145"/>
      <c r="B2781" s="152"/>
      <c r="E2781" s="102"/>
      <c r="F2781" s="102"/>
      <c r="G2781" s="102"/>
      <c r="I2781" s="93"/>
      <c r="J2781" s="93"/>
    </row>
    <row r="2782" spans="1:10" s="65" customFormat="1" ht="14" x14ac:dyDescent="0.35">
      <c r="A2782" s="145"/>
      <c r="B2782" s="152"/>
      <c r="E2782" s="102"/>
      <c r="F2782" s="102"/>
      <c r="G2782" s="102"/>
      <c r="I2782" s="93"/>
      <c r="J2782" s="93"/>
    </row>
    <row r="2783" spans="1:10" s="65" customFormat="1" ht="14" x14ac:dyDescent="0.35">
      <c r="A2783" s="145"/>
      <c r="B2783" s="152"/>
      <c r="E2783" s="102"/>
      <c r="F2783" s="102"/>
      <c r="G2783" s="102"/>
      <c r="I2783" s="93"/>
      <c r="J2783" s="93"/>
    </row>
    <row r="2784" spans="1:10" s="65" customFormat="1" ht="14" x14ac:dyDescent="0.35">
      <c r="A2784" s="145"/>
      <c r="B2784" s="152"/>
      <c r="E2784" s="102"/>
      <c r="F2784" s="102"/>
      <c r="G2784" s="102"/>
      <c r="I2784" s="93"/>
      <c r="J2784" s="93"/>
    </row>
    <row r="2785" spans="1:10" s="65" customFormat="1" ht="14" x14ac:dyDescent="0.35">
      <c r="A2785" s="145"/>
      <c r="B2785" s="152"/>
      <c r="E2785" s="102"/>
      <c r="F2785" s="102"/>
      <c r="G2785" s="102"/>
      <c r="I2785" s="93"/>
      <c r="J2785" s="93"/>
    </row>
    <row r="2786" spans="1:10" s="65" customFormat="1" ht="14" x14ac:dyDescent="0.35">
      <c r="A2786" s="145"/>
      <c r="B2786" s="152"/>
      <c r="E2786" s="102"/>
      <c r="F2786" s="102"/>
      <c r="G2786" s="102"/>
      <c r="I2786" s="93"/>
      <c r="J2786" s="93"/>
    </row>
    <row r="2787" spans="1:10" s="65" customFormat="1" ht="14" x14ac:dyDescent="0.35">
      <c r="A2787" s="145"/>
      <c r="B2787" s="152"/>
      <c r="E2787" s="102"/>
      <c r="F2787" s="102"/>
      <c r="G2787" s="102"/>
      <c r="I2787" s="93"/>
      <c r="J2787" s="93"/>
    </row>
    <row r="2788" spans="1:10" s="65" customFormat="1" ht="14" x14ac:dyDescent="0.35">
      <c r="A2788" s="145"/>
      <c r="B2788" s="152"/>
      <c r="E2788" s="102"/>
      <c r="F2788" s="102"/>
      <c r="G2788" s="102"/>
      <c r="I2788" s="93"/>
      <c r="J2788" s="93"/>
    </row>
    <row r="2789" spans="1:10" s="65" customFormat="1" ht="14" x14ac:dyDescent="0.35">
      <c r="A2789" s="145"/>
      <c r="B2789" s="152"/>
      <c r="E2789" s="102"/>
      <c r="F2789" s="102"/>
      <c r="G2789" s="102"/>
      <c r="I2789" s="93"/>
      <c r="J2789" s="93"/>
    </row>
    <row r="2790" spans="1:10" s="65" customFormat="1" ht="14" x14ac:dyDescent="0.35">
      <c r="A2790" s="145"/>
      <c r="B2790" s="152"/>
      <c r="E2790" s="102"/>
      <c r="F2790" s="102"/>
      <c r="G2790" s="102"/>
      <c r="I2790" s="93"/>
      <c r="J2790" s="93"/>
    </row>
    <row r="2791" spans="1:10" s="65" customFormat="1" ht="14" x14ac:dyDescent="0.35">
      <c r="A2791" s="145"/>
      <c r="B2791" s="152"/>
      <c r="E2791" s="102"/>
      <c r="F2791" s="102"/>
      <c r="G2791" s="102"/>
      <c r="I2791" s="93"/>
      <c r="J2791" s="93"/>
    </row>
    <row r="2792" spans="1:10" s="65" customFormat="1" ht="14" x14ac:dyDescent="0.35">
      <c r="A2792" s="145"/>
      <c r="B2792" s="152"/>
      <c r="E2792" s="102"/>
      <c r="F2792" s="102"/>
      <c r="G2792" s="102"/>
      <c r="I2792" s="93"/>
      <c r="J2792" s="93"/>
    </row>
    <row r="2793" spans="1:10" s="65" customFormat="1" ht="14" x14ac:dyDescent="0.35">
      <c r="A2793" s="145"/>
      <c r="B2793" s="152"/>
      <c r="E2793" s="102"/>
      <c r="F2793" s="102"/>
      <c r="G2793" s="102"/>
      <c r="I2793" s="93"/>
      <c r="J2793" s="93"/>
    </row>
    <row r="2794" spans="1:10" s="65" customFormat="1" ht="14" x14ac:dyDescent="0.35">
      <c r="A2794" s="145"/>
      <c r="B2794" s="152"/>
      <c r="E2794" s="102"/>
      <c r="F2794" s="102"/>
      <c r="G2794" s="102"/>
      <c r="I2794" s="93"/>
      <c r="J2794" s="93"/>
    </row>
    <row r="2795" spans="1:10" s="65" customFormat="1" ht="14" x14ac:dyDescent="0.35">
      <c r="A2795" s="145"/>
      <c r="B2795" s="152"/>
      <c r="E2795" s="102"/>
      <c r="F2795" s="102"/>
      <c r="G2795" s="102"/>
      <c r="I2795" s="93"/>
      <c r="J2795" s="93"/>
    </row>
    <row r="2796" spans="1:10" s="65" customFormat="1" ht="14" x14ac:dyDescent="0.35">
      <c r="A2796" s="145"/>
      <c r="B2796" s="152"/>
      <c r="E2796" s="102"/>
      <c r="F2796" s="102"/>
      <c r="G2796" s="102"/>
      <c r="I2796" s="93"/>
      <c r="J2796" s="93"/>
    </row>
    <row r="2797" spans="1:10" s="65" customFormat="1" ht="14" x14ac:dyDescent="0.35">
      <c r="A2797" s="145"/>
      <c r="B2797" s="152"/>
      <c r="E2797" s="102"/>
      <c r="F2797" s="102"/>
      <c r="G2797" s="102"/>
      <c r="I2797" s="93"/>
      <c r="J2797" s="93"/>
    </row>
    <row r="2798" spans="1:10" s="65" customFormat="1" ht="14" x14ac:dyDescent="0.35">
      <c r="A2798" s="145"/>
      <c r="B2798" s="152"/>
      <c r="E2798" s="102"/>
      <c r="F2798" s="102"/>
      <c r="G2798" s="102"/>
      <c r="I2798" s="93"/>
      <c r="J2798" s="93"/>
    </row>
    <row r="2799" spans="1:10" s="65" customFormat="1" ht="14" x14ac:dyDescent="0.35">
      <c r="A2799" s="145"/>
      <c r="B2799" s="152"/>
      <c r="E2799" s="102"/>
      <c r="F2799" s="102"/>
      <c r="G2799" s="102"/>
      <c r="I2799" s="93"/>
      <c r="J2799" s="93"/>
    </row>
    <row r="2800" spans="1:10" s="65" customFormat="1" ht="14" x14ac:dyDescent="0.35">
      <c r="A2800" s="145"/>
      <c r="B2800" s="152"/>
      <c r="E2800" s="102"/>
      <c r="F2800" s="102"/>
      <c r="G2800" s="102"/>
      <c r="I2800" s="93"/>
      <c r="J2800" s="93"/>
    </row>
    <row r="2801" spans="1:10" s="65" customFormat="1" ht="14" x14ac:dyDescent="0.35">
      <c r="A2801" s="145"/>
      <c r="B2801" s="152"/>
      <c r="E2801" s="102"/>
      <c r="F2801" s="102"/>
      <c r="G2801" s="102"/>
      <c r="I2801" s="93"/>
      <c r="J2801" s="93"/>
    </row>
    <row r="2802" spans="1:10" s="65" customFormat="1" ht="14" x14ac:dyDescent="0.35">
      <c r="A2802" s="145"/>
      <c r="B2802" s="152"/>
      <c r="E2802" s="102"/>
      <c r="F2802" s="102"/>
      <c r="G2802" s="102"/>
      <c r="I2802" s="93"/>
      <c r="J2802" s="93"/>
    </row>
    <row r="2803" spans="1:10" s="65" customFormat="1" ht="14" x14ac:dyDescent="0.35">
      <c r="A2803" s="145"/>
      <c r="B2803" s="152"/>
      <c r="E2803" s="102"/>
      <c r="F2803" s="102"/>
      <c r="G2803" s="102"/>
      <c r="I2803" s="93"/>
      <c r="J2803" s="93"/>
    </row>
    <row r="2804" spans="1:10" s="65" customFormat="1" ht="14" x14ac:dyDescent="0.35">
      <c r="A2804" s="145"/>
      <c r="B2804" s="152"/>
      <c r="E2804" s="102"/>
      <c r="F2804" s="102"/>
      <c r="G2804" s="102"/>
      <c r="I2804" s="93"/>
      <c r="J2804" s="93"/>
    </row>
    <row r="2805" spans="1:10" s="65" customFormat="1" ht="14" x14ac:dyDescent="0.35">
      <c r="A2805" s="145"/>
      <c r="B2805" s="152"/>
      <c r="E2805" s="102"/>
      <c r="F2805" s="102"/>
      <c r="G2805" s="102"/>
      <c r="I2805" s="93"/>
      <c r="J2805" s="93"/>
    </row>
    <row r="2806" spans="1:10" s="65" customFormat="1" ht="14" x14ac:dyDescent="0.35">
      <c r="A2806" s="145"/>
      <c r="B2806" s="152"/>
      <c r="E2806" s="102"/>
      <c r="F2806" s="102"/>
      <c r="G2806" s="102"/>
      <c r="I2806" s="93"/>
      <c r="J2806" s="93"/>
    </row>
    <row r="2807" spans="1:10" s="65" customFormat="1" ht="14" x14ac:dyDescent="0.35">
      <c r="A2807" s="145"/>
      <c r="B2807" s="152"/>
      <c r="E2807" s="102"/>
      <c r="F2807" s="102"/>
      <c r="G2807" s="102"/>
      <c r="I2807" s="93"/>
      <c r="J2807" s="93"/>
    </row>
    <row r="2808" spans="1:10" s="65" customFormat="1" ht="14" x14ac:dyDescent="0.35">
      <c r="A2808" s="145"/>
      <c r="B2808" s="152"/>
      <c r="E2808" s="102"/>
      <c r="F2808" s="102"/>
      <c r="G2808" s="102"/>
      <c r="I2808" s="93"/>
      <c r="J2808" s="93"/>
    </row>
    <row r="2809" spans="1:10" s="65" customFormat="1" ht="14" x14ac:dyDescent="0.35">
      <c r="A2809" s="145"/>
      <c r="B2809" s="152"/>
      <c r="E2809" s="102"/>
      <c r="F2809" s="102"/>
      <c r="G2809" s="102"/>
      <c r="I2809" s="93"/>
      <c r="J2809" s="93"/>
    </row>
    <row r="2810" spans="1:10" s="65" customFormat="1" ht="14" x14ac:dyDescent="0.35">
      <c r="A2810" s="145"/>
      <c r="B2810" s="152"/>
      <c r="E2810" s="102"/>
      <c r="F2810" s="102"/>
      <c r="G2810" s="102"/>
      <c r="I2810" s="93"/>
      <c r="J2810" s="93"/>
    </row>
    <row r="2811" spans="1:10" s="65" customFormat="1" ht="14" x14ac:dyDescent="0.35">
      <c r="A2811" s="145"/>
      <c r="B2811" s="152"/>
      <c r="E2811" s="102"/>
      <c r="F2811" s="102"/>
      <c r="G2811" s="102"/>
      <c r="I2811" s="93"/>
      <c r="J2811" s="93"/>
    </row>
    <row r="2812" spans="1:10" s="65" customFormat="1" ht="14" x14ac:dyDescent="0.35">
      <c r="A2812" s="145"/>
      <c r="B2812" s="152"/>
      <c r="E2812" s="102"/>
      <c r="F2812" s="102"/>
      <c r="G2812" s="102"/>
      <c r="I2812" s="93"/>
      <c r="J2812" s="93"/>
    </row>
    <row r="2813" spans="1:10" s="65" customFormat="1" ht="14" x14ac:dyDescent="0.35">
      <c r="A2813" s="145"/>
      <c r="B2813" s="152"/>
      <c r="E2813" s="102"/>
      <c r="F2813" s="102"/>
      <c r="G2813" s="102"/>
      <c r="I2813" s="93"/>
      <c r="J2813" s="93"/>
    </row>
    <row r="2814" spans="1:10" s="65" customFormat="1" ht="14" x14ac:dyDescent="0.35">
      <c r="A2814" s="145"/>
      <c r="B2814" s="152"/>
      <c r="E2814" s="102"/>
      <c r="F2814" s="102"/>
      <c r="G2814" s="102"/>
      <c r="I2814" s="93"/>
      <c r="J2814" s="93"/>
    </row>
    <row r="2815" spans="1:10" s="65" customFormat="1" ht="14" x14ac:dyDescent="0.35">
      <c r="A2815" s="145"/>
      <c r="B2815" s="152"/>
      <c r="E2815" s="102"/>
      <c r="F2815" s="102"/>
      <c r="G2815" s="102"/>
      <c r="I2815" s="93"/>
      <c r="J2815" s="93"/>
    </row>
    <row r="2816" spans="1:10" s="65" customFormat="1" ht="14" x14ac:dyDescent="0.35">
      <c r="A2816" s="145"/>
      <c r="B2816" s="152"/>
      <c r="E2816" s="102"/>
      <c r="F2816" s="102"/>
      <c r="G2816" s="102"/>
      <c r="I2816" s="93"/>
      <c r="J2816" s="93"/>
    </row>
    <row r="2817" spans="1:10" s="65" customFormat="1" ht="14" x14ac:dyDescent="0.35">
      <c r="A2817" s="145"/>
      <c r="B2817" s="152"/>
      <c r="E2817" s="102"/>
      <c r="F2817" s="102"/>
      <c r="G2817" s="102"/>
      <c r="I2817" s="93"/>
      <c r="J2817" s="93"/>
    </row>
    <row r="2818" spans="1:10" s="65" customFormat="1" ht="14" x14ac:dyDescent="0.35">
      <c r="A2818" s="145"/>
      <c r="B2818" s="152"/>
      <c r="E2818" s="102"/>
      <c r="F2818" s="102"/>
      <c r="G2818" s="102"/>
      <c r="I2818" s="93"/>
      <c r="J2818" s="93"/>
    </row>
    <row r="2819" spans="1:10" s="65" customFormat="1" ht="14" x14ac:dyDescent="0.35">
      <c r="A2819" s="145"/>
      <c r="B2819" s="152"/>
      <c r="E2819" s="102"/>
      <c r="F2819" s="102"/>
      <c r="G2819" s="102"/>
      <c r="I2819" s="93"/>
      <c r="J2819" s="93"/>
    </row>
    <row r="2820" spans="1:10" s="65" customFormat="1" ht="14" x14ac:dyDescent="0.35">
      <c r="A2820" s="145"/>
      <c r="B2820" s="152"/>
      <c r="E2820" s="102"/>
      <c r="F2820" s="102"/>
      <c r="G2820" s="102"/>
      <c r="I2820" s="93"/>
      <c r="J2820" s="93"/>
    </row>
    <row r="2821" spans="1:10" s="65" customFormat="1" ht="14" x14ac:dyDescent="0.35">
      <c r="A2821" s="145"/>
      <c r="B2821" s="152"/>
      <c r="E2821" s="102"/>
      <c r="F2821" s="102"/>
      <c r="G2821" s="102"/>
      <c r="I2821" s="93"/>
      <c r="J2821" s="93"/>
    </row>
    <row r="2822" spans="1:10" s="65" customFormat="1" ht="14" x14ac:dyDescent="0.35">
      <c r="A2822" s="145"/>
      <c r="B2822" s="152"/>
      <c r="E2822" s="102"/>
      <c r="F2822" s="102"/>
      <c r="G2822" s="102"/>
      <c r="I2822" s="93"/>
      <c r="J2822" s="93"/>
    </row>
    <row r="2823" spans="1:10" s="65" customFormat="1" ht="14" x14ac:dyDescent="0.35">
      <c r="A2823" s="145"/>
      <c r="B2823" s="152"/>
      <c r="E2823" s="102"/>
      <c r="F2823" s="102"/>
      <c r="G2823" s="102"/>
      <c r="I2823" s="93"/>
      <c r="J2823" s="93"/>
    </row>
    <row r="2824" spans="1:10" s="65" customFormat="1" ht="14" x14ac:dyDescent="0.35">
      <c r="A2824" s="145"/>
      <c r="B2824" s="152"/>
      <c r="E2824" s="102"/>
      <c r="F2824" s="102"/>
      <c r="G2824" s="102"/>
      <c r="I2824" s="93"/>
      <c r="J2824" s="93"/>
    </row>
    <row r="2825" spans="1:10" s="65" customFormat="1" ht="14" x14ac:dyDescent="0.35">
      <c r="A2825" s="145"/>
      <c r="B2825" s="152"/>
      <c r="E2825" s="102"/>
      <c r="F2825" s="102"/>
      <c r="G2825" s="102"/>
      <c r="I2825" s="93"/>
      <c r="J2825" s="93"/>
    </row>
    <row r="2826" spans="1:10" s="65" customFormat="1" ht="14" x14ac:dyDescent="0.35">
      <c r="A2826" s="145"/>
      <c r="B2826" s="152"/>
      <c r="E2826" s="102"/>
      <c r="F2826" s="102"/>
      <c r="G2826" s="102"/>
      <c r="I2826" s="93"/>
      <c r="J2826" s="93"/>
    </row>
    <row r="2827" spans="1:10" s="65" customFormat="1" ht="14" x14ac:dyDescent="0.35">
      <c r="A2827" s="145"/>
      <c r="B2827" s="152"/>
      <c r="E2827" s="102"/>
      <c r="F2827" s="102"/>
      <c r="G2827" s="102"/>
      <c r="I2827" s="93"/>
      <c r="J2827" s="93"/>
    </row>
    <row r="2828" spans="1:10" s="65" customFormat="1" ht="14" x14ac:dyDescent="0.35">
      <c r="A2828" s="145"/>
      <c r="B2828" s="152"/>
      <c r="E2828" s="102"/>
      <c r="F2828" s="102"/>
      <c r="G2828" s="102"/>
      <c r="I2828" s="93"/>
      <c r="J2828" s="93"/>
    </row>
    <row r="2829" spans="1:10" s="65" customFormat="1" ht="14" x14ac:dyDescent="0.35">
      <c r="A2829" s="145"/>
      <c r="B2829" s="152"/>
      <c r="E2829" s="102"/>
      <c r="F2829" s="102"/>
      <c r="G2829" s="102"/>
      <c r="I2829" s="93"/>
      <c r="J2829" s="93"/>
    </row>
    <row r="2830" spans="1:10" s="65" customFormat="1" ht="14" x14ac:dyDescent="0.35">
      <c r="A2830" s="145"/>
      <c r="B2830" s="152"/>
      <c r="E2830" s="102"/>
      <c r="F2830" s="102"/>
      <c r="G2830" s="102"/>
      <c r="I2830" s="93"/>
      <c r="J2830" s="93"/>
    </row>
    <row r="2831" spans="1:10" s="65" customFormat="1" ht="14" x14ac:dyDescent="0.35">
      <c r="A2831" s="145"/>
      <c r="B2831" s="152"/>
      <c r="E2831" s="102"/>
      <c r="F2831" s="102"/>
      <c r="G2831" s="102"/>
      <c r="I2831" s="93"/>
      <c r="J2831" s="93"/>
    </row>
    <row r="2832" spans="1:10" s="65" customFormat="1" ht="14" x14ac:dyDescent="0.35">
      <c r="A2832" s="145"/>
      <c r="B2832" s="152"/>
      <c r="E2832" s="102"/>
      <c r="F2832" s="102"/>
      <c r="G2832" s="102"/>
      <c r="I2832" s="93"/>
      <c r="J2832" s="93"/>
    </row>
    <row r="2833" spans="1:10" s="65" customFormat="1" ht="14" x14ac:dyDescent="0.35">
      <c r="A2833" s="145"/>
      <c r="B2833" s="152"/>
      <c r="E2833" s="102"/>
      <c r="F2833" s="102"/>
      <c r="G2833" s="102"/>
      <c r="I2833" s="93"/>
      <c r="J2833" s="93"/>
    </row>
    <row r="2834" spans="1:10" s="65" customFormat="1" ht="14" x14ac:dyDescent="0.35">
      <c r="A2834" s="145"/>
      <c r="B2834" s="152"/>
      <c r="E2834" s="102"/>
      <c r="F2834" s="102"/>
      <c r="G2834" s="102"/>
      <c r="I2834" s="93"/>
      <c r="J2834" s="93"/>
    </row>
    <row r="2835" spans="1:10" s="65" customFormat="1" ht="14" x14ac:dyDescent="0.35">
      <c r="A2835" s="145"/>
      <c r="B2835" s="152"/>
      <c r="E2835" s="102"/>
      <c r="F2835" s="102"/>
      <c r="G2835" s="102"/>
      <c r="I2835" s="93"/>
      <c r="J2835" s="93"/>
    </row>
    <row r="2836" spans="1:10" s="65" customFormat="1" ht="14" x14ac:dyDescent="0.35">
      <c r="A2836" s="145"/>
      <c r="B2836" s="152"/>
      <c r="E2836" s="102"/>
      <c r="F2836" s="102"/>
      <c r="G2836" s="102"/>
      <c r="I2836" s="93"/>
      <c r="J2836" s="93"/>
    </row>
    <row r="2837" spans="1:10" s="65" customFormat="1" ht="14" x14ac:dyDescent="0.35">
      <c r="A2837" s="145"/>
      <c r="B2837" s="152"/>
      <c r="E2837" s="102"/>
      <c r="F2837" s="102"/>
      <c r="G2837" s="102"/>
      <c r="I2837" s="93"/>
      <c r="J2837" s="93"/>
    </row>
    <row r="2838" spans="1:10" s="65" customFormat="1" ht="14" x14ac:dyDescent="0.35">
      <c r="A2838" s="145"/>
      <c r="B2838" s="152"/>
      <c r="E2838" s="102"/>
      <c r="F2838" s="102"/>
      <c r="G2838" s="102"/>
      <c r="I2838" s="93"/>
      <c r="J2838" s="93"/>
    </row>
    <row r="2839" spans="1:10" s="65" customFormat="1" ht="14" x14ac:dyDescent="0.35">
      <c r="A2839" s="145"/>
      <c r="B2839" s="152"/>
      <c r="E2839" s="102"/>
      <c r="F2839" s="102"/>
      <c r="G2839" s="102"/>
      <c r="I2839" s="93"/>
      <c r="J2839" s="93"/>
    </row>
    <row r="2840" spans="1:10" s="65" customFormat="1" ht="14" x14ac:dyDescent="0.35">
      <c r="A2840" s="145"/>
      <c r="B2840" s="152"/>
      <c r="E2840" s="102"/>
      <c r="F2840" s="102"/>
      <c r="G2840" s="102"/>
      <c r="I2840" s="93"/>
      <c r="J2840" s="93"/>
    </row>
    <row r="2841" spans="1:10" s="65" customFormat="1" ht="14" x14ac:dyDescent="0.35">
      <c r="A2841" s="145"/>
      <c r="B2841" s="152"/>
      <c r="E2841" s="102"/>
      <c r="F2841" s="102"/>
      <c r="G2841" s="102"/>
      <c r="I2841" s="93"/>
      <c r="J2841" s="93"/>
    </row>
    <row r="2842" spans="1:10" s="65" customFormat="1" ht="14" x14ac:dyDescent="0.35">
      <c r="A2842" s="145"/>
      <c r="B2842" s="152"/>
      <c r="E2842" s="102"/>
      <c r="F2842" s="102"/>
      <c r="G2842" s="102"/>
      <c r="I2842" s="93"/>
      <c r="J2842" s="93"/>
    </row>
    <row r="2843" spans="1:10" s="65" customFormat="1" ht="14" x14ac:dyDescent="0.35">
      <c r="A2843" s="145"/>
      <c r="B2843" s="152"/>
      <c r="E2843" s="102"/>
      <c r="F2843" s="102"/>
      <c r="G2843" s="102"/>
      <c r="I2843" s="93"/>
      <c r="J2843" s="93"/>
    </row>
    <row r="2844" spans="1:10" s="65" customFormat="1" ht="14" x14ac:dyDescent="0.35">
      <c r="A2844" s="145"/>
      <c r="B2844" s="152"/>
      <c r="E2844" s="102"/>
      <c r="F2844" s="102"/>
      <c r="G2844" s="102"/>
      <c r="I2844" s="93"/>
      <c r="J2844" s="93"/>
    </row>
    <row r="2845" spans="1:10" s="65" customFormat="1" ht="14" x14ac:dyDescent="0.35">
      <c r="A2845" s="145"/>
      <c r="B2845" s="152"/>
      <c r="E2845" s="102"/>
      <c r="F2845" s="102"/>
      <c r="G2845" s="102"/>
      <c r="I2845" s="93"/>
      <c r="J2845" s="93"/>
    </row>
    <row r="2846" spans="1:10" s="65" customFormat="1" ht="14" x14ac:dyDescent="0.35">
      <c r="A2846" s="145"/>
      <c r="B2846" s="152"/>
      <c r="E2846" s="102"/>
      <c r="F2846" s="102"/>
      <c r="G2846" s="102"/>
      <c r="I2846" s="93"/>
      <c r="J2846" s="93"/>
    </row>
    <row r="2847" spans="1:10" s="65" customFormat="1" ht="14" x14ac:dyDescent="0.35">
      <c r="A2847" s="145"/>
      <c r="B2847" s="152"/>
      <c r="E2847" s="102"/>
      <c r="F2847" s="102"/>
      <c r="G2847" s="102"/>
      <c r="I2847" s="93"/>
      <c r="J2847" s="93"/>
    </row>
    <row r="2848" spans="1:10" s="65" customFormat="1" ht="14" x14ac:dyDescent="0.35">
      <c r="A2848" s="145"/>
      <c r="B2848" s="152"/>
      <c r="E2848" s="102"/>
      <c r="F2848" s="102"/>
      <c r="G2848" s="102"/>
      <c r="I2848" s="93"/>
      <c r="J2848" s="93"/>
    </row>
    <row r="2849" spans="1:10" s="65" customFormat="1" ht="14" x14ac:dyDescent="0.35">
      <c r="A2849" s="145"/>
      <c r="B2849" s="152"/>
      <c r="E2849" s="102"/>
      <c r="F2849" s="102"/>
      <c r="G2849" s="102"/>
      <c r="I2849" s="93"/>
      <c r="J2849" s="93"/>
    </row>
    <row r="2850" spans="1:10" s="65" customFormat="1" ht="14" x14ac:dyDescent="0.35">
      <c r="A2850" s="145"/>
      <c r="B2850" s="152"/>
      <c r="E2850" s="102"/>
      <c r="F2850" s="102"/>
      <c r="G2850" s="102"/>
      <c r="I2850" s="93"/>
      <c r="J2850" s="93"/>
    </row>
    <row r="2851" spans="1:10" s="65" customFormat="1" ht="14" x14ac:dyDescent="0.35">
      <c r="A2851" s="145"/>
      <c r="B2851" s="152"/>
      <c r="E2851" s="102"/>
      <c r="F2851" s="102"/>
      <c r="G2851" s="102"/>
      <c r="I2851" s="93"/>
      <c r="J2851" s="93"/>
    </row>
    <row r="2852" spans="1:10" s="65" customFormat="1" ht="14" x14ac:dyDescent="0.35">
      <c r="A2852" s="145"/>
      <c r="B2852" s="152"/>
      <c r="E2852" s="102"/>
      <c r="F2852" s="102"/>
      <c r="G2852" s="102"/>
      <c r="I2852" s="93"/>
      <c r="J2852" s="93"/>
    </row>
    <row r="2853" spans="1:10" s="65" customFormat="1" ht="14" x14ac:dyDescent="0.35">
      <c r="A2853" s="145"/>
      <c r="B2853" s="152"/>
      <c r="E2853" s="102"/>
      <c r="F2853" s="102"/>
      <c r="G2853" s="102"/>
      <c r="I2853" s="93"/>
      <c r="J2853" s="93"/>
    </row>
    <row r="2854" spans="1:10" s="65" customFormat="1" ht="14" x14ac:dyDescent="0.35">
      <c r="A2854" s="145"/>
      <c r="B2854" s="152"/>
      <c r="E2854" s="102"/>
      <c r="F2854" s="102"/>
      <c r="G2854" s="102"/>
      <c r="I2854" s="93"/>
      <c r="J2854" s="93"/>
    </row>
    <row r="2855" spans="1:10" s="65" customFormat="1" ht="14" x14ac:dyDescent="0.35">
      <c r="A2855" s="145"/>
      <c r="B2855" s="152"/>
      <c r="E2855" s="102"/>
      <c r="F2855" s="102"/>
      <c r="G2855" s="102"/>
      <c r="I2855" s="93"/>
      <c r="J2855" s="93"/>
    </row>
    <row r="2856" spans="1:10" s="65" customFormat="1" ht="14" x14ac:dyDescent="0.35">
      <c r="A2856" s="145"/>
      <c r="B2856" s="152"/>
      <c r="E2856" s="102"/>
      <c r="F2856" s="102"/>
      <c r="G2856" s="102"/>
      <c r="I2856" s="93"/>
      <c r="J2856" s="93"/>
    </row>
    <row r="2857" spans="1:10" s="65" customFormat="1" ht="14" x14ac:dyDescent="0.35">
      <c r="A2857" s="145"/>
      <c r="B2857" s="152"/>
      <c r="E2857" s="102"/>
      <c r="F2857" s="102"/>
      <c r="G2857" s="102"/>
      <c r="I2857" s="93"/>
      <c r="J2857" s="93"/>
    </row>
    <row r="2858" spans="1:10" s="65" customFormat="1" ht="14" x14ac:dyDescent="0.35">
      <c r="A2858" s="145"/>
      <c r="B2858" s="152"/>
      <c r="E2858" s="102"/>
      <c r="F2858" s="102"/>
      <c r="G2858" s="102"/>
      <c r="I2858" s="93"/>
      <c r="J2858" s="93"/>
    </row>
    <row r="2859" spans="1:10" s="65" customFormat="1" ht="14" x14ac:dyDescent="0.35">
      <c r="A2859" s="145"/>
      <c r="B2859" s="152"/>
      <c r="E2859" s="102"/>
      <c r="F2859" s="102"/>
      <c r="G2859" s="102"/>
      <c r="I2859" s="93"/>
      <c r="J2859" s="93"/>
    </row>
    <row r="2860" spans="1:10" s="65" customFormat="1" ht="14" x14ac:dyDescent="0.35">
      <c r="A2860" s="145"/>
      <c r="B2860" s="152"/>
      <c r="E2860" s="102"/>
      <c r="F2860" s="102"/>
      <c r="G2860" s="102"/>
      <c r="I2860" s="93"/>
      <c r="J2860" s="93"/>
    </row>
    <row r="2861" spans="1:10" s="65" customFormat="1" ht="14" x14ac:dyDescent="0.35">
      <c r="A2861" s="145"/>
      <c r="B2861" s="152"/>
      <c r="E2861" s="102"/>
      <c r="F2861" s="102"/>
      <c r="G2861" s="102"/>
      <c r="I2861" s="93"/>
      <c r="J2861" s="93"/>
    </row>
    <row r="2862" spans="1:10" s="65" customFormat="1" ht="14" x14ac:dyDescent="0.35">
      <c r="A2862" s="145"/>
      <c r="B2862" s="152"/>
      <c r="E2862" s="102"/>
      <c r="F2862" s="102"/>
      <c r="G2862" s="102"/>
      <c r="I2862" s="93"/>
      <c r="J2862" s="93"/>
    </row>
    <row r="2863" spans="1:10" s="65" customFormat="1" ht="14" x14ac:dyDescent="0.35">
      <c r="A2863" s="145"/>
      <c r="B2863" s="152"/>
      <c r="E2863" s="102"/>
      <c r="F2863" s="102"/>
      <c r="G2863" s="102"/>
      <c r="I2863" s="93"/>
      <c r="J2863" s="93"/>
    </row>
    <row r="2864" spans="1:10" s="65" customFormat="1" ht="14" x14ac:dyDescent="0.35">
      <c r="A2864" s="145"/>
      <c r="B2864" s="152"/>
      <c r="E2864" s="102"/>
      <c r="F2864" s="102"/>
      <c r="G2864" s="102"/>
      <c r="I2864" s="93"/>
      <c r="J2864" s="93"/>
    </row>
    <row r="2865" spans="1:10" s="65" customFormat="1" ht="14" x14ac:dyDescent="0.35">
      <c r="A2865" s="145"/>
      <c r="B2865" s="152"/>
      <c r="E2865" s="102"/>
      <c r="F2865" s="102"/>
      <c r="G2865" s="102"/>
      <c r="I2865" s="93"/>
      <c r="J2865" s="93"/>
    </row>
    <row r="2866" spans="1:10" s="65" customFormat="1" ht="14" x14ac:dyDescent="0.35">
      <c r="A2866" s="145"/>
      <c r="B2866" s="152"/>
      <c r="E2866" s="102"/>
      <c r="F2866" s="102"/>
      <c r="G2866" s="102"/>
      <c r="I2866" s="93"/>
      <c r="J2866" s="93"/>
    </row>
    <row r="2867" spans="1:10" s="65" customFormat="1" ht="14" x14ac:dyDescent="0.35">
      <c r="A2867" s="145"/>
      <c r="B2867" s="152"/>
      <c r="E2867" s="102"/>
      <c r="F2867" s="102"/>
      <c r="G2867" s="102"/>
      <c r="I2867" s="93"/>
      <c r="J2867" s="93"/>
    </row>
    <row r="2868" spans="1:10" s="65" customFormat="1" ht="14" x14ac:dyDescent="0.35">
      <c r="A2868" s="145"/>
      <c r="B2868" s="152"/>
      <c r="E2868" s="102"/>
      <c r="F2868" s="102"/>
      <c r="G2868" s="102"/>
      <c r="I2868" s="93"/>
      <c r="J2868" s="93"/>
    </row>
    <row r="2869" spans="1:10" s="65" customFormat="1" ht="14" x14ac:dyDescent="0.35">
      <c r="A2869" s="145"/>
      <c r="B2869" s="152"/>
      <c r="E2869" s="102"/>
      <c r="F2869" s="102"/>
      <c r="G2869" s="102"/>
      <c r="I2869" s="93"/>
      <c r="J2869" s="93"/>
    </row>
    <row r="2870" spans="1:10" s="65" customFormat="1" ht="14" x14ac:dyDescent="0.35">
      <c r="A2870" s="145"/>
      <c r="B2870" s="152"/>
      <c r="E2870" s="102"/>
      <c r="F2870" s="102"/>
      <c r="G2870" s="102"/>
      <c r="I2870" s="93"/>
      <c r="J2870" s="93"/>
    </row>
    <row r="2871" spans="1:10" s="65" customFormat="1" ht="14" x14ac:dyDescent="0.35">
      <c r="A2871" s="145"/>
      <c r="B2871" s="152"/>
      <c r="E2871" s="102"/>
      <c r="F2871" s="102"/>
      <c r="G2871" s="102"/>
      <c r="I2871" s="93"/>
      <c r="J2871" s="93"/>
    </row>
    <row r="2872" spans="1:10" s="65" customFormat="1" ht="14" x14ac:dyDescent="0.35">
      <c r="A2872" s="145"/>
      <c r="B2872" s="152"/>
      <c r="E2872" s="102"/>
      <c r="F2872" s="102"/>
      <c r="G2872" s="102"/>
      <c r="I2872" s="93"/>
      <c r="J2872" s="93"/>
    </row>
    <row r="2873" spans="1:10" s="65" customFormat="1" ht="14" x14ac:dyDescent="0.35">
      <c r="A2873" s="145"/>
      <c r="B2873" s="152"/>
      <c r="E2873" s="102"/>
      <c r="F2873" s="102"/>
      <c r="G2873" s="102"/>
      <c r="I2873" s="93"/>
      <c r="J2873" s="93"/>
    </row>
    <row r="2874" spans="1:10" s="65" customFormat="1" ht="14" x14ac:dyDescent="0.35">
      <c r="A2874" s="145"/>
      <c r="B2874" s="152"/>
      <c r="E2874" s="102"/>
      <c r="F2874" s="102"/>
      <c r="G2874" s="102"/>
      <c r="I2874" s="93"/>
      <c r="J2874" s="93"/>
    </row>
    <row r="2875" spans="1:10" s="65" customFormat="1" ht="14" x14ac:dyDescent="0.35">
      <c r="A2875" s="145"/>
      <c r="B2875" s="152"/>
      <c r="E2875" s="102"/>
      <c r="F2875" s="102"/>
      <c r="G2875" s="102"/>
      <c r="I2875" s="93"/>
      <c r="J2875" s="93"/>
    </row>
    <row r="2876" spans="1:10" s="65" customFormat="1" ht="14" x14ac:dyDescent="0.35">
      <c r="A2876" s="145"/>
      <c r="B2876" s="152"/>
      <c r="E2876" s="102"/>
      <c r="F2876" s="102"/>
      <c r="G2876" s="102"/>
      <c r="I2876" s="93"/>
      <c r="J2876" s="93"/>
    </row>
    <row r="2877" spans="1:10" s="65" customFormat="1" ht="14" x14ac:dyDescent="0.35">
      <c r="A2877" s="145"/>
      <c r="B2877" s="152"/>
      <c r="E2877" s="102"/>
      <c r="F2877" s="102"/>
      <c r="G2877" s="102"/>
      <c r="I2877" s="93"/>
      <c r="J2877" s="93"/>
    </row>
    <row r="2878" spans="1:10" s="65" customFormat="1" ht="14" x14ac:dyDescent="0.35">
      <c r="A2878" s="145"/>
      <c r="B2878" s="152"/>
      <c r="E2878" s="102"/>
      <c r="F2878" s="102"/>
      <c r="G2878" s="102"/>
      <c r="I2878" s="93"/>
      <c r="J2878" s="93"/>
    </row>
    <row r="2879" spans="1:10" s="65" customFormat="1" ht="14" x14ac:dyDescent="0.35">
      <c r="A2879" s="145"/>
      <c r="B2879" s="152"/>
      <c r="E2879" s="102"/>
      <c r="F2879" s="102"/>
      <c r="G2879" s="102"/>
      <c r="I2879" s="93"/>
      <c r="J2879" s="93"/>
    </row>
    <row r="2880" spans="1:10" s="65" customFormat="1" ht="14" x14ac:dyDescent="0.35">
      <c r="A2880" s="145"/>
      <c r="B2880" s="152"/>
      <c r="E2880" s="102"/>
      <c r="F2880" s="102"/>
      <c r="G2880" s="102"/>
      <c r="I2880" s="93"/>
      <c r="J2880" s="93"/>
    </row>
    <row r="2881" spans="1:10" s="65" customFormat="1" ht="14" x14ac:dyDescent="0.35">
      <c r="A2881" s="145"/>
      <c r="B2881" s="152"/>
      <c r="E2881" s="102"/>
      <c r="F2881" s="102"/>
      <c r="G2881" s="102"/>
      <c r="I2881" s="93"/>
      <c r="J2881" s="93"/>
    </row>
    <row r="2882" spans="1:10" s="65" customFormat="1" ht="14" x14ac:dyDescent="0.35">
      <c r="A2882" s="145"/>
      <c r="B2882" s="152"/>
      <c r="E2882" s="102"/>
      <c r="F2882" s="102"/>
      <c r="G2882" s="102"/>
      <c r="I2882" s="93"/>
      <c r="J2882" s="93"/>
    </row>
    <row r="2883" spans="1:10" s="65" customFormat="1" ht="14" x14ac:dyDescent="0.35">
      <c r="A2883" s="145"/>
      <c r="B2883" s="152"/>
      <c r="E2883" s="102"/>
      <c r="F2883" s="102"/>
      <c r="G2883" s="102"/>
      <c r="I2883" s="93"/>
      <c r="J2883" s="93"/>
    </row>
    <row r="2884" spans="1:10" s="65" customFormat="1" ht="14" x14ac:dyDescent="0.35">
      <c r="A2884" s="145"/>
      <c r="B2884" s="152"/>
      <c r="E2884" s="102"/>
      <c r="F2884" s="102"/>
      <c r="G2884" s="102"/>
      <c r="I2884" s="93"/>
      <c r="J2884" s="93"/>
    </row>
    <row r="2885" spans="1:10" s="65" customFormat="1" ht="14" x14ac:dyDescent="0.35">
      <c r="A2885" s="145"/>
      <c r="B2885" s="152"/>
      <c r="E2885" s="102"/>
      <c r="F2885" s="102"/>
      <c r="G2885" s="102"/>
      <c r="I2885" s="93"/>
      <c r="J2885" s="93"/>
    </row>
    <row r="2886" spans="1:10" s="65" customFormat="1" ht="14" x14ac:dyDescent="0.35">
      <c r="A2886" s="145"/>
      <c r="B2886" s="152"/>
      <c r="E2886" s="102"/>
      <c r="F2886" s="102"/>
      <c r="G2886" s="102"/>
      <c r="I2886" s="93"/>
      <c r="J2886" s="93"/>
    </row>
    <row r="2887" spans="1:10" s="65" customFormat="1" ht="14" x14ac:dyDescent="0.35">
      <c r="A2887" s="145"/>
      <c r="B2887" s="152"/>
      <c r="E2887" s="102"/>
      <c r="F2887" s="102"/>
      <c r="G2887" s="102"/>
      <c r="I2887" s="93"/>
      <c r="J2887" s="93"/>
    </row>
    <row r="2888" spans="1:10" s="65" customFormat="1" ht="14" x14ac:dyDescent="0.35">
      <c r="A2888" s="145"/>
      <c r="B2888" s="152"/>
      <c r="E2888" s="102"/>
      <c r="F2888" s="102"/>
      <c r="G2888" s="102"/>
      <c r="I2888" s="93"/>
      <c r="J2888" s="93"/>
    </row>
    <row r="2889" spans="1:10" s="65" customFormat="1" ht="14" x14ac:dyDescent="0.35">
      <c r="A2889" s="145"/>
      <c r="B2889" s="152"/>
      <c r="E2889" s="102"/>
      <c r="F2889" s="102"/>
      <c r="G2889" s="102"/>
      <c r="I2889" s="93"/>
      <c r="J2889" s="93"/>
    </row>
    <row r="2890" spans="1:10" s="65" customFormat="1" ht="14" x14ac:dyDescent="0.35">
      <c r="A2890" s="145"/>
      <c r="B2890" s="152"/>
      <c r="E2890" s="102"/>
      <c r="F2890" s="102"/>
      <c r="G2890" s="102"/>
      <c r="I2890" s="93"/>
      <c r="J2890" s="93"/>
    </row>
    <row r="2891" spans="1:10" s="65" customFormat="1" ht="14" x14ac:dyDescent="0.35">
      <c r="A2891" s="145"/>
      <c r="B2891" s="152"/>
      <c r="E2891" s="102"/>
      <c r="F2891" s="102"/>
      <c r="G2891" s="102"/>
      <c r="I2891" s="93"/>
      <c r="J2891" s="93"/>
    </row>
    <row r="2892" spans="1:10" s="65" customFormat="1" ht="14" x14ac:dyDescent="0.35">
      <c r="A2892" s="145"/>
      <c r="B2892" s="152"/>
      <c r="E2892" s="102"/>
      <c r="F2892" s="102"/>
      <c r="G2892" s="102"/>
      <c r="I2892" s="93"/>
      <c r="J2892" s="93"/>
    </row>
    <row r="2893" spans="1:10" s="65" customFormat="1" ht="14" x14ac:dyDescent="0.35">
      <c r="A2893" s="145"/>
      <c r="B2893" s="152"/>
      <c r="E2893" s="102"/>
      <c r="F2893" s="102"/>
      <c r="G2893" s="102"/>
      <c r="I2893" s="93"/>
      <c r="J2893" s="93"/>
    </row>
    <row r="2894" spans="1:10" s="65" customFormat="1" ht="14" x14ac:dyDescent="0.35">
      <c r="A2894" s="145"/>
      <c r="B2894" s="152"/>
      <c r="E2894" s="102"/>
      <c r="F2894" s="102"/>
      <c r="G2894" s="102"/>
      <c r="I2894" s="93"/>
      <c r="J2894" s="93"/>
    </row>
    <row r="2895" spans="1:10" s="65" customFormat="1" ht="14" x14ac:dyDescent="0.35">
      <c r="A2895" s="145"/>
      <c r="B2895" s="152"/>
      <c r="E2895" s="102"/>
      <c r="F2895" s="102"/>
      <c r="G2895" s="102"/>
      <c r="I2895" s="93"/>
      <c r="J2895" s="93"/>
    </row>
    <row r="2896" spans="1:10" s="65" customFormat="1" ht="14" x14ac:dyDescent="0.35">
      <c r="A2896" s="145"/>
      <c r="B2896" s="152"/>
      <c r="E2896" s="102"/>
      <c r="F2896" s="102"/>
      <c r="G2896" s="102"/>
      <c r="I2896" s="93"/>
      <c r="J2896" s="93"/>
    </row>
    <row r="2897" spans="1:10" s="65" customFormat="1" ht="14" x14ac:dyDescent="0.35">
      <c r="A2897" s="145"/>
      <c r="B2897" s="152"/>
      <c r="E2897" s="102"/>
      <c r="F2897" s="102"/>
      <c r="G2897" s="102"/>
      <c r="I2897" s="93"/>
      <c r="J2897" s="93"/>
    </row>
    <row r="2898" spans="1:10" s="65" customFormat="1" ht="14" x14ac:dyDescent="0.35">
      <c r="A2898" s="145"/>
      <c r="B2898" s="152"/>
      <c r="E2898" s="102"/>
      <c r="F2898" s="102"/>
      <c r="G2898" s="102"/>
      <c r="I2898" s="93"/>
      <c r="J2898" s="93"/>
    </row>
    <row r="2899" spans="1:10" s="65" customFormat="1" ht="14" x14ac:dyDescent="0.35">
      <c r="A2899" s="145"/>
      <c r="B2899" s="152"/>
      <c r="E2899" s="102"/>
      <c r="F2899" s="102"/>
      <c r="G2899" s="102"/>
      <c r="I2899" s="93"/>
      <c r="J2899" s="93"/>
    </row>
    <row r="2900" spans="1:10" s="65" customFormat="1" ht="14" x14ac:dyDescent="0.35">
      <c r="A2900" s="145"/>
      <c r="B2900" s="152"/>
      <c r="E2900" s="102"/>
      <c r="F2900" s="102"/>
      <c r="G2900" s="102"/>
      <c r="I2900" s="93"/>
      <c r="J2900" s="93"/>
    </row>
    <row r="2901" spans="1:10" s="65" customFormat="1" ht="14" x14ac:dyDescent="0.35">
      <c r="A2901" s="145"/>
      <c r="B2901" s="152"/>
      <c r="E2901" s="102"/>
      <c r="F2901" s="102"/>
      <c r="G2901" s="102"/>
      <c r="I2901" s="93"/>
      <c r="J2901" s="93"/>
    </row>
    <row r="2902" spans="1:10" s="65" customFormat="1" ht="14" x14ac:dyDescent="0.35">
      <c r="A2902" s="145"/>
      <c r="B2902" s="152"/>
      <c r="E2902" s="102"/>
      <c r="F2902" s="102"/>
      <c r="G2902" s="102"/>
      <c r="I2902" s="93"/>
      <c r="J2902" s="93"/>
    </row>
    <row r="2903" spans="1:10" s="65" customFormat="1" ht="14" x14ac:dyDescent="0.35">
      <c r="A2903" s="145"/>
      <c r="B2903" s="152"/>
      <c r="E2903" s="102"/>
      <c r="F2903" s="102"/>
      <c r="G2903" s="102"/>
      <c r="I2903" s="93"/>
      <c r="J2903" s="93"/>
    </row>
    <row r="2904" spans="1:10" s="65" customFormat="1" ht="14" x14ac:dyDescent="0.35">
      <c r="A2904" s="145"/>
      <c r="B2904" s="152"/>
      <c r="E2904" s="102"/>
      <c r="F2904" s="102"/>
      <c r="G2904" s="102"/>
      <c r="I2904" s="93"/>
      <c r="J2904" s="93"/>
    </row>
    <row r="2905" spans="1:10" s="65" customFormat="1" ht="14" x14ac:dyDescent="0.35">
      <c r="A2905" s="145"/>
      <c r="B2905" s="152"/>
      <c r="E2905" s="102"/>
      <c r="F2905" s="102"/>
      <c r="G2905" s="102"/>
      <c r="I2905" s="93"/>
      <c r="J2905" s="93"/>
    </row>
    <row r="2906" spans="1:10" s="65" customFormat="1" ht="14" x14ac:dyDescent="0.35">
      <c r="A2906" s="145"/>
      <c r="B2906" s="152"/>
      <c r="E2906" s="102"/>
      <c r="F2906" s="102"/>
      <c r="G2906" s="102"/>
      <c r="I2906" s="93"/>
      <c r="J2906" s="93"/>
    </row>
    <row r="2907" spans="1:10" s="65" customFormat="1" ht="14" x14ac:dyDescent="0.35">
      <c r="A2907" s="145"/>
      <c r="B2907" s="152"/>
      <c r="E2907" s="102"/>
      <c r="F2907" s="102"/>
      <c r="G2907" s="102"/>
      <c r="I2907" s="93"/>
      <c r="J2907" s="93"/>
    </row>
    <row r="2908" spans="1:10" s="65" customFormat="1" ht="14" x14ac:dyDescent="0.35">
      <c r="A2908" s="145"/>
      <c r="B2908" s="152"/>
      <c r="E2908" s="102"/>
      <c r="F2908" s="102"/>
      <c r="G2908" s="102"/>
      <c r="I2908" s="93"/>
      <c r="J2908" s="93"/>
    </row>
    <row r="2909" spans="1:10" s="65" customFormat="1" ht="14" x14ac:dyDescent="0.35">
      <c r="A2909" s="145"/>
      <c r="B2909" s="152"/>
      <c r="E2909" s="102"/>
      <c r="F2909" s="102"/>
      <c r="G2909" s="102"/>
      <c r="I2909" s="93"/>
      <c r="J2909" s="93"/>
    </row>
    <row r="2910" spans="1:10" s="65" customFormat="1" ht="14" x14ac:dyDescent="0.35">
      <c r="A2910" s="145"/>
      <c r="B2910" s="152"/>
      <c r="E2910" s="102"/>
      <c r="F2910" s="102"/>
      <c r="G2910" s="102"/>
      <c r="I2910" s="93"/>
      <c r="J2910" s="93"/>
    </row>
    <row r="2911" spans="1:10" s="65" customFormat="1" ht="14" x14ac:dyDescent="0.35">
      <c r="A2911" s="145"/>
      <c r="B2911" s="152"/>
      <c r="E2911" s="102"/>
      <c r="F2911" s="102"/>
      <c r="G2911" s="102"/>
      <c r="I2911" s="93"/>
      <c r="J2911" s="93"/>
    </row>
    <row r="2912" spans="1:10" s="65" customFormat="1" ht="14" x14ac:dyDescent="0.35">
      <c r="A2912" s="145"/>
      <c r="B2912" s="152"/>
      <c r="E2912" s="102"/>
      <c r="F2912" s="102"/>
      <c r="G2912" s="102"/>
      <c r="I2912" s="93"/>
      <c r="J2912" s="93"/>
    </row>
    <row r="2913" spans="1:10" s="65" customFormat="1" ht="14" x14ac:dyDescent="0.35">
      <c r="A2913" s="145"/>
      <c r="B2913" s="152"/>
      <c r="E2913" s="102"/>
      <c r="F2913" s="102"/>
      <c r="G2913" s="102"/>
      <c r="I2913" s="93"/>
      <c r="J2913" s="93"/>
    </row>
    <row r="2914" spans="1:10" s="65" customFormat="1" ht="14" x14ac:dyDescent="0.35">
      <c r="A2914" s="145"/>
      <c r="B2914" s="152"/>
      <c r="E2914" s="102"/>
      <c r="F2914" s="102"/>
      <c r="G2914" s="102"/>
      <c r="I2914" s="93"/>
      <c r="J2914" s="93"/>
    </row>
    <row r="2915" spans="1:10" s="65" customFormat="1" ht="14" x14ac:dyDescent="0.35">
      <c r="A2915" s="145"/>
      <c r="B2915" s="152"/>
      <c r="E2915" s="102"/>
      <c r="F2915" s="102"/>
      <c r="G2915" s="102"/>
      <c r="I2915" s="93"/>
      <c r="J2915" s="93"/>
    </row>
    <row r="2916" spans="1:10" s="65" customFormat="1" ht="14" x14ac:dyDescent="0.35">
      <c r="A2916" s="145"/>
      <c r="B2916" s="152"/>
      <c r="E2916" s="102"/>
      <c r="F2916" s="102"/>
      <c r="G2916" s="102"/>
      <c r="I2916" s="93"/>
      <c r="J2916" s="93"/>
    </row>
    <row r="2917" spans="1:10" s="65" customFormat="1" ht="14" x14ac:dyDescent="0.35">
      <c r="A2917" s="145"/>
      <c r="B2917" s="152"/>
      <c r="E2917" s="102"/>
      <c r="F2917" s="102"/>
      <c r="G2917" s="102"/>
      <c r="I2917" s="93"/>
      <c r="J2917" s="93"/>
    </row>
    <row r="2918" spans="1:10" s="65" customFormat="1" ht="14" x14ac:dyDescent="0.35">
      <c r="A2918" s="145"/>
      <c r="B2918" s="152"/>
      <c r="E2918" s="102"/>
      <c r="F2918" s="102"/>
      <c r="G2918" s="102"/>
      <c r="I2918" s="93"/>
      <c r="J2918" s="93"/>
    </row>
    <row r="2919" spans="1:10" s="65" customFormat="1" ht="14" x14ac:dyDescent="0.35">
      <c r="A2919" s="145"/>
      <c r="B2919" s="152"/>
      <c r="E2919" s="102"/>
      <c r="F2919" s="102"/>
      <c r="G2919" s="102"/>
      <c r="I2919" s="93"/>
      <c r="J2919" s="93"/>
    </row>
    <row r="2920" spans="1:10" s="65" customFormat="1" ht="14" x14ac:dyDescent="0.35">
      <c r="A2920" s="145"/>
      <c r="B2920" s="152"/>
      <c r="E2920" s="102"/>
      <c r="F2920" s="102"/>
      <c r="G2920" s="102"/>
      <c r="I2920" s="93"/>
      <c r="J2920" s="93"/>
    </row>
    <row r="2921" spans="1:10" s="65" customFormat="1" ht="14" x14ac:dyDescent="0.35">
      <c r="A2921" s="145"/>
      <c r="B2921" s="152"/>
      <c r="E2921" s="102"/>
      <c r="F2921" s="102"/>
      <c r="G2921" s="102"/>
      <c r="I2921" s="93"/>
      <c r="J2921" s="93"/>
    </row>
    <row r="2922" spans="1:10" s="65" customFormat="1" ht="14" x14ac:dyDescent="0.35">
      <c r="A2922" s="145"/>
      <c r="B2922" s="152"/>
      <c r="E2922" s="102"/>
      <c r="F2922" s="102"/>
      <c r="G2922" s="102"/>
      <c r="I2922" s="93"/>
      <c r="J2922" s="93"/>
    </row>
    <row r="2923" spans="1:10" s="65" customFormat="1" ht="14" x14ac:dyDescent="0.35">
      <c r="A2923" s="145"/>
      <c r="B2923" s="152"/>
      <c r="E2923" s="102"/>
      <c r="F2923" s="102"/>
      <c r="G2923" s="102"/>
      <c r="I2923" s="93"/>
      <c r="J2923" s="93"/>
    </row>
    <row r="2924" spans="1:10" s="65" customFormat="1" ht="14" x14ac:dyDescent="0.35">
      <c r="A2924" s="145"/>
      <c r="B2924" s="152"/>
      <c r="E2924" s="102"/>
      <c r="F2924" s="102"/>
      <c r="G2924" s="102"/>
      <c r="I2924" s="93"/>
      <c r="J2924" s="93"/>
    </row>
    <row r="2925" spans="1:10" s="65" customFormat="1" ht="14" x14ac:dyDescent="0.35">
      <c r="A2925" s="145"/>
      <c r="B2925" s="152"/>
      <c r="E2925" s="102"/>
      <c r="F2925" s="102"/>
      <c r="G2925" s="102"/>
      <c r="I2925" s="93"/>
      <c r="J2925" s="93"/>
    </row>
    <row r="2926" spans="1:10" s="65" customFormat="1" ht="14" x14ac:dyDescent="0.35">
      <c r="A2926" s="145"/>
      <c r="B2926" s="152"/>
      <c r="E2926" s="102"/>
      <c r="F2926" s="102"/>
      <c r="G2926" s="102"/>
      <c r="I2926" s="93"/>
      <c r="J2926" s="93"/>
    </row>
    <row r="2927" spans="1:10" s="65" customFormat="1" ht="14" x14ac:dyDescent="0.35">
      <c r="A2927" s="145"/>
      <c r="B2927" s="152"/>
      <c r="E2927" s="102"/>
      <c r="F2927" s="102"/>
      <c r="G2927" s="102"/>
      <c r="I2927" s="93"/>
      <c r="J2927" s="93"/>
    </row>
    <row r="2928" spans="1:10" s="65" customFormat="1" ht="14" x14ac:dyDescent="0.35">
      <c r="A2928" s="145"/>
      <c r="B2928" s="152"/>
      <c r="E2928" s="102"/>
      <c r="F2928" s="102"/>
      <c r="G2928" s="102"/>
      <c r="I2928" s="93"/>
      <c r="J2928" s="93"/>
    </row>
    <row r="2929" spans="1:10" s="65" customFormat="1" ht="14" x14ac:dyDescent="0.35">
      <c r="A2929" s="145"/>
      <c r="B2929" s="152"/>
      <c r="E2929" s="102"/>
      <c r="F2929" s="102"/>
      <c r="G2929" s="102"/>
      <c r="I2929" s="93"/>
      <c r="J2929" s="93"/>
    </row>
    <row r="2930" spans="1:10" s="65" customFormat="1" ht="14" x14ac:dyDescent="0.35">
      <c r="A2930" s="145"/>
      <c r="B2930" s="152"/>
      <c r="E2930" s="102"/>
      <c r="F2930" s="102"/>
      <c r="G2930" s="102"/>
      <c r="I2930" s="93"/>
      <c r="J2930" s="93"/>
    </row>
    <row r="2931" spans="1:10" s="65" customFormat="1" ht="14" x14ac:dyDescent="0.35">
      <c r="A2931" s="145"/>
      <c r="B2931" s="152"/>
      <c r="E2931" s="102"/>
      <c r="F2931" s="102"/>
      <c r="G2931" s="102"/>
      <c r="I2931" s="93"/>
      <c r="J2931" s="93"/>
    </row>
    <row r="2932" spans="1:10" s="65" customFormat="1" ht="14" x14ac:dyDescent="0.35">
      <c r="A2932" s="145"/>
      <c r="B2932" s="152"/>
      <c r="E2932" s="102"/>
      <c r="F2932" s="102"/>
      <c r="G2932" s="102"/>
      <c r="I2932" s="93"/>
      <c r="J2932" s="93"/>
    </row>
    <row r="2933" spans="1:10" s="65" customFormat="1" ht="14" x14ac:dyDescent="0.35">
      <c r="A2933" s="145"/>
      <c r="B2933" s="152"/>
      <c r="E2933" s="102"/>
      <c r="F2933" s="102"/>
      <c r="G2933" s="102"/>
      <c r="I2933" s="93"/>
      <c r="J2933" s="93"/>
    </row>
    <row r="2934" spans="1:10" s="65" customFormat="1" ht="14" x14ac:dyDescent="0.35">
      <c r="A2934" s="145"/>
      <c r="B2934" s="152"/>
      <c r="E2934" s="102"/>
      <c r="F2934" s="102"/>
      <c r="G2934" s="102"/>
      <c r="I2934" s="93"/>
      <c r="J2934" s="93"/>
    </row>
    <row r="2935" spans="1:10" s="65" customFormat="1" ht="14" x14ac:dyDescent="0.35">
      <c r="A2935" s="145"/>
      <c r="B2935" s="152"/>
      <c r="E2935" s="102"/>
      <c r="F2935" s="102"/>
      <c r="G2935" s="102"/>
      <c r="I2935" s="93"/>
      <c r="J2935" s="93"/>
    </row>
    <row r="2936" spans="1:10" s="65" customFormat="1" ht="14" x14ac:dyDescent="0.35">
      <c r="A2936" s="145"/>
      <c r="B2936" s="152"/>
      <c r="E2936" s="102"/>
      <c r="F2936" s="102"/>
      <c r="G2936" s="102"/>
      <c r="I2936" s="93"/>
      <c r="J2936" s="93"/>
    </row>
    <row r="2937" spans="1:10" s="65" customFormat="1" ht="14" x14ac:dyDescent="0.35">
      <c r="A2937" s="145"/>
      <c r="B2937" s="152"/>
      <c r="E2937" s="102"/>
      <c r="F2937" s="102"/>
      <c r="G2937" s="102"/>
      <c r="I2937" s="93"/>
      <c r="J2937" s="93"/>
    </row>
    <row r="2938" spans="1:10" s="65" customFormat="1" ht="14" x14ac:dyDescent="0.35">
      <c r="A2938" s="145"/>
      <c r="B2938" s="152"/>
      <c r="E2938" s="102"/>
      <c r="F2938" s="102"/>
      <c r="G2938" s="102"/>
      <c r="I2938" s="93"/>
      <c r="J2938" s="93"/>
    </row>
    <row r="2939" spans="1:10" s="65" customFormat="1" ht="14" x14ac:dyDescent="0.35">
      <c r="A2939" s="145"/>
      <c r="B2939" s="152"/>
      <c r="E2939" s="102"/>
      <c r="F2939" s="102"/>
      <c r="G2939" s="102"/>
      <c r="I2939" s="93"/>
      <c r="J2939" s="93"/>
    </row>
    <row r="2940" spans="1:10" s="65" customFormat="1" ht="14" x14ac:dyDescent="0.35">
      <c r="A2940" s="145"/>
      <c r="B2940" s="152"/>
      <c r="E2940" s="102"/>
      <c r="F2940" s="102"/>
      <c r="G2940" s="102"/>
      <c r="I2940" s="93"/>
      <c r="J2940" s="93"/>
    </row>
    <row r="2941" spans="1:10" s="65" customFormat="1" ht="14" x14ac:dyDescent="0.35">
      <c r="A2941" s="145"/>
      <c r="B2941" s="152"/>
      <c r="E2941" s="102"/>
      <c r="F2941" s="102"/>
      <c r="G2941" s="102"/>
      <c r="I2941" s="93"/>
      <c r="J2941" s="93"/>
    </row>
    <row r="2942" spans="1:10" s="65" customFormat="1" ht="14" x14ac:dyDescent="0.35">
      <c r="A2942" s="145"/>
      <c r="B2942" s="152"/>
      <c r="E2942" s="102"/>
      <c r="F2942" s="102"/>
      <c r="G2942" s="102"/>
      <c r="I2942" s="93"/>
      <c r="J2942" s="93"/>
    </row>
    <row r="2943" spans="1:10" s="65" customFormat="1" ht="14" x14ac:dyDescent="0.35">
      <c r="A2943" s="145"/>
      <c r="B2943" s="152"/>
      <c r="E2943" s="102"/>
      <c r="F2943" s="102"/>
      <c r="G2943" s="102"/>
      <c r="I2943" s="93"/>
      <c r="J2943" s="93"/>
    </row>
    <row r="2944" spans="1:10" s="65" customFormat="1" ht="14" x14ac:dyDescent="0.35">
      <c r="A2944" s="145"/>
      <c r="B2944" s="152"/>
      <c r="E2944" s="102"/>
      <c r="F2944" s="102"/>
      <c r="G2944" s="102"/>
      <c r="I2944" s="93"/>
      <c r="J2944" s="93"/>
    </row>
    <row r="2945" spans="1:10" s="65" customFormat="1" ht="14" x14ac:dyDescent="0.35">
      <c r="A2945" s="145"/>
      <c r="B2945" s="152"/>
      <c r="E2945" s="102"/>
      <c r="F2945" s="102"/>
      <c r="G2945" s="102"/>
      <c r="I2945" s="93"/>
      <c r="J2945" s="93"/>
    </row>
    <row r="2946" spans="1:10" s="65" customFormat="1" ht="14" x14ac:dyDescent="0.35">
      <c r="A2946" s="145"/>
      <c r="B2946" s="152"/>
      <c r="E2946" s="102"/>
      <c r="F2946" s="102"/>
      <c r="G2946" s="102"/>
      <c r="I2946" s="93"/>
      <c r="J2946" s="93"/>
    </row>
    <row r="2947" spans="1:10" s="65" customFormat="1" ht="14" x14ac:dyDescent="0.35">
      <c r="A2947" s="145"/>
      <c r="B2947" s="152"/>
      <c r="E2947" s="102"/>
      <c r="F2947" s="102"/>
      <c r="G2947" s="102"/>
      <c r="I2947" s="93"/>
      <c r="J2947" s="93"/>
    </row>
    <row r="2948" spans="1:10" s="65" customFormat="1" ht="14" x14ac:dyDescent="0.35">
      <c r="A2948" s="145"/>
      <c r="B2948" s="152"/>
      <c r="E2948" s="102"/>
      <c r="F2948" s="102"/>
      <c r="G2948" s="102"/>
      <c r="I2948" s="93"/>
      <c r="J2948" s="93"/>
    </row>
    <row r="2949" spans="1:10" s="65" customFormat="1" ht="14" x14ac:dyDescent="0.35">
      <c r="A2949" s="145"/>
      <c r="B2949" s="152"/>
      <c r="E2949" s="102"/>
      <c r="F2949" s="102"/>
      <c r="G2949" s="102"/>
      <c r="I2949" s="93"/>
      <c r="J2949" s="93"/>
    </row>
    <row r="2950" spans="1:10" s="65" customFormat="1" ht="14" x14ac:dyDescent="0.35">
      <c r="A2950" s="145"/>
      <c r="B2950" s="152"/>
      <c r="E2950" s="102"/>
      <c r="F2950" s="102"/>
      <c r="G2950" s="102"/>
      <c r="I2950" s="93"/>
      <c r="J2950" s="93"/>
    </row>
    <row r="2951" spans="1:10" s="65" customFormat="1" ht="14" x14ac:dyDescent="0.35">
      <c r="A2951" s="145"/>
      <c r="B2951" s="152"/>
      <c r="E2951" s="102"/>
      <c r="F2951" s="102"/>
      <c r="G2951" s="102"/>
      <c r="I2951" s="93"/>
      <c r="J2951" s="93"/>
    </row>
    <row r="2952" spans="1:10" s="65" customFormat="1" ht="14" x14ac:dyDescent="0.35">
      <c r="A2952" s="145"/>
      <c r="B2952" s="152"/>
      <c r="E2952" s="102"/>
      <c r="F2952" s="102"/>
      <c r="G2952" s="102"/>
      <c r="I2952" s="93"/>
      <c r="J2952" s="93"/>
    </row>
    <row r="2953" spans="1:10" s="65" customFormat="1" ht="14" x14ac:dyDescent="0.35">
      <c r="A2953" s="145"/>
      <c r="B2953" s="152"/>
      <c r="E2953" s="102"/>
      <c r="F2953" s="102"/>
      <c r="G2953" s="102"/>
      <c r="I2953" s="93"/>
      <c r="J2953" s="93"/>
    </row>
    <row r="2954" spans="1:10" s="65" customFormat="1" ht="14" x14ac:dyDescent="0.35">
      <c r="A2954" s="145"/>
      <c r="B2954" s="152"/>
      <c r="E2954" s="102"/>
      <c r="F2954" s="102"/>
      <c r="G2954" s="102"/>
      <c r="I2954" s="93"/>
      <c r="J2954" s="93"/>
    </row>
    <row r="2955" spans="1:10" s="65" customFormat="1" ht="14" x14ac:dyDescent="0.35">
      <c r="A2955" s="145"/>
      <c r="B2955" s="152"/>
      <c r="E2955" s="102"/>
      <c r="F2955" s="102"/>
      <c r="G2955" s="102"/>
      <c r="I2955" s="93"/>
      <c r="J2955" s="93"/>
    </row>
    <row r="2956" spans="1:10" s="65" customFormat="1" ht="14" x14ac:dyDescent="0.35">
      <c r="A2956" s="145"/>
      <c r="B2956" s="152"/>
      <c r="E2956" s="102"/>
      <c r="F2956" s="102"/>
      <c r="G2956" s="102"/>
      <c r="I2956" s="93"/>
      <c r="J2956" s="93"/>
    </row>
    <row r="2957" spans="1:10" s="65" customFormat="1" ht="14" x14ac:dyDescent="0.35">
      <c r="A2957" s="145"/>
      <c r="B2957" s="152"/>
      <c r="E2957" s="102"/>
      <c r="F2957" s="102"/>
      <c r="G2957" s="102"/>
      <c r="I2957" s="93"/>
      <c r="J2957" s="93"/>
    </row>
    <row r="2958" spans="1:10" s="65" customFormat="1" ht="14" x14ac:dyDescent="0.35">
      <c r="A2958" s="145"/>
      <c r="B2958" s="152"/>
      <c r="E2958" s="102"/>
      <c r="F2958" s="102"/>
      <c r="G2958" s="102"/>
      <c r="I2958" s="93"/>
      <c r="J2958" s="93"/>
    </row>
    <row r="2959" spans="1:10" s="65" customFormat="1" ht="14" x14ac:dyDescent="0.35">
      <c r="A2959" s="145"/>
      <c r="B2959" s="152"/>
      <c r="E2959" s="102"/>
      <c r="F2959" s="102"/>
      <c r="G2959" s="102"/>
      <c r="I2959" s="93"/>
      <c r="J2959" s="93"/>
    </row>
    <row r="2960" spans="1:10" s="65" customFormat="1" ht="14" x14ac:dyDescent="0.35">
      <c r="A2960" s="145"/>
      <c r="B2960" s="152"/>
      <c r="E2960" s="102"/>
      <c r="F2960" s="102"/>
      <c r="G2960" s="102"/>
      <c r="I2960" s="93"/>
      <c r="J2960" s="93"/>
    </row>
    <row r="2961" spans="1:10" s="65" customFormat="1" ht="14" x14ac:dyDescent="0.35">
      <c r="A2961" s="145"/>
      <c r="B2961" s="152"/>
      <c r="E2961" s="102"/>
      <c r="F2961" s="102"/>
      <c r="G2961" s="102"/>
      <c r="I2961" s="93"/>
      <c r="J2961" s="93"/>
    </row>
    <row r="2962" spans="1:10" s="65" customFormat="1" ht="14" x14ac:dyDescent="0.35">
      <c r="A2962" s="145"/>
      <c r="B2962" s="152"/>
      <c r="E2962" s="102"/>
      <c r="F2962" s="102"/>
      <c r="G2962" s="102"/>
      <c r="I2962" s="93"/>
      <c r="J2962" s="93"/>
    </row>
    <row r="2963" spans="1:10" s="65" customFormat="1" ht="14" x14ac:dyDescent="0.35">
      <c r="A2963" s="145"/>
      <c r="B2963" s="152"/>
      <c r="E2963" s="102"/>
      <c r="F2963" s="102"/>
      <c r="G2963" s="102"/>
      <c r="I2963" s="93"/>
      <c r="J2963" s="93"/>
    </row>
    <row r="2964" spans="1:10" s="65" customFormat="1" ht="14" x14ac:dyDescent="0.35">
      <c r="A2964" s="145"/>
      <c r="B2964" s="152"/>
      <c r="E2964" s="102"/>
      <c r="F2964" s="102"/>
      <c r="G2964" s="102"/>
      <c r="I2964" s="93"/>
      <c r="J2964" s="93"/>
    </row>
    <row r="2965" spans="1:10" s="65" customFormat="1" ht="14" x14ac:dyDescent="0.35">
      <c r="A2965" s="145"/>
      <c r="B2965" s="152"/>
      <c r="E2965" s="102"/>
      <c r="F2965" s="102"/>
      <c r="G2965" s="102"/>
      <c r="I2965" s="93"/>
      <c r="J2965" s="93"/>
    </row>
    <row r="2966" spans="1:10" s="65" customFormat="1" ht="14" x14ac:dyDescent="0.35">
      <c r="A2966" s="145"/>
      <c r="B2966" s="152"/>
      <c r="E2966" s="102"/>
      <c r="F2966" s="102"/>
      <c r="G2966" s="102"/>
      <c r="I2966" s="93"/>
      <c r="J2966" s="93"/>
    </row>
    <row r="2967" spans="1:10" s="65" customFormat="1" ht="14" x14ac:dyDescent="0.35">
      <c r="A2967" s="145"/>
      <c r="B2967" s="152"/>
      <c r="E2967" s="102"/>
      <c r="F2967" s="102"/>
      <c r="G2967" s="102"/>
      <c r="I2967" s="93"/>
      <c r="J2967" s="93"/>
    </row>
    <row r="2968" spans="1:10" s="65" customFormat="1" ht="14" x14ac:dyDescent="0.35">
      <c r="A2968" s="145"/>
      <c r="B2968" s="152"/>
      <c r="E2968" s="102"/>
      <c r="F2968" s="102"/>
      <c r="G2968" s="102"/>
      <c r="I2968" s="93"/>
      <c r="J2968" s="93"/>
    </row>
    <row r="2969" spans="1:10" s="65" customFormat="1" ht="14" x14ac:dyDescent="0.35">
      <c r="A2969" s="145"/>
      <c r="B2969" s="152"/>
      <c r="E2969" s="102"/>
      <c r="F2969" s="102"/>
      <c r="G2969" s="102"/>
      <c r="I2969" s="93"/>
      <c r="J2969" s="93"/>
    </row>
    <row r="2970" spans="1:10" s="65" customFormat="1" ht="14" x14ac:dyDescent="0.35">
      <c r="A2970" s="145"/>
      <c r="B2970" s="152"/>
      <c r="E2970" s="102"/>
      <c r="F2970" s="102"/>
      <c r="G2970" s="102"/>
      <c r="I2970" s="93"/>
      <c r="J2970" s="93"/>
    </row>
    <row r="2971" spans="1:10" s="65" customFormat="1" ht="14" x14ac:dyDescent="0.35">
      <c r="A2971" s="145"/>
      <c r="B2971" s="152"/>
      <c r="E2971" s="102"/>
      <c r="F2971" s="102"/>
      <c r="G2971" s="102"/>
      <c r="I2971" s="93"/>
      <c r="J2971" s="93"/>
    </row>
    <row r="2972" spans="1:10" s="65" customFormat="1" ht="14" x14ac:dyDescent="0.35">
      <c r="A2972" s="145"/>
      <c r="B2972" s="152"/>
      <c r="E2972" s="102"/>
      <c r="F2972" s="102"/>
      <c r="G2972" s="102"/>
      <c r="I2972" s="93"/>
      <c r="J2972" s="93"/>
    </row>
    <row r="2973" spans="1:10" s="65" customFormat="1" ht="14" x14ac:dyDescent="0.35">
      <c r="A2973" s="145"/>
      <c r="B2973" s="152"/>
      <c r="E2973" s="102"/>
      <c r="F2973" s="102"/>
      <c r="G2973" s="102"/>
      <c r="I2973" s="93"/>
      <c r="J2973" s="93"/>
    </row>
    <row r="2974" spans="1:10" s="65" customFormat="1" ht="14" x14ac:dyDescent="0.35">
      <c r="A2974" s="145"/>
      <c r="B2974" s="152"/>
      <c r="E2974" s="102"/>
      <c r="F2974" s="102"/>
      <c r="G2974" s="102"/>
      <c r="I2974" s="93"/>
      <c r="J2974" s="93"/>
    </row>
    <row r="2975" spans="1:10" s="65" customFormat="1" ht="14" x14ac:dyDescent="0.35">
      <c r="A2975" s="145"/>
      <c r="B2975" s="152"/>
      <c r="E2975" s="102"/>
      <c r="F2975" s="102"/>
      <c r="G2975" s="102"/>
      <c r="I2975" s="93"/>
      <c r="J2975" s="93"/>
    </row>
    <row r="2976" spans="1:10" s="65" customFormat="1" ht="14" x14ac:dyDescent="0.35">
      <c r="A2976" s="145"/>
      <c r="B2976" s="152"/>
      <c r="E2976" s="102"/>
      <c r="F2976" s="102"/>
      <c r="G2976" s="102"/>
      <c r="I2976" s="93"/>
      <c r="J2976" s="93"/>
    </row>
    <row r="2977" spans="1:10" s="65" customFormat="1" ht="14" x14ac:dyDescent="0.35">
      <c r="A2977" s="145"/>
      <c r="B2977" s="152"/>
      <c r="E2977" s="102"/>
      <c r="F2977" s="102"/>
      <c r="G2977" s="102"/>
      <c r="I2977" s="93"/>
      <c r="J2977" s="93"/>
    </row>
    <row r="2978" spans="1:10" s="65" customFormat="1" ht="14" x14ac:dyDescent="0.35">
      <c r="A2978" s="145"/>
      <c r="B2978" s="152"/>
      <c r="E2978" s="102"/>
      <c r="F2978" s="102"/>
      <c r="G2978" s="102"/>
      <c r="I2978" s="93"/>
      <c r="J2978" s="93"/>
    </row>
    <row r="2979" spans="1:10" s="65" customFormat="1" ht="14" x14ac:dyDescent="0.35">
      <c r="A2979" s="145"/>
      <c r="B2979" s="152"/>
      <c r="E2979" s="102"/>
      <c r="F2979" s="102"/>
      <c r="G2979" s="102"/>
      <c r="I2979" s="93"/>
      <c r="J2979" s="93"/>
    </row>
    <row r="2980" spans="1:10" s="65" customFormat="1" ht="14" x14ac:dyDescent="0.35">
      <c r="A2980" s="145"/>
      <c r="B2980" s="152"/>
      <c r="E2980" s="102"/>
      <c r="F2980" s="102"/>
      <c r="G2980" s="102"/>
      <c r="I2980" s="93"/>
      <c r="J2980" s="93"/>
    </row>
    <row r="2981" spans="1:10" s="65" customFormat="1" ht="14" x14ac:dyDescent="0.35">
      <c r="A2981" s="145"/>
      <c r="B2981" s="152"/>
      <c r="E2981" s="102"/>
      <c r="F2981" s="102"/>
      <c r="G2981" s="102"/>
      <c r="I2981" s="93"/>
      <c r="J2981" s="93"/>
    </row>
    <row r="2982" spans="1:10" s="65" customFormat="1" ht="14" x14ac:dyDescent="0.35">
      <c r="A2982" s="145"/>
      <c r="B2982" s="152"/>
      <c r="E2982" s="102"/>
      <c r="F2982" s="102"/>
      <c r="G2982" s="102"/>
      <c r="I2982" s="93"/>
      <c r="J2982" s="93"/>
    </row>
    <row r="2983" spans="1:10" s="65" customFormat="1" ht="14" x14ac:dyDescent="0.35">
      <c r="A2983" s="145"/>
      <c r="B2983" s="152"/>
      <c r="E2983" s="102"/>
      <c r="F2983" s="102"/>
      <c r="G2983" s="102"/>
      <c r="I2983" s="93"/>
      <c r="J2983" s="93"/>
    </row>
    <row r="2984" spans="1:10" s="65" customFormat="1" ht="14" x14ac:dyDescent="0.35">
      <c r="A2984" s="145"/>
      <c r="B2984" s="152"/>
      <c r="E2984" s="102"/>
      <c r="F2984" s="102"/>
      <c r="G2984" s="102"/>
      <c r="I2984" s="93"/>
      <c r="J2984" s="93"/>
    </row>
    <row r="2985" spans="1:10" s="65" customFormat="1" ht="14" x14ac:dyDescent="0.35">
      <c r="A2985" s="145"/>
      <c r="B2985" s="152"/>
      <c r="E2985" s="102"/>
      <c r="F2985" s="102"/>
      <c r="G2985" s="102"/>
      <c r="I2985" s="93"/>
      <c r="J2985" s="93"/>
    </row>
    <row r="2986" spans="1:10" s="65" customFormat="1" ht="14" x14ac:dyDescent="0.35">
      <c r="A2986" s="145"/>
      <c r="B2986" s="152"/>
      <c r="E2986" s="102"/>
      <c r="F2986" s="102"/>
      <c r="G2986" s="102"/>
      <c r="I2986" s="93"/>
      <c r="J2986" s="93"/>
    </row>
    <row r="2987" spans="1:10" s="65" customFormat="1" ht="14" x14ac:dyDescent="0.35">
      <c r="A2987" s="145"/>
      <c r="B2987" s="152"/>
      <c r="E2987" s="102"/>
      <c r="F2987" s="102"/>
      <c r="G2987" s="102"/>
      <c r="I2987" s="93"/>
      <c r="J2987" s="93"/>
    </row>
    <row r="2988" spans="1:10" s="65" customFormat="1" ht="14" x14ac:dyDescent="0.35">
      <c r="A2988" s="145"/>
      <c r="B2988" s="152"/>
      <c r="E2988" s="102"/>
      <c r="F2988" s="102"/>
      <c r="G2988" s="102"/>
      <c r="I2988" s="93"/>
      <c r="J2988" s="93"/>
    </row>
    <row r="2989" spans="1:10" s="65" customFormat="1" ht="14" x14ac:dyDescent="0.35">
      <c r="A2989" s="145"/>
      <c r="B2989" s="152"/>
      <c r="E2989" s="102"/>
      <c r="F2989" s="102"/>
      <c r="G2989" s="102"/>
      <c r="I2989" s="93"/>
      <c r="J2989" s="93"/>
    </row>
    <row r="2990" spans="1:10" s="65" customFormat="1" ht="14" x14ac:dyDescent="0.35">
      <c r="A2990" s="145"/>
      <c r="B2990" s="152"/>
      <c r="E2990" s="102"/>
      <c r="F2990" s="102"/>
      <c r="G2990" s="102"/>
      <c r="I2990" s="93"/>
      <c r="J2990" s="93"/>
    </row>
    <row r="2991" spans="1:10" s="65" customFormat="1" ht="14" x14ac:dyDescent="0.35">
      <c r="A2991" s="145"/>
      <c r="B2991" s="152"/>
      <c r="E2991" s="102"/>
      <c r="F2991" s="102"/>
      <c r="G2991" s="102"/>
      <c r="I2991" s="93"/>
      <c r="J2991" s="93"/>
    </row>
    <row r="2992" spans="1:10" s="65" customFormat="1" ht="14" x14ac:dyDescent="0.35">
      <c r="A2992" s="145"/>
      <c r="B2992" s="152"/>
      <c r="E2992" s="102"/>
      <c r="F2992" s="102"/>
      <c r="G2992" s="102"/>
      <c r="I2992" s="93"/>
      <c r="J2992" s="93"/>
    </row>
    <row r="2993" spans="1:10" s="65" customFormat="1" ht="14" x14ac:dyDescent="0.35">
      <c r="A2993" s="145"/>
      <c r="B2993" s="152"/>
      <c r="E2993" s="102"/>
      <c r="F2993" s="102"/>
      <c r="G2993" s="102"/>
      <c r="I2993" s="93"/>
      <c r="J2993" s="93"/>
    </row>
    <row r="2994" spans="1:10" s="65" customFormat="1" ht="14" x14ac:dyDescent="0.35">
      <c r="A2994" s="145"/>
      <c r="B2994" s="152"/>
      <c r="E2994" s="102"/>
      <c r="F2994" s="102"/>
      <c r="G2994" s="102"/>
      <c r="I2994" s="93"/>
      <c r="J2994" s="93"/>
    </row>
    <row r="2995" spans="1:10" s="65" customFormat="1" ht="14" x14ac:dyDescent="0.35">
      <c r="A2995" s="145"/>
      <c r="B2995" s="152"/>
      <c r="E2995" s="102"/>
      <c r="F2995" s="102"/>
      <c r="G2995" s="102"/>
      <c r="I2995" s="93"/>
      <c r="J2995" s="93"/>
    </row>
    <row r="2996" spans="1:10" s="65" customFormat="1" ht="14" x14ac:dyDescent="0.35">
      <c r="A2996" s="145"/>
      <c r="B2996" s="152"/>
      <c r="E2996" s="102"/>
      <c r="F2996" s="102"/>
      <c r="G2996" s="102"/>
      <c r="I2996" s="93"/>
      <c r="J2996" s="93"/>
    </row>
    <row r="2997" spans="1:10" s="65" customFormat="1" ht="14" x14ac:dyDescent="0.35">
      <c r="A2997" s="145"/>
      <c r="B2997" s="152"/>
      <c r="E2997" s="102"/>
      <c r="F2997" s="102"/>
      <c r="G2997" s="102"/>
      <c r="I2997" s="93"/>
      <c r="J2997" s="93"/>
    </row>
    <row r="2998" spans="1:10" s="65" customFormat="1" ht="14" x14ac:dyDescent="0.35">
      <c r="A2998" s="145"/>
      <c r="B2998" s="152"/>
      <c r="E2998" s="102"/>
      <c r="F2998" s="102"/>
      <c r="G2998" s="102"/>
      <c r="I2998" s="93"/>
      <c r="J2998" s="93"/>
    </row>
    <row r="2999" spans="1:10" s="65" customFormat="1" ht="14" x14ac:dyDescent="0.35">
      <c r="A2999" s="145"/>
      <c r="B2999" s="152"/>
      <c r="E2999" s="102"/>
      <c r="F2999" s="102"/>
      <c r="G2999" s="102"/>
      <c r="I2999" s="93"/>
      <c r="J2999" s="93"/>
    </row>
    <row r="3000" spans="1:10" s="65" customFormat="1" ht="14" x14ac:dyDescent="0.35">
      <c r="A3000" s="145"/>
      <c r="B3000" s="152"/>
      <c r="E3000" s="102"/>
      <c r="F3000" s="102"/>
      <c r="G3000" s="102"/>
      <c r="I3000" s="93"/>
      <c r="J3000" s="93"/>
    </row>
    <row r="3001" spans="1:10" s="65" customFormat="1" ht="14" x14ac:dyDescent="0.35">
      <c r="A3001" s="145"/>
      <c r="B3001" s="152"/>
      <c r="E3001" s="102"/>
      <c r="F3001" s="102"/>
      <c r="G3001" s="102"/>
      <c r="I3001" s="93"/>
      <c r="J3001" s="93"/>
    </row>
    <row r="3002" spans="1:10" s="65" customFormat="1" ht="14" x14ac:dyDescent="0.35">
      <c r="A3002" s="145"/>
      <c r="B3002" s="152"/>
      <c r="E3002" s="102"/>
      <c r="F3002" s="102"/>
      <c r="G3002" s="102"/>
      <c r="I3002" s="93"/>
      <c r="J3002" s="93"/>
    </row>
    <row r="3003" spans="1:10" s="65" customFormat="1" ht="14" x14ac:dyDescent="0.35">
      <c r="A3003" s="145"/>
      <c r="B3003" s="152"/>
      <c r="E3003" s="102"/>
      <c r="F3003" s="102"/>
      <c r="G3003" s="102"/>
      <c r="I3003" s="93"/>
      <c r="J3003" s="93"/>
    </row>
    <row r="3004" spans="1:10" s="65" customFormat="1" ht="14" x14ac:dyDescent="0.35">
      <c r="A3004" s="145"/>
      <c r="B3004" s="152"/>
      <c r="E3004" s="102"/>
      <c r="F3004" s="102"/>
      <c r="G3004" s="102"/>
      <c r="I3004" s="93"/>
      <c r="J3004" s="93"/>
    </row>
    <row r="3005" spans="1:10" s="65" customFormat="1" ht="14" x14ac:dyDescent="0.35">
      <c r="A3005" s="145"/>
      <c r="B3005" s="152"/>
      <c r="E3005" s="102"/>
      <c r="F3005" s="102"/>
      <c r="G3005" s="102"/>
      <c r="I3005" s="93"/>
      <c r="J3005" s="93"/>
    </row>
    <row r="3006" spans="1:10" s="65" customFormat="1" ht="14" x14ac:dyDescent="0.35">
      <c r="A3006" s="145"/>
      <c r="B3006" s="152"/>
      <c r="E3006" s="102"/>
      <c r="F3006" s="102"/>
      <c r="G3006" s="102"/>
      <c r="I3006" s="93"/>
      <c r="J3006" s="93"/>
    </row>
    <row r="3007" spans="1:10" s="65" customFormat="1" ht="14" x14ac:dyDescent="0.35">
      <c r="A3007" s="145"/>
      <c r="B3007" s="152"/>
      <c r="E3007" s="102"/>
      <c r="F3007" s="102"/>
      <c r="G3007" s="102"/>
      <c r="I3007" s="93"/>
      <c r="J3007" s="93"/>
    </row>
    <row r="3008" spans="1:10" s="65" customFormat="1" ht="14" x14ac:dyDescent="0.35">
      <c r="A3008" s="145"/>
      <c r="B3008" s="152"/>
      <c r="E3008" s="102"/>
      <c r="F3008" s="102"/>
      <c r="G3008" s="102"/>
      <c r="I3008" s="93"/>
      <c r="J3008" s="93"/>
    </row>
    <row r="3009" spans="1:10" s="65" customFormat="1" ht="14" x14ac:dyDescent="0.35">
      <c r="A3009" s="145"/>
      <c r="B3009" s="152"/>
      <c r="E3009" s="102"/>
      <c r="F3009" s="102"/>
      <c r="G3009" s="102"/>
      <c r="I3009" s="93"/>
      <c r="J3009" s="93"/>
    </row>
    <row r="3010" spans="1:10" s="65" customFormat="1" ht="14" x14ac:dyDescent="0.35">
      <c r="A3010" s="145"/>
      <c r="B3010" s="152"/>
      <c r="E3010" s="102"/>
      <c r="F3010" s="102"/>
      <c r="G3010" s="102"/>
      <c r="I3010" s="93"/>
      <c r="J3010" s="93"/>
    </row>
    <row r="3011" spans="1:10" s="65" customFormat="1" ht="14" x14ac:dyDescent="0.35">
      <c r="A3011" s="145"/>
      <c r="B3011" s="152"/>
      <c r="E3011" s="102"/>
      <c r="F3011" s="102"/>
      <c r="G3011" s="102"/>
      <c r="I3011" s="93"/>
      <c r="J3011" s="93"/>
    </row>
    <row r="3012" spans="1:10" s="65" customFormat="1" ht="14" x14ac:dyDescent="0.35">
      <c r="A3012" s="145"/>
      <c r="B3012" s="152"/>
      <c r="E3012" s="102"/>
      <c r="F3012" s="102"/>
      <c r="G3012" s="102"/>
      <c r="I3012" s="93"/>
      <c r="J3012" s="93"/>
    </row>
    <row r="3013" spans="1:10" s="65" customFormat="1" ht="14" x14ac:dyDescent="0.35">
      <c r="A3013" s="145"/>
      <c r="B3013" s="152"/>
      <c r="E3013" s="102"/>
      <c r="F3013" s="102"/>
      <c r="G3013" s="102"/>
      <c r="I3013" s="93"/>
      <c r="J3013" s="93"/>
    </row>
    <row r="3014" spans="1:10" s="65" customFormat="1" ht="14" x14ac:dyDescent="0.35">
      <c r="A3014" s="145"/>
      <c r="B3014" s="152"/>
      <c r="E3014" s="102"/>
      <c r="F3014" s="102"/>
      <c r="G3014" s="102"/>
      <c r="I3014" s="93"/>
      <c r="J3014" s="93"/>
    </row>
    <row r="3015" spans="1:10" s="65" customFormat="1" ht="14" x14ac:dyDescent="0.35">
      <c r="A3015" s="145"/>
      <c r="B3015" s="152"/>
      <c r="E3015" s="102"/>
      <c r="F3015" s="102"/>
      <c r="G3015" s="102"/>
      <c r="I3015" s="93"/>
      <c r="J3015" s="93"/>
    </row>
    <row r="3016" spans="1:10" s="65" customFormat="1" ht="14" x14ac:dyDescent="0.35">
      <c r="A3016" s="145"/>
      <c r="B3016" s="152"/>
      <c r="E3016" s="102"/>
      <c r="F3016" s="102"/>
      <c r="G3016" s="102"/>
      <c r="I3016" s="93"/>
      <c r="J3016" s="93"/>
    </row>
    <row r="3017" spans="1:10" s="65" customFormat="1" ht="14" x14ac:dyDescent="0.35">
      <c r="A3017" s="145"/>
      <c r="B3017" s="152"/>
      <c r="E3017" s="102"/>
      <c r="F3017" s="102"/>
      <c r="G3017" s="102"/>
      <c r="I3017" s="93"/>
      <c r="J3017" s="93"/>
    </row>
    <row r="3018" spans="1:10" s="65" customFormat="1" ht="14" x14ac:dyDescent="0.35">
      <c r="A3018" s="145"/>
      <c r="B3018" s="152"/>
      <c r="E3018" s="102"/>
      <c r="F3018" s="102"/>
      <c r="G3018" s="102"/>
      <c r="I3018" s="93"/>
      <c r="J3018" s="93"/>
    </row>
    <row r="3019" spans="1:10" s="65" customFormat="1" ht="14" x14ac:dyDescent="0.35">
      <c r="A3019" s="145"/>
      <c r="B3019" s="152"/>
      <c r="E3019" s="102"/>
      <c r="F3019" s="102"/>
      <c r="G3019" s="102"/>
      <c r="I3019" s="93"/>
      <c r="J3019" s="93"/>
    </row>
    <row r="3020" spans="1:10" s="65" customFormat="1" ht="14" x14ac:dyDescent="0.35">
      <c r="A3020" s="145"/>
      <c r="B3020" s="152"/>
      <c r="E3020" s="102"/>
      <c r="F3020" s="102"/>
      <c r="G3020" s="102"/>
      <c r="I3020" s="93"/>
      <c r="J3020" s="93"/>
    </row>
    <row r="3021" spans="1:10" s="65" customFormat="1" ht="14" x14ac:dyDescent="0.35">
      <c r="A3021" s="145"/>
      <c r="B3021" s="152"/>
      <c r="E3021" s="102"/>
      <c r="F3021" s="102"/>
      <c r="G3021" s="102"/>
      <c r="I3021" s="93"/>
      <c r="J3021" s="93"/>
    </row>
    <row r="3022" spans="1:10" s="65" customFormat="1" ht="14" x14ac:dyDescent="0.35">
      <c r="A3022" s="145"/>
      <c r="B3022" s="152"/>
      <c r="E3022" s="102"/>
      <c r="F3022" s="102"/>
      <c r="G3022" s="102"/>
      <c r="I3022" s="93"/>
      <c r="J3022" s="93"/>
    </row>
    <row r="3023" spans="1:10" s="65" customFormat="1" ht="14" x14ac:dyDescent="0.35">
      <c r="A3023" s="145"/>
      <c r="B3023" s="152"/>
      <c r="E3023" s="102"/>
      <c r="F3023" s="102"/>
      <c r="G3023" s="102"/>
      <c r="I3023" s="93"/>
      <c r="J3023" s="93"/>
    </row>
    <row r="3024" spans="1:10" s="65" customFormat="1" ht="14" x14ac:dyDescent="0.35">
      <c r="A3024" s="145"/>
      <c r="B3024" s="152"/>
      <c r="E3024" s="102"/>
      <c r="F3024" s="102"/>
      <c r="G3024" s="102"/>
      <c r="I3024" s="93"/>
      <c r="J3024" s="93"/>
    </row>
    <row r="3025" spans="1:10" s="65" customFormat="1" ht="14" x14ac:dyDescent="0.35">
      <c r="A3025" s="145"/>
      <c r="B3025" s="152"/>
      <c r="E3025" s="102"/>
      <c r="F3025" s="102"/>
      <c r="G3025" s="102"/>
      <c r="I3025" s="93"/>
      <c r="J3025" s="93"/>
    </row>
    <row r="3026" spans="1:10" s="65" customFormat="1" ht="14" x14ac:dyDescent="0.35">
      <c r="A3026" s="145"/>
      <c r="B3026" s="152"/>
      <c r="E3026" s="102"/>
      <c r="F3026" s="102"/>
      <c r="G3026" s="102"/>
      <c r="I3026" s="93"/>
      <c r="J3026" s="93"/>
    </row>
    <row r="3027" spans="1:10" s="65" customFormat="1" ht="14" x14ac:dyDescent="0.35">
      <c r="A3027" s="145"/>
      <c r="B3027" s="152"/>
      <c r="E3027" s="102"/>
      <c r="F3027" s="102"/>
      <c r="G3027" s="102"/>
      <c r="I3027" s="93"/>
      <c r="J3027" s="93"/>
    </row>
    <row r="3028" spans="1:10" s="65" customFormat="1" ht="14" x14ac:dyDescent="0.35">
      <c r="A3028" s="145"/>
      <c r="B3028" s="152"/>
      <c r="E3028" s="102"/>
      <c r="F3028" s="102"/>
      <c r="G3028" s="102"/>
      <c r="I3028" s="93"/>
      <c r="J3028" s="93"/>
    </row>
    <row r="3029" spans="1:10" s="65" customFormat="1" ht="14" x14ac:dyDescent="0.35">
      <c r="A3029" s="145"/>
      <c r="B3029" s="152"/>
      <c r="E3029" s="102"/>
      <c r="F3029" s="102"/>
      <c r="G3029" s="102"/>
      <c r="I3029" s="93"/>
      <c r="J3029" s="93"/>
    </row>
    <row r="3030" spans="1:10" s="65" customFormat="1" ht="14" x14ac:dyDescent="0.35">
      <c r="A3030" s="145"/>
      <c r="B3030" s="152"/>
      <c r="E3030" s="102"/>
      <c r="F3030" s="102"/>
      <c r="G3030" s="102"/>
      <c r="I3030" s="93"/>
      <c r="J3030" s="93"/>
    </row>
    <row r="3031" spans="1:10" s="65" customFormat="1" ht="14" x14ac:dyDescent="0.35">
      <c r="A3031" s="145"/>
      <c r="B3031" s="152"/>
      <c r="E3031" s="102"/>
      <c r="F3031" s="102"/>
      <c r="G3031" s="102"/>
      <c r="I3031" s="93"/>
      <c r="J3031" s="93"/>
    </row>
    <row r="3032" spans="1:10" s="65" customFormat="1" ht="14" x14ac:dyDescent="0.35">
      <c r="A3032" s="145"/>
      <c r="B3032" s="152"/>
      <c r="E3032" s="102"/>
      <c r="F3032" s="102"/>
      <c r="G3032" s="102"/>
      <c r="I3032" s="93"/>
      <c r="J3032" s="93"/>
    </row>
    <row r="3033" spans="1:10" s="65" customFormat="1" ht="14" x14ac:dyDescent="0.35">
      <c r="A3033" s="145"/>
      <c r="B3033" s="152"/>
      <c r="E3033" s="102"/>
      <c r="F3033" s="102"/>
      <c r="G3033" s="102"/>
      <c r="I3033" s="93"/>
      <c r="J3033" s="93"/>
    </row>
    <row r="3034" spans="1:10" s="65" customFormat="1" ht="14" x14ac:dyDescent="0.35">
      <c r="A3034" s="145"/>
      <c r="B3034" s="152"/>
      <c r="E3034" s="102"/>
      <c r="F3034" s="102"/>
      <c r="G3034" s="102"/>
      <c r="I3034" s="93"/>
      <c r="J3034" s="93"/>
    </row>
    <row r="3035" spans="1:10" s="65" customFormat="1" ht="14" x14ac:dyDescent="0.35">
      <c r="A3035" s="145"/>
      <c r="B3035" s="152"/>
      <c r="E3035" s="102"/>
      <c r="F3035" s="102"/>
      <c r="G3035" s="102"/>
      <c r="I3035" s="93"/>
      <c r="J3035" s="93"/>
    </row>
    <row r="3036" spans="1:10" s="65" customFormat="1" ht="14" x14ac:dyDescent="0.35">
      <c r="A3036" s="145"/>
      <c r="B3036" s="152"/>
      <c r="E3036" s="102"/>
      <c r="F3036" s="102"/>
      <c r="G3036" s="102"/>
      <c r="I3036" s="93"/>
      <c r="J3036" s="93"/>
    </row>
    <row r="3037" spans="1:10" s="65" customFormat="1" ht="14" x14ac:dyDescent="0.35">
      <c r="A3037" s="145"/>
      <c r="B3037" s="152"/>
      <c r="E3037" s="102"/>
      <c r="F3037" s="102"/>
      <c r="G3037" s="102"/>
      <c r="I3037" s="93"/>
      <c r="J3037" s="93"/>
    </row>
    <row r="3038" spans="1:10" s="65" customFormat="1" ht="14" x14ac:dyDescent="0.35">
      <c r="A3038" s="145"/>
      <c r="B3038" s="152"/>
      <c r="E3038" s="102"/>
      <c r="F3038" s="102"/>
      <c r="G3038" s="102"/>
      <c r="I3038" s="93"/>
      <c r="J3038" s="93"/>
    </row>
    <row r="3039" spans="1:10" s="65" customFormat="1" ht="14" x14ac:dyDescent="0.35">
      <c r="A3039" s="145"/>
      <c r="B3039" s="152"/>
      <c r="E3039" s="102"/>
      <c r="F3039" s="102"/>
      <c r="G3039" s="102"/>
      <c r="I3039" s="93"/>
      <c r="J3039" s="93"/>
    </row>
    <row r="3040" spans="1:10" s="65" customFormat="1" ht="14" x14ac:dyDescent="0.35">
      <c r="A3040" s="145"/>
      <c r="B3040" s="152"/>
      <c r="E3040" s="102"/>
      <c r="F3040" s="102"/>
      <c r="G3040" s="102"/>
      <c r="I3040" s="93"/>
      <c r="J3040" s="93"/>
    </row>
    <row r="3041" spans="1:10" s="65" customFormat="1" ht="14" x14ac:dyDescent="0.35">
      <c r="A3041" s="145"/>
      <c r="B3041" s="152"/>
      <c r="E3041" s="102"/>
      <c r="F3041" s="102"/>
      <c r="G3041" s="102"/>
      <c r="I3041" s="93"/>
      <c r="J3041" s="93"/>
    </row>
    <row r="3042" spans="1:10" s="65" customFormat="1" ht="14" x14ac:dyDescent="0.35">
      <c r="A3042" s="145"/>
      <c r="B3042" s="152"/>
      <c r="E3042" s="102"/>
      <c r="F3042" s="102"/>
      <c r="G3042" s="102"/>
      <c r="I3042" s="93"/>
      <c r="J3042" s="93"/>
    </row>
    <row r="3043" spans="1:10" s="65" customFormat="1" ht="14" x14ac:dyDescent="0.35">
      <c r="A3043" s="145"/>
      <c r="B3043" s="152"/>
      <c r="E3043" s="102"/>
      <c r="F3043" s="102"/>
      <c r="G3043" s="102"/>
      <c r="I3043" s="93"/>
      <c r="J3043" s="93"/>
    </row>
    <row r="3044" spans="1:10" s="65" customFormat="1" ht="14" x14ac:dyDescent="0.35">
      <c r="A3044" s="145"/>
      <c r="B3044" s="152"/>
      <c r="E3044" s="102"/>
      <c r="F3044" s="102"/>
      <c r="G3044" s="102"/>
      <c r="I3044" s="93"/>
      <c r="J3044" s="93"/>
    </row>
    <row r="3045" spans="1:10" s="65" customFormat="1" ht="14" x14ac:dyDescent="0.35">
      <c r="A3045" s="145"/>
      <c r="B3045" s="152"/>
      <c r="E3045" s="102"/>
      <c r="F3045" s="102"/>
      <c r="G3045" s="102"/>
      <c r="I3045" s="93"/>
      <c r="J3045" s="93"/>
    </row>
    <row r="3046" spans="1:10" s="65" customFormat="1" ht="14" x14ac:dyDescent="0.35">
      <c r="A3046" s="145"/>
      <c r="B3046" s="152"/>
      <c r="E3046" s="102"/>
      <c r="F3046" s="102"/>
      <c r="G3046" s="102"/>
      <c r="I3046" s="93"/>
      <c r="J3046" s="93"/>
    </row>
    <row r="3047" spans="1:10" s="65" customFormat="1" ht="14" x14ac:dyDescent="0.35">
      <c r="A3047" s="145"/>
      <c r="B3047" s="152"/>
      <c r="E3047" s="102"/>
      <c r="F3047" s="102"/>
      <c r="G3047" s="102"/>
      <c r="I3047" s="93"/>
      <c r="J3047" s="93"/>
    </row>
    <row r="3048" spans="1:10" s="65" customFormat="1" ht="14" x14ac:dyDescent="0.35">
      <c r="A3048" s="145"/>
      <c r="B3048" s="152"/>
      <c r="E3048" s="102"/>
      <c r="F3048" s="102"/>
      <c r="G3048" s="102"/>
      <c r="I3048" s="93"/>
      <c r="J3048" s="93"/>
    </row>
    <row r="3049" spans="1:10" s="65" customFormat="1" ht="14" x14ac:dyDescent="0.35">
      <c r="A3049" s="145"/>
      <c r="B3049" s="152"/>
      <c r="E3049" s="102"/>
      <c r="F3049" s="102"/>
      <c r="G3049" s="102"/>
      <c r="I3049" s="93"/>
      <c r="J3049" s="93"/>
    </row>
    <row r="3050" spans="1:10" s="65" customFormat="1" ht="14" x14ac:dyDescent="0.35">
      <c r="A3050" s="145"/>
      <c r="B3050" s="152"/>
      <c r="E3050" s="102"/>
      <c r="F3050" s="102"/>
      <c r="G3050" s="102"/>
      <c r="I3050" s="93"/>
      <c r="J3050" s="93"/>
    </row>
    <row r="3051" spans="1:10" s="65" customFormat="1" ht="14" x14ac:dyDescent="0.35">
      <c r="A3051" s="145"/>
      <c r="B3051" s="152"/>
      <c r="E3051" s="102"/>
      <c r="F3051" s="102"/>
      <c r="G3051" s="102"/>
      <c r="I3051" s="93"/>
      <c r="J3051" s="93"/>
    </row>
    <row r="3052" spans="1:10" s="65" customFormat="1" ht="14" x14ac:dyDescent="0.35">
      <c r="A3052" s="145"/>
      <c r="B3052" s="152"/>
      <c r="E3052" s="102"/>
      <c r="F3052" s="102"/>
      <c r="G3052" s="102"/>
      <c r="I3052" s="93"/>
      <c r="J3052" s="93"/>
    </row>
    <row r="3053" spans="1:10" s="65" customFormat="1" ht="14" x14ac:dyDescent="0.35">
      <c r="A3053" s="145"/>
      <c r="B3053" s="152"/>
      <c r="E3053" s="102"/>
      <c r="F3053" s="102"/>
      <c r="G3053" s="102"/>
      <c r="I3053" s="93"/>
      <c r="J3053" s="93"/>
    </row>
    <row r="3054" spans="1:10" s="65" customFormat="1" ht="14" x14ac:dyDescent="0.35">
      <c r="A3054" s="145"/>
      <c r="B3054" s="152"/>
      <c r="E3054" s="102"/>
      <c r="F3054" s="102"/>
      <c r="G3054" s="102"/>
      <c r="I3054" s="93"/>
      <c r="J3054" s="93"/>
    </row>
    <row r="3055" spans="1:10" s="65" customFormat="1" ht="14" x14ac:dyDescent="0.35">
      <c r="A3055" s="145"/>
      <c r="B3055" s="152"/>
      <c r="E3055" s="102"/>
      <c r="F3055" s="102"/>
      <c r="G3055" s="102"/>
      <c r="I3055" s="93"/>
      <c r="J3055" s="93"/>
    </row>
    <row r="3056" spans="1:10" s="65" customFormat="1" ht="14" x14ac:dyDescent="0.35">
      <c r="A3056" s="145"/>
      <c r="B3056" s="152"/>
      <c r="E3056" s="102"/>
      <c r="F3056" s="102"/>
      <c r="G3056" s="102"/>
      <c r="I3056" s="93"/>
      <c r="J3056" s="93"/>
    </row>
    <row r="3057" spans="1:10" s="65" customFormat="1" ht="14" x14ac:dyDescent="0.35">
      <c r="A3057" s="145"/>
      <c r="B3057" s="152"/>
      <c r="E3057" s="102"/>
      <c r="F3057" s="102"/>
      <c r="G3057" s="102"/>
      <c r="I3057" s="93"/>
      <c r="J3057" s="93"/>
    </row>
    <row r="3058" spans="1:10" s="65" customFormat="1" ht="14" x14ac:dyDescent="0.35">
      <c r="A3058" s="145"/>
      <c r="B3058" s="152"/>
      <c r="E3058" s="102"/>
      <c r="F3058" s="102"/>
      <c r="G3058" s="102"/>
      <c r="I3058" s="93"/>
      <c r="J3058" s="93"/>
    </row>
    <row r="3059" spans="1:10" s="65" customFormat="1" ht="14" x14ac:dyDescent="0.35">
      <c r="A3059" s="145"/>
      <c r="B3059" s="152"/>
      <c r="E3059" s="102"/>
      <c r="F3059" s="102"/>
      <c r="G3059" s="102"/>
      <c r="I3059" s="93"/>
      <c r="J3059" s="93"/>
    </row>
    <row r="3060" spans="1:10" s="65" customFormat="1" ht="14" x14ac:dyDescent="0.35">
      <c r="A3060" s="145"/>
      <c r="B3060" s="152"/>
      <c r="E3060" s="102"/>
      <c r="F3060" s="102"/>
      <c r="G3060" s="102"/>
      <c r="I3060" s="93"/>
      <c r="J3060" s="93"/>
    </row>
    <row r="3061" spans="1:10" s="65" customFormat="1" ht="14" x14ac:dyDescent="0.35">
      <c r="A3061" s="145"/>
      <c r="B3061" s="152"/>
      <c r="E3061" s="102"/>
      <c r="F3061" s="102"/>
      <c r="G3061" s="102"/>
      <c r="I3061" s="93"/>
      <c r="J3061" s="93"/>
    </row>
    <row r="3062" spans="1:10" s="65" customFormat="1" ht="14" x14ac:dyDescent="0.35">
      <c r="A3062" s="145"/>
      <c r="B3062" s="152"/>
      <c r="E3062" s="102"/>
      <c r="F3062" s="102"/>
      <c r="G3062" s="102"/>
      <c r="I3062" s="93"/>
      <c r="J3062" s="93"/>
    </row>
    <row r="3063" spans="1:10" s="65" customFormat="1" ht="14" x14ac:dyDescent="0.35">
      <c r="A3063" s="145"/>
      <c r="B3063" s="152"/>
      <c r="E3063" s="102"/>
      <c r="F3063" s="102"/>
      <c r="G3063" s="102"/>
      <c r="I3063" s="93"/>
      <c r="J3063" s="93"/>
    </row>
    <row r="3064" spans="1:10" s="65" customFormat="1" ht="14" x14ac:dyDescent="0.35">
      <c r="A3064" s="145"/>
      <c r="B3064" s="152"/>
      <c r="E3064" s="102"/>
      <c r="F3064" s="102"/>
      <c r="G3064" s="102"/>
      <c r="I3064" s="93"/>
      <c r="J3064" s="93"/>
    </row>
    <row r="3065" spans="1:10" s="65" customFormat="1" ht="14" x14ac:dyDescent="0.35">
      <c r="A3065" s="145"/>
      <c r="B3065" s="152"/>
      <c r="E3065" s="102"/>
      <c r="F3065" s="102"/>
      <c r="G3065" s="102"/>
      <c r="I3065" s="93"/>
      <c r="J3065" s="93"/>
    </row>
    <row r="3066" spans="1:10" s="65" customFormat="1" ht="14" x14ac:dyDescent="0.35">
      <c r="A3066" s="145"/>
      <c r="B3066" s="152"/>
      <c r="E3066" s="102"/>
      <c r="F3066" s="102"/>
      <c r="G3066" s="102"/>
      <c r="I3066" s="93"/>
      <c r="J3066" s="93"/>
    </row>
    <row r="3067" spans="1:10" s="65" customFormat="1" ht="14" x14ac:dyDescent="0.35">
      <c r="A3067" s="145"/>
      <c r="B3067" s="152"/>
      <c r="E3067" s="102"/>
      <c r="F3067" s="102"/>
      <c r="G3067" s="102"/>
      <c r="I3067" s="93"/>
      <c r="J3067" s="93"/>
    </row>
    <row r="3068" spans="1:10" s="65" customFormat="1" ht="14" x14ac:dyDescent="0.35">
      <c r="A3068" s="145"/>
      <c r="B3068" s="152"/>
      <c r="E3068" s="102"/>
      <c r="F3068" s="102"/>
      <c r="G3068" s="102"/>
      <c r="I3068" s="93"/>
      <c r="J3068" s="93"/>
    </row>
    <row r="3069" spans="1:10" s="65" customFormat="1" ht="14" x14ac:dyDescent="0.35">
      <c r="A3069" s="145"/>
      <c r="B3069" s="152"/>
      <c r="E3069" s="102"/>
      <c r="F3069" s="102"/>
      <c r="G3069" s="102"/>
      <c r="I3069" s="93"/>
      <c r="J3069" s="93"/>
    </row>
    <row r="3070" spans="1:10" s="65" customFormat="1" ht="14" x14ac:dyDescent="0.35">
      <c r="A3070" s="145"/>
      <c r="B3070" s="152"/>
      <c r="E3070" s="102"/>
      <c r="F3070" s="102"/>
      <c r="G3070" s="102"/>
      <c r="I3070" s="93"/>
      <c r="J3070" s="93"/>
    </row>
    <row r="3071" spans="1:10" s="65" customFormat="1" ht="14" x14ac:dyDescent="0.35">
      <c r="A3071" s="145"/>
      <c r="B3071" s="152"/>
      <c r="E3071" s="102"/>
      <c r="F3071" s="102"/>
      <c r="G3071" s="102"/>
      <c r="I3071" s="93"/>
      <c r="J3071" s="93"/>
    </row>
    <row r="3072" spans="1:10" s="65" customFormat="1" ht="14" x14ac:dyDescent="0.35">
      <c r="A3072" s="145"/>
      <c r="B3072" s="152"/>
      <c r="E3072" s="102"/>
      <c r="F3072" s="102"/>
      <c r="G3072" s="102"/>
      <c r="I3072" s="93"/>
      <c r="J3072" s="93"/>
    </row>
    <row r="3073" spans="1:10" s="65" customFormat="1" ht="14" x14ac:dyDescent="0.35">
      <c r="A3073" s="145"/>
      <c r="B3073" s="152"/>
      <c r="E3073" s="102"/>
      <c r="F3073" s="102"/>
      <c r="G3073" s="102"/>
      <c r="I3073" s="93"/>
      <c r="J3073" s="93"/>
    </row>
    <row r="3074" spans="1:10" s="65" customFormat="1" ht="14" x14ac:dyDescent="0.35">
      <c r="A3074" s="145"/>
      <c r="B3074" s="152"/>
      <c r="E3074" s="102"/>
      <c r="F3074" s="102"/>
      <c r="G3074" s="102"/>
      <c r="I3074" s="93"/>
      <c r="J3074" s="93"/>
    </row>
    <row r="3075" spans="1:10" s="65" customFormat="1" ht="14" x14ac:dyDescent="0.35">
      <c r="A3075" s="145"/>
      <c r="B3075" s="152"/>
      <c r="E3075" s="102"/>
      <c r="F3075" s="102"/>
      <c r="G3075" s="102"/>
      <c r="I3075" s="93"/>
      <c r="J3075" s="93"/>
    </row>
    <row r="3076" spans="1:10" s="65" customFormat="1" ht="14" x14ac:dyDescent="0.35">
      <c r="A3076" s="145"/>
      <c r="B3076" s="152"/>
      <c r="E3076" s="102"/>
      <c r="F3076" s="102"/>
      <c r="G3076" s="102"/>
      <c r="I3076" s="93"/>
      <c r="J3076" s="93"/>
    </row>
    <row r="3077" spans="1:10" s="65" customFormat="1" ht="14" x14ac:dyDescent="0.35">
      <c r="A3077" s="145"/>
      <c r="B3077" s="152"/>
      <c r="E3077" s="102"/>
      <c r="F3077" s="102"/>
      <c r="G3077" s="102"/>
      <c r="I3077" s="93"/>
      <c r="J3077" s="93"/>
    </row>
    <row r="3078" spans="1:10" s="65" customFormat="1" ht="14" x14ac:dyDescent="0.35">
      <c r="A3078" s="145"/>
      <c r="B3078" s="152"/>
      <c r="E3078" s="102"/>
      <c r="F3078" s="102"/>
      <c r="G3078" s="102"/>
      <c r="I3078" s="93"/>
      <c r="J3078" s="93"/>
    </row>
    <row r="3079" spans="1:10" s="65" customFormat="1" ht="14" x14ac:dyDescent="0.35">
      <c r="A3079" s="145"/>
      <c r="B3079" s="152"/>
      <c r="E3079" s="102"/>
      <c r="F3079" s="102"/>
      <c r="G3079" s="102"/>
      <c r="I3079" s="93"/>
      <c r="J3079" s="93"/>
    </row>
    <row r="3080" spans="1:10" s="65" customFormat="1" ht="14" x14ac:dyDescent="0.35">
      <c r="A3080" s="145"/>
      <c r="B3080" s="152"/>
      <c r="E3080" s="102"/>
      <c r="F3080" s="102"/>
      <c r="G3080" s="102"/>
      <c r="I3080" s="93"/>
      <c r="J3080" s="93"/>
    </row>
    <row r="3081" spans="1:10" s="65" customFormat="1" ht="14" x14ac:dyDescent="0.35">
      <c r="A3081" s="145"/>
      <c r="B3081" s="152"/>
      <c r="E3081" s="102"/>
      <c r="F3081" s="102"/>
      <c r="G3081" s="102"/>
      <c r="I3081" s="93"/>
      <c r="J3081" s="93"/>
    </row>
    <row r="3082" spans="1:10" s="65" customFormat="1" ht="14" x14ac:dyDescent="0.35">
      <c r="A3082" s="145"/>
      <c r="B3082" s="152"/>
      <c r="E3082" s="102"/>
      <c r="F3082" s="102"/>
      <c r="G3082" s="102"/>
      <c r="I3082" s="93"/>
      <c r="J3082" s="93"/>
    </row>
    <row r="3083" spans="1:10" s="65" customFormat="1" ht="14" x14ac:dyDescent="0.35">
      <c r="A3083" s="145"/>
      <c r="B3083" s="152"/>
      <c r="E3083" s="102"/>
      <c r="F3083" s="102"/>
      <c r="G3083" s="102"/>
      <c r="I3083" s="93"/>
      <c r="J3083" s="93"/>
    </row>
    <row r="3084" spans="1:10" s="65" customFormat="1" ht="14" x14ac:dyDescent="0.35">
      <c r="A3084" s="145"/>
      <c r="B3084" s="152"/>
      <c r="E3084" s="102"/>
      <c r="F3084" s="102"/>
      <c r="G3084" s="102"/>
      <c r="I3084" s="93"/>
      <c r="J3084" s="93"/>
    </row>
    <row r="3085" spans="1:10" s="65" customFormat="1" ht="14" x14ac:dyDescent="0.35">
      <c r="A3085" s="145"/>
      <c r="B3085" s="152"/>
      <c r="E3085" s="102"/>
      <c r="F3085" s="102"/>
      <c r="G3085" s="102"/>
      <c r="I3085" s="93"/>
      <c r="J3085" s="93"/>
    </row>
    <row r="3086" spans="1:10" s="65" customFormat="1" ht="14" x14ac:dyDescent="0.35">
      <c r="A3086" s="145"/>
      <c r="B3086" s="152"/>
      <c r="E3086" s="102"/>
      <c r="F3086" s="102"/>
      <c r="G3086" s="102"/>
      <c r="I3086" s="93"/>
      <c r="J3086" s="93"/>
    </row>
    <row r="3087" spans="1:10" s="65" customFormat="1" ht="14" x14ac:dyDescent="0.35">
      <c r="A3087" s="145"/>
      <c r="B3087" s="152"/>
      <c r="E3087" s="102"/>
      <c r="F3087" s="102"/>
      <c r="G3087" s="102"/>
      <c r="I3087" s="93"/>
      <c r="J3087" s="93"/>
    </row>
    <row r="3088" spans="1:10" s="65" customFormat="1" ht="14" x14ac:dyDescent="0.35">
      <c r="A3088" s="145"/>
      <c r="B3088" s="152"/>
      <c r="E3088" s="102"/>
      <c r="F3088" s="102"/>
      <c r="G3088" s="102"/>
      <c r="I3088" s="93"/>
      <c r="J3088" s="93"/>
    </row>
    <row r="3089" spans="1:10" s="65" customFormat="1" ht="14" x14ac:dyDescent="0.35">
      <c r="A3089" s="145"/>
      <c r="B3089" s="152"/>
      <c r="E3089" s="102"/>
      <c r="F3089" s="102"/>
      <c r="G3089" s="102"/>
      <c r="I3089" s="93"/>
      <c r="J3089" s="93"/>
    </row>
    <row r="3090" spans="1:10" s="65" customFormat="1" ht="14" x14ac:dyDescent="0.35">
      <c r="A3090" s="145"/>
      <c r="B3090" s="152"/>
      <c r="E3090" s="102"/>
      <c r="F3090" s="102"/>
      <c r="G3090" s="102"/>
      <c r="I3090" s="93"/>
      <c r="J3090" s="93"/>
    </row>
    <row r="3091" spans="1:10" s="65" customFormat="1" ht="14" x14ac:dyDescent="0.35">
      <c r="A3091" s="145"/>
      <c r="B3091" s="152"/>
      <c r="E3091" s="102"/>
      <c r="F3091" s="102"/>
      <c r="G3091" s="102"/>
      <c r="I3091" s="93"/>
      <c r="J3091" s="93"/>
    </row>
    <row r="3092" spans="1:10" s="65" customFormat="1" ht="14" x14ac:dyDescent="0.35">
      <c r="A3092" s="145"/>
      <c r="B3092" s="152"/>
      <c r="E3092" s="102"/>
      <c r="F3092" s="102"/>
      <c r="G3092" s="102"/>
      <c r="I3092" s="93"/>
      <c r="J3092" s="93"/>
    </row>
    <row r="3093" spans="1:10" s="65" customFormat="1" ht="14" x14ac:dyDescent="0.35">
      <c r="A3093" s="145"/>
      <c r="B3093" s="152"/>
      <c r="E3093" s="102"/>
      <c r="F3093" s="102"/>
      <c r="G3093" s="102"/>
      <c r="I3093" s="93"/>
      <c r="J3093" s="93"/>
    </row>
    <row r="3094" spans="1:10" s="65" customFormat="1" ht="14" x14ac:dyDescent="0.35">
      <c r="A3094" s="145"/>
      <c r="B3094" s="152"/>
      <c r="E3094" s="102"/>
      <c r="F3094" s="102"/>
      <c r="G3094" s="102"/>
      <c r="I3094" s="93"/>
      <c r="J3094" s="93"/>
    </row>
    <row r="3095" spans="1:10" s="65" customFormat="1" ht="14" x14ac:dyDescent="0.35">
      <c r="A3095" s="145"/>
      <c r="B3095" s="152"/>
      <c r="E3095" s="102"/>
      <c r="F3095" s="102"/>
      <c r="G3095" s="102"/>
      <c r="I3095" s="93"/>
      <c r="J3095" s="93"/>
    </row>
    <row r="3096" spans="1:10" s="65" customFormat="1" ht="14" x14ac:dyDescent="0.35">
      <c r="A3096" s="145"/>
      <c r="B3096" s="152"/>
      <c r="E3096" s="102"/>
      <c r="F3096" s="102"/>
      <c r="G3096" s="102"/>
      <c r="I3096" s="93"/>
      <c r="J3096" s="93"/>
    </row>
    <row r="3097" spans="1:10" s="65" customFormat="1" ht="14" x14ac:dyDescent="0.35">
      <c r="A3097" s="145"/>
      <c r="B3097" s="152"/>
      <c r="E3097" s="102"/>
      <c r="F3097" s="102"/>
      <c r="G3097" s="102"/>
      <c r="I3097" s="93"/>
      <c r="J3097" s="93"/>
    </row>
    <row r="3098" spans="1:10" s="65" customFormat="1" ht="14" x14ac:dyDescent="0.35">
      <c r="A3098" s="145"/>
      <c r="B3098" s="152"/>
      <c r="E3098" s="102"/>
      <c r="F3098" s="102"/>
      <c r="G3098" s="102"/>
      <c r="I3098" s="93"/>
      <c r="J3098" s="93"/>
    </row>
    <row r="3099" spans="1:10" s="65" customFormat="1" ht="14" x14ac:dyDescent="0.35">
      <c r="A3099" s="145"/>
      <c r="B3099" s="152"/>
      <c r="E3099" s="102"/>
      <c r="F3099" s="102"/>
      <c r="G3099" s="102"/>
      <c r="I3099" s="93"/>
      <c r="J3099" s="93"/>
    </row>
    <row r="3100" spans="1:10" s="65" customFormat="1" ht="14" x14ac:dyDescent="0.35">
      <c r="A3100" s="145"/>
      <c r="B3100" s="152"/>
      <c r="E3100" s="102"/>
      <c r="F3100" s="102"/>
      <c r="G3100" s="102"/>
      <c r="I3100" s="93"/>
      <c r="J3100" s="93"/>
    </row>
    <row r="3101" spans="1:10" s="65" customFormat="1" ht="14" x14ac:dyDescent="0.35">
      <c r="A3101" s="145"/>
      <c r="B3101" s="152"/>
      <c r="E3101" s="102"/>
      <c r="F3101" s="102"/>
      <c r="G3101" s="102"/>
      <c r="I3101" s="93"/>
      <c r="J3101" s="93"/>
    </row>
    <row r="3102" spans="1:10" s="65" customFormat="1" ht="14" x14ac:dyDescent="0.35">
      <c r="A3102" s="145"/>
      <c r="B3102" s="152"/>
      <c r="E3102" s="102"/>
      <c r="F3102" s="102"/>
      <c r="G3102" s="102"/>
      <c r="I3102" s="93"/>
      <c r="J3102" s="93"/>
    </row>
    <row r="3103" spans="1:10" s="65" customFormat="1" ht="14" x14ac:dyDescent="0.35">
      <c r="A3103" s="145"/>
      <c r="B3103" s="152"/>
      <c r="E3103" s="102"/>
      <c r="F3103" s="102"/>
      <c r="G3103" s="102"/>
      <c r="I3103" s="93"/>
      <c r="J3103" s="93"/>
    </row>
    <row r="3104" spans="1:10" s="65" customFormat="1" ht="14" x14ac:dyDescent="0.35">
      <c r="A3104" s="145"/>
      <c r="B3104" s="152"/>
      <c r="E3104" s="102"/>
      <c r="F3104" s="102"/>
      <c r="G3104" s="102"/>
      <c r="I3104" s="93"/>
      <c r="J3104" s="93"/>
    </row>
    <row r="3105" spans="1:10" s="65" customFormat="1" ht="14" x14ac:dyDescent="0.35">
      <c r="A3105" s="145"/>
      <c r="B3105" s="152"/>
      <c r="E3105" s="102"/>
      <c r="F3105" s="102"/>
      <c r="G3105" s="102"/>
      <c r="I3105" s="93"/>
      <c r="J3105" s="93"/>
    </row>
    <row r="3106" spans="1:10" s="65" customFormat="1" ht="14" x14ac:dyDescent="0.35">
      <c r="A3106" s="145"/>
      <c r="B3106" s="152"/>
      <c r="E3106" s="102"/>
      <c r="F3106" s="102"/>
      <c r="G3106" s="102"/>
      <c r="I3106" s="93"/>
      <c r="J3106" s="93"/>
    </row>
    <row r="3107" spans="1:10" s="65" customFormat="1" ht="14" x14ac:dyDescent="0.35">
      <c r="A3107" s="145"/>
      <c r="B3107" s="152"/>
      <c r="E3107" s="102"/>
      <c r="F3107" s="102"/>
      <c r="G3107" s="102"/>
      <c r="I3107" s="93"/>
      <c r="J3107" s="93"/>
    </row>
    <row r="3108" spans="1:10" s="65" customFormat="1" ht="14" x14ac:dyDescent="0.35">
      <c r="A3108" s="145"/>
      <c r="B3108" s="152"/>
      <c r="E3108" s="102"/>
      <c r="F3108" s="102"/>
      <c r="G3108" s="102"/>
      <c r="I3108" s="93"/>
      <c r="J3108" s="93"/>
    </row>
    <row r="3109" spans="1:10" s="65" customFormat="1" ht="14" x14ac:dyDescent="0.35">
      <c r="A3109" s="145"/>
      <c r="B3109" s="152"/>
      <c r="E3109" s="102"/>
      <c r="F3109" s="102"/>
      <c r="G3109" s="102"/>
      <c r="I3109" s="93"/>
      <c r="J3109" s="93"/>
    </row>
    <row r="3110" spans="1:10" s="65" customFormat="1" ht="14" x14ac:dyDescent="0.35">
      <c r="A3110" s="145"/>
      <c r="B3110" s="152"/>
      <c r="E3110" s="102"/>
      <c r="F3110" s="102"/>
      <c r="G3110" s="102"/>
      <c r="I3110" s="93"/>
      <c r="J3110" s="93"/>
    </row>
    <row r="3111" spans="1:10" s="65" customFormat="1" ht="14" x14ac:dyDescent="0.35">
      <c r="A3111" s="145"/>
      <c r="B3111" s="152"/>
      <c r="E3111" s="102"/>
      <c r="F3111" s="102"/>
      <c r="G3111" s="102"/>
      <c r="I3111" s="93"/>
      <c r="J3111" s="93"/>
    </row>
    <row r="3112" spans="1:10" s="65" customFormat="1" ht="14" x14ac:dyDescent="0.35">
      <c r="A3112" s="145"/>
      <c r="B3112" s="152"/>
      <c r="E3112" s="102"/>
      <c r="F3112" s="102"/>
      <c r="G3112" s="102"/>
      <c r="I3112" s="93"/>
      <c r="J3112" s="93"/>
    </row>
    <row r="3113" spans="1:10" s="65" customFormat="1" ht="14" x14ac:dyDescent="0.35">
      <c r="A3113" s="145"/>
      <c r="B3113" s="152"/>
      <c r="E3113" s="102"/>
      <c r="F3113" s="102"/>
      <c r="G3113" s="102"/>
      <c r="I3113" s="93"/>
      <c r="J3113" s="93"/>
    </row>
    <row r="3114" spans="1:10" s="65" customFormat="1" ht="14" x14ac:dyDescent="0.35">
      <c r="A3114" s="145"/>
      <c r="B3114" s="152"/>
      <c r="E3114" s="102"/>
      <c r="F3114" s="102"/>
      <c r="G3114" s="102"/>
      <c r="I3114" s="93"/>
      <c r="J3114" s="93"/>
    </row>
    <row r="3115" spans="1:10" s="65" customFormat="1" ht="14" x14ac:dyDescent="0.35">
      <c r="A3115" s="145"/>
      <c r="B3115" s="152"/>
      <c r="E3115" s="102"/>
      <c r="F3115" s="102"/>
      <c r="G3115" s="102"/>
      <c r="I3115" s="93"/>
      <c r="J3115" s="93"/>
    </row>
    <row r="3116" spans="1:10" s="65" customFormat="1" ht="14" x14ac:dyDescent="0.35">
      <c r="A3116" s="145"/>
      <c r="B3116" s="152"/>
      <c r="E3116" s="102"/>
      <c r="F3116" s="102"/>
      <c r="G3116" s="102"/>
      <c r="I3116" s="93"/>
      <c r="J3116" s="93"/>
    </row>
    <row r="3117" spans="1:10" s="65" customFormat="1" ht="14" x14ac:dyDescent="0.35">
      <c r="A3117" s="145"/>
      <c r="B3117" s="152"/>
      <c r="E3117" s="102"/>
      <c r="F3117" s="102"/>
      <c r="G3117" s="102"/>
      <c r="I3117" s="93"/>
      <c r="J3117" s="93"/>
    </row>
    <row r="3118" spans="1:10" s="65" customFormat="1" ht="14" x14ac:dyDescent="0.35">
      <c r="A3118" s="145"/>
      <c r="B3118" s="152"/>
      <c r="E3118" s="102"/>
      <c r="F3118" s="102"/>
      <c r="G3118" s="102"/>
      <c r="I3118" s="93"/>
      <c r="J3118" s="93"/>
    </row>
    <row r="3119" spans="1:10" s="65" customFormat="1" ht="14" x14ac:dyDescent="0.35">
      <c r="A3119" s="145"/>
      <c r="B3119" s="152"/>
      <c r="E3119" s="102"/>
      <c r="F3119" s="102"/>
      <c r="G3119" s="102"/>
      <c r="I3119" s="93"/>
      <c r="J3119" s="93"/>
    </row>
    <row r="3120" spans="1:10" s="65" customFormat="1" ht="14" x14ac:dyDescent="0.35">
      <c r="A3120" s="145"/>
      <c r="B3120" s="152"/>
      <c r="E3120" s="102"/>
      <c r="F3120" s="102"/>
      <c r="G3120" s="102"/>
      <c r="I3120" s="93"/>
      <c r="J3120" s="93"/>
    </row>
    <row r="3121" spans="1:10" s="65" customFormat="1" ht="14" x14ac:dyDescent="0.35">
      <c r="A3121" s="145"/>
      <c r="B3121" s="152"/>
      <c r="E3121" s="102"/>
      <c r="F3121" s="102"/>
      <c r="G3121" s="102"/>
      <c r="I3121" s="93"/>
      <c r="J3121" s="93"/>
    </row>
    <row r="3122" spans="1:10" s="65" customFormat="1" ht="14" x14ac:dyDescent="0.35">
      <c r="A3122" s="145"/>
      <c r="B3122" s="152"/>
      <c r="E3122" s="102"/>
      <c r="F3122" s="102"/>
      <c r="G3122" s="102"/>
      <c r="I3122" s="93"/>
      <c r="J3122" s="93"/>
    </row>
    <row r="3123" spans="1:10" s="65" customFormat="1" ht="14" x14ac:dyDescent="0.35">
      <c r="A3123" s="145"/>
      <c r="B3123" s="152"/>
      <c r="E3123" s="102"/>
      <c r="F3123" s="102"/>
      <c r="G3123" s="102"/>
      <c r="I3123" s="93"/>
      <c r="J3123" s="93"/>
    </row>
    <row r="3124" spans="1:10" s="65" customFormat="1" ht="14" x14ac:dyDescent="0.35">
      <c r="A3124" s="145"/>
      <c r="B3124" s="152"/>
      <c r="E3124" s="102"/>
      <c r="F3124" s="102"/>
      <c r="G3124" s="102"/>
      <c r="I3124" s="93"/>
      <c r="J3124" s="93"/>
    </row>
    <row r="3125" spans="1:10" s="65" customFormat="1" ht="14" x14ac:dyDescent="0.35">
      <c r="A3125" s="145"/>
      <c r="B3125" s="152"/>
      <c r="E3125" s="102"/>
      <c r="F3125" s="102"/>
      <c r="G3125" s="102"/>
      <c r="I3125" s="93"/>
      <c r="J3125" s="93"/>
    </row>
    <row r="3126" spans="1:10" s="65" customFormat="1" ht="14" x14ac:dyDescent="0.35">
      <c r="A3126" s="145"/>
      <c r="B3126" s="152"/>
      <c r="E3126" s="102"/>
      <c r="F3126" s="102"/>
      <c r="G3126" s="102"/>
      <c r="I3126" s="93"/>
      <c r="J3126" s="93"/>
    </row>
    <row r="3127" spans="1:10" s="65" customFormat="1" ht="14" x14ac:dyDescent="0.35">
      <c r="A3127" s="145"/>
      <c r="B3127" s="152"/>
      <c r="E3127" s="102"/>
      <c r="F3127" s="102"/>
      <c r="G3127" s="102"/>
      <c r="I3127" s="93"/>
      <c r="J3127" s="93"/>
    </row>
    <row r="3128" spans="1:10" s="65" customFormat="1" ht="14" x14ac:dyDescent="0.35">
      <c r="A3128" s="145"/>
      <c r="B3128" s="152"/>
      <c r="E3128" s="102"/>
      <c r="F3128" s="102"/>
      <c r="G3128" s="102"/>
      <c r="I3128" s="93"/>
      <c r="J3128" s="93"/>
    </row>
    <row r="3129" spans="1:10" s="65" customFormat="1" ht="14" x14ac:dyDescent="0.35">
      <c r="A3129" s="145"/>
      <c r="B3129" s="152"/>
      <c r="E3129" s="102"/>
      <c r="F3129" s="102"/>
      <c r="G3129" s="102"/>
      <c r="I3129" s="93"/>
      <c r="J3129" s="93"/>
    </row>
    <row r="3130" spans="1:10" s="65" customFormat="1" ht="14" x14ac:dyDescent="0.35">
      <c r="A3130" s="145"/>
      <c r="B3130" s="152"/>
      <c r="E3130" s="102"/>
      <c r="F3130" s="102"/>
      <c r="G3130" s="102"/>
      <c r="I3130" s="93"/>
      <c r="J3130" s="93"/>
    </row>
    <row r="3131" spans="1:10" s="65" customFormat="1" ht="14" x14ac:dyDescent="0.35">
      <c r="A3131" s="145"/>
      <c r="B3131" s="152"/>
      <c r="E3131" s="102"/>
      <c r="F3131" s="102"/>
      <c r="G3131" s="102"/>
      <c r="I3131" s="93"/>
      <c r="J3131" s="93"/>
    </row>
    <row r="3132" spans="1:10" s="65" customFormat="1" ht="14" x14ac:dyDescent="0.35">
      <c r="A3132" s="145"/>
      <c r="B3132" s="152"/>
      <c r="E3132" s="102"/>
      <c r="F3132" s="102"/>
      <c r="G3132" s="102"/>
      <c r="I3132" s="93"/>
      <c r="J3132" s="93"/>
    </row>
    <row r="3133" spans="1:10" s="65" customFormat="1" ht="14" x14ac:dyDescent="0.35">
      <c r="A3133" s="145"/>
      <c r="B3133" s="152"/>
      <c r="E3133" s="102"/>
      <c r="F3133" s="102"/>
      <c r="G3133" s="102"/>
      <c r="I3133" s="93"/>
      <c r="J3133" s="93"/>
    </row>
    <row r="3134" spans="1:10" s="65" customFormat="1" ht="14" x14ac:dyDescent="0.35">
      <c r="A3134" s="145"/>
      <c r="B3134" s="152"/>
      <c r="E3134" s="102"/>
      <c r="F3134" s="102"/>
      <c r="G3134" s="102"/>
      <c r="I3134" s="93"/>
      <c r="J3134" s="93"/>
    </row>
    <row r="3135" spans="1:10" s="65" customFormat="1" ht="14" x14ac:dyDescent="0.35">
      <c r="A3135" s="145"/>
      <c r="B3135" s="152"/>
      <c r="E3135" s="102"/>
      <c r="F3135" s="102"/>
      <c r="G3135" s="102"/>
      <c r="I3135" s="93"/>
      <c r="J3135" s="93"/>
    </row>
    <row r="3136" spans="1:10" s="65" customFormat="1" ht="14" x14ac:dyDescent="0.35">
      <c r="A3136" s="145"/>
      <c r="B3136" s="152"/>
      <c r="E3136" s="102"/>
      <c r="F3136" s="102"/>
      <c r="G3136" s="102"/>
      <c r="I3136" s="93"/>
      <c r="J3136" s="93"/>
    </row>
    <row r="3137" spans="1:10" s="65" customFormat="1" ht="14" x14ac:dyDescent="0.35">
      <c r="A3137" s="145"/>
      <c r="B3137" s="152"/>
      <c r="E3137" s="102"/>
      <c r="F3137" s="102"/>
      <c r="G3137" s="102"/>
      <c r="I3137" s="93"/>
      <c r="J3137" s="93"/>
    </row>
    <row r="3138" spans="1:10" s="65" customFormat="1" ht="14" x14ac:dyDescent="0.35">
      <c r="A3138" s="145"/>
      <c r="B3138" s="152"/>
      <c r="E3138" s="102"/>
      <c r="F3138" s="102"/>
      <c r="G3138" s="102"/>
      <c r="I3138" s="93"/>
      <c r="J3138" s="93"/>
    </row>
    <row r="3139" spans="1:10" s="65" customFormat="1" ht="14" x14ac:dyDescent="0.35">
      <c r="A3139" s="145"/>
      <c r="B3139" s="152"/>
      <c r="E3139" s="102"/>
      <c r="F3139" s="102"/>
      <c r="G3139" s="102"/>
      <c r="I3139" s="93"/>
      <c r="J3139" s="93"/>
    </row>
    <row r="3140" spans="1:10" s="65" customFormat="1" ht="14" x14ac:dyDescent="0.35">
      <c r="A3140" s="145"/>
      <c r="B3140" s="152"/>
      <c r="E3140" s="102"/>
      <c r="F3140" s="102"/>
      <c r="G3140" s="102"/>
      <c r="I3140" s="93"/>
      <c r="J3140" s="93"/>
    </row>
    <row r="3141" spans="1:10" s="65" customFormat="1" ht="14" x14ac:dyDescent="0.35">
      <c r="A3141" s="145"/>
      <c r="B3141" s="152"/>
      <c r="E3141" s="102"/>
      <c r="F3141" s="102"/>
      <c r="G3141" s="102"/>
      <c r="I3141" s="93"/>
      <c r="J3141" s="93"/>
    </row>
    <row r="3142" spans="1:10" s="65" customFormat="1" ht="14" x14ac:dyDescent="0.35">
      <c r="A3142" s="145"/>
      <c r="B3142" s="152"/>
      <c r="E3142" s="102"/>
      <c r="F3142" s="102"/>
      <c r="G3142" s="102"/>
      <c r="I3142" s="93"/>
      <c r="J3142" s="93"/>
    </row>
    <row r="3143" spans="1:10" s="65" customFormat="1" ht="14" x14ac:dyDescent="0.35">
      <c r="A3143" s="145"/>
      <c r="B3143" s="152"/>
      <c r="E3143" s="102"/>
      <c r="F3143" s="102"/>
      <c r="G3143" s="102"/>
      <c r="I3143" s="93"/>
      <c r="J3143" s="93"/>
    </row>
    <row r="3144" spans="1:10" s="65" customFormat="1" ht="14" x14ac:dyDescent="0.35">
      <c r="A3144" s="145"/>
      <c r="B3144" s="152"/>
      <c r="E3144" s="102"/>
      <c r="F3144" s="102"/>
      <c r="G3144" s="102"/>
      <c r="I3144" s="93"/>
      <c r="J3144" s="93"/>
    </row>
    <row r="3145" spans="1:10" s="65" customFormat="1" ht="14" x14ac:dyDescent="0.35">
      <c r="A3145" s="145"/>
      <c r="B3145" s="152"/>
      <c r="E3145" s="102"/>
      <c r="F3145" s="102"/>
      <c r="G3145" s="102"/>
      <c r="I3145" s="93"/>
      <c r="J3145" s="93"/>
    </row>
    <row r="3146" spans="1:10" s="65" customFormat="1" ht="14" x14ac:dyDescent="0.35">
      <c r="A3146" s="145"/>
      <c r="B3146" s="152"/>
      <c r="E3146" s="102"/>
      <c r="F3146" s="102"/>
      <c r="G3146" s="102"/>
      <c r="I3146" s="93"/>
      <c r="J3146" s="93"/>
    </row>
    <row r="3147" spans="1:10" s="65" customFormat="1" ht="14" x14ac:dyDescent="0.35">
      <c r="A3147" s="145"/>
      <c r="B3147" s="152"/>
      <c r="E3147" s="102"/>
      <c r="F3147" s="102"/>
      <c r="G3147" s="102"/>
      <c r="I3147" s="93"/>
      <c r="J3147" s="93"/>
    </row>
    <row r="3148" spans="1:10" s="65" customFormat="1" ht="14" x14ac:dyDescent="0.35">
      <c r="A3148" s="145"/>
      <c r="B3148" s="152"/>
      <c r="E3148" s="102"/>
      <c r="F3148" s="102"/>
      <c r="G3148" s="102"/>
      <c r="I3148" s="93"/>
      <c r="J3148" s="93"/>
    </row>
    <row r="3149" spans="1:10" s="65" customFormat="1" ht="14" x14ac:dyDescent="0.35">
      <c r="A3149" s="145"/>
      <c r="B3149" s="152"/>
      <c r="E3149" s="102"/>
      <c r="F3149" s="102"/>
      <c r="G3149" s="102"/>
      <c r="I3149" s="93"/>
      <c r="J3149" s="93"/>
    </row>
    <row r="3150" spans="1:10" s="65" customFormat="1" ht="14" x14ac:dyDescent="0.35">
      <c r="A3150" s="145"/>
      <c r="B3150" s="152"/>
      <c r="E3150" s="102"/>
      <c r="F3150" s="102"/>
      <c r="G3150" s="102"/>
      <c r="I3150" s="93"/>
      <c r="J3150" s="93"/>
    </row>
    <row r="3151" spans="1:10" s="65" customFormat="1" ht="14" x14ac:dyDescent="0.35">
      <c r="A3151" s="145"/>
      <c r="B3151" s="152"/>
      <c r="E3151" s="102"/>
      <c r="F3151" s="102"/>
      <c r="G3151" s="102"/>
      <c r="I3151" s="93"/>
      <c r="J3151" s="93"/>
    </row>
    <row r="3152" spans="1:10" s="65" customFormat="1" ht="14" x14ac:dyDescent="0.35">
      <c r="A3152" s="145"/>
      <c r="B3152" s="152"/>
      <c r="E3152" s="102"/>
      <c r="F3152" s="102"/>
      <c r="G3152" s="102"/>
      <c r="I3152" s="93"/>
      <c r="J3152" s="93"/>
    </row>
    <row r="3153" spans="1:10" s="65" customFormat="1" ht="14" x14ac:dyDescent="0.35">
      <c r="A3153" s="145"/>
      <c r="B3153" s="152"/>
      <c r="E3153" s="102"/>
      <c r="F3153" s="102"/>
      <c r="G3153" s="102"/>
      <c r="I3153" s="93"/>
      <c r="J3153" s="93"/>
    </row>
    <row r="3154" spans="1:10" s="65" customFormat="1" ht="14" x14ac:dyDescent="0.35">
      <c r="A3154" s="145"/>
      <c r="B3154" s="152"/>
      <c r="E3154" s="102"/>
      <c r="F3154" s="102"/>
      <c r="G3154" s="102"/>
      <c r="I3154" s="93"/>
      <c r="J3154" s="93"/>
    </row>
    <row r="3155" spans="1:10" s="65" customFormat="1" ht="14" x14ac:dyDescent="0.35">
      <c r="A3155" s="145"/>
      <c r="B3155" s="152"/>
      <c r="E3155" s="102"/>
      <c r="F3155" s="102"/>
      <c r="G3155" s="102"/>
      <c r="I3155" s="93"/>
      <c r="J3155" s="93"/>
    </row>
    <row r="3156" spans="1:10" s="65" customFormat="1" ht="14" x14ac:dyDescent="0.35">
      <c r="A3156" s="145"/>
      <c r="B3156" s="152"/>
      <c r="E3156" s="102"/>
      <c r="F3156" s="102"/>
      <c r="G3156" s="102"/>
      <c r="I3156" s="93"/>
      <c r="J3156" s="93"/>
    </row>
    <row r="3157" spans="1:10" s="65" customFormat="1" ht="14" x14ac:dyDescent="0.35">
      <c r="A3157" s="145"/>
      <c r="B3157" s="152"/>
      <c r="E3157" s="102"/>
      <c r="F3157" s="102"/>
      <c r="G3157" s="102"/>
      <c r="I3157" s="93"/>
      <c r="J3157" s="93"/>
    </row>
    <row r="3158" spans="1:10" s="65" customFormat="1" ht="14" x14ac:dyDescent="0.35">
      <c r="A3158" s="145"/>
      <c r="B3158" s="152"/>
      <c r="E3158" s="102"/>
      <c r="F3158" s="102"/>
      <c r="G3158" s="102"/>
      <c r="I3158" s="93"/>
      <c r="J3158" s="93"/>
    </row>
    <row r="3159" spans="1:10" s="65" customFormat="1" ht="14" x14ac:dyDescent="0.35">
      <c r="A3159" s="145"/>
      <c r="B3159" s="152"/>
      <c r="E3159" s="102"/>
      <c r="F3159" s="102"/>
      <c r="G3159" s="102"/>
      <c r="I3159" s="93"/>
      <c r="J3159" s="93"/>
    </row>
    <row r="3160" spans="1:10" s="65" customFormat="1" ht="14" x14ac:dyDescent="0.35">
      <c r="A3160" s="145"/>
      <c r="B3160" s="152"/>
      <c r="E3160" s="102"/>
      <c r="F3160" s="102"/>
      <c r="G3160" s="102"/>
      <c r="I3160" s="93"/>
      <c r="J3160" s="93"/>
    </row>
    <row r="3161" spans="1:10" s="65" customFormat="1" ht="14" x14ac:dyDescent="0.35">
      <c r="A3161" s="145"/>
      <c r="B3161" s="152"/>
      <c r="E3161" s="102"/>
      <c r="F3161" s="102"/>
      <c r="G3161" s="102"/>
      <c r="I3161" s="93"/>
      <c r="J3161" s="93"/>
    </row>
    <row r="3162" spans="1:10" s="65" customFormat="1" ht="14" x14ac:dyDescent="0.35">
      <c r="A3162" s="145"/>
      <c r="B3162" s="152"/>
      <c r="E3162" s="102"/>
      <c r="F3162" s="102"/>
      <c r="G3162" s="102"/>
      <c r="I3162" s="93"/>
      <c r="J3162" s="93"/>
    </row>
    <row r="3163" spans="1:10" s="65" customFormat="1" ht="14" x14ac:dyDescent="0.35">
      <c r="A3163" s="145"/>
      <c r="B3163" s="152"/>
      <c r="E3163" s="102"/>
      <c r="F3163" s="102"/>
      <c r="G3163" s="102"/>
      <c r="I3163" s="93"/>
      <c r="J3163" s="93"/>
    </row>
    <row r="3164" spans="1:10" s="65" customFormat="1" ht="14" x14ac:dyDescent="0.35">
      <c r="A3164" s="145"/>
      <c r="B3164" s="152"/>
      <c r="E3164" s="102"/>
      <c r="F3164" s="102"/>
      <c r="G3164" s="102"/>
      <c r="I3164" s="93"/>
      <c r="J3164" s="93"/>
    </row>
    <row r="3165" spans="1:10" s="65" customFormat="1" ht="14" x14ac:dyDescent="0.35">
      <c r="A3165" s="145"/>
      <c r="B3165" s="152"/>
      <c r="E3165" s="102"/>
      <c r="F3165" s="102"/>
      <c r="G3165" s="102"/>
      <c r="I3165" s="93"/>
      <c r="J3165" s="93"/>
    </row>
    <row r="3166" spans="1:10" s="65" customFormat="1" ht="14" x14ac:dyDescent="0.35">
      <c r="A3166" s="145"/>
      <c r="B3166" s="152"/>
      <c r="E3166" s="102"/>
      <c r="F3166" s="102"/>
      <c r="G3166" s="102"/>
      <c r="I3166" s="93"/>
      <c r="J3166" s="93"/>
    </row>
    <row r="3167" spans="1:10" s="65" customFormat="1" ht="14" x14ac:dyDescent="0.35">
      <c r="A3167" s="145"/>
      <c r="B3167" s="152"/>
      <c r="E3167" s="102"/>
      <c r="F3167" s="102"/>
      <c r="G3167" s="102"/>
      <c r="I3167" s="93"/>
      <c r="J3167" s="93"/>
    </row>
    <row r="3168" spans="1:10" s="65" customFormat="1" ht="14" x14ac:dyDescent="0.35">
      <c r="A3168" s="145"/>
      <c r="B3168" s="152"/>
      <c r="E3168" s="102"/>
      <c r="F3168" s="102"/>
      <c r="G3168" s="102"/>
      <c r="I3168" s="93"/>
      <c r="J3168" s="93"/>
    </row>
    <row r="3169" spans="1:10" s="65" customFormat="1" ht="14" x14ac:dyDescent="0.35">
      <c r="A3169" s="145"/>
      <c r="B3169" s="152"/>
      <c r="E3169" s="102"/>
      <c r="F3169" s="102"/>
      <c r="G3169" s="102"/>
      <c r="I3169" s="93"/>
      <c r="J3169" s="93"/>
    </row>
    <row r="3170" spans="1:10" s="65" customFormat="1" ht="14" x14ac:dyDescent="0.35">
      <c r="A3170" s="145"/>
      <c r="B3170" s="152"/>
      <c r="E3170" s="102"/>
      <c r="F3170" s="102"/>
      <c r="G3170" s="102"/>
      <c r="I3170" s="93"/>
      <c r="J3170" s="93"/>
    </row>
    <row r="3171" spans="1:10" s="65" customFormat="1" ht="14" x14ac:dyDescent="0.35">
      <c r="A3171" s="145"/>
      <c r="B3171" s="152"/>
      <c r="E3171" s="102"/>
      <c r="F3171" s="102"/>
      <c r="G3171" s="102"/>
      <c r="I3171" s="93"/>
      <c r="J3171" s="93"/>
    </row>
    <row r="3172" spans="1:10" s="65" customFormat="1" ht="14" x14ac:dyDescent="0.35">
      <c r="A3172" s="145"/>
      <c r="B3172" s="152"/>
      <c r="E3172" s="102"/>
      <c r="F3172" s="102"/>
      <c r="G3172" s="102"/>
      <c r="I3172" s="93"/>
      <c r="J3172" s="93"/>
    </row>
    <row r="3173" spans="1:10" s="65" customFormat="1" ht="14" x14ac:dyDescent="0.35">
      <c r="A3173" s="145"/>
      <c r="B3173" s="152"/>
      <c r="E3173" s="102"/>
      <c r="F3173" s="102"/>
      <c r="G3173" s="102"/>
      <c r="I3173" s="93"/>
      <c r="J3173" s="93"/>
    </row>
    <row r="3174" spans="1:10" s="65" customFormat="1" ht="14" x14ac:dyDescent="0.35">
      <c r="A3174" s="145"/>
      <c r="B3174" s="152"/>
      <c r="E3174" s="102"/>
      <c r="F3174" s="102"/>
      <c r="G3174" s="102"/>
      <c r="I3174" s="93"/>
      <c r="J3174" s="93"/>
    </row>
    <row r="3175" spans="1:10" s="65" customFormat="1" ht="14" x14ac:dyDescent="0.35">
      <c r="A3175" s="145"/>
      <c r="B3175" s="152"/>
      <c r="E3175" s="102"/>
      <c r="F3175" s="102"/>
      <c r="G3175" s="102"/>
      <c r="I3175" s="93"/>
      <c r="J3175" s="93"/>
    </row>
    <row r="3176" spans="1:10" s="65" customFormat="1" ht="14" x14ac:dyDescent="0.35">
      <c r="A3176" s="145"/>
      <c r="B3176" s="152"/>
      <c r="E3176" s="102"/>
      <c r="F3176" s="102"/>
      <c r="G3176" s="102"/>
      <c r="I3176" s="93"/>
      <c r="J3176" s="93"/>
    </row>
    <row r="3177" spans="1:10" s="65" customFormat="1" ht="14" x14ac:dyDescent="0.35">
      <c r="A3177" s="145"/>
      <c r="B3177" s="152"/>
      <c r="E3177" s="102"/>
      <c r="F3177" s="102"/>
      <c r="G3177" s="102"/>
      <c r="I3177" s="93"/>
      <c r="J3177" s="93"/>
    </row>
    <row r="3178" spans="1:10" s="65" customFormat="1" ht="14" x14ac:dyDescent="0.35">
      <c r="A3178" s="145"/>
      <c r="B3178" s="152"/>
      <c r="E3178" s="102"/>
      <c r="F3178" s="102"/>
      <c r="G3178" s="102"/>
      <c r="I3178" s="93"/>
      <c r="J3178" s="93"/>
    </row>
    <row r="3179" spans="1:10" s="65" customFormat="1" ht="14" x14ac:dyDescent="0.35">
      <c r="A3179" s="145"/>
      <c r="B3179" s="152"/>
      <c r="E3179" s="102"/>
      <c r="F3179" s="102"/>
      <c r="G3179" s="102"/>
      <c r="I3179" s="93"/>
      <c r="J3179" s="93"/>
    </row>
    <row r="3180" spans="1:10" s="65" customFormat="1" ht="14" x14ac:dyDescent="0.35">
      <c r="A3180" s="145"/>
      <c r="B3180" s="152"/>
      <c r="E3180" s="102"/>
      <c r="F3180" s="102"/>
      <c r="G3180" s="102"/>
      <c r="I3180" s="93"/>
      <c r="J3180" s="93"/>
    </row>
    <row r="3181" spans="1:10" s="65" customFormat="1" ht="14" x14ac:dyDescent="0.35">
      <c r="A3181" s="145"/>
      <c r="B3181" s="152"/>
      <c r="E3181" s="102"/>
      <c r="F3181" s="102"/>
      <c r="G3181" s="102"/>
      <c r="I3181" s="93"/>
      <c r="J3181" s="93"/>
    </row>
    <row r="3182" spans="1:10" s="65" customFormat="1" ht="14" x14ac:dyDescent="0.35">
      <c r="A3182" s="145"/>
      <c r="B3182" s="152"/>
      <c r="E3182" s="102"/>
      <c r="F3182" s="102"/>
      <c r="G3182" s="102"/>
      <c r="I3182" s="93"/>
      <c r="J3182" s="93"/>
    </row>
    <row r="3183" spans="1:10" s="65" customFormat="1" ht="14" x14ac:dyDescent="0.35">
      <c r="A3183" s="145"/>
      <c r="B3183" s="152"/>
      <c r="E3183" s="102"/>
      <c r="F3183" s="102"/>
      <c r="G3183" s="102"/>
      <c r="I3183" s="93"/>
      <c r="J3183" s="93"/>
    </row>
    <row r="3184" spans="1:10" s="65" customFormat="1" ht="14" x14ac:dyDescent="0.35">
      <c r="A3184" s="145"/>
      <c r="B3184" s="152"/>
      <c r="E3184" s="102"/>
      <c r="F3184" s="102"/>
      <c r="G3184" s="102"/>
      <c r="I3184" s="93"/>
      <c r="J3184" s="93"/>
    </row>
    <row r="3185" spans="1:10" s="65" customFormat="1" ht="14" x14ac:dyDescent="0.35">
      <c r="A3185" s="145"/>
      <c r="B3185" s="152"/>
      <c r="E3185" s="102"/>
      <c r="F3185" s="102"/>
      <c r="G3185" s="102"/>
      <c r="I3185" s="93"/>
      <c r="J3185" s="93"/>
    </row>
    <row r="3186" spans="1:10" s="65" customFormat="1" ht="14" x14ac:dyDescent="0.35">
      <c r="A3186" s="145"/>
      <c r="B3186" s="152"/>
      <c r="E3186" s="102"/>
      <c r="F3186" s="102"/>
      <c r="G3186" s="102"/>
      <c r="I3186" s="93"/>
      <c r="J3186" s="93"/>
    </row>
    <row r="3187" spans="1:10" s="65" customFormat="1" ht="14" x14ac:dyDescent="0.35">
      <c r="A3187" s="145"/>
      <c r="B3187" s="152"/>
      <c r="E3187" s="102"/>
      <c r="F3187" s="102"/>
      <c r="G3187" s="102"/>
      <c r="I3187" s="93"/>
      <c r="J3187" s="93"/>
    </row>
    <row r="3188" spans="1:10" s="65" customFormat="1" ht="14" x14ac:dyDescent="0.35">
      <c r="A3188" s="145"/>
      <c r="B3188" s="152"/>
      <c r="E3188" s="102"/>
      <c r="F3188" s="102"/>
      <c r="G3188" s="102"/>
      <c r="I3188" s="93"/>
      <c r="J3188" s="93"/>
    </row>
    <row r="3189" spans="1:10" s="65" customFormat="1" ht="14" x14ac:dyDescent="0.35">
      <c r="A3189" s="145"/>
      <c r="B3189" s="152"/>
      <c r="E3189" s="102"/>
      <c r="F3189" s="102"/>
      <c r="G3189" s="102"/>
      <c r="I3189" s="93"/>
      <c r="J3189" s="93"/>
    </row>
    <row r="3190" spans="1:10" s="65" customFormat="1" ht="14" x14ac:dyDescent="0.35">
      <c r="A3190" s="145"/>
      <c r="B3190" s="152"/>
      <c r="E3190" s="102"/>
      <c r="F3190" s="102"/>
      <c r="G3190" s="102"/>
      <c r="I3190" s="93"/>
      <c r="J3190" s="93"/>
    </row>
    <row r="3191" spans="1:10" s="65" customFormat="1" ht="14" x14ac:dyDescent="0.35">
      <c r="A3191" s="145"/>
      <c r="B3191" s="152"/>
      <c r="E3191" s="102"/>
      <c r="F3191" s="102"/>
      <c r="G3191" s="102"/>
      <c r="I3191" s="93"/>
      <c r="J3191" s="93"/>
    </row>
    <row r="3192" spans="1:10" s="65" customFormat="1" ht="14" x14ac:dyDescent="0.35">
      <c r="A3192" s="145"/>
      <c r="B3192" s="152"/>
      <c r="E3192" s="102"/>
      <c r="F3192" s="102"/>
      <c r="G3192" s="102"/>
      <c r="I3192" s="93"/>
      <c r="J3192" s="93"/>
    </row>
    <row r="3193" spans="1:10" s="65" customFormat="1" ht="14" x14ac:dyDescent="0.35">
      <c r="A3193" s="145"/>
      <c r="B3193" s="152"/>
      <c r="E3193" s="102"/>
      <c r="F3193" s="102"/>
      <c r="G3193" s="102"/>
      <c r="I3193" s="93"/>
      <c r="J3193" s="93"/>
    </row>
    <row r="3194" spans="1:10" s="65" customFormat="1" ht="14" x14ac:dyDescent="0.35">
      <c r="A3194" s="145"/>
      <c r="B3194" s="152"/>
      <c r="E3194" s="102"/>
      <c r="F3194" s="102"/>
      <c r="G3194" s="102"/>
      <c r="I3194" s="93"/>
      <c r="J3194" s="93"/>
    </row>
    <row r="3195" spans="1:10" s="65" customFormat="1" ht="14" x14ac:dyDescent="0.35">
      <c r="A3195" s="145"/>
      <c r="B3195" s="152"/>
      <c r="E3195" s="102"/>
      <c r="F3195" s="102"/>
      <c r="G3195" s="102"/>
      <c r="I3195" s="93"/>
      <c r="J3195" s="93"/>
    </row>
    <row r="3196" spans="1:10" s="65" customFormat="1" ht="14" x14ac:dyDescent="0.35">
      <c r="A3196" s="145"/>
      <c r="B3196" s="152"/>
      <c r="E3196" s="102"/>
      <c r="F3196" s="102"/>
      <c r="G3196" s="102"/>
      <c r="I3196" s="93"/>
      <c r="J3196" s="93"/>
    </row>
    <row r="3197" spans="1:10" s="65" customFormat="1" ht="14" x14ac:dyDescent="0.35">
      <c r="A3197" s="145"/>
      <c r="B3197" s="152"/>
      <c r="E3197" s="102"/>
      <c r="F3197" s="102"/>
      <c r="G3197" s="102"/>
      <c r="I3197" s="93"/>
      <c r="J3197" s="93"/>
    </row>
    <row r="3198" spans="1:10" s="65" customFormat="1" ht="14" x14ac:dyDescent="0.35">
      <c r="A3198" s="145"/>
      <c r="B3198" s="152"/>
      <c r="E3198" s="102"/>
      <c r="F3198" s="102"/>
      <c r="G3198" s="102"/>
      <c r="I3198" s="93"/>
      <c r="J3198" s="93"/>
    </row>
    <row r="3199" spans="1:10" s="65" customFormat="1" ht="14" x14ac:dyDescent="0.35">
      <c r="A3199" s="145"/>
      <c r="B3199" s="152"/>
      <c r="E3199" s="102"/>
      <c r="F3199" s="102"/>
      <c r="G3199" s="102"/>
      <c r="I3199" s="93"/>
      <c r="J3199" s="93"/>
    </row>
    <row r="3200" spans="1:10" s="65" customFormat="1" ht="14" x14ac:dyDescent="0.35">
      <c r="A3200" s="145"/>
      <c r="B3200" s="152"/>
      <c r="E3200" s="102"/>
      <c r="F3200" s="102"/>
      <c r="G3200" s="102"/>
      <c r="I3200" s="93"/>
      <c r="J3200" s="93"/>
    </row>
    <row r="3201" spans="1:10" s="65" customFormat="1" ht="14" x14ac:dyDescent="0.35">
      <c r="A3201" s="145"/>
      <c r="B3201" s="152"/>
      <c r="E3201" s="102"/>
      <c r="F3201" s="102"/>
      <c r="G3201" s="102"/>
      <c r="I3201" s="93"/>
      <c r="J3201" s="93"/>
    </row>
    <row r="3202" spans="1:10" s="65" customFormat="1" ht="14" x14ac:dyDescent="0.35">
      <c r="A3202" s="145"/>
      <c r="B3202" s="152"/>
      <c r="E3202" s="102"/>
      <c r="F3202" s="102"/>
      <c r="G3202" s="102"/>
      <c r="I3202" s="93"/>
      <c r="J3202" s="93"/>
    </row>
    <row r="3203" spans="1:10" s="65" customFormat="1" ht="14" x14ac:dyDescent="0.35">
      <c r="A3203" s="145"/>
      <c r="B3203" s="152"/>
      <c r="E3203" s="102"/>
      <c r="F3203" s="102"/>
      <c r="G3203" s="102"/>
      <c r="I3203" s="93"/>
      <c r="J3203" s="93"/>
    </row>
    <row r="3204" spans="1:10" s="65" customFormat="1" ht="14" x14ac:dyDescent="0.35">
      <c r="A3204" s="145"/>
      <c r="B3204" s="152"/>
      <c r="E3204" s="102"/>
      <c r="F3204" s="102"/>
      <c r="G3204" s="102"/>
      <c r="I3204" s="93"/>
      <c r="J3204" s="93"/>
    </row>
    <row r="3205" spans="1:10" s="65" customFormat="1" ht="14" x14ac:dyDescent="0.35">
      <c r="A3205" s="145"/>
      <c r="B3205" s="152"/>
      <c r="E3205" s="102"/>
      <c r="F3205" s="102"/>
      <c r="G3205" s="102"/>
      <c r="I3205" s="93"/>
      <c r="J3205" s="93"/>
    </row>
    <row r="3206" spans="1:10" s="65" customFormat="1" ht="14" x14ac:dyDescent="0.35">
      <c r="A3206" s="145"/>
      <c r="B3206" s="152"/>
      <c r="E3206" s="102"/>
      <c r="F3206" s="102"/>
      <c r="G3206" s="102"/>
      <c r="I3206" s="93"/>
      <c r="J3206" s="93"/>
    </row>
    <row r="3207" spans="1:10" s="65" customFormat="1" ht="14" x14ac:dyDescent="0.35">
      <c r="A3207" s="145"/>
      <c r="B3207" s="152"/>
      <c r="E3207" s="102"/>
      <c r="F3207" s="102"/>
      <c r="G3207" s="102"/>
      <c r="I3207" s="93"/>
      <c r="J3207" s="93"/>
    </row>
    <row r="3208" spans="1:10" s="65" customFormat="1" ht="14" x14ac:dyDescent="0.35">
      <c r="A3208" s="145"/>
      <c r="B3208" s="152"/>
      <c r="E3208" s="102"/>
      <c r="F3208" s="102"/>
      <c r="G3208" s="102"/>
      <c r="I3208" s="93"/>
      <c r="J3208" s="93"/>
    </row>
    <row r="3209" spans="1:10" s="65" customFormat="1" ht="14" x14ac:dyDescent="0.35">
      <c r="A3209" s="145"/>
      <c r="B3209" s="152"/>
      <c r="E3209" s="102"/>
      <c r="F3209" s="102"/>
      <c r="G3209" s="102"/>
      <c r="I3209" s="93"/>
      <c r="J3209" s="93"/>
    </row>
    <row r="3210" spans="1:10" s="65" customFormat="1" ht="14" x14ac:dyDescent="0.35">
      <c r="A3210" s="145"/>
      <c r="B3210" s="152"/>
      <c r="E3210" s="102"/>
      <c r="F3210" s="102"/>
      <c r="G3210" s="102"/>
      <c r="I3210" s="93"/>
      <c r="J3210" s="93"/>
    </row>
    <row r="3211" spans="1:10" s="65" customFormat="1" ht="14" x14ac:dyDescent="0.35">
      <c r="A3211" s="145"/>
      <c r="B3211" s="152"/>
      <c r="E3211" s="102"/>
      <c r="F3211" s="102"/>
      <c r="G3211" s="102"/>
      <c r="I3211" s="93"/>
      <c r="J3211" s="93"/>
    </row>
    <row r="3212" spans="1:10" s="65" customFormat="1" ht="14" x14ac:dyDescent="0.35">
      <c r="A3212" s="145"/>
      <c r="B3212" s="152"/>
      <c r="E3212" s="102"/>
      <c r="F3212" s="102"/>
      <c r="G3212" s="102"/>
      <c r="I3212" s="93"/>
      <c r="J3212" s="93"/>
    </row>
    <row r="3213" spans="1:10" s="65" customFormat="1" ht="14" x14ac:dyDescent="0.35">
      <c r="A3213" s="145"/>
      <c r="B3213" s="152"/>
      <c r="E3213" s="102"/>
      <c r="F3213" s="102"/>
      <c r="G3213" s="102"/>
      <c r="I3213" s="93"/>
      <c r="J3213" s="93"/>
    </row>
    <row r="3214" spans="1:10" s="65" customFormat="1" ht="14" x14ac:dyDescent="0.35">
      <c r="A3214" s="145"/>
      <c r="B3214" s="152"/>
      <c r="E3214" s="102"/>
      <c r="F3214" s="102"/>
      <c r="G3214" s="102"/>
      <c r="I3214" s="93"/>
      <c r="J3214" s="93"/>
    </row>
    <row r="3215" spans="1:10" s="65" customFormat="1" ht="14" x14ac:dyDescent="0.35">
      <c r="A3215" s="145"/>
      <c r="B3215" s="152"/>
      <c r="E3215" s="102"/>
      <c r="F3215" s="102"/>
      <c r="G3215" s="102"/>
      <c r="I3215" s="93"/>
      <c r="J3215" s="93"/>
    </row>
    <row r="3216" spans="1:10" s="65" customFormat="1" ht="14" x14ac:dyDescent="0.35">
      <c r="A3216" s="145"/>
      <c r="B3216" s="152"/>
      <c r="E3216" s="102"/>
      <c r="F3216" s="102"/>
      <c r="G3216" s="102"/>
      <c r="I3216" s="93"/>
      <c r="J3216" s="93"/>
    </row>
    <row r="3217" spans="1:10" s="65" customFormat="1" ht="14" x14ac:dyDescent="0.35">
      <c r="A3217" s="145"/>
      <c r="B3217" s="152"/>
      <c r="E3217" s="102"/>
      <c r="F3217" s="102"/>
      <c r="G3217" s="102"/>
      <c r="I3217" s="93"/>
      <c r="J3217" s="93"/>
    </row>
    <row r="3218" spans="1:10" s="65" customFormat="1" ht="14" x14ac:dyDescent="0.35">
      <c r="A3218" s="145"/>
      <c r="B3218" s="152"/>
      <c r="E3218" s="102"/>
      <c r="F3218" s="102"/>
      <c r="G3218" s="102"/>
      <c r="I3218" s="93"/>
      <c r="J3218" s="93"/>
    </row>
    <row r="3219" spans="1:10" s="65" customFormat="1" ht="14" x14ac:dyDescent="0.35">
      <c r="A3219" s="145"/>
      <c r="B3219" s="152"/>
      <c r="E3219" s="102"/>
      <c r="F3219" s="102"/>
      <c r="G3219" s="102"/>
      <c r="I3219" s="93"/>
      <c r="J3219" s="93"/>
    </row>
    <row r="3220" spans="1:10" s="65" customFormat="1" ht="14" x14ac:dyDescent="0.35">
      <c r="A3220" s="145"/>
      <c r="B3220" s="152"/>
      <c r="E3220" s="102"/>
      <c r="F3220" s="102"/>
      <c r="G3220" s="102"/>
      <c r="I3220" s="93"/>
      <c r="J3220" s="93"/>
    </row>
    <row r="3221" spans="1:10" s="65" customFormat="1" ht="14" x14ac:dyDescent="0.35">
      <c r="A3221" s="145"/>
      <c r="B3221" s="152"/>
      <c r="E3221" s="102"/>
      <c r="F3221" s="102"/>
      <c r="G3221" s="102"/>
      <c r="I3221" s="93"/>
      <c r="J3221" s="93"/>
    </row>
    <row r="3222" spans="1:10" s="65" customFormat="1" ht="14" x14ac:dyDescent="0.35">
      <c r="A3222" s="145"/>
      <c r="B3222" s="152"/>
      <c r="E3222" s="102"/>
      <c r="F3222" s="102"/>
      <c r="G3222" s="102"/>
      <c r="I3222" s="93"/>
      <c r="J3222" s="93"/>
    </row>
    <row r="3223" spans="1:10" s="65" customFormat="1" ht="14" x14ac:dyDescent="0.35">
      <c r="A3223" s="145"/>
      <c r="B3223" s="152"/>
      <c r="E3223" s="102"/>
      <c r="F3223" s="102"/>
      <c r="G3223" s="102"/>
      <c r="I3223" s="93"/>
      <c r="J3223" s="93"/>
    </row>
    <row r="3224" spans="1:10" s="65" customFormat="1" ht="14" x14ac:dyDescent="0.35">
      <c r="A3224" s="145"/>
      <c r="B3224" s="152"/>
      <c r="E3224" s="102"/>
      <c r="F3224" s="102"/>
      <c r="G3224" s="102"/>
      <c r="I3224" s="93"/>
      <c r="J3224" s="93"/>
    </row>
    <row r="3225" spans="1:10" s="65" customFormat="1" ht="14" x14ac:dyDescent="0.35">
      <c r="A3225" s="145"/>
      <c r="B3225" s="152"/>
      <c r="E3225" s="102"/>
      <c r="F3225" s="102"/>
      <c r="G3225" s="102"/>
      <c r="I3225" s="93"/>
      <c r="J3225" s="93"/>
    </row>
    <row r="3226" spans="1:10" s="65" customFormat="1" ht="14" x14ac:dyDescent="0.35">
      <c r="A3226" s="145"/>
      <c r="B3226" s="152"/>
      <c r="E3226" s="102"/>
      <c r="F3226" s="102"/>
      <c r="G3226" s="102"/>
      <c r="I3226" s="93"/>
      <c r="J3226" s="93"/>
    </row>
    <row r="3227" spans="1:10" s="65" customFormat="1" ht="14" x14ac:dyDescent="0.35">
      <c r="A3227" s="145"/>
      <c r="B3227" s="152"/>
      <c r="E3227" s="102"/>
      <c r="F3227" s="102"/>
      <c r="G3227" s="102"/>
      <c r="I3227" s="93"/>
      <c r="J3227" s="93"/>
    </row>
    <row r="3228" spans="1:10" s="65" customFormat="1" ht="14" x14ac:dyDescent="0.35">
      <c r="A3228" s="145"/>
      <c r="B3228" s="152"/>
      <c r="E3228" s="102"/>
      <c r="F3228" s="102"/>
      <c r="G3228" s="102"/>
      <c r="I3228" s="93"/>
      <c r="J3228" s="93"/>
    </row>
    <row r="3229" spans="1:10" s="65" customFormat="1" ht="14" x14ac:dyDescent="0.35">
      <c r="A3229" s="145"/>
      <c r="B3229" s="152"/>
      <c r="E3229" s="102"/>
      <c r="F3229" s="102"/>
      <c r="G3229" s="102"/>
      <c r="I3229" s="93"/>
      <c r="J3229" s="93"/>
    </row>
    <row r="3230" spans="1:10" s="65" customFormat="1" ht="14" x14ac:dyDescent="0.35">
      <c r="A3230" s="145"/>
      <c r="B3230" s="152"/>
      <c r="E3230" s="102"/>
      <c r="F3230" s="102"/>
      <c r="G3230" s="102"/>
      <c r="I3230" s="93"/>
      <c r="J3230" s="93"/>
    </row>
    <row r="3231" spans="1:10" s="65" customFormat="1" ht="14" x14ac:dyDescent="0.35">
      <c r="A3231" s="145"/>
      <c r="B3231" s="152"/>
      <c r="E3231" s="102"/>
      <c r="F3231" s="102"/>
      <c r="G3231" s="102"/>
      <c r="I3231" s="93"/>
      <c r="J3231" s="93"/>
    </row>
    <row r="3232" spans="1:10" s="65" customFormat="1" ht="14" x14ac:dyDescent="0.35">
      <c r="A3232" s="145"/>
      <c r="B3232" s="152"/>
      <c r="E3232" s="102"/>
      <c r="F3232" s="102"/>
      <c r="G3232" s="102"/>
      <c r="I3232" s="93"/>
      <c r="J3232" s="93"/>
    </row>
    <row r="3233" spans="1:10" s="65" customFormat="1" ht="14" x14ac:dyDescent="0.35">
      <c r="A3233" s="145"/>
      <c r="B3233" s="152"/>
      <c r="E3233" s="102"/>
      <c r="F3233" s="102"/>
      <c r="G3233" s="102"/>
      <c r="I3233" s="93"/>
      <c r="J3233" s="93"/>
    </row>
    <row r="3234" spans="1:10" s="65" customFormat="1" ht="14" x14ac:dyDescent="0.35">
      <c r="A3234" s="145"/>
      <c r="B3234" s="152"/>
      <c r="E3234" s="102"/>
      <c r="F3234" s="102"/>
      <c r="G3234" s="102"/>
      <c r="I3234" s="93"/>
      <c r="J3234" s="93"/>
    </row>
    <row r="3235" spans="1:10" s="65" customFormat="1" ht="14" x14ac:dyDescent="0.35">
      <c r="A3235" s="145"/>
      <c r="B3235" s="152"/>
      <c r="E3235" s="102"/>
      <c r="F3235" s="102"/>
      <c r="G3235" s="102"/>
      <c r="I3235" s="93"/>
      <c r="J3235" s="93"/>
    </row>
    <row r="3236" spans="1:10" s="65" customFormat="1" ht="14" x14ac:dyDescent="0.35">
      <c r="A3236" s="145"/>
      <c r="B3236" s="152"/>
      <c r="E3236" s="102"/>
      <c r="F3236" s="102"/>
      <c r="G3236" s="102"/>
      <c r="I3236" s="93"/>
      <c r="J3236" s="93"/>
    </row>
    <row r="3237" spans="1:10" s="65" customFormat="1" ht="14" x14ac:dyDescent="0.35">
      <c r="A3237" s="145"/>
      <c r="B3237" s="152"/>
      <c r="E3237" s="102"/>
      <c r="F3237" s="102"/>
      <c r="G3237" s="102"/>
      <c r="I3237" s="93"/>
      <c r="J3237" s="93"/>
    </row>
    <row r="3238" spans="1:10" s="65" customFormat="1" ht="14" x14ac:dyDescent="0.35">
      <c r="A3238" s="145"/>
      <c r="B3238" s="152"/>
      <c r="E3238" s="102"/>
      <c r="F3238" s="102"/>
      <c r="G3238" s="102"/>
      <c r="I3238" s="93"/>
      <c r="J3238" s="93"/>
    </row>
    <row r="3239" spans="1:10" s="65" customFormat="1" ht="14" x14ac:dyDescent="0.35">
      <c r="A3239" s="145"/>
      <c r="B3239" s="152"/>
      <c r="E3239" s="102"/>
      <c r="F3239" s="102"/>
      <c r="G3239" s="102"/>
      <c r="I3239" s="93"/>
      <c r="J3239" s="93"/>
    </row>
    <row r="3240" spans="1:10" s="65" customFormat="1" ht="14" x14ac:dyDescent="0.35">
      <c r="A3240" s="145"/>
      <c r="B3240" s="152"/>
      <c r="E3240" s="102"/>
      <c r="F3240" s="102"/>
      <c r="G3240" s="102"/>
      <c r="I3240" s="93"/>
      <c r="J3240" s="93"/>
    </row>
    <row r="3241" spans="1:10" s="65" customFormat="1" ht="14" x14ac:dyDescent="0.35">
      <c r="A3241" s="145"/>
      <c r="B3241" s="152"/>
      <c r="E3241" s="102"/>
      <c r="F3241" s="102"/>
      <c r="G3241" s="102"/>
      <c r="I3241" s="93"/>
      <c r="J3241" s="93"/>
    </row>
    <row r="3242" spans="1:10" s="65" customFormat="1" ht="14" x14ac:dyDescent="0.35">
      <c r="A3242" s="145"/>
      <c r="B3242" s="152"/>
      <c r="E3242" s="102"/>
      <c r="F3242" s="102"/>
      <c r="G3242" s="102"/>
      <c r="I3242" s="93"/>
      <c r="J3242" s="93"/>
    </row>
    <row r="3243" spans="1:10" s="65" customFormat="1" ht="14" x14ac:dyDescent="0.35">
      <c r="A3243" s="145"/>
      <c r="B3243" s="152"/>
      <c r="E3243" s="102"/>
      <c r="F3243" s="102"/>
      <c r="G3243" s="102"/>
      <c r="I3243" s="93"/>
      <c r="J3243" s="93"/>
    </row>
    <row r="3244" spans="1:10" s="65" customFormat="1" ht="14" x14ac:dyDescent="0.35">
      <c r="A3244" s="145"/>
      <c r="B3244" s="152"/>
      <c r="E3244" s="102"/>
      <c r="F3244" s="102"/>
      <c r="G3244" s="102"/>
      <c r="I3244" s="93"/>
      <c r="J3244" s="93"/>
    </row>
    <row r="3245" spans="1:10" s="65" customFormat="1" ht="14" x14ac:dyDescent="0.35">
      <c r="A3245" s="145"/>
      <c r="B3245" s="152"/>
      <c r="E3245" s="102"/>
      <c r="F3245" s="102"/>
      <c r="G3245" s="102"/>
      <c r="I3245" s="93"/>
      <c r="J3245" s="93"/>
    </row>
    <row r="3246" spans="1:10" s="65" customFormat="1" ht="14" x14ac:dyDescent="0.35">
      <c r="A3246" s="145"/>
      <c r="B3246" s="152"/>
      <c r="E3246" s="102"/>
      <c r="F3246" s="102"/>
      <c r="G3246" s="102"/>
      <c r="I3246" s="93"/>
      <c r="J3246" s="93"/>
    </row>
    <row r="3247" spans="1:10" s="65" customFormat="1" ht="14" x14ac:dyDescent="0.35">
      <c r="A3247" s="145"/>
      <c r="B3247" s="152"/>
      <c r="E3247" s="102"/>
      <c r="F3247" s="102"/>
      <c r="G3247" s="102"/>
      <c r="I3247" s="93"/>
      <c r="J3247" s="93"/>
    </row>
    <row r="3248" spans="1:10" s="65" customFormat="1" ht="14" x14ac:dyDescent="0.35">
      <c r="A3248" s="145"/>
      <c r="B3248" s="152"/>
      <c r="E3248" s="102"/>
      <c r="F3248" s="102"/>
      <c r="G3248" s="102"/>
      <c r="I3248" s="93"/>
      <c r="J3248" s="93"/>
    </row>
    <row r="3249" spans="1:10" s="65" customFormat="1" ht="14" x14ac:dyDescent="0.35">
      <c r="A3249" s="145"/>
      <c r="B3249" s="152"/>
      <c r="E3249" s="102"/>
      <c r="F3249" s="102"/>
      <c r="G3249" s="102"/>
      <c r="I3249" s="93"/>
      <c r="J3249" s="93"/>
    </row>
    <row r="3250" spans="1:10" s="65" customFormat="1" ht="14" x14ac:dyDescent="0.35">
      <c r="A3250" s="145"/>
      <c r="B3250" s="152"/>
      <c r="E3250" s="102"/>
      <c r="F3250" s="102"/>
      <c r="G3250" s="102"/>
      <c r="I3250" s="93"/>
      <c r="J3250" s="93"/>
    </row>
    <row r="3251" spans="1:10" s="65" customFormat="1" ht="14" x14ac:dyDescent="0.35">
      <c r="A3251" s="145"/>
      <c r="B3251" s="152"/>
      <c r="E3251" s="102"/>
      <c r="F3251" s="102"/>
      <c r="G3251" s="102"/>
      <c r="I3251" s="93"/>
      <c r="J3251" s="93"/>
    </row>
    <row r="3252" spans="1:10" s="65" customFormat="1" ht="14" x14ac:dyDescent="0.35">
      <c r="A3252" s="145"/>
      <c r="B3252" s="152"/>
      <c r="E3252" s="102"/>
      <c r="F3252" s="102"/>
      <c r="G3252" s="102"/>
      <c r="I3252" s="93"/>
      <c r="J3252" s="93"/>
    </row>
    <row r="3253" spans="1:10" s="65" customFormat="1" ht="14" x14ac:dyDescent="0.35">
      <c r="A3253" s="145"/>
      <c r="B3253" s="152"/>
      <c r="E3253" s="102"/>
      <c r="F3253" s="102"/>
      <c r="G3253" s="102"/>
      <c r="I3253" s="93"/>
      <c r="J3253" s="93"/>
    </row>
    <row r="3254" spans="1:10" s="65" customFormat="1" ht="14" x14ac:dyDescent="0.35">
      <c r="A3254" s="145"/>
      <c r="B3254" s="152"/>
      <c r="E3254" s="102"/>
      <c r="F3254" s="102"/>
      <c r="G3254" s="102"/>
      <c r="I3254" s="93"/>
      <c r="J3254" s="93"/>
    </row>
    <row r="3255" spans="1:10" s="65" customFormat="1" ht="14" x14ac:dyDescent="0.35">
      <c r="A3255" s="145"/>
      <c r="B3255" s="152"/>
      <c r="E3255" s="102"/>
      <c r="F3255" s="102"/>
      <c r="G3255" s="102"/>
      <c r="I3255" s="93"/>
      <c r="J3255" s="93"/>
    </row>
    <row r="3256" spans="1:10" s="65" customFormat="1" ht="14" x14ac:dyDescent="0.35">
      <c r="A3256" s="145"/>
      <c r="B3256" s="152"/>
      <c r="E3256" s="102"/>
      <c r="F3256" s="102"/>
      <c r="G3256" s="102"/>
      <c r="I3256" s="93"/>
      <c r="J3256" s="93"/>
    </row>
    <row r="3257" spans="1:10" s="65" customFormat="1" ht="14" x14ac:dyDescent="0.35">
      <c r="A3257" s="145"/>
      <c r="B3257" s="152"/>
      <c r="E3257" s="102"/>
      <c r="F3257" s="102"/>
      <c r="G3257" s="102"/>
      <c r="I3257" s="93"/>
      <c r="J3257" s="93"/>
    </row>
    <row r="3258" spans="1:10" s="65" customFormat="1" ht="14" x14ac:dyDescent="0.35">
      <c r="A3258" s="145"/>
      <c r="B3258" s="152"/>
      <c r="E3258" s="102"/>
      <c r="F3258" s="102"/>
      <c r="G3258" s="102"/>
      <c r="I3258" s="93"/>
      <c r="J3258" s="93"/>
    </row>
    <row r="3259" spans="1:10" s="65" customFormat="1" ht="14" x14ac:dyDescent="0.35">
      <c r="A3259" s="145"/>
      <c r="B3259" s="152"/>
      <c r="E3259" s="102"/>
      <c r="F3259" s="102"/>
      <c r="G3259" s="102"/>
      <c r="I3259" s="93"/>
      <c r="J3259" s="93"/>
    </row>
    <row r="3260" spans="1:10" s="65" customFormat="1" ht="14" x14ac:dyDescent="0.35">
      <c r="A3260" s="145"/>
      <c r="B3260" s="152"/>
      <c r="E3260" s="102"/>
      <c r="F3260" s="102"/>
      <c r="G3260" s="102"/>
      <c r="I3260" s="93"/>
      <c r="J3260" s="93"/>
    </row>
    <row r="3261" spans="1:10" s="65" customFormat="1" ht="14" x14ac:dyDescent="0.35">
      <c r="A3261" s="145"/>
      <c r="B3261" s="152"/>
      <c r="E3261" s="102"/>
      <c r="F3261" s="102"/>
      <c r="G3261" s="102"/>
      <c r="I3261" s="93"/>
      <c r="J3261" s="93"/>
    </row>
    <row r="3262" spans="1:10" s="65" customFormat="1" ht="14" x14ac:dyDescent="0.35">
      <c r="A3262" s="145"/>
      <c r="B3262" s="152"/>
      <c r="E3262" s="102"/>
      <c r="F3262" s="102"/>
      <c r="G3262" s="102"/>
      <c r="I3262" s="93"/>
      <c r="J3262" s="93"/>
    </row>
    <row r="3263" spans="1:10" s="65" customFormat="1" ht="14" x14ac:dyDescent="0.35">
      <c r="A3263" s="145"/>
      <c r="B3263" s="152"/>
      <c r="E3263" s="102"/>
      <c r="F3263" s="102"/>
      <c r="G3263" s="102"/>
      <c r="I3263" s="93"/>
      <c r="J3263" s="93"/>
    </row>
    <row r="3264" spans="1:10" s="65" customFormat="1" ht="14" x14ac:dyDescent="0.35">
      <c r="A3264" s="145"/>
      <c r="B3264" s="152"/>
      <c r="E3264" s="102"/>
      <c r="F3264" s="102"/>
      <c r="G3264" s="102"/>
      <c r="I3264" s="93"/>
      <c r="J3264" s="93"/>
    </row>
    <row r="3265" spans="1:10" s="65" customFormat="1" ht="14" x14ac:dyDescent="0.35">
      <c r="A3265" s="145"/>
      <c r="B3265" s="152"/>
      <c r="E3265" s="102"/>
      <c r="F3265" s="102"/>
      <c r="G3265" s="102"/>
      <c r="I3265" s="93"/>
      <c r="J3265" s="93"/>
    </row>
    <row r="3266" spans="1:10" s="65" customFormat="1" ht="14" x14ac:dyDescent="0.35">
      <c r="A3266" s="145"/>
      <c r="B3266" s="152"/>
      <c r="E3266" s="102"/>
      <c r="F3266" s="102"/>
      <c r="G3266" s="102"/>
      <c r="I3266" s="93"/>
      <c r="J3266" s="93"/>
    </row>
    <row r="3267" spans="1:10" s="65" customFormat="1" ht="14" x14ac:dyDescent="0.35">
      <c r="A3267" s="145"/>
      <c r="B3267" s="152"/>
      <c r="E3267" s="102"/>
      <c r="F3267" s="102"/>
      <c r="G3267" s="102"/>
      <c r="I3267" s="93"/>
      <c r="J3267" s="93"/>
    </row>
    <row r="3268" spans="1:10" s="65" customFormat="1" ht="14" x14ac:dyDescent="0.35">
      <c r="A3268" s="145"/>
      <c r="B3268" s="152"/>
      <c r="E3268" s="102"/>
      <c r="F3268" s="102"/>
      <c r="G3268" s="102"/>
      <c r="I3268" s="93"/>
      <c r="J3268" s="93"/>
    </row>
    <row r="3269" spans="1:10" s="65" customFormat="1" ht="14" x14ac:dyDescent="0.35">
      <c r="A3269" s="145"/>
      <c r="B3269" s="152"/>
      <c r="E3269" s="102"/>
      <c r="F3269" s="102"/>
      <c r="G3269" s="102"/>
      <c r="I3269" s="93"/>
      <c r="J3269" s="93"/>
    </row>
    <row r="3270" spans="1:10" s="65" customFormat="1" ht="14" x14ac:dyDescent="0.35">
      <c r="A3270" s="145"/>
      <c r="B3270" s="152"/>
      <c r="E3270" s="102"/>
      <c r="F3270" s="102"/>
      <c r="G3270" s="102"/>
      <c r="I3270" s="93"/>
      <c r="J3270" s="93"/>
    </row>
    <row r="3271" spans="1:10" s="65" customFormat="1" ht="14" x14ac:dyDescent="0.35">
      <c r="A3271" s="145"/>
      <c r="B3271" s="152"/>
      <c r="E3271" s="102"/>
      <c r="F3271" s="102"/>
      <c r="G3271" s="102"/>
      <c r="I3271" s="93"/>
      <c r="J3271" s="93"/>
    </row>
    <row r="3272" spans="1:10" s="65" customFormat="1" ht="14" x14ac:dyDescent="0.35">
      <c r="A3272" s="145"/>
      <c r="B3272" s="152"/>
      <c r="E3272" s="102"/>
      <c r="F3272" s="102"/>
      <c r="G3272" s="102"/>
      <c r="I3272" s="93"/>
      <c r="J3272" s="93"/>
    </row>
    <row r="3273" spans="1:10" s="65" customFormat="1" ht="14" x14ac:dyDescent="0.35">
      <c r="A3273" s="145"/>
      <c r="B3273" s="152"/>
      <c r="E3273" s="102"/>
      <c r="F3273" s="102"/>
      <c r="G3273" s="102"/>
      <c r="I3273" s="93"/>
      <c r="J3273" s="93"/>
    </row>
    <row r="3274" spans="1:10" s="65" customFormat="1" ht="14" x14ac:dyDescent="0.35">
      <c r="A3274" s="145"/>
      <c r="B3274" s="152"/>
      <c r="E3274" s="102"/>
      <c r="F3274" s="102"/>
      <c r="G3274" s="102"/>
      <c r="I3274" s="93"/>
      <c r="J3274" s="93"/>
    </row>
    <row r="3275" spans="1:10" s="65" customFormat="1" ht="14" x14ac:dyDescent="0.35">
      <c r="A3275" s="145"/>
      <c r="B3275" s="152"/>
      <c r="E3275" s="102"/>
      <c r="F3275" s="102"/>
      <c r="G3275" s="102"/>
      <c r="I3275" s="93"/>
      <c r="J3275" s="93"/>
    </row>
    <row r="3276" spans="1:10" s="65" customFormat="1" ht="14" x14ac:dyDescent="0.35">
      <c r="A3276" s="145"/>
      <c r="B3276" s="152"/>
      <c r="E3276" s="102"/>
      <c r="F3276" s="102"/>
      <c r="G3276" s="102"/>
      <c r="I3276" s="93"/>
      <c r="J3276" s="93"/>
    </row>
    <row r="3277" spans="1:10" s="65" customFormat="1" ht="14" x14ac:dyDescent="0.35">
      <c r="A3277" s="145"/>
      <c r="B3277" s="152"/>
      <c r="E3277" s="102"/>
      <c r="F3277" s="102"/>
      <c r="G3277" s="102"/>
      <c r="I3277" s="93"/>
      <c r="J3277" s="93"/>
    </row>
    <row r="3278" spans="1:10" s="65" customFormat="1" ht="14" x14ac:dyDescent="0.35">
      <c r="A3278" s="145"/>
      <c r="B3278" s="152"/>
      <c r="E3278" s="102"/>
      <c r="F3278" s="102"/>
      <c r="G3278" s="102"/>
      <c r="I3278" s="93"/>
      <c r="J3278" s="93"/>
    </row>
    <row r="3279" spans="1:10" s="65" customFormat="1" ht="14" x14ac:dyDescent="0.35">
      <c r="A3279" s="145"/>
      <c r="B3279" s="152"/>
      <c r="E3279" s="102"/>
      <c r="F3279" s="102"/>
      <c r="G3279" s="102"/>
      <c r="I3279" s="93"/>
      <c r="J3279" s="93"/>
    </row>
    <row r="3280" spans="1:10" s="65" customFormat="1" ht="14" x14ac:dyDescent="0.35">
      <c r="A3280" s="145"/>
      <c r="B3280" s="152"/>
      <c r="E3280" s="102"/>
      <c r="F3280" s="102"/>
      <c r="G3280" s="102"/>
      <c r="I3280" s="93"/>
      <c r="J3280" s="93"/>
    </row>
    <row r="3281" spans="1:10" s="65" customFormat="1" ht="14" x14ac:dyDescent="0.35">
      <c r="A3281" s="145"/>
      <c r="B3281" s="152"/>
      <c r="E3281" s="102"/>
      <c r="F3281" s="102"/>
      <c r="G3281" s="102"/>
      <c r="I3281" s="93"/>
      <c r="J3281" s="93"/>
    </row>
    <row r="3282" spans="1:10" s="65" customFormat="1" ht="14" x14ac:dyDescent="0.35">
      <c r="A3282" s="145"/>
      <c r="B3282" s="152"/>
      <c r="E3282" s="102"/>
      <c r="F3282" s="102"/>
      <c r="G3282" s="102"/>
      <c r="I3282" s="93"/>
      <c r="J3282" s="93"/>
    </row>
    <row r="3283" spans="1:10" s="65" customFormat="1" ht="14" x14ac:dyDescent="0.35">
      <c r="A3283" s="145"/>
      <c r="B3283" s="152"/>
      <c r="E3283" s="102"/>
      <c r="F3283" s="102"/>
      <c r="G3283" s="102"/>
      <c r="I3283" s="93"/>
      <c r="J3283" s="93"/>
    </row>
    <row r="3284" spans="1:10" s="65" customFormat="1" ht="14" x14ac:dyDescent="0.35">
      <c r="A3284" s="145"/>
      <c r="B3284" s="152"/>
      <c r="E3284" s="102"/>
      <c r="F3284" s="102"/>
      <c r="G3284" s="102"/>
      <c r="I3284" s="93"/>
      <c r="J3284" s="93"/>
    </row>
    <row r="3285" spans="1:10" s="65" customFormat="1" ht="14" x14ac:dyDescent="0.35">
      <c r="A3285" s="145"/>
      <c r="B3285" s="152"/>
      <c r="E3285" s="102"/>
      <c r="F3285" s="102"/>
      <c r="G3285" s="102"/>
      <c r="I3285" s="93"/>
      <c r="J3285" s="93"/>
    </row>
    <row r="3286" spans="1:10" s="65" customFormat="1" ht="14" x14ac:dyDescent="0.35">
      <c r="A3286" s="145"/>
      <c r="B3286" s="152"/>
      <c r="E3286" s="102"/>
      <c r="F3286" s="102"/>
      <c r="G3286" s="102"/>
      <c r="I3286" s="93"/>
      <c r="J3286" s="93"/>
    </row>
    <row r="3287" spans="1:10" s="65" customFormat="1" ht="14" x14ac:dyDescent="0.35">
      <c r="A3287" s="145"/>
      <c r="B3287" s="152"/>
      <c r="E3287" s="102"/>
      <c r="F3287" s="102"/>
      <c r="G3287" s="102"/>
      <c r="I3287" s="93"/>
      <c r="J3287" s="93"/>
    </row>
    <row r="3288" spans="1:10" s="65" customFormat="1" ht="14" x14ac:dyDescent="0.35">
      <c r="A3288" s="145"/>
      <c r="B3288" s="152"/>
      <c r="E3288" s="102"/>
      <c r="F3288" s="102"/>
      <c r="G3288" s="102"/>
      <c r="I3288" s="93"/>
      <c r="J3288" s="93"/>
    </row>
    <row r="3289" spans="1:10" s="65" customFormat="1" ht="14" x14ac:dyDescent="0.35">
      <c r="A3289" s="145"/>
      <c r="B3289" s="152"/>
      <c r="E3289" s="102"/>
      <c r="F3289" s="102"/>
      <c r="G3289" s="102"/>
      <c r="I3289" s="93"/>
      <c r="J3289" s="93"/>
    </row>
    <row r="3290" spans="1:10" s="65" customFormat="1" ht="14" x14ac:dyDescent="0.35">
      <c r="A3290" s="145"/>
      <c r="B3290" s="152"/>
      <c r="E3290" s="102"/>
      <c r="F3290" s="102"/>
      <c r="G3290" s="102"/>
      <c r="I3290" s="93"/>
      <c r="J3290" s="93"/>
    </row>
    <row r="3291" spans="1:10" s="65" customFormat="1" ht="14" x14ac:dyDescent="0.35">
      <c r="A3291" s="145"/>
      <c r="B3291" s="152"/>
      <c r="E3291" s="102"/>
      <c r="F3291" s="102"/>
      <c r="G3291" s="102"/>
      <c r="I3291" s="93"/>
      <c r="J3291" s="93"/>
    </row>
    <row r="3292" spans="1:10" s="65" customFormat="1" ht="14" x14ac:dyDescent="0.35">
      <c r="A3292" s="145"/>
      <c r="B3292" s="152"/>
      <c r="E3292" s="102"/>
      <c r="F3292" s="102"/>
      <c r="G3292" s="102"/>
      <c r="I3292" s="93"/>
      <c r="J3292" s="93"/>
    </row>
    <row r="3293" spans="1:10" s="65" customFormat="1" ht="14" x14ac:dyDescent="0.35">
      <c r="A3293" s="145"/>
      <c r="B3293" s="152"/>
      <c r="E3293" s="102"/>
      <c r="F3293" s="102"/>
      <c r="G3293" s="102"/>
      <c r="I3293" s="93"/>
      <c r="J3293" s="93"/>
    </row>
    <row r="3294" spans="1:10" s="65" customFormat="1" ht="14" x14ac:dyDescent="0.35">
      <c r="A3294" s="145"/>
      <c r="B3294" s="152"/>
      <c r="E3294" s="102"/>
      <c r="F3294" s="102"/>
      <c r="G3294" s="102"/>
      <c r="I3294" s="93"/>
      <c r="J3294" s="93"/>
    </row>
    <row r="3295" spans="1:10" s="65" customFormat="1" ht="14" x14ac:dyDescent="0.35">
      <c r="A3295" s="145"/>
      <c r="B3295" s="152"/>
      <c r="E3295" s="102"/>
      <c r="F3295" s="102"/>
      <c r="G3295" s="102"/>
      <c r="I3295" s="93"/>
      <c r="J3295" s="93"/>
    </row>
    <row r="3296" spans="1:10" s="65" customFormat="1" ht="14" x14ac:dyDescent="0.35">
      <c r="A3296" s="145"/>
      <c r="B3296" s="152"/>
      <c r="E3296" s="102"/>
      <c r="F3296" s="102"/>
      <c r="G3296" s="102"/>
      <c r="I3296" s="93"/>
      <c r="J3296" s="93"/>
    </row>
    <row r="3297" spans="1:10" s="65" customFormat="1" ht="14" x14ac:dyDescent="0.35">
      <c r="A3297" s="145"/>
      <c r="B3297" s="152"/>
      <c r="E3297" s="102"/>
      <c r="F3297" s="102"/>
      <c r="G3297" s="102"/>
      <c r="I3297" s="93"/>
      <c r="J3297" s="93"/>
    </row>
    <row r="3298" spans="1:10" s="65" customFormat="1" ht="14" x14ac:dyDescent="0.35">
      <c r="A3298" s="145"/>
      <c r="B3298" s="152"/>
      <c r="E3298" s="102"/>
      <c r="F3298" s="102"/>
      <c r="G3298" s="102"/>
      <c r="I3298" s="93"/>
      <c r="J3298" s="93"/>
    </row>
    <row r="3299" spans="1:10" s="65" customFormat="1" ht="14" x14ac:dyDescent="0.35">
      <c r="A3299" s="145"/>
      <c r="B3299" s="152"/>
      <c r="E3299" s="102"/>
      <c r="F3299" s="102"/>
      <c r="G3299" s="102"/>
      <c r="I3299" s="93"/>
      <c r="J3299" s="93"/>
    </row>
    <row r="3300" spans="1:10" s="65" customFormat="1" ht="14" x14ac:dyDescent="0.35">
      <c r="A3300" s="145"/>
      <c r="B3300" s="152"/>
      <c r="E3300" s="102"/>
      <c r="F3300" s="102"/>
      <c r="G3300" s="102"/>
      <c r="I3300" s="93"/>
      <c r="J3300" s="93"/>
    </row>
    <row r="3301" spans="1:10" s="65" customFormat="1" ht="14" x14ac:dyDescent="0.35">
      <c r="A3301" s="145"/>
      <c r="B3301" s="152"/>
      <c r="E3301" s="102"/>
      <c r="F3301" s="102"/>
      <c r="G3301" s="102"/>
      <c r="I3301" s="93"/>
      <c r="J3301" s="93"/>
    </row>
    <row r="3302" spans="1:10" s="65" customFormat="1" ht="14" x14ac:dyDescent="0.35">
      <c r="A3302" s="145"/>
      <c r="B3302" s="152"/>
      <c r="E3302" s="102"/>
      <c r="F3302" s="102"/>
      <c r="G3302" s="102"/>
      <c r="I3302" s="93"/>
      <c r="J3302" s="93"/>
    </row>
    <row r="3303" spans="1:10" s="65" customFormat="1" ht="14" x14ac:dyDescent="0.35">
      <c r="A3303" s="145"/>
      <c r="B3303" s="152"/>
      <c r="E3303" s="102"/>
      <c r="F3303" s="102"/>
      <c r="G3303" s="102"/>
      <c r="I3303" s="93"/>
      <c r="J3303" s="93"/>
    </row>
    <row r="3304" spans="1:10" s="65" customFormat="1" ht="14" x14ac:dyDescent="0.35">
      <c r="A3304" s="145"/>
      <c r="B3304" s="152"/>
      <c r="E3304" s="102"/>
      <c r="F3304" s="102"/>
      <c r="G3304" s="102"/>
      <c r="I3304" s="93"/>
      <c r="J3304" s="93"/>
    </row>
    <row r="3305" spans="1:10" s="65" customFormat="1" ht="14" x14ac:dyDescent="0.35">
      <c r="A3305" s="145"/>
      <c r="B3305" s="152"/>
      <c r="E3305" s="102"/>
      <c r="F3305" s="102"/>
      <c r="G3305" s="102"/>
      <c r="I3305" s="93"/>
      <c r="J3305" s="93"/>
    </row>
    <row r="3306" spans="1:10" s="65" customFormat="1" ht="14" x14ac:dyDescent="0.35">
      <c r="A3306" s="145"/>
      <c r="B3306" s="152"/>
      <c r="E3306" s="102"/>
      <c r="F3306" s="102"/>
      <c r="G3306" s="102"/>
      <c r="I3306" s="93"/>
      <c r="J3306" s="93"/>
    </row>
    <row r="3307" spans="1:10" s="65" customFormat="1" ht="14" x14ac:dyDescent="0.35">
      <c r="A3307" s="145"/>
      <c r="B3307" s="152"/>
      <c r="E3307" s="102"/>
      <c r="F3307" s="102"/>
      <c r="G3307" s="102"/>
      <c r="I3307" s="93"/>
      <c r="J3307" s="93"/>
    </row>
    <row r="3308" spans="1:10" s="65" customFormat="1" ht="14" x14ac:dyDescent="0.35">
      <c r="A3308" s="145"/>
      <c r="B3308" s="152"/>
      <c r="E3308" s="102"/>
      <c r="F3308" s="102"/>
      <c r="G3308" s="102"/>
      <c r="I3308" s="93"/>
      <c r="J3308" s="93"/>
    </row>
    <row r="3309" spans="1:10" s="65" customFormat="1" ht="14" x14ac:dyDescent="0.35">
      <c r="A3309" s="145"/>
      <c r="B3309" s="152"/>
      <c r="E3309" s="102"/>
      <c r="F3309" s="102"/>
      <c r="G3309" s="102"/>
      <c r="I3309" s="93"/>
      <c r="J3309" s="93"/>
    </row>
    <row r="3310" spans="1:10" s="65" customFormat="1" ht="14" x14ac:dyDescent="0.35">
      <c r="A3310" s="145"/>
      <c r="B3310" s="152"/>
      <c r="E3310" s="102"/>
      <c r="F3310" s="102"/>
      <c r="G3310" s="102"/>
      <c r="I3310" s="93"/>
      <c r="J3310" s="93"/>
    </row>
    <row r="3311" spans="1:10" s="65" customFormat="1" ht="14" x14ac:dyDescent="0.35">
      <c r="A3311" s="145"/>
      <c r="B3311" s="152"/>
      <c r="E3311" s="102"/>
      <c r="F3311" s="102"/>
      <c r="G3311" s="102"/>
      <c r="I3311" s="93"/>
      <c r="J3311" s="93"/>
    </row>
    <row r="3312" spans="1:10" s="65" customFormat="1" ht="14" x14ac:dyDescent="0.35">
      <c r="A3312" s="145"/>
      <c r="B3312" s="152"/>
      <c r="E3312" s="102"/>
      <c r="F3312" s="102"/>
      <c r="G3312" s="102"/>
      <c r="I3312" s="93"/>
      <c r="J3312" s="93"/>
    </row>
    <row r="3313" spans="1:10" s="65" customFormat="1" ht="14" x14ac:dyDescent="0.35">
      <c r="A3313" s="145"/>
      <c r="B3313" s="152"/>
      <c r="E3313" s="102"/>
      <c r="F3313" s="102"/>
      <c r="G3313" s="102"/>
      <c r="I3313" s="93"/>
      <c r="J3313" s="93"/>
    </row>
    <row r="3314" spans="1:10" s="65" customFormat="1" ht="14" x14ac:dyDescent="0.35">
      <c r="A3314" s="145"/>
      <c r="B3314" s="152"/>
      <c r="E3314" s="102"/>
      <c r="F3314" s="102"/>
      <c r="G3314" s="102"/>
      <c r="I3314" s="93"/>
      <c r="J3314" s="93"/>
    </row>
    <row r="3315" spans="1:10" s="65" customFormat="1" ht="14" x14ac:dyDescent="0.35">
      <c r="A3315" s="145"/>
      <c r="B3315" s="152"/>
      <c r="E3315" s="102"/>
      <c r="F3315" s="102"/>
      <c r="G3315" s="102"/>
      <c r="I3315" s="93"/>
      <c r="J3315" s="93"/>
    </row>
    <row r="3316" spans="1:10" s="65" customFormat="1" ht="14" x14ac:dyDescent="0.35">
      <c r="A3316" s="145"/>
      <c r="B3316" s="152"/>
      <c r="E3316" s="102"/>
      <c r="F3316" s="102"/>
      <c r="G3316" s="102"/>
      <c r="I3316" s="93"/>
      <c r="J3316" s="93"/>
    </row>
    <row r="3317" spans="1:10" s="65" customFormat="1" ht="14" x14ac:dyDescent="0.35">
      <c r="A3317" s="145"/>
      <c r="B3317" s="152"/>
      <c r="E3317" s="102"/>
      <c r="F3317" s="102"/>
      <c r="G3317" s="102"/>
      <c r="I3317" s="93"/>
      <c r="J3317" s="93"/>
    </row>
    <row r="3318" spans="1:10" s="65" customFormat="1" ht="14" x14ac:dyDescent="0.35">
      <c r="A3318" s="145"/>
      <c r="B3318" s="152"/>
      <c r="E3318" s="102"/>
      <c r="F3318" s="102"/>
      <c r="G3318" s="102"/>
      <c r="I3318" s="93"/>
      <c r="J3318" s="93"/>
    </row>
    <row r="3319" spans="1:10" s="65" customFormat="1" ht="14" x14ac:dyDescent="0.35">
      <c r="A3319" s="145"/>
      <c r="B3319" s="152"/>
      <c r="E3319" s="102"/>
      <c r="F3319" s="102"/>
      <c r="G3319" s="102"/>
      <c r="I3319" s="93"/>
      <c r="J3319" s="93"/>
    </row>
    <row r="3320" spans="1:10" s="65" customFormat="1" ht="14" x14ac:dyDescent="0.35">
      <c r="A3320" s="145"/>
      <c r="B3320" s="152"/>
      <c r="E3320" s="102"/>
      <c r="F3320" s="102"/>
      <c r="G3320" s="102"/>
      <c r="I3320" s="93"/>
      <c r="J3320" s="93"/>
    </row>
    <row r="3321" spans="1:10" s="65" customFormat="1" ht="14" x14ac:dyDescent="0.35">
      <c r="A3321" s="145"/>
      <c r="B3321" s="152"/>
      <c r="E3321" s="102"/>
      <c r="F3321" s="102"/>
      <c r="G3321" s="102"/>
      <c r="I3321" s="93"/>
      <c r="J3321" s="93"/>
    </row>
    <row r="3322" spans="1:10" s="65" customFormat="1" ht="14" x14ac:dyDescent="0.35">
      <c r="A3322" s="145"/>
      <c r="B3322" s="152"/>
      <c r="E3322" s="102"/>
      <c r="F3322" s="102"/>
      <c r="G3322" s="102"/>
      <c r="I3322" s="93"/>
      <c r="J3322" s="93"/>
    </row>
    <row r="3323" spans="1:10" s="65" customFormat="1" ht="14" x14ac:dyDescent="0.35">
      <c r="A3323" s="145"/>
      <c r="B3323" s="152"/>
      <c r="E3323" s="102"/>
      <c r="F3323" s="102"/>
      <c r="G3323" s="102"/>
      <c r="I3323" s="93"/>
      <c r="J3323" s="93"/>
    </row>
    <row r="3324" spans="1:10" s="65" customFormat="1" ht="14" x14ac:dyDescent="0.35">
      <c r="A3324" s="145"/>
      <c r="B3324" s="152"/>
      <c r="E3324" s="102"/>
      <c r="F3324" s="102"/>
      <c r="G3324" s="102"/>
      <c r="I3324" s="93"/>
      <c r="J3324" s="93"/>
    </row>
    <row r="3325" spans="1:10" s="65" customFormat="1" ht="14" x14ac:dyDescent="0.35">
      <c r="A3325" s="145"/>
      <c r="B3325" s="152"/>
      <c r="E3325" s="102"/>
      <c r="F3325" s="102"/>
      <c r="G3325" s="102"/>
      <c r="I3325" s="93"/>
      <c r="J3325" s="93"/>
    </row>
    <row r="3326" spans="1:10" s="65" customFormat="1" ht="14" x14ac:dyDescent="0.35">
      <c r="A3326" s="145"/>
      <c r="B3326" s="152"/>
      <c r="E3326" s="102"/>
      <c r="F3326" s="102"/>
      <c r="G3326" s="102"/>
      <c r="I3326" s="93"/>
      <c r="J3326" s="93"/>
    </row>
    <row r="3327" spans="1:10" s="65" customFormat="1" ht="14" x14ac:dyDescent="0.35">
      <c r="A3327" s="145"/>
      <c r="B3327" s="152"/>
      <c r="E3327" s="102"/>
      <c r="F3327" s="102"/>
      <c r="G3327" s="102"/>
      <c r="I3327" s="93"/>
      <c r="J3327" s="93"/>
    </row>
    <row r="3328" spans="1:10" s="65" customFormat="1" ht="14" x14ac:dyDescent="0.35">
      <c r="A3328" s="145"/>
      <c r="B3328" s="152"/>
      <c r="E3328" s="102"/>
      <c r="F3328" s="102"/>
      <c r="G3328" s="102"/>
      <c r="I3328" s="93"/>
      <c r="J3328" s="93"/>
    </row>
    <row r="3329" spans="1:10" s="65" customFormat="1" ht="14" x14ac:dyDescent="0.35">
      <c r="A3329" s="145"/>
      <c r="B3329" s="152"/>
      <c r="E3329" s="102"/>
      <c r="F3329" s="102"/>
      <c r="G3329" s="102"/>
      <c r="I3329" s="93"/>
      <c r="J3329" s="93"/>
    </row>
    <row r="3330" spans="1:10" s="65" customFormat="1" ht="14" x14ac:dyDescent="0.35">
      <c r="A3330" s="145"/>
      <c r="B3330" s="152"/>
      <c r="E3330" s="102"/>
      <c r="F3330" s="102"/>
      <c r="G3330" s="102"/>
      <c r="I3330" s="93"/>
      <c r="J3330" s="93"/>
    </row>
    <row r="3331" spans="1:10" s="65" customFormat="1" ht="14" x14ac:dyDescent="0.35">
      <c r="A3331" s="145"/>
      <c r="B3331" s="152"/>
      <c r="E3331" s="102"/>
      <c r="F3331" s="102"/>
      <c r="G3331" s="102"/>
      <c r="I3331" s="93"/>
      <c r="J3331" s="93"/>
    </row>
    <row r="3332" spans="1:10" s="65" customFormat="1" ht="14" x14ac:dyDescent="0.35">
      <c r="A3332" s="145"/>
      <c r="B3332" s="152"/>
      <c r="E3332" s="102"/>
      <c r="F3332" s="102"/>
      <c r="G3332" s="102"/>
      <c r="I3332" s="93"/>
      <c r="J3332" s="93"/>
    </row>
    <row r="3333" spans="1:10" s="65" customFormat="1" ht="14" x14ac:dyDescent="0.35">
      <c r="A3333" s="145"/>
      <c r="B3333" s="152"/>
      <c r="E3333" s="102"/>
      <c r="F3333" s="102"/>
      <c r="G3333" s="102"/>
      <c r="I3333" s="93"/>
      <c r="J3333" s="93"/>
    </row>
    <row r="3334" spans="1:10" s="65" customFormat="1" ht="14" x14ac:dyDescent="0.35">
      <c r="A3334" s="145"/>
      <c r="B3334" s="152"/>
      <c r="E3334" s="102"/>
      <c r="F3334" s="102"/>
      <c r="G3334" s="102"/>
      <c r="I3334" s="93"/>
      <c r="J3334" s="93"/>
    </row>
    <row r="3335" spans="1:10" s="65" customFormat="1" ht="14" x14ac:dyDescent="0.35">
      <c r="A3335" s="145"/>
      <c r="B3335" s="152"/>
      <c r="E3335" s="102"/>
      <c r="F3335" s="102"/>
      <c r="G3335" s="102"/>
      <c r="I3335" s="93"/>
      <c r="J3335" s="93"/>
    </row>
    <row r="3336" spans="1:10" s="65" customFormat="1" ht="14" x14ac:dyDescent="0.35">
      <c r="A3336" s="145"/>
      <c r="B3336" s="152"/>
      <c r="E3336" s="102"/>
      <c r="F3336" s="102"/>
      <c r="G3336" s="102"/>
      <c r="I3336" s="93"/>
      <c r="J3336" s="93"/>
    </row>
    <row r="3337" spans="1:10" s="65" customFormat="1" ht="14" x14ac:dyDescent="0.35">
      <c r="A3337" s="145"/>
      <c r="B3337" s="152"/>
      <c r="E3337" s="102"/>
      <c r="F3337" s="102"/>
      <c r="G3337" s="102"/>
      <c r="I3337" s="93"/>
      <c r="J3337" s="93"/>
    </row>
    <row r="3338" spans="1:10" s="65" customFormat="1" ht="14" x14ac:dyDescent="0.35">
      <c r="A3338" s="145"/>
      <c r="B3338" s="152"/>
      <c r="E3338" s="102"/>
      <c r="F3338" s="102"/>
      <c r="G3338" s="102"/>
      <c r="I3338" s="93"/>
      <c r="J3338" s="93"/>
    </row>
    <row r="3339" spans="1:10" s="65" customFormat="1" ht="14" x14ac:dyDescent="0.35">
      <c r="A3339" s="145"/>
      <c r="B3339" s="152"/>
      <c r="E3339" s="102"/>
      <c r="F3339" s="102"/>
      <c r="G3339" s="102"/>
      <c r="I3339" s="93"/>
      <c r="J3339" s="93"/>
    </row>
    <row r="3340" spans="1:10" s="65" customFormat="1" ht="14" x14ac:dyDescent="0.35">
      <c r="A3340" s="145"/>
      <c r="B3340" s="152"/>
      <c r="E3340" s="102"/>
      <c r="F3340" s="102"/>
      <c r="G3340" s="102"/>
      <c r="I3340" s="93"/>
      <c r="J3340" s="93"/>
    </row>
    <row r="3341" spans="1:10" s="65" customFormat="1" ht="14" x14ac:dyDescent="0.35">
      <c r="A3341" s="145"/>
      <c r="B3341" s="152"/>
      <c r="E3341" s="102"/>
      <c r="F3341" s="102"/>
      <c r="G3341" s="102"/>
      <c r="I3341" s="93"/>
      <c r="J3341" s="93"/>
    </row>
    <row r="3342" spans="1:10" s="65" customFormat="1" ht="14" x14ac:dyDescent="0.35">
      <c r="A3342" s="145"/>
      <c r="B3342" s="152"/>
      <c r="E3342" s="102"/>
      <c r="F3342" s="102"/>
      <c r="G3342" s="102"/>
      <c r="I3342" s="93"/>
      <c r="J3342" s="93"/>
    </row>
    <row r="3343" spans="1:10" s="65" customFormat="1" ht="14" x14ac:dyDescent="0.35">
      <c r="A3343" s="145"/>
      <c r="B3343" s="152"/>
      <c r="E3343" s="102"/>
      <c r="F3343" s="102"/>
      <c r="G3343" s="102"/>
      <c r="I3343" s="93"/>
      <c r="J3343" s="93"/>
    </row>
    <row r="3344" spans="1:10" s="65" customFormat="1" ht="14" x14ac:dyDescent="0.35">
      <c r="A3344" s="145"/>
      <c r="B3344" s="152"/>
      <c r="E3344" s="102"/>
      <c r="F3344" s="102"/>
      <c r="G3344" s="102"/>
      <c r="I3344" s="93"/>
      <c r="J3344" s="93"/>
    </row>
    <row r="3345" spans="1:10" s="65" customFormat="1" ht="14" x14ac:dyDescent="0.35">
      <c r="A3345" s="145"/>
      <c r="B3345" s="152"/>
      <c r="E3345" s="102"/>
      <c r="F3345" s="102"/>
      <c r="G3345" s="102"/>
      <c r="I3345" s="93"/>
      <c r="J3345" s="93"/>
    </row>
    <row r="3346" spans="1:10" s="65" customFormat="1" ht="14" x14ac:dyDescent="0.35">
      <c r="A3346" s="145"/>
      <c r="B3346" s="152"/>
      <c r="E3346" s="102"/>
      <c r="F3346" s="102"/>
      <c r="G3346" s="102"/>
      <c r="I3346" s="93"/>
      <c r="J3346" s="93"/>
    </row>
    <row r="3347" spans="1:10" s="65" customFormat="1" ht="14" x14ac:dyDescent="0.35">
      <c r="A3347" s="145"/>
      <c r="B3347" s="152"/>
      <c r="E3347" s="102"/>
      <c r="F3347" s="102"/>
      <c r="G3347" s="102"/>
      <c r="I3347" s="93"/>
      <c r="J3347" s="93"/>
    </row>
    <row r="3348" spans="1:10" s="65" customFormat="1" ht="14" x14ac:dyDescent="0.35">
      <c r="A3348" s="145"/>
      <c r="B3348" s="152"/>
      <c r="E3348" s="102"/>
      <c r="F3348" s="102"/>
      <c r="G3348" s="102"/>
      <c r="I3348" s="93"/>
      <c r="J3348" s="93"/>
    </row>
    <row r="3349" spans="1:10" s="65" customFormat="1" ht="14" x14ac:dyDescent="0.35">
      <c r="A3349" s="145"/>
      <c r="B3349" s="152"/>
      <c r="E3349" s="102"/>
      <c r="F3349" s="102"/>
      <c r="G3349" s="102"/>
      <c r="I3349" s="93"/>
      <c r="J3349" s="93"/>
    </row>
    <row r="3350" spans="1:10" s="65" customFormat="1" ht="14" x14ac:dyDescent="0.35">
      <c r="A3350" s="145"/>
      <c r="B3350" s="152"/>
      <c r="E3350" s="102"/>
      <c r="F3350" s="102"/>
      <c r="G3350" s="102"/>
      <c r="I3350" s="93"/>
      <c r="J3350" s="93"/>
    </row>
    <row r="3351" spans="1:10" s="65" customFormat="1" ht="14" x14ac:dyDescent="0.35">
      <c r="A3351" s="145"/>
      <c r="B3351" s="152"/>
      <c r="E3351" s="102"/>
      <c r="F3351" s="102"/>
      <c r="G3351" s="102"/>
      <c r="I3351" s="93"/>
      <c r="J3351" s="93"/>
    </row>
    <row r="3352" spans="1:10" s="65" customFormat="1" ht="14" x14ac:dyDescent="0.35">
      <c r="A3352" s="145"/>
      <c r="B3352" s="152"/>
      <c r="E3352" s="102"/>
      <c r="F3352" s="102"/>
      <c r="G3352" s="102"/>
      <c r="I3352" s="93"/>
      <c r="J3352" s="93"/>
    </row>
    <row r="3353" spans="1:10" s="65" customFormat="1" ht="14" x14ac:dyDescent="0.35">
      <c r="A3353" s="145"/>
      <c r="B3353" s="152"/>
      <c r="E3353" s="102"/>
      <c r="F3353" s="102"/>
      <c r="G3353" s="102"/>
      <c r="I3353" s="93"/>
      <c r="J3353" s="93"/>
    </row>
    <row r="3354" spans="1:10" s="65" customFormat="1" ht="14" x14ac:dyDescent="0.35">
      <c r="A3354" s="145"/>
      <c r="B3354" s="152"/>
      <c r="E3354" s="102"/>
      <c r="F3354" s="102"/>
      <c r="G3354" s="102"/>
      <c r="I3354" s="93"/>
      <c r="J3354" s="93"/>
    </row>
    <row r="3355" spans="1:10" s="65" customFormat="1" ht="14" x14ac:dyDescent="0.35">
      <c r="A3355" s="145"/>
      <c r="B3355" s="152"/>
      <c r="E3355" s="102"/>
      <c r="F3355" s="102"/>
      <c r="G3355" s="102"/>
      <c r="I3355" s="93"/>
      <c r="J3355" s="93"/>
    </row>
    <row r="3356" spans="1:10" s="65" customFormat="1" ht="14" x14ac:dyDescent="0.35">
      <c r="A3356" s="145"/>
      <c r="B3356" s="152"/>
      <c r="E3356" s="102"/>
      <c r="F3356" s="102"/>
      <c r="G3356" s="102"/>
      <c r="I3356" s="93"/>
      <c r="J3356" s="93"/>
    </row>
    <row r="3357" spans="1:10" s="65" customFormat="1" ht="14" x14ac:dyDescent="0.35">
      <c r="A3357" s="145"/>
      <c r="B3357" s="152"/>
      <c r="E3357" s="102"/>
      <c r="F3357" s="102"/>
      <c r="G3357" s="102"/>
      <c r="I3357" s="93"/>
      <c r="J3357" s="93"/>
    </row>
    <row r="3358" spans="1:10" s="65" customFormat="1" ht="14" x14ac:dyDescent="0.35">
      <c r="A3358" s="145"/>
      <c r="B3358" s="152"/>
      <c r="E3358" s="102"/>
      <c r="F3358" s="102"/>
      <c r="G3358" s="102"/>
      <c r="I3358" s="93"/>
      <c r="J3358" s="93"/>
    </row>
    <row r="3359" spans="1:10" s="65" customFormat="1" ht="14" x14ac:dyDescent="0.35">
      <c r="A3359" s="145"/>
      <c r="B3359" s="152"/>
      <c r="E3359" s="102"/>
      <c r="F3359" s="102"/>
      <c r="G3359" s="102"/>
      <c r="I3359" s="93"/>
      <c r="J3359" s="93"/>
    </row>
    <row r="3360" spans="1:10" s="65" customFormat="1" ht="14" x14ac:dyDescent="0.35">
      <c r="A3360" s="145"/>
      <c r="B3360" s="152"/>
      <c r="E3360" s="102"/>
      <c r="F3360" s="102"/>
      <c r="G3360" s="102"/>
      <c r="I3360" s="93"/>
      <c r="J3360" s="93"/>
    </row>
    <row r="3361" spans="1:10" s="65" customFormat="1" ht="14" x14ac:dyDescent="0.35">
      <c r="A3361" s="145"/>
      <c r="B3361" s="152"/>
      <c r="E3361" s="102"/>
      <c r="F3361" s="102"/>
      <c r="G3361" s="102"/>
      <c r="I3361" s="93"/>
      <c r="J3361" s="93"/>
    </row>
    <row r="3362" spans="1:10" s="65" customFormat="1" ht="14" x14ac:dyDescent="0.35">
      <c r="A3362" s="145"/>
      <c r="B3362" s="152"/>
      <c r="E3362" s="102"/>
      <c r="F3362" s="102"/>
      <c r="G3362" s="102"/>
      <c r="I3362" s="93"/>
      <c r="J3362" s="93"/>
    </row>
    <row r="3363" spans="1:10" s="65" customFormat="1" ht="14" x14ac:dyDescent="0.35">
      <c r="A3363" s="145"/>
      <c r="B3363" s="152"/>
      <c r="E3363" s="102"/>
      <c r="F3363" s="102"/>
      <c r="G3363" s="102"/>
      <c r="I3363" s="93"/>
      <c r="J3363" s="93"/>
    </row>
    <row r="3364" spans="1:10" s="65" customFormat="1" ht="14" x14ac:dyDescent="0.35">
      <c r="A3364" s="145"/>
      <c r="B3364" s="152"/>
      <c r="E3364" s="102"/>
      <c r="F3364" s="102"/>
      <c r="G3364" s="102"/>
      <c r="I3364" s="93"/>
      <c r="J3364" s="93"/>
    </row>
    <row r="3365" spans="1:10" s="65" customFormat="1" ht="14" x14ac:dyDescent="0.35">
      <c r="A3365" s="145"/>
      <c r="B3365" s="152"/>
      <c r="E3365" s="102"/>
      <c r="F3365" s="102"/>
      <c r="G3365" s="102"/>
      <c r="I3365" s="93"/>
      <c r="J3365" s="93"/>
    </row>
    <row r="3366" spans="1:10" s="65" customFormat="1" ht="14" x14ac:dyDescent="0.35">
      <c r="A3366" s="145"/>
      <c r="B3366" s="152"/>
      <c r="E3366" s="102"/>
      <c r="F3366" s="102"/>
      <c r="G3366" s="102"/>
      <c r="I3366" s="93"/>
      <c r="J3366" s="93"/>
    </row>
    <row r="3367" spans="1:10" s="65" customFormat="1" ht="14" x14ac:dyDescent="0.35">
      <c r="A3367" s="145"/>
      <c r="B3367" s="152"/>
      <c r="E3367" s="102"/>
      <c r="F3367" s="102"/>
      <c r="G3367" s="102"/>
      <c r="I3367" s="93"/>
      <c r="J3367" s="93"/>
    </row>
    <row r="3368" spans="1:10" s="65" customFormat="1" ht="14" x14ac:dyDescent="0.35">
      <c r="A3368" s="145"/>
      <c r="B3368" s="152"/>
      <c r="E3368" s="102"/>
      <c r="F3368" s="102"/>
      <c r="G3368" s="102"/>
      <c r="I3368" s="93"/>
      <c r="J3368" s="93"/>
    </row>
    <row r="3369" spans="1:10" s="65" customFormat="1" ht="14" x14ac:dyDescent="0.35">
      <c r="A3369" s="145"/>
      <c r="B3369" s="152"/>
      <c r="E3369" s="102"/>
      <c r="F3369" s="102"/>
      <c r="G3369" s="102"/>
      <c r="I3369" s="93"/>
      <c r="J3369" s="93"/>
    </row>
    <row r="3370" spans="1:10" s="65" customFormat="1" ht="14" x14ac:dyDescent="0.35">
      <c r="A3370" s="145"/>
      <c r="B3370" s="152"/>
      <c r="E3370" s="102"/>
      <c r="F3370" s="102"/>
      <c r="G3370" s="102"/>
      <c r="I3370" s="93"/>
      <c r="J3370" s="93"/>
    </row>
    <row r="3371" spans="1:10" s="65" customFormat="1" ht="14" x14ac:dyDescent="0.35">
      <c r="A3371" s="145"/>
      <c r="B3371" s="152"/>
      <c r="E3371" s="102"/>
      <c r="F3371" s="102"/>
      <c r="G3371" s="102"/>
      <c r="I3371" s="93"/>
      <c r="J3371" s="93"/>
    </row>
    <row r="3372" spans="1:10" s="65" customFormat="1" ht="14" x14ac:dyDescent="0.35">
      <c r="A3372" s="145"/>
      <c r="B3372" s="152"/>
      <c r="E3372" s="102"/>
      <c r="F3372" s="102"/>
      <c r="G3372" s="102"/>
      <c r="I3372" s="93"/>
      <c r="J3372" s="93"/>
    </row>
    <row r="3373" spans="1:10" s="65" customFormat="1" ht="14" x14ac:dyDescent="0.35">
      <c r="A3373" s="145"/>
      <c r="B3373" s="152"/>
      <c r="E3373" s="102"/>
      <c r="F3373" s="102"/>
      <c r="G3373" s="102"/>
      <c r="I3373" s="93"/>
      <c r="J3373" s="93"/>
    </row>
    <row r="3374" spans="1:10" s="65" customFormat="1" ht="14" x14ac:dyDescent="0.35">
      <c r="A3374" s="145"/>
      <c r="B3374" s="152"/>
      <c r="E3374" s="102"/>
      <c r="F3374" s="102"/>
      <c r="G3374" s="102"/>
      <c r="I3374" s="93"/>
      <c r="J3374" s="93"/>
    </row>
    <row r="3375" spans="1:10" s="65" customFormat="1" ht="14" x14ac:dyDescent="0.35">
      <c r="A3375" s="145"/>
      <c r="B3375" s="152"/>
      <c r="E3375" s="102"/>
      <c r="F3375" s="102"/>
      <c r="G3375" s="102"/>
      <c r="I3375" s="93"/>
      <c r="J3375" s="93"/>
    </row>
    <row r="3376" spans="1:10" s="65" customFormat="1" ht="14" x14ac:dyDescent="0.35">
      <c r="A3376" s="145"/>
      <c r="B3376" s="152"/>
      <c r="E3376" s="102"/>
      <c r="F3376" s="102"/>
      <c r="G3376" s="102"/>
      <c r="I3376" s="93"/>
      <c r="J3376" s="93"/>
    </row>
    <row r="3377" spans="1:10" s="65" customFormat="1" ht="14" x14ac:dyDescent="0.35">
      <c r="A3377" s="145"/>
      <c r="B3377" s="152"/>
      <c r="E3377" s="102"/>
      <c r="F3377" s="102"/>
      <c r="G3377" s="102"/>
      <c r="I3377" s="93"/>
      <c r="J3377" s="93"/>
    </row>
    <row r="3378" spans="1:10" s="65" customFormat="1" ht="14" x14ac:dyDescent="0.35">
      <c r="A3378" s="145"/>
      <c r="B3378" s="152"/>
      <c r="E3378" s="102"/>
      <c r="F3378" s="102"/>
      <c r="G3378" s="102"/>
      <c r="I3378" s="93"/>
      <c r="J3378" s="93"/>
    </row>
    <row r="3379" spans="1:10" s="65" customFormat="1" ht="14" x14ac:dyDescent="0.35">
      <c r="A3379" s="145"/>
      <c r="B3379" s="152"/>
      <c r="E3379" s="102"/>
      <c r="F3379" s="102"/>
      <c r="G3379" s="102"/>
      <c r="I3379" s="93"/>
      <c r="J3379" s="93"/>
    </row>
    <row r="3380" spans="1:10" s="65" customFormat="1" ht="14" x14ac:dyDescent="0.35">
      <c r="A3380" s="145"/>
      <c r="B3380" s="152"/>
      <c r="E3380" s="102"/>
      <c r="F3380" s="102"/>
      <c r="G3380" s="102"/>
      <c r="I3380" s="93"/>
      <c r="J3380" s="93"/>
    </row>
    <row r="3381" spans="1:10" s="65" customFormat="1" ht="14" x14ac:dyDescent="0.35">
      <c r="A3381" s="145"/>
      <c r="B3381" s="152"/>
      <c r="E3381" s="102"/>
      <c r="F3381" s="102"/>
      <c r="G3381" s="102"/>
      <c r="I3381" s="93"/>
      <c r="J3381" s="93"/>
    </row>
    <row r="3382" spans="1:10" s="65" customFormat="1" ht="14" x14ac:dyDescent="0.35">
      <c r="A3382" s="145"/>
      <c r="B3382" s="152"/>
      <c r="E3382" s="102"/>
      <c r="F3382" s="102"/>
      <c r="G3382" s="102"/>
      <c r="I3382" s="93"/>
      <c r="J3382" s="93"/>
    </row>
    <row r="3383" spans="1:10" s="65" customFormat="1" ht="14" x14ac:dyDescent="0.35">
      <c r="A3383" s="145"/>
      <c r="B3383" s="152"/>
      <c r="E3383" s="102"/>
      <c r="F3383" s="102"/>
      <c r="G3383" s="102"/>
      <c r="I3383" s="93"/>
      <c r="J3383" s="93"/>
    </row>
    <row r="3384" spans="1:10" s="65" customFormat="1" ht="14" x14ac:dyDescent="0.35">
      <c r="A3384" s="145"/>
      <c r="B3384" s="152"/>
      <c r="E3384" s="102"/>
      <c r="F3384" s="102"/>
      <c r="G3384" s="102"/>
      <c r="I3384" s="93"/>
      <c r="J3384" s="93"/>
    </row>
    <row r="3385" spans="1:10" s="65" customFormat="1" ht="14" x14ac:dyDescent="0.35">
      <c r="A3385" s="145"/>
      <c r="B3385" s="152"/>
      <c r="E3385" s="102"/>
      <c r="F3385" s="102"/>
      <c r="G3385" s="102"/>
      <c r="I3385" s="93"/>
      <c r="J3385" s="93"/>
    </row>
    <row r="3386" spans="1:10" s="65" customFormat="1" ht="14" x14ac:dyDescent="0.35">
      <c r="A3386" s="145"/>
      <c r="B3386" s="152"/>
      <c r="E3386" s="102"/>
      <c r="F3386" s="102"/>
      <c r="G3386" s="102"/>
      <c r="I3386" s="93"/>
      <c r="J3386" s="93"/>
    </row>
    <row r="3387" spans="1:10" s="65" customFormat="1" ht="14" x14ac:dyDescent="0.35">
      <c r="A3387" s="145"/>
      <c r="B3387" s="152"/>
      <c r="E3387" s="102"/>
      <c r="F3387" s="102"/>
      <c r="G3387" s="102"/>
      <c r="I3387" s="93"/>
      <c r="J3387" s="93"/>
    </row>
    <row r="3388" spans="1:10" s="65" customFormat="1" ht="14" x14ac:dyDescent="0.35">
      <c r="A3388" s="145"/>
      <c r="B3388" s="152"/>
      <c r="E3388" s="102"/>
      <c r="F3388" s="102"/>
      <c r="G3388" s="102"/>
      <c r="I3388" s="93"/>
      <c r="J3388" s="93"/>
    </row>
    <row r="3389" spans="1:10" s="65" customFormat="1" ht="14" x14ac:dyDescent="0.35">
      <c r="A3389" s="145"/>
      <c r="B3389" s="152"/>
      <c r="E3389" s="102"/>
      <c r="F3389" s="102"/>
      <c r="G3389" s="102"/>
      <c r="I3389" s="93"/>
      <c r="J3389" s="93"/>
    </row>
    <row r="3390" spans="1:10" s="65" customFormat="1" ht="14" x14ac:dyDescent="0.35">
      <c r="A3390" s="145"/>
      <c r="B3390" s="152"/>
      <c r="E3390" s="102"/>
      <c r="F3390" s="102"/>
      <c r="G3390" s="102"/>
      <c r="I3390" s="93"/>
      <c r="J3390" s="93"/>
    </row>
    <row r="3391" spans="1:10" s="65" customFormat="1" ht="14" x14ac:dyDescent="0.35">
      <c r="A3391" s="145"/>
      <c r="B3391" s="152"/>
      <c r="E3391" s="102"/>
      <c r="F3391" s="102"/>
      <c r="G3391" s="102"/>
      <c r="I3391" s="93"/>
      <c r="J3391" s="93"/>
    </row>
    <row r="3392" spans="1:10" s="65" customFormat="1" ht="14" x14ac:dyDescent="0.35">
      <c r="A3392" s="145"/>
      <c r="B3392" s="152"/>
      <c r="E3392" s="102"/>
      <c r="F3392" s="102"/>
      <c r="G3392" s="102"/>
      <c r="I3392" s="93"/>
      <c r="J3392" s="93"/>
    </row>
    <row r="3393" spans="1:10" s="65" customFormat="1" ht="14" x14ac:dyDescent="0.35">
      <c r="A3393" s="145"/>
      <c r="B3393" s="152"/>
      <c r="E3393" s="102"/>
      <c r="F3393" s="102"/>
      <c r="G3393" s="102"/>
      <c r="I3393" s="93"/>
      <c r="J3393" s="93"/>
    </row>
    <row r="3394" spans="1:10" s="65" customFormat="1" ht="14" x14ac:dyDescent="0.35">
      <c r="A3394" s="145"/>
      <c r="B3394" s="152"/>
      <c r="E3394" s="102"/>
      <c r="F3394" s="102"/>
      <c r="G3394" s="102"/>
      <c r="I3394" s="93"/>
      <c r="J3394" s="93"/>
    </row>
    <row r="3395" spans="1:10" s="65" customFormat="1" ht="14" x14ac:dyDescent="0.35">
      <c r="A3395" s="145"/>
      <c r="B3395" s="152"/>
      <c r="E3395" s="102"/>
      <c r="F3395" s="102"/>
      <c r="G3395" s="102"/>
      <c r="I3395" s="93"/>
      <c r="J3395" s="93"/>
    </row>
    <row r="3396" spans="1:10" s="65" customFormat="1" ht="14" x14ac:dyDescent="0.35">
      <c r="A3396" s="145"/>
      <c r="B3396" s="152"/>
      <c r="E3396" s="102"/>
      <c r="F3396" s="102"/>
      <c r="G3396" s="102"/>
      <c r="I3396" s="93"/>
      <c r="J3396" s="93"/>
    </row>
    <row r="3397" spans="1:10" s="65" customFormat="1" ht="14" x14ac:dyDescent="0.35">
      <c r="A3397" s="145"/>
      <c r="B3397" s="152"/>
      <c r="E3397" s="102"/>
      <c r="F3397" s="102"/>
      <c r="G3397" s="102"/>
      <c r="I3397" s="93"/>
      <c r="J3397" s="93"/>
    </row>
    <row r="3398" spans="1:10" s="65" customFormat="1" ht="14" x14ac:dyDescent="0.35">
      <c r="A3398" s="145"/>
      <c r="B3398" s="152"/>
      <c r="E3398" s="102"/>
      <c r="F3398" s="102"/>
      <c r="G3398" s="102"/>
      <c r="I3398" s="93"/>
      <c r="J3398" s="93"/>
    </row>
    <row r="3399" spans="1:10" s="65" customFormat="1" ht="14" x14ac:dyDescent="0.35">
      <c r="A3399" s="145"/>
      <c r="B3399" s="152"/>
      <c r="E3399" s="102"/>
      <c r="F3399" s="102"/>
      <c r="G3399" s="102"/>
      <c r="I3399" s="93"/>
      <c r="J3399" s="93"/>
    </row>
    <row r="3400" spans="1:10" s="65" customFormat="1" ht="14" x14ac:dyDescent="0.35">
      <c r="A3400" s="145"/>
      <c r="B3400" s="152"/>
      <c r="E3400" s="102"/>
      <c r="F3400" s="102"/>
      <c r="G3400" s="102"/>
      <c r="I3400" s="93"/>
      <c r="J3400" s="93"/>
    </row>
    <row r="3401" spans="1:10" s="65" customFormat="1" ht="14" x14ac:dyDescent="0.35">
      <c r="A3401" s="145"/>
      <c r="B3401" s="152"/>
      <c r="E3401" s="102"/>
      <c r="F3401" s="102"/>
      <c r="G3401" s="102"/>
      <c r="I3401" s="93"/>
      <c r="J3401" s="93"/>
    </row>
    <row r="3402" spans="1:10" s="65" customFormat="1" ht="14" x14ac:dyDescent="0.35">
      <c r="A3402" s="145"/>
      <c r="B3402" s="152"/>
      <c r="E3402" s="102"/>
      <c r="F3402" s="102"/>
      <c r="G3402" s="102"/>
      <c r="I3402" s="93"/>
      <c r="J3402" s="93"/>
    </row>
    <row r="3403" spans="1:10" s="65" customFormat="1" ht="14" x14ac:dyDescent="0.35">
      <c r="A3403" s="145"/>
      <c r="B3403" s="152"/>
      <c r="E3403" s="102"/>
      <c r="F3403" s="102"/>
      <c r="G3403" s="102"/>
      <c r="I3403" s="93"/>
      <c r="J3403" s="93"/>
    </row>
    <row r="3404" spans="1:10" s="65" customFormat="1" ht="14" x14ac:dyDescent="0.35">
      <c r="A3404" s="145"/>
      <c r="B3404" s="152"/>
      <c r="E3404" s="102"/>
      <c r="F3404" s="102"/>
      <c r="G3404" s="102"/>
      <c r="I3404" s="93"/>
      <c r="J3404" s="93"/>
    </row>
    <row r="3405" spans="1:10" s="65" customFormat="1" ht="14" x14ac:dyDescent="0.35">
      <c r="A3405" s="145"/>
      <c r="B3405" s="152"/>
      <c r="E3405" s="102"/>
      <c r="F3405" s="102"/>
      <c r="G3405" s="102"/>
      <c r="I3405" s="93"/>
      <c r="J3405" s="93"/>
    </row>
    <row r="3406" spans="1:10" s="65" customFormat="1" ht="14" x14ac:dyDescent="0.35">
      <c r="A3406" s="145"/>
      <c r="B3406" s="152"/>
      <c r="E3406" s="102"/>
      <c r="F3406" s="102"/>
      <c r="G3406" s="102"/>
      <c r="I3406" s="93"/>
      <c r="J3406" s="93"/>
    </row>
    <row r="3407" spans="1:10" s="65" customFormat="1" ht="14" x14ac:dyDescent="0.35">
      <c r="A3407" s="145"/>
      <c r="B3407" s="152"/>
      <c r="E3407" s="102"/>
      <c r="F3407" s="102"/>
      <c r="G3407" s="102"/>
      <c r="I3407" s="93"/>
      <c r="J3407" s="93"/>
    </row>
    <row r="3408" spans="1:10" s="65" customFormat="1" ht="14" x14ac:dyDescent="0.35">
      <c r="A3408" s="145"/>
      <c r="B3408" s="152"/>
      <c r="E3408" s="102"/>
      <c r="F3408" s="102"/>
      <c r="G3408" s="102"/>
      <c r="I3408" s="93"/>
      <c r="J3408" s="93"/>
    </row>
    <row r="3409" spans="1:10" s="65" customFormat="1" ht="14" x14ac:dyDescent="0.35">
      <c r="A3409" s="145"/>
      <c r="B3409" s="152"/>
      <c r="E3409" s="102"/>
      <c r="F3409" s="102"/>
      <c r="G3409" s="102"/>
      <c r="I3409" s="93"/>
      <c r="J3409" s="93"/>
    </row>
    <row r="3410" spans="1:10" s="65" customFormat="1" ht="14" x14ac:dyDescent="0.35">
      <c r="A3410" s="145"/>
      <c r="B3410" s="152"/>
      <c r="E3410" s="102"/>
      <c r="F3410" s="102"/>
      <c r="G3410" s="102"/>
      <c r="I3410" s="93"/>
      <c r="J3410" s="93"/>
    </row>
    <row r="3411" spans="1:10" s="65" customFormat="1" ht="14" x14ac:dyDescent="0.35">
      <c r="A3411" s="145"/>
      <c r="B3411" s="152"/>
      <c r="E3411" s="102"/>
      <c r="F3411" s="102"/>
      <c r="G3411" s="102"/>
      <c r="I3411" s="93"/>
      <c r="J3411" s="93"/>
    </row>
    <row r="3412" spans="1:10" s="65" customFormat="1" ht="14" x14ac:dyDescent="0.35">
      <c r="A3412" s="145"/>
      <c r="B3412" s="152"/>
      <c r="E3412" s="102"/>
      <c r="F3412" s="102"/>
      <c r="G3412" s="102"/>
      <c r="I3412" s="93"/>
      <c r="J3412" s="93"/>
    </row>
    <row r="3413" spans="1:10" s="65" customFormat="1" ht="14" x14ac:dyDescent="0.35">
      <c r="A3413" s="145"/>
      <c r="B3413" s="152"/>
      <c r="E3413" s="102"/>
      <c r="F3413" s="102"/>
      <c r="G3413" s="102"/>
      <c r="I3413" s="93"/>
      <c r="J3413" s="93"/>
    </row>
    <row r="3414" spans="1:10" s="65" customFormat="1" ht="14" x14ac:dyDescent="0.35">
      <c r="A3414" s="145"/>
      <c r="B3414" s="152"/>
      <c r="E3414" s="102"/>
      <c r="F3414" s="102"/>
      <c r="G3414" s="102"/>
      <c r="I3414" s="93"/>
      <c r="J3414" s="93"/>
    </row>
    <row r="3415" spans="1:10" s="65" customFormat="1" ht="14" x14ac:dyDescent="0.35">
      <c r="A3415" s="145"/>
      <c r="B3415" s="152"/>
      <c r="E3415" s="102"/>
      <c r="F3415" s="102"/>
      <c r="G3415" s="102"/>
      <c r="I3415" s="93"/>
      <c r="J3415" s="93"/>
    </row>
    <row r="3416" spans="1:10" s="65" customFormat="1" ht="14" x14ac:dyDescent="0.35">
      <c r="A3416" s="145"/>
      <c r="B3416" s="152"/>
      <c r="E3416" s="102"/>
      <c r="F3416" s="102"/>
      <c r="G3416" s="102"/>
      <c r="I3416" s="93"/>
      <c r="J3416" s="93"/>
    </row>
    <row r="3417" spans="1:10" s="65" customFormat="1" ht="14" x14ac:dyDescent="0.35">
      <c r="A3417" s="145"/>
      <c r="B3417" s="152"/>
      <c r="E3417" s="102"/>
      <c r="F3417" s="102"/>
      <c r="G3417" s="102"/>
      <c r="I3417" s="93"/>
      <c r="J3417" s="93"/>
    </row>
    <row r="3418" spans="1:10" s="65" customFormat="1" ht="14" x14ac:dyDescent="0.35">
      <c r="A3418" s="145"/>
      <c r="B3418" s="152"/>
      <c r="E3418" s="102"/>
      <c r="F3418" s="102"/>
      <c r="G3418" s="102"/>
      <c r="I3418" s="93"/>
      <c r="J3418" s="93"/>
    </row>
    <row r="3419" spans="1:10" s="65" customFormat="1" ht="14" x14ac:dyDescent="0.35">
      <c r="A3419" s="145"/>
      <c r="B3419" s="152"/>
      <c r="E3419" s="102"/>
      <c r="F3419" s="102"/>
      <c r="G3419" s="102"/>
      <c r="I3419" s="93"/>
      <c r="J3419" s="93"/>
    </row>
    <row r="3420" spans="1:10" s="65" customFormat="1" ht="14" x14ac:dyDescent="0.35">
      <c r="A3420" s="145"/>
      <c r="B3420" s="152"/>
      <c r="E3420" s="102"/>
      <c r="F3420" s="102"/>
      <c r="G3420" s="102"/>
      <c r="I3420" s="93"/>
      <c r="J3420" s="93"/>
    </row>
    <row r="3421" spans="1:10" s="65" customFormat="1" ht="14" x14ac:dyDescent="0.35">
      <c r="A3421" s="145"/>
      <c r="B3421" s="152"/>
      <c r="E3421" s="102"/>
      <c r="F3421" s="102"/>
      <c r="G3421" s="102"/>
      <c r="I3421" s="93"/>
      <c r="J3421" s="93"/>
    </row>
    <row r="3422" spans="1:10" s="65" customFormat="1" ht="14" x14ac:dyDescent="0.35">
      <c r="A3422" s="145"/>
      <c r="B3422" s="152"/>
      <c r="E3422" s="102"/>
      <c r="F3422" s="102"/>
      <c r="G3422" s="102"/>
      <c r="I3422" s="93"/>
      <c r="J3422" s="93"/>
    </row>
    <row r="3423" spans="1:10" s="65" customFormat="1" ht="14" x14ac:dyDescent="0.35">
      <c r="A3423" s="145"/>
      <c r="B3423" s="152"/>
      <c r="E3423" s="102"/>
      <c r="F3423" s="102"/>
      <c r="G3423" s="102"/>
      <c r="I3423" s="93"/>
      <c r="J3423" s="93"/>
    </row>
    <row r="3424" spans="1:10" s="65" customFormat="1" ht="14" x14ac:dyDescent="0.35">
      <c r="A3424" s="145"/>
      <c r="B3424" s="152"/>
      <c r="E3424" s="102"/>
      <c r="F3424" s="102"/>
      <c r="G3424" s="102"/>
      <c r="I3424" s="93"/>
      <c r="J3424" s="93"/>
    </row>
    <row r="3425" spans="1:10" s="65" customFormat="1" ht="14" x14ac:dyDescent="0.35">
      <c r="A3425" s="145"/>
      <c r="B3425" s="152"/>
      <c r="E3425" s="102"/>
      <c r="F3425" s="102"/>
      <c r="G3425" s="102"/>
      <c r="I3425" s="93"/>
      <c r="J3425" s="93"/>
    </row>
    <row r="3426" spans="1:10" s="65" customFormat="1" ht="14" x14ac:dyDescent="0.35">
      <c r="A3426" s="145"/>
      <c r="B3426" s="152"/>
      <c r="E3426" s="102"/>
      <c r="F3426" s="102"/>
      <c r="G3426" s="102"/>
      <c r="I3426" s="93"/>
      <c r="J3426" s="93"/>
    </row>
    <row r="3427" spans="1:10" s="65" customFormat="1" ht="14" x14ac:dyDescent="0.35">
      <c r="A3427" s="145"/>
      <c r="B3427" s="152"/>
      <c r="E3427" s="102"/>
      <c r="F3427" s="102"/>
      <c r="G3427" s="102"/>
      <c r="I3427" s="93"/>
      <c r="J3427" s="93"/>
    </row>
    <row r="3428" spans="1:10" s="65" customFormat="1" ht="14" x14ac:dyDescent="0.35">
      <c r="A3428" s="145"/>
      <c r="B3428" s="152"/>
      <c r="E3428" s="102"/>
      <c r="F3428" s="102"/>
      <c r="G3428" s="102"/>
      <c r="I3428" s="93"/>
      <c r="J3428" s="93"/>
    </row>
    <row r="3429" spans="1:10" s="65" customFormat="1" ht="14" x14ac:dyDescent="0.35">
      <c r="A3429" s="145"/>
      <c r="B3429" s="152"/>
      <c r="E3429" s="102"/>
      <c r="F3429" s="102"/>
      <c r="G3429" s="102"/>
      <c r="I3429" s="93"/>
      <c r="J3429" s="93"/>
    </row>
    <row r="3430" spans="1:10" s="65" customFormat="1" ht="14" x14ac:dyDescent="0.35">
      <c r="A3430" s="145"/>
      <c r="B3430" s="152"/>
      <c r="E3430" s="102"/>
      <c r="F3430" s="102"/>
      <c r="G3430" s="102"/>
      <c r="I3430" s="93"/>
      <c r="J3430" s="93"/>
    </row>
    <row r="3431" spans="1:10" s="65" customFormat="1" ht="14" x14ac:dyDescent="0.35">
      <c r="A3431" s="145"/>
      <c r="B3431" s="152"/>
      <c r="E3431" s="102"/>
      <c r="F3431" s="102"/>
      <c r="G3431" s="102"/>
      <c r="I3431" s="93"/>
      <c r="J3431" s="93"/>
    </row>
    <row r="3432" spans="1:10" s="65" customFormat="1" ht="14" x14ac:dyDescent="0.35">
      <c r="A3432" s="145"/>
      <c r="B3432" s="152"/>
      <c r="E3432" s="102"/>
      <c r="F3432" s="102"/>
      <c r="G3432" s="102"/>
      <c r="I3432" s="93"/>
      <c r="J3432" s="93"/>
    </row>
    <row r="3433" spans="1:10" s="65" customFormat="1" ht="14" x14ac:dyDescent="0.35">
      <c r="A3433" s="145"/>
      <c r="B3433" s="152"/>
      <c r="E3433" s="102"/>
      <c r="F3433" s="102"/>
      <c r="G3433" s="102"/>
      <c r="I3433" s="93"/>
      <c r="J3433" s="93"/>
    </row>
    <row r="3434" spans="1:10" s="65" customFormat="1" ht="14" x14ac:dyDescent="0.35">
      <c r="A3434" s="145"/>
      <c r="B3434" s="152"/>
      <c r="E3434" s="102"/>
      <c r="F3434" s="102"/>
      <c r="G3434" s="102"/>
      <c r="I3434" s="93"/>
      <c r="J3434" s="93"/>
    </row>
    <row r="3435" spans="1:10" s="65" customFormat="1" ht="14" x14ac:dyDescent="0.35">
      <c r="A3435" s="145"/>
      <c r="B3435" s="152"/>
      <c r="E3435" s="102"/>
      <c r="F3435" s="102"/>
      <c r="G3435" s="102"/>
      <c r="I3435" s="93"/>
      <c r="J3435" s="93"/>
    </row>
    <row r="3436" spans="1:10" s="65" customFormat="1" ht="14" x14ac:dyDescent="0.35">
      <c r="A3436" s="145"/>
      <c r="B3436" s="152"/>
      <c r="E3436" s="102"/>
      <c r="F3436" s="102"/>
      <c r="G3436" s="102"/>
      <c r="I3436" s="93"/>
      <c r="J3436" s="93"/>
    </row>
    <row r="3437" spans="1:10" s="65" customFormat="1" ht="14" x14ac:dyDescent="0.35">
      <c r="A3437" s="145"/>
      <c r="B3437" s="152"/>
      <c r="E3437" s="102"/>
      <c r="F3437" s="102"/>
      <c r="G3437" s="102"/>
      <c r="I3437" s="93"/>
      <c r="J3437" s="93"/>
    </row>
    <row r="3438" spans="1:10" s="65" customFormat="1" ht="14" x14ac:dyDescent="0.35">
      <c r="A3438" s="145"/>
      <c r="B3438" s="152"/>
      <c r="E3438" s="102"/>
      <c r="F3438" s="102"/>
      <c r="G3438" s="102"/>
      <c r="I3438" s="93"/>
      <c r="J3438" s="93"/>
    </row>
    <row r="3439" spans="1:10" s="65" customFormat="1" ht="14" x14ac:dyDescent="0.35">
      <c r="A3439" s="145"/>
      <c r="B3439" s="152"/>
      <c r="E3439" s="102"/>
      <c r="F3439" s="102"/>
      <c r="G3439" s="102"/>
      <c r="I3439" s="93"/>
      <c r="J3439" s="93"/>
    </row>
    <row r="3440" spans="1:10" s="65" customFormat="1" ht="14" x14ac:dyDescent="0.35">
      <c r="A3440" s="145"/>
      <c r="B3440" s="152"/>
      <c r="E3440" s="102"/>
      <c r="F3440" s="102"/>
      <c r="G3440" s="102"/>
      <c r="I3440" s="93"/>
      <c r="J3440" s="93"/>
    </row>
    <row r="3441" spans="1:10" s="65" customFormat="1" ht="14" x14ac:dyDescent="0.35">
      <c r="A3441" s="145"/>
      <c r="B3441" s="152"/>
      <c r="E3441" s="102"/>
      <c r="F3441" s="102"/>
      <c r="G3441" s="102"/>
      <c r="I3441" s="93"/>
      <c r="J3441" s="93"/>
    </row>
    <row r="3442" spans="1:10" s="65" customFormat="1" ht="14" x14ac:dyDescent="0.35">
      <c r="A3442" s="145"/>
      <c r="B3442" s="152"/>
      <c r="E3442" s="102"/>
      <c r="F3442" s="102"/>
      <c r="G3442" s="102"/>
      <c r="I3442" s="93"/>
      <c r="J3442" s="93"/>
    </row>
    <row r="3443" spans="1:10" s="65" customFormat="1" ht="14" x14ac:dyDescent="0.35">
      <c r="A3443" s="145"/>
      <c r="B3443" s="152"/>
      <c r="E3443" s="102"/>
      <c r="F3443" s="102"/>
      <c r="G3443" s="102"/>
      <c r="I3443" s="93"/>
      <c r="J3443" s="93"/>
    </row>
    <row r="3444" spans="1:10" s="65" customFormat="1" ht="14" x14ac:dyDescent="0.35">
      <c r="A3444" s="145"/>
      <c r="B3444" s="152"/>
      <c r="E3444" s="102"/>
      <c r="F3444" s="102"/>
      <c r="G3444" s="102"/>
      <c r="I3444" s="93"/>
      <c r="J3444" s="93"/>
    </row>
    <row r="3445" spans="1:10" s="65" customFormat="1" ht="14" x14ac:dyDescent="0.35">
      <c r="A3445" s="145"/>
      <c r="B3445" s="152"/>
      <c r="E3445" s="102"/>
      <c r="F3445" s="102"/>
      <c r="G3445" s="102"/>
      <c r="I3445" s="93"/>
      <c r="J3445" s="93"/>
    </row>
    <row r="3446" spans="1:10" s="65" customFormat="1" ht="14" x14ac:dyDescent="0.35">
      <c r="A3446" s="145"/>
      <c r="B3446" s="152"/>
      <c r="E3446" s="102"/>
      <c r="F3446" s="102"/>
      <c r="G3446" s="102"/>
      <c r="I3446" s="93"/>
      <c r="J3446" s="93"/>
    </row>
    <row r="3447" spans="1:10" s="65" customFormat="1" ht="14" x14ac:dyDescent="0.35">
      <c r="A3447" s="145"/>
      <c r="B3447" s="152"/>
      <c r="E3447" s="102"/>
      <c r="F3447" s="102"/>
      <c r="G3447" s="102"/>
      <c r="I3447" s="93"/>
      <c r="J3447" s="93"/>
    </row>
    <row r="3448" spans="1:10" s="65" customFormat="1" ht="14" x14ac:dyDescent="0.35">
      <c r="A3448" s="145"/>
      <c r="B3448" s="152"/>
      <c r="E3448" s="102"/>
      <c r="F3448" s="102"/>
      <c r="G3448" s="102"/>
      <c r="I3448" s="93"/>
      <c r="J3448" s="93"/>
    </row>
    <row r="3449" spans="1:10" s="65" customFormat="1" ht="14" x14ac:dyDescent="0.35">
      <c r="A3449" s="145"/>
      <c r="B3449" s="152"/>
      <c r="E3449" s="102"/>
      <c r="F3449" s="102"/>
      <c r="G3449" s="102"/>
      <c r="I3449" s="93"/>
      <c r="J3449" s="93"/>
    </row>
    <row r="3450" spans="1:10" s="65" customFormat="1" ht="14" x14ac:dyDescent="0.35">
      <c r="A3450" s="145"/>
      <c r="B3450" s="152"/>
      <c r="E3450" s="102"/>
      <c r="F3450" s="102"/>
      <c r="G3450" s="102"/>
      <c r="I3450" s="93"/>
      <c r="J3450" s="93"/>
    </row>
    <row r="3451" spans="1:10" s="65" customFormat="1" ht="14" x14ac:dyDescent="0.35">
      <c r="A3451" s="145"/>
      <c r="B3451" s="152"/>
      <c r="E3451" s="102"/>
      <c r="F3451" s="102"/>
      <c r="G3451" s="102"/>
      <c r="I3451" s="93"/>
      <c r="J3451" s="93"/>
    </row>
    <row r="3452" spans="1:10" s="65" customFormat="1" ht="14" x14ac:dyDescent="0.35">
      <c r="A3452" s="145"/>
      <c r="B3452" s="152"/>
      <c r="E3452" s="102"/>
      <c r="F3452" s="102"/>
      <c r="G3452" s="102"/>
      <c r="I3452" s="93"/>
      <c r="J3452" s="93"/>
    </row>
    <row r="3453" spans="1:10" s="65" customFormat="1" ht="14" x14ac:dyDescent="0.35">
      <c r="A3453" s="145"/>
      <c r="B3453" s="152"/>
      <c r="E3453" s="102"/>
      <c r="F3453" s="102"/>
      <c r="G3453" s="102"/>
      <c r="I3453" s="93"/>
      <c r="J3453" s="93"/>
    </row>
    <row r="3454" spans="1:10" s="65" customFormat="1" ht="14" x14ac:dyDescent="0.35">
      <c r="A3454" s="145"/>
      <c r="B3454" s="152"/>
      <c r="E3454" s="102"/>
      <c r="F3454" s="102"/>
      <c r="G3454" s="102"/>
      <c r="I3454" s="93"/>
      <c r="J3454" s="93"/>
    </row>
    <row r="3455" spans="1:10" s="65" customFormat="1" ht="14" x14ac:dyDescent="0.35">
      <c r="A3455" s="145"/>
      <c r="B3455" s="152"/>
      <c r="E3455" s="102"/>
      <c r="F3455" s="102"/>
      <c r="G3455" s="102"/>
      <c r="I3455" s="93"/>
      <c r="J3455" s="93"/>
    </row>
    <row r="3456" spans="1:10" s="65" customFormat="1" ht="14" x14ac:dyDescent="0.35">
      <c r="A3456" s="145"/>
      <c r="B3456" s="152"/>
      <c r="E3456" s="102"/>
      <c r="F3456" s="102"/>
      <c r="G3456" s="102"/>
      <c r="I3456" s="93"/>
      <c r="J3456" s="93"/>
    </row>
    <row r="3457" spans="1:10" s="65" customFormat="1" ht="14" x14ac:dyDescent="0.35">
      <c r="A3457" s="145"/>
      <c r="B3457" s="152"/>
      <c r="E3457" s="102"/>
      <c r="F3457" s="102"/>
      <c r="G3457" s="102"/>
      <c r="I3457" s="93"/>
      <c r="J3457" s="93"/>
    </row>
    <row r="3458" spans="1:10" s="65" customFormat="1" ht="14" x14ac:dyDescent="0.35">
      <c r="A3458" s="145"/>
      <c r="B3458" s="152"/>
      <c r="E3458" s="102"/>
      <c r="F3458" s="102"/>
      <c r="G3458" s="102"/>
      <c r="I3458" s="93"/>
      <c r="J3458" s="93"/>
    </row>
    <row r="3459" spans="1:10" s="65" customFormat="1" ht="14" x14ac:dyDescent="0.35">
      <c r="A3459" s="145"/>
      <c r="B3459" s="152"/>
      <c r="E3459" s="102"/>
      <c r="F3459" s="102"/>
      <c r="G3459" s="102"/>
      <c r="I3459" s="93"/>
      <c r="J3459" s="93"/>
    </row>
    <row r="3460" spans="1:10" s="65" customFormat="1" ht="14" x14ac:dyDescent="0.35">
      <c r="A3460" s="145"/>
      <c r="B3460" s="152"/>
      <c r="E3460" s="102"/>
      <c r="F3460" s="102"/>
      <c r="G3460" s="102"/>
      <c r="I3460" s="93"/>
      <c r="J3460" s="93"/>
    </row>
    <row r="3461" spans="1:10" s="65" customFormat="1" ht="14" x14ac:dyDescent="0.35">
      <c r="A3461" s="145"/>
      <c r="B3461" s="152"/>
      <c r="E3461" s="102"/>
      <c r="F3461" s="102"/>
      <c r="G3461" s="102"/>
      <c r="I3461" s="93"/>
      <c r="J3461" s="93"/>
    </row>
    <row r="3462" spans="1:10" s="65" customFormat="1" ht="14" x14ac:dyDescent="0.35">
      <c r="A3462" s="145"/>
      <c r="B3462" s="152"/>
      <c r="E3462" s="102"/>
      <c r="F3462" s="102"/>
      <c r="G3462" s="102"/>
      <c r="I3462" s="93"/>
      <c r="J3462" s="93"/>
    </row>
    <row r="3463" spans="1:10" s="65" customFormat="1" ht="14" x14ac:dyDescent="0.35">
      <c r="A3463" s="145"/>
      <c r="B3463" s="152"/>
      <c r="E3463" s="102"/>
      <c r="F3463" s="102"/>
      <c r="G3463" s="102"/>
      <c r="I3463" s="93"/>
      <c r="J3463" s="93"/>
    </row>
    <row r="3464" spans="1:10" s="65" customFormat="1" ht="14" x14ac:dyDescent="0.35">
      <c r="A3464" s="145"/>
      <c r="B3464" s="152"/>
      <c r="E3464" s="102"/>
      <c r="F3464" s="102"/>
      <c r="G3464" s="102"/>
      <c r="I3464" s="93"/>
      <c r="J3464" s="93"/>
    </row>
    <row r="3465" spans="1:10" s="65" customFormat="1" ht="14" x14ac:dyDescent="0.35">
      <c r="A3465" s="145"/>
      <c r="B3465" s="152"/>
      <c r="E3465" s="102"/>
      <c r="F3465" s="102"/>
      <c r="G3465" s="102"/>
      <c r="I3465" s="93"/>
      <c r="J3465" s="93"/>
    </row>
    <row r="3466" spans="1:10" s="65" customFormat="1" ht="14" x14ac:dyDescent="0.35">
      <c r="A3466" s="145"/>
      <c r="B3466" s="152"/>
      <c r="E3466" s="102"/>
      <c r="F3466" s="102"/>
      <c r="G3466" s="102"/>
      <c r="I3466" s="93"/>
      <c r="J3466" s="93"/>
    </row>
    <row r="3467" spans="1:10" s="65" customFormat="1" ht="14" x14ac:dyDescent="0.35">
      <c r="A3467" s="145"/>
      <c r="B3467" s="152"/>
      <c r="E3467" s="102"/>
      <c r="F3467" s="102"/>
      <c r="G3467" s="102"/>
      <c r="I3467" s="93"/>
      <c r="J3467" s="93"/>
    </row>
    <row r="3468" spans="1:10" s="65" customFormat="1" ht="14" x14ac:dyDescent="0.35">
      <c r="A3468" s="145"/>
      <c r="B3468" s="152"/>
      <c r="E3468" s="102"/>
      <c r="F3468" s="102"/>
      <c r="G3468" s="102"/>
      <c r="I3468" s="93"/>
      <c r="J3468" s="93"/>
    </row>
    <row r="3469" spans="1:10" s="65" customFormat="1" ht="14" x14ac:dyDescent="0.35">
      <c r="A3469" s="145"/>
      <c r="B3469" s="152"/>
      <c r="E3469" s="102"/>
      <c r="F3469" s="102"/>
      <c r="G3469" s="102"/>
      <c r="I3469" s="93"/>
      <c r="J3469" s="93"/>
    </row>
    <row r="3470" spans="1:10" s="65" customFormat="1" ht="14" x14ac:dyDescent="0.35">
      <c r="A3470" s="145"/>
      <c r="B3470" s="152"/>
      <c r="E3470" s="102"/>
      <c r="F3470" s="102"/>
      <c r="G3470" s="102"/>
      <c r="I3470" s="93"/>
      <c r="J3470" s="93"/>
    </row>
    <row r="3471" spans="1:10" s="65" customFormat="1" ht="14" x14ac:dyDescent="0.35">
      <c r="A3471" s="145"/>
      <c r="B3471" s="152"/>
      <c r="E3471" s="102"/>
      <c r="F3471" s="102"/>
      <c r="G3471" s="102"/>
      <c r="I3471" s="93"/>
      <c r="J3471" s="93"/>
    </row>
    <row r="3472" spans="1:10" s="65" customFormat="1" ht="14" x14ac:dyDescent="0.35">
      <c r="A3472" s="145"/>
      <c r="B3472" s="152"/>
      <c r="E3472" s="102"/>
      <c r="F3472" s="102"/>
      <c r="G3472" s="102"/>
      <c r="I3472" s="93"/>
      <c r="J3472" s="93"/>
    </row>
    <row r="3473" spans="1:10" s="65" customFormat="1" ht="14" x14ac:dyDescent="0.35">
      <c r="A3473" s="145"/>
      <c r="B3473" s="152"/>
      <c r="E3473" s="102"/>
      <c r="F3473" s="102"/>
      <c r="G3473" s="102"/>
      <c r="I3473" s="93"/>
      <c r="J3473" s="93"/>
    </row>
    <row r="3474" spans="1:10" s="65" customFormat="1" ht="14" x14ac:dyDescent="0.35">
      <c r="A3474" s="145"/>
      <c r="B3474" s="152"/>
      <c r="E3474" s="102"/>
      <c r="F3474" s="102"/>
      <c r="G3474" s="102"/>
      <c r="I3474" s="93"/>
      <c r="J3474" s="93"/>
    </row>
    <row r="3475" spans="1:10" s="65" customFormat="1" ht="14" x14ac:dyDescent="0.35">
      <c r="A3475" s="145"/>
      <c r="B3475" s="152"/>
      <c r="E3475" s="102"/>
      <c r="F3475" s="102"/>
      <c r="G3475" s="102"/>
      <c r="I3475" s="93"/>
      <c r="J3475" s="93"/>
    </row>
    <row r="3476" spans="1:10" s="65" customFormat="1" ht="14" x14ac:dyDescent="0.35">
      <c r="A3476" s="145"/>
      <c r="B3476" s="152"/>
      <c r="E3476" s="102"/>
      <c r="F3476" s="102"/>
      <c r="G3476" s="102"/>
      <c r="I3476" s="93"/>
      <c r="J3476" s="93"/>
    </row>
    <row r="3477" spans="1:10" s="65" customFormat="1" ht="14" x14ac:dyDescent="0.35">
      <c r="A3477" s="145"/>
      <c r="B3477" s="152"/>
      <c r="E3477" s="102"/>
      <c r="F3477" s="102"/>
      <c r="G3477" s="102"/>
      <c r="I3477" s="93"/>
      <c r="J3477" s="93"/>
    </row>
    <row r="3478" spans="1:10" s="65" customFormat="1" ht="14" x14ac:dyDescent="0.35">
      <c r="A3478" s="145"/>
      <c r="B3478" s="152"/>
      <c r="E3478" s="102"/>
      <c r="F3478" s="102"/>
      <c r="G3478" s="102"/>
      <c r="I3478" s="93"/>
      <c r="J3478" s="93"/>
    </row>
    <row r="3479" spans="1:10" s="65" customFormat="1" ht="14" x14ac:dyDescent="0.35">
      <c r="A3479" s="145"/>
      <c r="B3479" s="152"/>
      <c r="E3479" s="102"/>
      <c r="F3479" s="102"/>
      <c r="G3479" s="102"/>
      <c r="I3479" s="93"/>
      <c r="J3479" s="93"/>
    </row>
    <row r="3480" spans="1:10" s="65" customFormat="1" ht="14" x14ac:dyDescent="0.35">
      <c r="A3480" s="145"/>
      <c r="B3480" s="152"/>
      <c r="E3480" s="102"/>
      <c r="F3480" s="102"/>
      <c r="G3480" s="102"/>
      <c r="I3480" s="93"/>
      <c r="J3480" s="93"/>
    </row>
    <row r="3481" spans="1:10" s="65" customFormat="1" ht="14" x14ac:dyDescent="0.35">
      <c r="A3481" s="145"/>
      <c r="B3481" s="152"/>
      <c r="E3481" s="102"/>
      <c r="F3481" s="102"/>
      <c r="G3481" s="102"/>
      <c r="I3481" s="93"/>
      <c r="J3481" s="93"/>
    </row>
    <row r="3482" spans="1:10" s="65" customFormat="1" ht="14" x14ac:dyDescent="0.35">
      <c r="A3482" s="145"/>
      <c r="B3482" s="152"/>
      <c r="E3482" s="102"/>
      <c r="F3482" s="102"/>
      <c r="G3482" s="102"/>
      <c r="I3482" s="93"/>
      <c r="J3482" s="93"/>
    </row>
    <row r="3483" spans="1:10" s="65" customFormat="1" ht="14" x14ac:dyDescent="0.35">
      <c r="A3483" s="145"/>
      <c r="B3483" s="152"/>
      <c r="E3483" s="102"/>
      <c r="F3483" s="102"/>
      <c r="G3483" s="102"/>
      <c r="I3483" s="93"/>
      <c r="J3483" s="93"/>
    </row>
    <row r="3484" spans="1:10" s="65" customFormat="1" ht="14" x14ac:dyDescent="0.35">
      <c r="A3484" s="145"/>
      <c r="B3484" s="152"/>
      <c r="E3484" s="102"/>
      <c r="F3484" s="102"/>
      <c r="G3484" s="102"/>
      <c r="I3484" s="93"/>
      <c r="J3484" s="93"/>
    </row>
    <row r="3485" spans="1:10" s="65" customFormat="1" ht="14" x14ac:dyDescent="0.35">
      <c r="A3485" s="145"/>
      <c r="B3485" s="152"/>
      <c r="E3485" s="102"/>
      <c r="F3485" s="102"/>
      <c r="G3485" s="102"/>
      <c r="I3485" s="93"/>
      <c r="J3485" s="93"/>
    </row>
    <row r="3486" spans="1:10" s="65" customFormat="1" ht="14" x14ac:dyDescent="0.35">
      <c r="A3486" s="145"/>
      <c r="B3486" s="152"/>
      <c r="E3486" s="102"/>
      <c r="F3486" s="102"/>
      <c r="G3486" s="102"/>
      <c r="I3486" s="93"/>
      <c r="J3486" s="93"/>
    </row>
    <row r="3487" spans="1:10" s="65" customFormat="1" ht="14" x14ac:dyDescent="0.35">
      <c r="A3487" s="145"/>
      <c r="B3487" s="152"/>
      <c r="E3487" s="102"/>
      <c r="F3487" s="102"/>
      <c r="G3487" s="102"/>
      <c r="I3487" s="93"/>
      <c r="J3487" s="93"/>
    </row>
    <row r="3488" spans="1:10" s="65" customFormat="1" ht="14" x14ac:dyDescent="0.35">
      <c r="A3488" s="145"/>
      <c r="B3488" s="152"/>
      <c r="E3488" s="102"/>
      <c r="F3488" s="102"/>
      <c r="G3488" s="102"/>
      <c r="I3488" s="93"/>
      <c r="J3488" s="93"/>
    </row>
    <row r="3489" spans="1:10" s="65" customFormat="1" ht="14" x14ac:dyDescent="0.35">
      <c r="A3489" s="145"/>
      <c r="B3489" s="152"/>
      <c r="E3489" s="102"/>
      <c r="F3489" s="102"/>
      <c r="G3489" s="102"/>
      <c r="I3489" s="93"/>
      <c r="J3489" s="93"/>
    </row>
    <row r="3490" spans="1:10" s="65" customFormat="1" ht="14" x14ac:dyDescent="0.35">
      <c r="A3490" s="145"/>
      <c r="B3490" s="152"/>
      <c r="E3490" s="102"/>
      <c r="F3490" s="102"/>
      <c r="G3490" s="102"/>
      <c r="I3490" s="93"/>
      <c r="J3490" s="93"/>
    </row>
    <row r="3491" spans="1:10" s="65" customFormat="1" ht="14" x14ac:dyDescent="0.35">
      <c r="A3491" s="145"/>
      <c r="B3491" s="152"/>
      <c r="E3491" s="102"/>
      <c r="F3491" s="102"/>
      <c r="G3491" s="102"/>
      <c r="I3491" s="93"/>
      <c r="J3491" s="93"/>
    </row>
    <row r="3492" spans="1:10" s="65" customFormat="1" ht="14" x14ac:dyDescent="0.35">
      <c r="A3492" s="145"/>
      <c r="B3492" s="152"/>
      <c r="E3492" s="102"/>
      <c r="F3492" s="102"/>
      <c r="G3492" s="102"/>
      <c r="I3492" s="93"/>
      <c r="J3492" s="93"/>
    </row>
    <row r="3493" spans="1:10" s="65" customFormat="1" ht="14" x14ac:dyDescent="0.35">
      <c r="A3493" s="145"/>
      <c r="B3493" s="152"/>
      <c r="E3493" s="102"/>
      <c r="F3493" s="102"/>
      <c r="G3493" s="102"/>
      <c r="I3493" s="93"/>
      <c r="J3493" s="93"/>
    </row>
    <row r="3494" spans="1:10" s="65" customFormat="1" ht="14" x14ac:dyDescent="0.35">
      <c r="A3494" s="145"/>
      <c r="B3494" s="152"/>
      <c r="E3494" s="102"/>
      <c r="F3494" s="102"/>
      <c r="G3494" s="102"/>
      <c r="I3494" s="93"/>
      <c r="J3494" s="93"/>
    </row>
    <row r="3495" spans="1:10" s="65" customFormat="1" ht="14" x14ac:dyDescent="0.35">
      <c r="A3495" s="145"/>
      <c r="B3495" s="152"/>
      <c r="E3495" s="102"/>
      <c r="F3495" s="102"/>
      <c r="G3495" s="102"/>
      <c r="I3495" s="93"/>
      <c r="J3495" s="93"/>
    </row>
    <row r="3496" spans="1:10" s="65" customFormat="1" ht="14" x14ac:dyDescent="0.35">
      <c r="A3496" s="145"/>
      <c r="B3496" s="152"/>
      <c r="E3496" s="102"/>
      <c r="F3496" s="102"/>
      <c r="G3496" s="102"/>
      <c r="I3496" s="93"/>
      <c r="J3496" s="93"/>
    </row>
    <row r="3497" spans="1:10" s="65" customFormat="1" ht="14" x14ac:dyDescent="0.35">
      <c r="A3497" s="145"/>
      <c r="B3497" s="152"/>
      <c r="E3497" s="102"/>
      <c r="F3497" s="102"/>
      <c r="G3497" s="102"/>
      <c r="I3497" s="93"/>
      <c r="J3497" s="93"/>
    </row>
    <row r="3498" spans="1:10" s="65" customFormat="1" ht="14" x14ac:dyDescent="0.35">
      <c r="A3498" s="145"/>
      <c r="B3498" s="152"/>
      <c r="E3498" s="102"/>
      <c r="F3498" s="102"/>
      <c r="G3498" s="102"/>
      <c r="I3498" s="93"/>
      <c r="J3498" s="93"/>
    </row>
    <row r="3499" spans="1:10" s="65" customFormat="1" ht="14" x14ac:dyDescent="0.35">
      <c r="A3499" s="145"/>
      <c r="B3499" s="152"/>
      <c r="E3499" s="102"/>
      <c r="F3499" s="102"/>
      <c r="G3499" s="102"/>
      <c r="I3499" s="93"/>
      <c r="J3499" s="93"/>
    </row>
    <row r="3500" spans="1:10" s="65" customFormat="1" ht="14" x14ac:dyDescent="0.35">
      <c r="A3500" s="145"/>
      <c r="B3500" s="152"/>
      <c r="E3500" s="102"/>
      <c r="F3500" s="102"/>
      <c r="G3500" s="102"/>
      <c r="I3500" s="93"/>
      <c r="J3500" s="93"/>
    </row>
    <row r="3501" spans="1:10" s="65" customFormat="1" ht="14" x14ac:dyDescent="0.35">
      <c r="A3501" s="145"/>
      <c r="B3501" s="152"/>
      <c r="E3501" s="102"/>
      <c r="F3501" s="102"/>
      <c r="G3501" s="102"/>
      <c r="I3501" s="93"/>
      <c r="J3501" s="93"/>
    </row>
    <row r="3502" spans="1:10" s="65" customFormat="1" ht="14" x14ac:dyDescent="0.35">
      <c r="A3502" s="145"/>
      <c r="B3502" s="152"/>
      <c r="E3502" s="102"/>
      <c r="F3502" s="102"/>
      <c r="G3502" s="102"/>
      <c r="I3502" s="93"/>
      <c r="J3502" s="93"/>
    </row>
    <row r="3503" spans="1:10" s="65" customFormat="1" ht="14" x14ac:dyDescent="0.35">
      <c r="A3503" s="145"/>
      <c r="B3503" s="152"/>
      <c r="E3503" s="102"/>
      <c r="F3503" s="102"/>
      <c r="G3503" s="102"/>
      <c r="I3503" s="93"/>
      <c r="J3503" s="93"/>
    </row>
    <row r="3504" spans="1:10" s="65" customFormat="1" ht="14" x14ac:dyDescent="0.35">
      <c r="A3504" s="145"/>
      <c r="B3504" s="152"/>
      <c r="E3504" s="102"/>
      <c r="F3504" s="102"/>
      <c r="G3504" s="102"/>
      <c r="I3504" s="93"/>
      <c r="J3504" s="93"/>
    </row>
    <row r="3505" spans="1:10" s="65" customFormat="1" ht="14" x14ac:dyDescent="0.35">
      <c r="A3505" s="145"/>
      <c r="B3505" s="152"/>
      <c r="E3505" s="102"/>
      <c r="F3505" s="102"/>
      <c r="G3505" s="102"/>
      <c r="I3505" s="93"/>
      <c r="J3505" s="93"/>
    </row>
    <row r="3506" spans="1:10" s="65" customFormat="1" ht="14" x14ac:dyDescent="0.35">
      <c r="A3506" s="145"/>
      <c r="B3506" s="152"/>
      <c r="E3506" s="102"/>
      <c r="F3506" s="102"/>
      <c r="G3506" s="102"/>
      <c r="I3506" s="93"/>
      <c r="J3506" s="93"/>
    </row>
    <row r="3507" spans="1:10" s="65" customFormat="1" ht="14" x14ac:dyDescent="0.35">
      <c r="A3507" s="145"/>
      <c r="B3507" s="152"/>
      <c r="E3507" s="102"/>
      <c r="F3507" s="102"/>
      <c r="G3507" s="102"/>
      <c r="I3507" s="93"/>
      <c r="J3507" s="93"/>
    </row>
    <row r="3508" spans="1:10" s="65" customFormat="1" ht="14" x14ac:dyDescent="0.35">
      <c r="A3508" s="145"/>
      <c r="B3508" s="152"/>
      <c r="E3508" s="102"/>
      <c r="F3508" s="102"/>
      <c r="G3508" s="102"/>
      <c r="I3508" s="93"/>
      <c r="J3508" s="93"/>
    </row>
    <row r="3509" spans="1:10" s="65" customFormat="1" ht="14" x14ac:dyDescent="0.35">
      <c r="A3509" s="145"/>
      <c r="B3509" s="152"/>
      <c r="E3509" s="102"/>
      <c r="F3509" s="102"/>
      <c r="G3509" s="102"/>
      <c r="I3509" s="93"/>
      <c r="J3509" s="93"/>
    </row>
    <row r="3510" spans="1:10" s="65" customFormat="1" ht="14" x14ac:dyDescent="0.35">
      <c r="A3510" s="145"/>
      <c r="B3510" s="152"/>
      <c r="E3510" s="102"/>
      <c r="F3510" s="102"/>
      <c r="G3510" s="102"/>
      <c r="I3510" s="93"/>
      <c r="J3510" s="93"/>
    </row>
    <row r="3511" spans="1:10" s="65" customFormat="1" ht="14" x14ac:dyDescent="0.35">
      <c r="A3511" s="145"/>
      <c r="B3511" s="152"/>
      <c r="E3511" s="102"/>
      <c r="F3511" s="102"/>
      <c r="G3511" s="102"/>
      <c r="I3511" s="93"/>
      <c r="J3511" s="93"/>
    </row>
    <row r="3512" spans="1:10" s="65" customFormat="1" ht="14" x14ac:dyDescent="0.35">
      <c r="A3512" s="145"/>
      <c r="B3512" s="152"/>
      <c r="E3512" s="102"/>
      <c r="F3512" s="102"/>
      <c r="G3512" s="102"/>
      <c r="I3512" s="93"/>
      <c r="J3512" s="93"/>
    </row>
    <row r="3513" spans="1:10" s="65" customFormat="1" ht="14" x14ac:dyDescent="0.35">
      <c r="A3513" s="145"/>
      <c r="B3513" s="152"/>
      <c r="E3513" s="102"/>
      <c r="F3513" s="102"/>
      <c r="G3513" s="102"/>
      <c r="I3513" s="93"/>
      <c r="J3513" s="93"/>
    </row>
    <row r="3514" spans="1:10" s="65" customFormat="1" ht="14" x14ac:dyDescent="0.35">
      <c r="A3514" s="145"/>
      <c r="B3514" s="152"/>
      <c r="E3514" s="102"/>
      <c r="F3514" s="102"/>
      <c r="G3514" s="102"/>
      <c r="I3514" s="93"/>
      <c r="J3514" s="93"/>
    </row>
    <row r="3515" spans="1:10" s="65" customFormat="1" ht="14" x14ac:dyDescent="0.35">
      <c r="A3515" s="145"/>
      <c r="B3515" s="152"/>
      <c r="E3515" s="102"/>
      <c r="F3515" s="102"/>
      <c r="G3515" s="102"/>
      <c r="I3515" s="93"/>
      <c r="J3515" s="93"/>
    </row>
    <row r="3516" spans="1:10" s="65" customFormat="1" ht="14" x14ac:dyDescent="0.35">
      <c r="A3516" s="145"/>
      <c r="B3516" s="152"/>
      <c r="E3516" s="102"/>
      <c r="F3516" s="102"/>
      <c r="G3516" s="102"/>
      <c r="I3516" s="93"/>
      <c r="J3516" s="93"/>
    </row>
    <row r="3517" spans="1:10" s="65" customFormat="1" ht="14" x14ac:dyDescent="0.35">
      <c r="A3517" s="145"/>
      <c r="B3517" s="152"/>
      <c r="E3517" s="102"/>
      <c r="F3517" s="102"/>
      <c r="G3517" s="102"/>
      <c r="I3517" s="93"/>
      <c r="J3517" s="93"/>
    </row>
    <row r="3518" spans="1:10" s="65" customFormat="1" ht="14" x14ac:dyDescent="0.35">
      <c r="A3518" s="145"/>
      <c r="B3518" s="152"/>
      <c r="E3518" s="102"/>
      <c r="F3518" s="102"/>
      <c r="G3518" s="102"/>
      <c r="I3518" s="93"/>
      <c r="J3518" s="93"/>
    </row>
    <row r="3519" spans="1:10" s="65" customFormat="1" ht="14" x14ac:dyDescent="0.35">
      <c r="A3519" s="145"/>
      <c r="B3519" s="152"/>
      <c r="E3519" s="102"/>
      <c r="F3519" s="102"/>
      <c r="G3519" s="102"/>
      <c r="I3519" s="93"/>
      <c r="J3519" s="93"/>
    </row>
    <row r="3520" spans="1:10" s="65" customFormat="1" ht="14" x14ac:dyDescent="0.35">
      <c r="A3520" s="145"/>
      <c r="B3520" s="152"/>
      <c r="E3520" s="102"/>
      <c r="F3520" s="102"/>
      <c r="G3520" s="102"/>
      <c r="I3520" s="93"/>
      <c r="J3520" s="93"/>
    </row>
    <row r="3521" spans="1:10" s="65" customFormat="1" ht="14" x14ac:dyDescent="0.35">
      <c r="A3521" s="145"/>
      <c r="B3521" s="152"/>
      <c r="E3521" s="102"/>
      <c r="F3521" s="102"/>
      <c r="G3521" s="102"/>
      <c r="I3521" s="93"/>
      <c r="J3521" s="93"/>
    </row>
    <row r="3522" spans="1:10" s="65" customFormat="1" ht="14" x14ac:dyDescent="0.35">
      <c r="A3522" s="145"/>
      <c r="B3522" s="152"/>
      <c r="E3522" s="102"/>
      <c r="F3522" s="102"/>
      <c r="G3522" s="102"/>
      <c r="I3522" s="93"/>
      <c r="J3522" s="93"/>
    </row>
    <row r="3523" spans="1:10" s="65" customFormat="1" ht="14" x14ac:dyDescent="0.35">
      <c r="A3523" s="145"/>
      <c r="B3523" s="152"/>
      <c r="E3523" s="102"/>
      <c r="F3523" s="102"/>
      <c r="G3523" s="102"/>
      <c r="I3523" s="93"/>
      <c r="J3523" s="93"/>
    </row>
    <row r="3524" spans="1:10" s="65" customFormat="1" ht="14" x14ac:dyDescent="0.35">
      <c r="A3524" s="145"/>
      <c r="B3524" s="152"/>
      <c r="E3524" s="102"/>
      <c r="F3524" s="102"/>
      <c r="G3524" s="102"/>
      <c r="I3524" s="93"/>
      <c r="J3524" s="93"/>
    </row>
    <row r="3525" spans="1:10" s="65" customFormat="1" ht="14" x14ac:dyDescent="0.35">
      <c r="A3525" s="145"/>
      <c r="B3525" s="152"/>
      <c r="E3525" s="102"/>
      <c r="F3525" s="102"/>
      <c r="G3525" s="102"/>
      <c r="I3525" s="93"/>
      <c r="J3525" s="93"/>
    </row>
    <row r="3526" spans="1:10" s="65" customFormat="1" ht="14" x14ac:dyDescent="0.35">
      <c r="A3526" s="145"/>
      <c r="B3526" s="152"/>
      <c r="E3526" s="102"/>
      <c r="F3526" s="102"/>
      <c r="G3526" s="102"/>
      <c r="I3526" s="93"/>
      <c r="J3526" s="93"/>
    </row>
    <row r="3527" spans="1:10" s="65" customFormat="1" ht="14" x14ac:dyDescent="0.35">
      <c r="A3527" s="145"/>
      <c r="B3527" s="152"/>
      <c r="E3527" s="102"/>
      <c r="F3527" s="102"/>
      <c r="G3527" s="102"/>
      <c r="I3527" s="93"/>
      <c r="J3527" s="93"/>
    </row>
    <row r="3528" spans="1:10" s="65" customFormat="1" ht="14" x14ac:dyDescent="0.35">
      <c r="A3528" s="145"/>
      <c r="B3528" s="152"/>
      <c r="E3528" s="102"/>
      <c r="F3528" s="102"/>
      <c r="G3528" s="102"/>
      <c r="I3528" s="93"/>
      <c r="J3528" s="93"/>
    </row>
    <row r="3529" spans="1:10" s="65" customFormat="1" ht="14" x14ac:dyDescent="0.35">
      <c r="A3529" s="145"/>
      <c r="B3529" s="152"/>
      <c r="E3529" s="102"/>
      <c r="F3529" s="102"/>
      <c r="G3529" s="102"/>
      <c r="I3529" s="93"/>
      <c r="J3529" s="93"/>
    </row>
    <row r="3530" spans="1:10" s="65" customFormat="1" ht="14" x14ac:dyDescent="0.35">
      <c r="A3530" s="145"/>
      <c r="B3530" s="152"/>
      <c r="E3530" s="102"/>
      <c r="F3530" s="102"/>
      <c r="G3530" s="102"/>
      <c r="I3530" s="93"/>
      <c r="J3530" s="93"/>
    </row>
    <row r="3531" spans="1:10" s="65" customFormat="1" ht="14" x14ac:dyDescent="0.35">
      <c r="A3531" s="145"/>
      <c r="B3531" s="152"/>
      <c r="E3531" s="102"/>
      <c r="F3531" s="102"/>
      <c r="G3531" s="102"/>
      <c r="I3531" s="93"/>
      <c r="J3531" s="93"/>
    </row>
    <row r="3532" spans="1:10" s="65" customFormat="1" ht="14" x14ac:dyDescent="0.35">
      <c r="A3532" s="145"/>
      <c r="B3532" s="152"/>
      <c r="E3532" s="102"/>
      <c r="F3532" s="102"/>
      <c r="G3532" s="102"/>
      <c r="I3532" s="93"/>
      <c r="J3532" s="93"/>
    </row>
    <row r="3533" spans="1:10" s="65" customFormat="1" ht="14" x14ac:dyDescent="0.35">
      <c r="A3533" s="145"/>
      <c r="B3533" s="152"/>
      <c r="E3533" s="102"/>
      <c r="F3533" s="102"/>
      <c r="G3533" s="102"/>
      <c r="I3533" s="93"/>
      <c r="J3533" s="93"/>
    </row>
    <row r="3534" spans="1:10" s="65" customFormat="1" ht="14" x14ac:dyDescent="0.35">
      <c r="A3534" s="145"/>
      <c r="B3534" s="152"/>
      <c r="E3534" s="102"/>
      <c r="F3534" s="102"/>
      <c r="G3534" s="102"/>
      <c r="I3534" s="93"/>
      <c r="J3534" s="93"/>
    </row>
    <row r="3535" spans="1:10" s="65" customFormat="1" ht="14" x14ac:dyDescent="0.35">
      <c r="A3535" s="145"/>
      <c r="B3535" s="152"/>
      <c r="E3535" s="102"/>
      <c r="F3535" s="102"/>
      <c r="G3535" s="102"/>
      <c r="I3535" s="93"/>
      <c r="J3535" s="93"/>
    </row>
    <row r="3536" spans="1:10" s="65" customFormat="1" ht="14" x14ac:dyDescent="0.35">
      <c r="A3536" s="145"/>
      <c r="B3536" s="152"/>
      <c r="E3536" s="102"/>
      <c r="F3536" s="102"/>
      <c r="G3536" s="102"/>
      <c r="I3536" s="93"/>
      <c r="J3536" s="93"/>
    </row>
    <row r="3537" spans="1:10" s="65" customFormat="1" ht="14" x14ac:dyDescent="0.35">
      <c r="A3537" s="145"/>
      <c r="B3537" s="152"/>
      <c r="E3537" s="102"/>
      <c r="F3537" s="102"/>
      <c r="G3537" s="102"/>
      <c r="I3537" s="93"/>
      <c r="J3537" s="93"/>
    </row>
    <row r="3538" spans="1:10" s="65" customFormat="1" ht="14" x14ac:dyDescent="0.35">
      <c r="A3538" s="145"/>
      <c r="B3538" s="152"/>
      <c r="E3538" s="102"/>
      <c r="F3538" s="102"/>
      <c r="G3538" s="102"/>
      <c r="I3538" s="93"/>
      <c r="J3538" s="93"/>
    </row>
    <row r="3539" spans="1:10" s="65" customFormat="1" ht="14" x14ac:dyDescent="0.35">
      <c r="A3539" s="145"/>
      <c r="B3539" s="152"/>
      <c r="E3539" s="102"/>
      <c r="F3539" s="102"/>
      <c r="G3539" s="102"/>
      <c r="I3539" s="93"/>
      <c r="J3539" s="93"/>
    </row>
    <row r="3540" spans="1:10" s="65" customFormat="1" ht="14" x14ac:dyDescent="0.35">
      <c r="A3540" s="145"/>
      <c r="B3540" s="152"/>
      <c r="E3540" s="102"/>
      <c r="F3540" s="102"/>
      <c r="G3540" s="102"/>
      <c r="I3540" s="93"/>
      <c r="J3540" s="93"/>
    </row>
    <row r="3541" spans="1:10" s="65" customFormat="1" ht="14" x14ac:dyDescent="0.35">
      <c r="A3541" s="145"/>
      <c r="B3541" s="152"/>
      <c r="E3541" s="102"/>
      <c r="F3541" s="102"/>
      <c r="G3541" s="102"/>
      <c r="I3541" s="93"/>
      <c r="J3541" s="93"/>
    </row>
    <row r="3542" spans="1:10" s="65" customFormat="1" ht="14" x14ac:dyDescent="0.35">
      <c r="A3542" s="145"/>
      <c r="B3542" s="152"/>
      <c r="E3542" s="102"/>
      <c r="F3542" s="102"/>
      <c r="G3542" s="102"/>
      <c r="I3542" s="93"/>
      <c r="J3542" s="93"/>
    </row>
    <row r="3543" spans="1:10" s="65" customFormat="1" ht="14" x14ac:dyDescent="0.35">
      <c r="A3543" s="145"/>
      <c r="B3543" s="152"/>
      <c r="E3543" s="102"/>
      <c r="F3543" s="102"/>
      <c r="G3543" s="102"/>
      <c r="I3543" s="93"/>
      <c r="J3543" s="93"/>
    </row>
    <row r="3544" spans="1:10" s="65" customFormat="1" ht="14" x14ac:dyDescent="0.35">
      <c r="A3544" s="145"/>
      <c r="B3544" s="152"/>
      <c r="E3544" s="102"/>
      <c r="F3544" s="102"/>
      <c r="G3544" s="102"/>
      <c r="I3544" s="93"/>
      <c r="J3544" s="93"/>
    </row>
    <row r="3545" spans="1:10" s="65" customFormat="1" ht="14" x14ac:dyDescent="0.35">
      <c r="A3545" s="145"/>
      <c r="B3545" s="152"/>
      <c r="E3545" s="102"/>
      <c r="F3545" s="102"/>
      <c r="G3545" s="102"/>
      <c r="I3545" s="93"/>
      <c r="J3545" s="93"/>
    </row>
    <row r="3546" spans="1:10" s="65" customFormat="1" ht="14" x14ac:dyDescent="0.35">
      <c r="A3546" s="145"/>
      <c r="B3546" s="152"/>
      <c r="E3546" s="102"/>
      <c r="F3546" s="102"/>
      <c r="G3546" s="102"/>
      <c r="I3546" s="93"/>
      <c r="J3546" s="93"/>
    </row>
    <row r="3547" spans="1:10" s="65" customFormat="1" ht="14" x14ac:dyDescent="0.35">
      <c r="A3547" s="145"/>
      <c r="B3547" s="152"/>
      <c r="E3547" s="102"/>
      <c r="F3547" s="102"/>
      <c r="G3547" s="102"/>
      <c r="I3547" s="93"/>
      <c r="J3547" s="93"/>
    </row>
    <row r="3548" spans="1:10" s="65" customFormat="1" ht="14" x14ac:dyDescent="0.35">
      <c r="A3548" s="145"/>
      <c r="B3548" s="152"/>
      <c r="E3548" s="102"/>
      <c r="F3548" s="102"/>
      <c r="G3548" s="102"/>
      <c r="I3548" s="93"/>
      <c r="J3548" s="93"/>
    </row>
    <row r="3549" spans="1:10" s="65" customFormat="1" ht="14" x14ac:dyDescent="0.35">
      <c r="A3549" s="145"/>
      <c r="B3549" s="152"/>
      <c r="E3549" s="102"/>
      <c r="F3549" s="102"/>
      <c r="G3549" s="102"/>
      <c r="I3549" s="93"/>
      <c r="J3549" s="93"/>
    </row>
    <row r="3550" spans="1:10" s="65" customFormat="1" ht="14" x14ac:dyDescent="0.35">
      <c r="A3550" s="145"/>
      <c r="B3550" s="152"/>
      <c r="E3550" s="102"/>
      <c r="F3550" s="102"/>
      <c r="G3550" s="102"/>
      <c r="I3550" s="93"/>
      <c r="J3550" s="93"/>
    </row>
    <row r="3551" spans="1:10" s="65" customFormat="1" ht="14" x14ac:dyDescent="0.35">
      <c r="A3551" s="145"/>
      <c r="B3551" s="152"/>
      <c r="E3551" s="102"/>
      <c r="F3551" s="102"/>
      <c r="G3551" s="102"/>
      <c r="I3551" s="93"/>
      <c r="J3551" s="93"/>
    </row>
    <row r="3552" spans="1:10" s="65" customFormat="1" ht="14" x14ac:dyDescent="0.35">
      <c r="A3552" s="145"/>
      <c r="B3552" s="152"/>
      <c r="E3552" s="102"/>
      <c r="F3552" s="102"/>
      <c r="G3552" s="102"/>
      <c r="I3552" s="93"/>
      <c r="J3552" s="93"/>
    </row>
    <row r="3553" spans="1:10" s="65" customFormat="1" ht="14" x14ac:dyDescent="0.35">
      <c r="A3553" s="145"/>
      <c r="B3553" s="152"/>
      <c r="E3553" s="102"/>
      <c r="F3553" s="102"/>
      <c r="G3553" s="102"/>
      <c r="I3553" s="93"/>
      <c r="J3553" s="93"/>
    </row>
    <row r="3554" spans="1:10" s="65" customFormat="1" ht="14" x14ac:dyDescent="0.35">
      <c r="A3554" s="145"/>
      <c r="B3554" s="152"/>
      <c r="E3554" s="102"/>
      <c r="F3554" s="102"/>
      <c r="G3554" s="102"/>
      <c r="I3554" s="93"/>
      <c r="J3554" s="93"/>
    </row>
    <row r="3555" spans="1:10" s="65" customFormat="1" ht="14" x14ac:dyDescent="0.35">
      <c r="A3555" s="145"/>
      <c r="B3555" s="152"/>
      <c r="E3555" s="102"/>
      <c r="F3555" s="102"/>
      <c r="G3555" s="102"/>
      <c r="I3555" s="93"/>
      <c r="J3555" s="93"/>
    </row>
    <row r="3556" spans="1:10" s="65" customFormat="1" ht="14" x14ac:dyDescent="0.35">
      <c r="A3556" s="145"/>
      <c r="B3556" s="152"/>
      <c r="E3556" s="102"/>
      <c r="F3556" s="102"/>
      <c r="G3556" s="102"/>
      <c r="I3556" s="93"/>
      <c r="J3556" s="93"/>
    </row>
    <row r="3557" spans="1:10" s="65" customFormat="1" ht="14" x14ac:dyDescent="0.35">
      <c r="A3557" s="145"/>
      <c r="B3557" s="152"/>
      <c r="E3557" s="102"/>
      <c r="F3557" s="102"/>
      <c r="G3557" s="102"/>
      <c r="I3557" s="93"/>
      <c r="J3557" s="93"/>
    </row>
    <row r="3558" spans="1:10" s="65" customFormat="1" ht="14" x14ac:dyDescent="0.35">
      <c r="A3558" s="145"/>
      <c r="B3558" s="152"/>
      <c r="E3558" s="102"/>
      <c r="F3558" s="102"/>
      <c r="G3558" s="102"/>
      <c r="I3558" s="93"/>
      <c r="J3558" s="93"/>
    </row>
    <row r="3559" spans="1:10" s="65" customFormat="1" ht="14" x14ac:dyDescent="0.35">
      <c r="A3559" s="145"/>
      <c r="B3559" s="152"/>
      <c r="E3559" s="102"/>
      <c r="F3559" s="102"/>
      <c r="G3559" s="102"/>
      <c r="I3559" s="93"/>
      <c r="J3559" s="93"/>
    </row>
    <row r="3560" spans="1:10" s="65" customFormat="1" ht="14" x14ac:dyDescent="0.35">
      <c r="A3560" s="145"/>
      <c r="B3560" s="152"/>
      <c r="E3560" s="102"/>
      <c r="F3560" s="102"/>
      <c r="G3560" s="102"/>
      <c r="I3560" s="93"/>
      <c r="J3560" s="93"/>
    </row>
    <row r="3561" spans="1:10" s="65" customFormat="1" ht="14" x14ac:dyDescent="0.35">
      <c r="A3561" s="145"/>
      <c r="B3561" s="152"/>
      <c r="E3561" s="102"/>
      <c r="F3561" s="102"/>
      <c r="G3561" s="102"/>
      <c r="I3561" s="93"/>
      <c r="J3561" s="93"/>
    </row>
    <row r="3562" spans="1:10" s="65" customFormat="1" ht="14" x14ac:dyDescent="0.35">
      <c r="A3562" s="145"/>
      <c r="B3562" s="152"/>
      <c r="E3562" s="102"/>
      <c r="F3562" s="102"/>
      <c r="G3562" s="102"/>
      <c r="I3562" s="93"/>
      <c r="J3562" s="93"/>
    </row>
    <row r="3563" spans="1:10" s="65" customFormat="1" ht="14" x14ac:dyDescent="0.35">
      <c r="A3563" s="145"/>
      <c r="B3563" s="152"/>
      <c r="E3563" s="102"/>
      <c r="F3563" s="102"/>
      <c r="G3563" s="102"/>
      <c r="I3563" s="93"/>
      <c r="J3563" s="93"/>
    </row>
    <row r="3564" spans="1:10" s="65" customFormat="1" ht="14" x14ac:dyDescent="0.35">
      <c r="A3564" s="145"/>
      <c r="B3564" s="152"/>
      <c r="E3564" s="102"/>
      <c r="F3564" s="102"/>
      <c r="G3564" s="102"/>
      <c r="I3564" s="93"/>
      <c r="J3564" s="93"/>
    </row>
    <row r="3565" spans="1:10" s="65" customFormat="1" ht="14" x14ac:dyDescent="0.35">
      <c r="A3565" s="145"/>
      <c r="B3565" s="152"/>
      <c r="E3565" s="102"/>
      <c r="F3565" s="102"/>
      <c r="G3565" s="102"/>
      <c r="I3565" s="93"/>
      <c r="J3565" s="93"/>
    </row>
    <row r="3566" spans="1:10" s="65" customFormat="1" ht="14" x14ac:dyDescent="0.35">
      <c r="A3566" s="145"/>
      <c r="B3566" s="152"/>
      <c r="E3566" s="102"/>
      <c r="F3566" s="102"/>
      <c r="G3566" s="102"/>
      <c r="I3566" s="93"/>
      <c r="J3566" s="93"/>
    </row>
    <row r="3567" spans="1:10" s="65" customFormat="1" ht="14" x14ac:dyDescent="0.35">
      <c r="A3567" s="145"/>
      <c r="B3567" s="152"/>
      <c r="E3567" s="102"/>
      <c r="F3567" s="102"/>
      <c r="G3567" s="102"/>
      <c r="I3567" s="93"/>
      <c r="J3567" s="93"/>
    </row>
    <row r="3568" spans="1:10" s="65" customFormat="1" ht="14" x14ac:dyDescent="0.35">
      <c r="A3568" s="145"/>
      <c r="B3568" s="152"/>
      <c r="E3568" s="102"/>
      <c r="F3568" s="102"/>
      <c r="G3568" s="102"/>
      <c r="I3568" s="93"/>
      <c r="J3568" s="93"/>
    </row>
    <row r="3569" spans="1:10" s="65" customFormat="1" ht="14" x14ac:dyDescent="0.35">
      <c r="A3569" s="145"/>
      <c r="B3569" s="152"/>
      <c r="E3569" s="102"/>
      <c r="F3569" s="102"/>
      <c r="G3569" s="102"/>
      <c r="I3569" s="93"/>
      <c r="J3569" s="93"/>
    </row>
    <row r="3570" spans="1:10" s="65" customFormat="1" ht="14" x14ac:dyDescent="0.35">
      <c r="A3570" s="145"/>
      <c r="B3570" s="152"/>
      <c r="E3570" s="102"/>
      <c r="F3570" s="102"/>
      <c r="G3570" s="102"/>
      <c r="I3570" s="93"/>
      <c r="J3570" s="93"/>
    </row>
    <row r="3571" spans="1:10" s="65" customFormat="1" ht="14" x14ac:dyDescent="0.35">
      <c r="A3571" s="145"/>
      <c r="B3571" s="152"/>
      <c r="E3571" s="102"/>
      <c r="F3571" s="102"/>
      <c r="G3571" s="102"/>
      <c r="I3571" s="93"/>
      <c r="J3571" s="93"/>
    </row>
    <row r="3572" spans="1:10" s="65" customFormat="1" ht="14" x14ac:dyDescent="0.35">
      <c r="A3572" s="145"/>
      <c r="B3572" s="152"/>
      <c r="E3572" s="102"/>
      <c r="F3572" s="102"/>
      <c r="G3572" s="102"/>
      <c r="I3572" s="93"/>
      <c r="J3572" s="93"/>
    </row>
    <row r="3573" spans="1:10" s="65" customFormat="1" ht="14" x14ac:dyDescent="0.35">
      <c r="A3573" s="145"/>
      <c r="B3573" s="152"/>
      <c r="E3573" s="102"/>
      <c r="F3573" s="102"/>
      <c r="G3573" s="102"/>
      <c r="I3573" s="93"/>
      <c r="J3573" s="93"/>
    </row>
    <row r="3574" spans="1:10" s="65" customFormat="1" ht="14" x14ac:dyDescent="0.35">
      <c r="A3574" s="145"/>
      <c r="B3574" s="152"/>
      <c r="E3574" s="102"/>
      <c r="F3574" s="102"/>
      <c r="G3574" s="102"/>
      <c r="I3574" s="93"/>
      <c r="J3574" s="93"/>
    </row>
    <row r="3575" spans="1:10" s="65" customFormat="1" ht="14" x14ac:dyDescent="0.35">
      <c r="A3575" s="145"/>
      <c r="B3575" s="152"/>
      <c r="E3575" s="102"/>
      <c r="F3575" s="102"/>
      <c r="G3575" s="102"/>
      <c r="I3575" s="93"/>
      <c r="J3575" s="93"/>
    </row>
    <row r="3576" spans="1:10" s="65" customFormat="1" ht="14" x14ac:dyDescent="0.35">
      <c r="A3576" s="145"/>
      <c r="B3576" s="152"/>
      <c r="E3576" s="102"/>
      <c r="F3576" s="102"/>
      <c r="G3576" s="102"/>
      <c r="I3576" s="93"/>
      <c r="J3576" s="93"/>
    </row>
    <row r="3577" spans="1:10" s="65" customFormat="1" ht="14" x14ac:dyDescent="0.35">
      <c r="A3577" s="145"/>
      <c r="B3577" s="152"/>
      <c r="E3577" s="102"/>
      <c r="F3577" s="102"/>
      <c r="G3577" s="102"/>
      <c r="I3577" s="93"/>
      <c r="J3577" s="93"/>
    </row>
    <row r="3578" spans="1:10" s="65" customFormat="1" ht="14" x14ac:dyDescent="0.35">
      <c r="A3578" s="145"/>
      <c r="B3578" s="152"/>
      <c r="E3578" s="102"/>
      <c r="F3578" s="102"/>
      <c r="G3578" s="102"/>
      <c r="I3578" s="93"/>
      <c r="J3578" s="93"/>
    </row>
    <row r="3579" spans="1:10" s="65" customFormat="1" ht="14" x14ac:dyDescent="0.35">
      <c r="A3579" s="145"/>
      <c r="B3579" s="152"/>
      <c r="E3579" s="102"/>
      <c r="F3579" s="102"/>
      <c r="G3579" s="102"/>
      <c r="I3579" s="93"/>
      <c r="J3579" s="93"/>
    </row>
    <row r="3580" spans="1:10" s="65" customFormat="1" ht="14" x14ac:dyDescent="0.35">
      <c r="A3580" s="145"/>
      <c r="B3580" s="152"/>
      <c r="E3580" s="102"/>
      <c r="F3580" s="102"/>
      <c r="G3580" s="102"/>
      <c r="I3580" s="93"/>
      <c r="J3580" s="93"/>
    </row>
    <row r="3581" spans="1:10" s="65" customFormat="1" ht="14" x14ac:dyDescent="0.35">
      <c r="A3581" s="145"/>
      <c r="B3581" s="152"/>
      <c r="E3581" s="102"/>
      <c r="F3581" s="102"/>
      <c r="G3581" s="102"/>
      <c r="I3581" s="93"/>
      <c r="J3581" s="93"/>
    </row>
    <row r="3582" spans="1:10" s="65" customFormat="1" ht="14" x14ac:dyDescent="0.35">
      <c r="A3582" s="145"/>
      <c r="B3582" s="152"/>
      <c r="E3582" s="102"/>
      <c r="F3582" s="102"/>
      <c r="G3582" s="102"/>
      <c r="I3582" s="93"/>
      <c r="J3582" s="93"/>
    </row>
    <row r="3583" spans="1:10" s="65" customFormat="1" ht="14" x14ac:dyDescent="0.35">
      <c r="A3583" s="145"/>
      <c r="B3583" s="152"/>
      <c r="E3583" s="102"/>
      <c r="F3583" s="102"/>
      <c r="G3583" s="102"/>
      <c r="I3583" s="93"/>
      <c r="J3583" s="93"/>
    </row>
    <row r="3584" spans="1:10" s="65" customFormat="1" ht="14" x14ac:dyDescent="0.35">
      <c r="A3584" s="145"/>
      <c r="B3584" s="152"/>
      <c r="E3584" s="102"/>
      <c r="F3584" s="102"/>
      <c r="G3584" s="102"/>
      <c r="I3584" s="93"/>
      <c r="J3584" s="93"/>
    </row>
    <row r="3585" spans="1:10" s="65" customFormat="1" ht="14" x14ac:dyDescent="0.35">
      <c r="A3585" s="145"/>
      <c r="B3585" s="152"/>
      <c r="E3585" s="102"/>
      <c r="F3585" s="102"/>
      <c r="G3585" s="102"/>
      <c r="I3585" s="93"/>
      <c r="J3585" s="93"/>
    </row>
    <row r="3586" spans="1:10" s="65" customFormat="1" ht="14" x14ac:dyDescent="0.35">
      <c r="A3586" s="145"/>
      <c r="B3586" s="152"/>
      <c r="E3586" s="102"/>
      <c r="F3586" s="102"/>
      <c r="G3586" s="102"/>
      <c r="I3586" s="93"/>
      <c r="J3586" s="93"/>
    </row>
    <row r="3587" spans="1:10" s="65" customFormat="1" ht="14" x14ac:dyDescent="0.35">
      <c r="A3587" s="145"/>
      <c r="B3587" s="152"/>
      <c r="E3587" s="102"/>
      <c r="F3587" s="102"/>
      <c r="G3587" s="102"/>
      <c r="I3587" s="93"/>
      <c r="J3587" s="93"/>
    </row>
    <row r="3588" spans="1:10" s="65" customFormat="1" ht="14" x14ac:dyDescent="0.35">
      <c r="A3588" s="145"/>
      <c r="B3588" s="152"/>
      <c r="E3588" s="102"/>
      <c r="F3588" s="102"/>
      <c r="G3588" s="102"/>
      <c r="I3588" s="93"/>
      <c r="J3588" s="93"/>
    </row>
    <row r="3589" spans="1:10" s="65" customFormat="1" ht="14" x14ac:dyDescent="0.35">
      <c r="A3589" s="145"/>
      <c r="B3589" s="152"/>
      <c r="E3589" s="102"/>
      <c r="F3589" s="102"/>
      <c r="G3589" s="102"/>
      <c r="I3589" s="93"/>
      <c r="J3589" s="93"/>
    </row>
    <row r="3590" spans="1:10" s="65" customFormat="1" ht="14" x14ac:dyDescent="0.35">
      <c r="A3590" s="145"/>
      <c r="B3590" s="152"/>
      <c r="E3590" s="102"/>
      <c r="F3590" s="102"/>
      <c r="G3590" s="102"/>
      <c r="I3590" s="93"/>
      <c r="J3590" s="93"/>
    </row>
    <row r="3591" spans="1:10" s="65" customFormat="1" ht="14" x14ac:dyDescent="0.35">
      <c r="A3591" s="145"/>
      <c r="B3591" s="152"/>
      <c r="E3591" s="102"/>
      <c r="F3591" s="102"/>
      <c r="G3591" s="102"/>
      <c r="I3591" s="93"/>
      <c r="J3591" s="93"/>
    </row>
    <row r="3592" spans="1:10" s="65" customFormat="1" ht="14" x14ac:dyDescent="0.35">
      <c r="A3592" s="145"/>
      <c r="B3592" s="152"/>
      <c r="E3592" s="102"/>
      <c r="F3592" s="102"/>
      <c r="G3592" s="102"/>
      <c r="I3592" s="93"/>
      <c r="J3592" s="93"/>
    </row>
    <row r="3593" spans="1:10" s="65" customFormat="1" ht="14" x14ac:dyDescent="0.35">
      <c r="A3593" s="145"/>
      <c r="B3593" s="152"/>
      <c r="E3593" s="102"/>
      <c r="F3593" s="102"/>
      <c r="G3593" s="102"/>
      <c r="I3593" s="93"/>
      <c r="J3593" s="93"/>
    </row>
    <row r="3594" spans="1:10" s="65" customFormat="1" ht="14" x14ac:dyDescent="0.35">
      <c r="A3594" s="145"/>
      <c r="B3594" s="152"/>
      <c r="E3594" s="102"/>
      <c r="F3594" s="102"/>
      <c r="G3594" s="102"/>
      <c r="I3594" s="93"/>
      <c r="J3594" s="93"/>
    </row>
    <row r="3595" spans="1:10" s="65" customFormat="1" ht="14" x14ac:dyDescent="0.35">
      <c r="A3595" s="145"/>
      <c r="B3595" s="152"/>
      <c r="E3595" s="102"/>
      <c r="F3595" s="102"/>
      <c r="G3595" s="102"/>
      <c r="I3595" s="93"/>
      <c r="J3595" s="93"/>
    </row>
    <row r="3596" spans="1:10" s="65" customFormat="1" ht="14" x14ac:dyDescent="0.35">
      <c r="A3596" s="145"/>
      <c r="B3596" s="152"/>
      <c r="E3596" s="102"/>
      <c r="F3596" s="102"/>
      <c r="G3596" s="102"/>
      <c r="I3596" s="93"/>
      <c r="J3596" s="93"/>
    </row>
    <row r="3597" spans="1:10" s="65" customFormat="1" ht="14" x14ac:dyDescent="0.35">
      <c r="A3597" s="145"/>
      <c r="B3597" s="152"/>
      <c r="E3597" s="102"/>
      <c r="F3597" s="102"/>
      <c r="G3597" s="102"/>
      <c r="I3597" s="93"/>
      <c r="J3597" s="93"/>
    </row>
    <row r="3598" spans="1:10" s="65" customFormat="1" ht="14" x14ac:dyDescent="0.35">
      <c r="A3598" s="145"/>
      <c r="B3598" s="152"/>
      <c r="E3598" s="102"/>
      <c r="F3598" s="102"/>
      <c r="G3598" s="102"/>
      <c r="I3598" s="93"/>
      <c r="J3598" s="93"/>
    </row>
    <row r="3599" spans="1:10" s="65" customFormat="1" ht="14" x14ac:dyDescent="0.35">
      <c r="A3599" s="145"/>
      <c r="B3599" s="152"/>
      <c r="E3599" s="102"/>
      <c r="F3599" s="102"/>
      <c r="G3599" s="102"/>
      <c r="I3599" s="93"/>
      <c r="J3599" s="93"/>
    </row>
    <row r="3600" spans="1:10" s="65" customFormat="1" ht="14" x14ac:dyDescent="0.35">
      <c r="A3600" s="145"/>
      <c r="B3600" s="152"/>
      <c r="E3600" s="102"/>
      <c r="F3600" s="102"/>
      <c r="G3600" s="102"/>
      <c r="I3600" s="93"/>
      <c r="J3600" s="93"/>
    </row>
    <row r="3601" spans="1:10" s="65" customFormat="1" ht="14" x14ac:dyDescent="0.35">
      <c r="A3601" s="145"/>
      <c r="B3601" s="152"/>
      <c r="E3601" s="102"/>
      <c r="F3601" s="102"/>
      <c r="G3601" s="102"/>
      <c r="I3601" s="93"/>
      <c r="J3601" s="93"/>
    </row>
    <row r="3602" spans="1:10" s="65" customFormat="1" ht="14" x14ac:dyDescent="0.35">
      <c r="A3602" s="145"/>
      <c r="B3602" s="152"/>
      <c r="E3602" s="102"/>
      <c r="F3602" s="102"/>
      <c r="G3602" s="102"/>
      <c r="I3602" s="93"/>
      <c r="J3602" s="93"/>
    </row>
    <row r="3603" spans="1:10" s="65" customFormat="1" ht="14" x14ac:dyDescent="0.35">
      <c r="A3603" s="145"/>
      <c r="B3603" s="152"/>
      <c r="E3603" s="102"/>
      <c r="F3603" s="102"/>
      <c r="G3603" s="102"/>
      <c r="I3603" s="93"/>
      <c r="J3603" s="93"/>
    </row>
    <row r="3604" spans="1:10" s="65" customFormat="1" ht="14" x14ac:dyDescent="0.35">
      <c r="A3604" s="145"/>
      <c r="B3604" s="152"/>
      <c r="E3604" s="102"/>
      <c r="F3604" s="102"/>
      <c r="G3604" s="102"/>
      <c r="I3604" s="93"/>
      <c r="J3604" s="93"/>
    </row>
    <row r="3605" spans="1:10" s="65" customFormat="1" ht="14" x14ac:dyDescent="0.35">
      <c r="A3605" s="145"/>
      <c r="B3605" s="152"/>
      <c r="E3605" s="102"/>
      <c r="F3605" s="102"/>
      <c r="G3605" s="102"/>
      <c r="I3605" s="93"/>
      <c r="J3605" s="93"/>
    </row>
    <row r="3606" spans="1:10" s="65" customFormat="1" ht="14" x14ac:dyDescent="0.35">
      <c r="A3606" s="145"/>
      <c r="B3606" s="152"/>
      <c r="E3606" s="102"/>
      <c r="F3606" s="102"/>
      <c r="G3606" s="102"/>
      <c r="I3606" s="93"/>
      <c r="J3606" s="93"/>
    </row>
    <row r="3607" spans="1:10" s="65" customFormat="1" ht="14" x14ac:dyDescent="0.35">
      <c r="A3607" s="145"/>
      <c r="B3607" s="152"/>
      <c r="E3607" s="102"/>
      <c r="F3607" s="102"/>
      <c r="G3607" s="102"/>
      <c r="I3607" s="93"/>
      <c r="J3607" s="93"/>
    </row>
    <row r="3608" spans="1:10" s="65" customFormat="1" ht="14" x14ac:dyDescent="0.35">
      <c r="A3608" s="145"/>
      <c r="B3608" s="152"/>
      <c r="E3608" s="102"/>
      <c r="F3608" s="102"/>
      <c r="G3608" s="102"/>
      <c r="I3608" s="93"/>
      <c r="J3608" s="93"/>
    </row>
    <row r="3609" spans="1:10" s="65" customFormat="1" ht="14" x14ac:dyDescent="0.35">
      <c r="A3609" s="145"/>
      <c r="B3609" s="152"/>
      <c r="E3609" s="102"/>
      <c r="F3609" s="102"/>
      <c r="G3609" s="102"/>
      <c r="I3609" s="93"/>
      <c r="J3609" s="93"/>
    </row>
    <row r="3610" spans="1:10" s="65" customFormat="1" ht="14" x14ac:dyDescent="0.35">
      <c r="A3610" s="145"/>
      <c r="B3610" s="152"/>
      <c r="E3610" s="102"/>
      <c r="F3610" s="102"/>
      <c r="G3610" s="102"/>
      <c r="I3610" s="93"/>
      <c r="J3610" s="93"/>
    </row>
    <row r="3611" spans="1:10" s="65" customFormat="1" ht="14" x14ac:dyDescent="0.35">
      <c r="A3611" s="145"/>
      <c r="B3611" s="152"/>
      <c r="E3611" s="102"/>
      <c r="F3611" s="102"/>
      <c r="G3611" s="102"/>
      <c r="I3611" s="93"/>
      <c r="J3611" s="93"/>
    </row>
    <row r="3612" spans="1:10" s="65" customFormat="1" ht="14" x14ac:dyDescent="0.35">
      <c r="A3612" s="145"/>
      <c r="B3612" s="152"/>
      <c r="E3612" s="102"/>
      <c r="F3612" s="102"/>
      <c r="G3612" s="102"/>
      <c r="I3612" s="93"/>
      <c r="J3612" s="93"/>
    </row>
    <row r="3613" spans="1:10" s="65" customFormat="1" ht="14" x14ac:dyDescent="0.35">
      <c r="A3613" s="145"/>
      <c r="B3613" s="152"/>
      <c r="E3613" s="102"/>
      <c r="F3613" s="102"/>
      <c r="G3613" s="102"/>
      <c r="I3613" s="93"/>
      <c r="J3613" s="93"/>
    </row>
    <row r="3614" spans="1:10" s="65" customFormat="1" ht="14" x14ac:dyDescent="0.35">
      <c r="A3614" s="145"/>
      <c r="B3614" s="152"/>
      <c r="E3614" s="102"/>
      <c r="F3614" s="102"/>
      <c r="G3614" s="102"/>
      <c r="I3614" s="93"/>
      <c r="J3614" s="93"/>
    </row>
    <row r="3615" spans="1:10" s="65" customFormat="1" ht="14" x14ac:dyDescent="0.35">
      <c r="A3615" s="145"/>
      <c r="B3615" s="152"/>
      <c r="E3615" s="102"/>
      <c r="F3615" s="102"/>
      <c r="G3615" s="102"/>
      <c r="I3615" s="93"/>
      <c r="J3615" s="93"/>
    </row>
    <row r="3616" spans="1:10" s="65" customFormat="1" ht="14" x14ac:dyDescent="0.35">
      <c r="A3616" s="145"/>
      <c r="B3616" s="152"/>
      <c r="E3616" s="102"/>
      <c r="F3616" s="102"/>
      <c r="G3616" s="102"/>
      <c r="I3616" s="93"/>
      <c r="J3616" s="93"/>
    </row>
    <row r="3617" spans="1:10" s="65" customFormat="1" ht="14" x14ac:dyDescent="0.35">
      <c r="A3617" s="145"/>
      <c r="B3617" s="152"/>
      <c r="E3617" s="102"/>
      <c r="F3617" s="102"/>
      <c r="G3617" s="102"/>
      <c r="I3617" s="93"/>
      <c r="J3617" s="93"/>
    </row>
    <row r="3618" spans="1:10" s="65" customFormat="1" ht="14" x14ac:dyDescent="0.35">
      <c r="A3618" s="145"/>
      <c r="B3618" s="152"/>
      <c r="E3618" s="102"/>
      <c r="F3618" s="102"/>
      <c r="G3618" s="102"/>
      <c r="I3618" s="93"/>
      <c r="J3618" s="93"/>
    </row>
    <row r="3619" spans="1:10" s="65" customFormat="1" ht="14" x14ac:dyDescent="0.35">
      <c r="A3619" s="145"/>
      <c r="B3619" s="152"/>
      <c r="E3619" s="102"/>
      <c r="F3619" s="102"/>
      <c r="G3619" s="102"/>
      <c r="I3619" s="93"/>
      <c r="J3619" s="93"/>
    </row>
    <row r="3620" spans="1:10" s="65" customFormat="1" ht="14" x14ac:dyDescent="0.35">
      <c r="A3620" s="145"/>
      <c r="B3620" s="152"/>
      <c r="E3620" s="102"/>
      <c r="F3620" s="102"/>
      <c r="G3620" s="102"/>
      <c r="I3620" s="93"/>
      <c r="J3620" s="93"/>
    </row>
    <row r="3621" spans="1:10" s="65" customFormat="1" ht="14" x14ac:dyDescent="0.35">
      <c r="A3621" s="145"/>
      <c r="B3621" s="152"/>
      <c r="E3621" s="102"/>
      <c r="F3621" s="102"/>
      <c r="G3621" s="102"/>
      <c r="I3621" s="93"/>
      <c r="J3621" s="93"/>
    </row>
    <row r="3622" spans="1:10" s="65" customFormat="1" ht="14" x14ac:dyDescent="0.35">
      <c r="A3622" s="145"/>
      <c r="B3622" s="152"/>
      <c r="E3622" s="102"/>
      <c r="F3622" s="102"/>
      <c r="G3622" s="102"/>
      <c r="I3622" s="93"/>
      <c r="J3622" s="93"/>
    </row>
    <row r="3623" spans="1:10" s="65" customFormat="1" ht="14" x14ac:dyDescent="0.35">
      <c r="A3623" s="145"/>
      <c r="B3623" s="152"/>
      <c r="E3623" s="102"/>
      <c r="F3623" s="102"/>
      <c r="G3623" s="102"/>
      <c r="I3623" s="93"/>
      <c r="J3623" s="93"/>
    </row>
    <row r="3624" spans="1:10" s="65" customFormat="1" ht="14" x14ac:dyDescent="0.35">
      <c r="A3624" s="145"/>
      <c r="B3624" s="152"/>
      <c r="E3624" s="102"/>
      <c r="F3624" s="102"/>
      <c r="G3624" s="102"/>
      <c r="I3624" s="93"/>
      <c r="J3624" s="93"/>
    </row>
    <row r="3625" spans="1:10" s="65" customFormat="1" ht="14" x14ac:dyDescent="0.35">
      <c r="A3625" s="145"/>
      <c r="B3625" s="152"/>
      <c r="E3625" s="102"/>
      <c r="F3625" s="102"/>
      <c r="G3625" s="102"/>
      <c r="I3625" s="93"/>
      <c r="J3625" s="93"/>
    </row>
    <row r="3626" spans="1:10" s="65" customFormat="1" ht="14" x14ac:dyDescent="0.35">
      <c r="A3626" s="145"/>
      <c r="B3626" s="152"/>
      <c r="E3626" s="102"/>
      <c r="F3626" s="102"/>
      <c r="G3626" s="102"/>
      <c r="I3626" s="93"/>
      <c r="J3626" s="93"/>
    </row>
    <row r="3627" spans="1:10" s="65" customFormat="1" ht="14" x14ac:dyDescent="0.35">
      <c r="A3627" s="145"/>
      <c r="B3627" s="152"/>
      <c r="E3627" s="102"/>
      <c r="F3627" s="102"/>
      <c r="G3627" s="102"/>
      <c r="I3627" s="93"/>
      <c r="J3627" s="93"/>
    </row>
    <row r="3628" spans="1:10" s="65" customFormat="1" ht="14" x14ac:dyDescent="0.35">
      <c r="A3628" s="145"/>
      <c r="B3628" s="152"/>
      <c r="E3628" s="102"/>
      <c r="F3628" s="102"/>
      <c r="G3628" s="102"/>
      <c r="I3628" s="93"/>
      <c r="J3628" s="93"/>
    </row>
    <row r="3629" spans="1:10" s="65" customFormat="1" ht="14" x14ac:dyDescent="0.35">
      <c r="A3629" s="145"/>
      <c r="B3629" s="152"/>
      <c r="E3629" s="102"/>
      <c r="F3629" s="102"/>
      <c r="G3629" s="102"/>
      <c r="I3629" s="93"/>
      <c r="J3629" s="93"/>
    </row>
    <row r="3630" spans="1:10" s="65" customFormat="1" ht="14" x14ac:dyDescent="0.35">
      <c r="A3630" s="145"/>
      <c r="B3630" s="152"/>
      <c r="E3630" s="102"/>
      <c r="F3630" s="102"/>
      <c r="G3630" s="102"/>
      <c r="I3630" s="93"/>
      <c r="J3630" s="93"/>
    </row>
    <row r="3631" spans="1:10" s="65" customFormat="1" ht="14" x14ac:dyDescent="0.35">
      <c r="A3631" s="145"/>
      <c r="B3631" s="152"/>
      <c r="E3631" s="102"/>
      <c r="F3631" s="102"/>
      <c r="G3631" s="102"/>
      <c r="I3631" s="93"/>
      <c r="J3631" s="93"/>
    </row>
    <row r="3632" spans="1:10" s="65" customFormat="1" ht="14" x14ac:dyDescent="0.35">
      <c r="A3632" s="145"/>
      <c r="B3632" s="152"/>
      <c r="E3632" s="102"/>
      <c r="F3632" s="102"/>
      <c r="G3632" s="102"/>
      <c r="I3632" s="93"/>
      <c r="J3632" s="93"/>
    </row>
    <row r="3633" spans="1:10" s="65" customFormat="1" ht="14" x14ac:dyDescent="0.35">
      <c r="A3633" s="145"/>
      <c r="B3633" s="152"/>
      <c r="E3633" s="102"/>
      <c r="F3633" s="102"/>
      <c r="G3633" s="102"/>
      <c r="I3633" s="93"/>
      <c r="J3633" s="93"/>
    </row>
    <row r="3634" spans="1:10" s="65" customFormat="1" ht="14" x14ac:dyDescent="0.35">
      <c r="A3634" s="145"/>
      <c r="B3634" s="152"/>
      <c r="E3634" s="102"/>
      <c r="F3634" s="102"/>
      <c r="G3634" s="102"/>
      <c r="I3634" s="93"/>
      <c r="J3634" s="93"/>
    </row>
    <row r="3635" spans="1:10" s="65" customFormat="1" ht="14" x14ac:dyDescent="0.35">
      <c r="A3635" s="145"/>
      <c r="B3635" s="152"/>
      <c r="E3635" s="102"/>
      <c r="F3635" s="102"/>
      <c r="G3635" s="102"/>
      <c r="I3635" s="93"/>
      <c r="J3635" s="93"/>
    </row>
    <row r="3636" spans="1:10" s="65" customFormat="1" ht="14" x14ac:dyDescent="0.35">
      <c r="A3636" s="145"/>
      <c r="B3636" s="152"/>
      <c r="E3636" s="102"/>
      <c r="F3636" s="102"/>
      <c r="G3636" s="102"/>
      <c r="I3636" s="93"/>
      <c r="J3636" s="93"/>
    </row>
    <row r="3637" spans="1:10" s="65" customFormat="1" ht="14" x14ac:dyDescent="0.35">
      <c r="A3637" s="145"/>
      <c r="B3637" s="152"/>
      <c r="E3637" s="102"/>
      <c r="F3637" s="102"/>
      <c r="G3637" s="102"/>
      <c r="I3637" s="93"/>
      <c r="J3637" s="93"/>
    </row>
    <row r="3638" spans="1:10" s="65" customFormat="1" ht="14" x14ac:dyDescent="0.35">
      <c r="A3638" s="145"/>
      <c r="B3638" s="152"/>
      <c r="E3638" s="102"/>
      <c r="F3638" s="102"/>
      <c r="G3638" s="102"/>
      <c r="I3638" s="93"/>
      <c r="J3638" s="93"/>
    </row>
    <row r="3639" spans="1:10" s="65" customFormat="1" ht="14" x14ac:dyDescent="0.35">
      <c r="A3639" s="145"/>
      <c r="B3639" s="152"/>
      <c r="E3639" s="102"/>
      <c r="F3639" s="102"/>
      <c r="G3639" s="102"/>
      <c r="I3639" s="93"/>
      <c r="J3639" s="93"/>
    </row>
    <row r="3640" spans="1:10" s="65" customFormat="1" ht="14" x14ac:dyDescent="0.35">
      <c r="A3640" s="145"/>
      <c r="B3640" s="152"/>
      <c r="E3640" s="102"/>
      <c r="F3640" s="102"/>
      <c r="G3640" s="102"/>
      <c r="I3640" s="93"/>
      <c r="J3640" s="93"/>
    </row>
    <row r="3641" spans="1:10" s="65" customFormat="1" ht="14" x14ac:dyDescent="0.35">
      <c r="A3641" s="145"/>
      <c r="B3641" s="152"/>
      <c r="E3641" s="102"/>
      <c r="F3641" s="102"/>
      <c r="G3641" s="102"/>
      <c r="I3641" s="93"/>
      <c r="J3641" s="93"/>
    </row>
    <row r="3642" spans="1:10" s="65" customFormat="1" ht="14" x14ac:dyDescent="0.35">
      <c r="A3642" s="145"/>
      <c r="B3642" s="152"/>
      <c r="E3642" s="102"/>
      <c r="F3642" s="102"/>
      <c r="G3642" s="102"/>
      <c r="I3642" s="93"/>
      <c r="J3642" s="93"/>
    </row>
    <row r="3643" spans="1:10" s="65" customFormat="1" ht="14" x14ac:dyDescent="0.35">
      <c r="A3643" s="145"/>
      <c r="B3643" s="152"/>
      <c r="E3643" s="102"/>
      <c r="F3643" s="102"/>
      <c r="G3643" s="102"/>
      <c r="I3643" s="93"/>
      <c r="J3643" s="93"/>
    </row>
    <row r="3644" spans="1:10" s="65" customFormat="1" ht="14" x14ac:dyDescent="0.35">
      <c r="A3644" s="145"/>
      <c r="B3644" s="152"/>
      <c r="E3644" s="102"/>
      <c r="F3644" s="102"/>
      <c r="G3644" s="102"/>
      <c r="I3644" s="93"/>
      <c r="J3644" s="93"/>
    </row>
    <row r="3645" spans="1:10" s="65" customFormat="1" ht="14" x14ac:dyDescent="0.35">
      <c r="A3645" s="145"/>
      <c r="B3645" s="152"/>
      <c r="E3645" s="102"/>
      <c r="F3645" s="102"/>
      <c r="G3645" s="102"/>
      <c r="I3645" s="93"/>
      <c r="J3645" s="93"/>
    </row>
    <row r="3646" spans="1:10" s="65" customFormat="1" ht="14" x14ac:dyDescent="0.35">
      <c r="A3646" s="145"/>
      <c r="B3646" s="152"/>
      <c r="E3646" s="102"/>
      <c r="F3646" s="102"/>
      <c r="G3646" s="102"/>
      <c r="I3646" s="93"/>
      <c r="J3646" s="93"/>
    </row>
    <row r="3647" spans="1:10" s="65" customFormat="1" ht="14" x14ac:dyDescent="0.35">
      <c r="A3647" s="145"/>
      <c r="B3647" s="152"/>
      <c r="E3647" s="102"/>
      <c r="F3647" s="102"/>
      <c r="G3647" s="102"/>
      <c r="I3647" s="93"/>
      <c r="J3647" s="93"/>
    </row>
    <row r="3648" spans="1:10" s="65" customFormat="1" ht="14" x14ac:dyDescent="0.35">
      <c r="A3648" s="145"/>
      <c r="B3648" s="152"/>
      <c r="E3648" s="102"/>
      <c r="F3648" s="102"/>
      <c r="G3648" s="102"/>
      <c r="I3648" s="93"/>
      <c r="J3648" s="93"/>
    </row>
    <row r="3649" spans="1:10" s="65" customFormat="1" ht="14" x14ac:dyDescent="0.35">
      <c r="A3649" s="145"/>
      <c r="B3649" s="152"/>
      <c r="E3649" s="102"/>
      <c r="F3649" s="102"/>
      <c r="G3649" s="102"/>
      <c r="I3649" s="93"/>
      <c r="J3649" s="93"/>
    </row>
    <row r="3650" spans="1:10" s="65" customFormat="1" ht="14" x14ac:dyDescent="0.35">
      <c r="A3650" s="145"/>
      <c r="B3650" s="152"/>
      <c r="E3650" s="102"/>
      <c r="F3650" s="102"/>
      <c r="G3650" s="102"/>
      <c r="I3650" s="93"/>
      <c r="J3650" s="93"/>
    </row>
    <row r="3651" spans="1:10" s="65" customFormat="1" ht="14" x14ac:dyDescent="0.35">
      <c r="A3651" s="145"/>
      <c r="B3651" s="152"/>
      <c r="E3651" s="102"/>
      <c r="F3651" s="102"/>
      <c r="G3651" s="102"/>
      <c r="I3651" s="93"/>
      <c r="J3651" s="93"/>
    </row>
    <row r="3652" spans="1:10" s="65" customFormat="1" ht="14" x14ac:dyDescent="0.35">
      <c r="A3652" s="145"/>
      <c r="B3652" s="152"/>
      <c r="E3652" s="102"/>
      <c r="F3652" s="102"/>
      <c r="G3652" s="102"/>
      <c r="I3652" s="93"/>
      <c r="J3652" s="93"/>
    </row>
    <row r="3653" spans="1:10" s="65" customFormat="1" ht="14" x14ac:dyDescent="0.35">
      <c r="A3653" s="145"/>
      <c r="B3653" s="152"/>
      <c r="E3653" s="102"/>
      <c r="F3653" s="102"/>
      <c r="G3653" s="102"/>
      <c r="I3653" s="93"/>
      <c r="J3653" s="93"/>
    </row>
    <row r="3654" spans="1:10" s="65" customFormat="1" ht="14" x14ac:dyDescent="0.35">
      <c r="A3654" s="145"/>
      <c r="B3654" s="152"/>
      <c r="E3654" s="102"/>
      <c r="F3654" s="102"/>
      <c r="G3654" s="102"/>
      <c r="I3654" s="93"/>
      <c r="J3654" s="93"/>
    </row>
    <row r="3655" spans="1:10" s="65" customFormat="1" ht="14" x14ac:dyDescent="0.35">
      <c r="A3655" s="145"/>
      <c r="B3655" s="152"/>
      <c r="E3655" s="102"/>
      <c r="F3655" s="102"/>
      <c r="G3655" s="102"/>
      <c r="I3655" s="93"/>
      <c r="J3655" s="93"/>
    </row>
    <row r="3656" spans="1:10" s="65" customFormat="1" ht="14" x14ac:dyDescent="0.35">
      <c r="A3656" s="145"/>
      <c r="B3656" s="152"/>
      <c r="E3656" s="102"/>
      <c r="F3656" s="102"/>
      <c r="G3656" s="102"/>
      <c r="I3656" s="93"/>
      <c r="J3656" s="93"/>
    </row>
    <row r="3657" spans="1:10" s="65" customFormat="1" ht="14" x14ac:dyDescent="0.35">
      <c r="A3657" s="145"/>
      <c r="B3657" s="152"/>
      <c r="E3657" s="102"/>
      <c r="F3657" s="102"/>
      <c r="G3657" s="102"/>
      <c r="I3657" s="93"/>
      <c r="J3657" s="93"/>
    </row>
    <row r="3658" spans="1:10" s="65" customFormat="1" ht="14" x14ac:dyDescent="0.35">
      <c r="A3658" s="145"/>
      <c r="B3658" s="152"/>
      <c r="E3658" s="102"/>
      <c r="F3658" s="102"/>
      <c r="G3658" s="102"/>
      <c r="I3658" s="93"/>
      <c r="J3658" s="93"/>
    </row>
    <row r="3659" spans="1:10" s="65" customFormat="1" ht="14" x14ac:dyDescent="0.35">
      <c r="A3659" s="145"/>
      <c r="B3659" s="152"/>
      <c r="E3659" s="102"/>
      <c r="F3659" s="102"/>
      <c r="G3659" s="102"/>
      <c r="I3659" s="93"/>
      <c r="J3659" s="93"/>
    </row>
    <row r="3660" spans="1:10" s="65" customFormat="1" ht="14" x14ac:dyDescent="0.35">
      <c r="A3660" s="145"/>
      <c r="B3660" s="152"/>
      <c r="E3660" s="102"/>
      <c r="F3660" s="102"/>
      <c r="G3660" s="102"/>
      <c r="I3660" s="93"/>
      <c r="J3660" s="93"/>
    </row>
    <row r="3661" spans="1:10" s="65" customFormat="1" ht="14" x14ac:dyDescent="0.35">
      <c r="A3661" s="145"/>
      <c r="B3661" s="152"/>
      <c r="E3661" s="102"/>
      <c r="F3661" s="102"/>
      <c r="G3661" s="102"/>
      <c r="I3661" s="93"/>
      <c r="J3661" s="93"/>
    </row>
    <row r="3662" spans="1:10" s="65" customFormat="1" ht="14" x14ac:dyDescent="0.35">
      <c r="A3662" s="145"/>
      <c r="B3662" s="152"/>
      <c r="E3662" s="102"/>
      <c r="F3662" s="102"/>
      <c r="G3662" s="102"/>
      <c r="I3662" s="93"/>
      <c r="J3662" s="93"/>
    </row>
    <row r="3663" spans="1:10" s="65" customFormat="1" ht="14" x14ac:dyDescent="0.35">
      <c r="A3663" s="145"/>
      <c r="B3663" s="152"/>
      <c r="E3663" s="102"/>
      <c r="F3663" s="102"/>
      <c r="G3663" s="102"/>
      <c r="I3663" s="93"/>
      <c r="J3663" s="93"/>
    </row>
    <row r="3664" spans="1:10" s="65" customFormat="1" ht="14" x14ac:dyDescent="0.35">
      <c r="A3664" s="145"/>
      <c r="B3664" s="152"/>
      <c r="E3664" s="102"/>
      <c r="F3664" s="102"/>
      <c r="G3664" s="102"/>
      <c r="I3664" s="93"/>
      <c r="J3664" s="93"/>
    </row>
    <row r="3665" spans="1:10" s="65" customFormat="1" ht="14" x14ac:dyDescent="0.35">
      <c r="A3665" s="145"/>
      <c r="B3665" s="152"/>
      <c r="E3665" s="102"/>
      <c r="F3665" s="102"/>
      <c r="G3665" s="102"/>
      <c r="I3665" s="93"/>
      <c r="J3665" s="93"/>
    </row>
    <row r="3666" spans="1:10" s="65" customFormat="1" ht="14" x14ac:dyDescent="0.35">
      <c r="A3666" s="145"/>
      <c r="B3666" s="152"/>
      <c r="E3666" s="102"/>
      <c r="F3666" s="102"/>
      <c r="G3666" s="102"/>
      <c r="I3666" s="93"/>
      <c r="J3666" s="93"/>
    </row>
    <row r="3667" spans="1:10" s="65" customFormat="1" ht="14" x14ac:dyDescent="0.35">
      <c r="A3667" s="145"/>
      <c r="B3667" s="152"/>
      <c r="E3667" s="102"/>
      <c r="F3667" s="102"/>
      <c r="G3667" s="102"/>
      <c r="I3667" s="93"/>
      <c r="J3667" s="93"/>
    </row>
    <row r="3668" spans="1:10" s="65" customFormat="1" ht="14" x14ac:dyDescent="0.35">
      <c r="A3668" s="145"/>
      <c r="B3668" s="152"/>
      <c r="E3668" s="102"/>
      <c r="F3668" s="102"/>
      <c r="G3668" s="102"/>
      <c r="I3668" s="93"/>
      <c r="J3668" s="93"/>
    </row>
    <row r="3669" spans="1:10" s="65" customFormat="1" ht="14" x14ac:dyDescent="0.35">
      <c r="A3669" s="145"/>
      <c r="B3669" s="152"/>
      <c r="E3669" s="102"/>
      <c r="F3669" s="102"/>
      <c r="G3669" s="102"/>
      <c r="I3669" s="93"/>
      <c r="J3669" s="93"/>
    </row>
    <row r="3670" spans="1:10" s="65" customFormat="1" ht="14" x14ac:dyDescent="0.35">
      <c r="A3670" s="145"/>
      <c r="B3670" s="152"/>
      <c r="E3670" s="102"/>
      <c r="F3670" s="102"/>
      <c r="G3670" s="102"/>
      <c r="I3670" s="93"/>
      <c r="J3670" s="93"/>
    </row>
    <row r="3671" spans="1:10" s="65" customFormat="1" ht="14" x14ac:dyDescent="0.35">
      <c r="A3671" s="145"/>
      <c r="B3671" s="152"/>
      <c r="E3671" s="102"/>
      <c r="F3671" s="102"/>
      <c r="G3671" s="102"/>
      <c r="I3671" s="93"/>
      <c r="J3671" s="93"/>
    </row>
    <row r="3672" spans="1:10" s="65" customFormat="1" ht="14" x14ac:dyDescent="0.35">
      <c r="A3672" s="145"/>
      <c r="B3672" s="152"/>
      <c r="E3672" s="102"/>
      <c r="F3672" s="102"/>
      <c r="G3672" s="102"/>
      <c r="I3672" s="93"/>
      <c r="J3672" s="93"/>
    </row>
    <row r="3673" spans="1:10" s="65" customFormat="1" ht="14" x14ac:dyDescent="0.35">
      <c r="A3673" s="145"/>
      <c r="B3673" s="152"/>
      <c r="E3673" s="102"/>
      <c r="F3673" s="102"/>
      <c r="G3673" s="102"/>
      <c r="I3673" s="93"/>
      <c r="J3673" s="93"/>
    </row>
    <row r="3674" spans="1:10" s="65" customFormat="1" ht="14" x14ac:dyDescent="0.35">
      <c r="A3674" s="145"/>
      <c r="B3674" s="152"/>
      <c r="E3674" s="102"/>
      <c r="F3674" s="102"/>
      <c r="G3674" s="102"/>
      <c r="I3674" s="93"/>
      <c r="J3674" s="93"/>
    </row>
    <row r="3675" spans="1:10" s="65" customFormat="1" ht="14" x14ac:dyDescent="0.35">
      <c r="A3675" s="145"/>
      <c r="B3675" s="152"/>
      <c r="E3675" s="102"/>
      <c r="F3675" s="102"/>
      <c r="G3675" s="102"/>
      <c r="I3675" s="93"/>
      <c r="J3675" s="93"/>
    </row>
    <row r="3676" spans="1:10" s="65" customFormat="1" ht="14" x14ac:dyDescent="0.35">
      <c r="A3676" s="145"/>
      <c r="B3676" s="152"/>
      <c r="E3676" s="102"/>
      <c r="F3676" s="102"/>
      <c r="G3676" s="102"/>
      <c r="I3676" s="93"/>
      <c r="J3676" s="93"/>
    </row>
    <row r="3677" spans="1:10" s="65" customFormat="1" ht="14" x14ac:dyDescent="0.35">
      <c r="A3677" s="145"/>
      <c r="B3677" s="152"/>
      <c r="E3677" s="102"/>
      <c r="F3677" s="102"/>
      <c r="G3677" s="102"/>
      <c r="I3677" s="93"/>
      <c r="J3677" s="93"/>
    </row>
    <row r="3678" spans="1:10" s="65" customFormat="1" ht="14" x14ac:dyDescent="0.35">
      <c r="A3678" s="145"/>
      <c r="B3678" s="152"/>
      <c r="E3678" s="102"/>
      <c r="F3678" s="102"/>
      <c r="G3678" s="102"/>
      <c r="I3678" s="93"/>
      <c r="J3678" s="93"/>
    </row>
    <row r="3679" spans="1:10" s="65" customFormat="1" ht="14" x14ac:dyDescent="0.35">
      <c r="A3679" s="145"/>
      <c r="B3679" s="152"/>
      <c r="E3679" s="102"/>
      <c r="F3679" s="102"/>
      <c r="G3679" s="102"/>
      <c r="I3679" s="93"/>
      <c r="J3679" s="93"/>
    </row>
    <row r="3680" spans="1:10" s="65" customFormat="1" ht="14" x14ac:dyDescent="0.35">
      <c r="A3680" s="145"/>
      <c r="B3680" s="152"/>
      <c r="E3680" s="102"/>
      <c r="F3680" s="102"/>
      <c r="G3680" s="102"/>
      <c r="I3680" s="93"/>
      <c r="J3680" s="93"/>
    </row>
    <row r="3681" spans="1:10" s="65" customFormat="1" ht="14" x14ac:dyDescent="0.35">
      <c r="A3681" s="145"/>
      <c r="B3681" s="152"/>
      <c r="E3681" s="102"/>
      <c r="F3681" s="102"/>
      <c r="G3681" s="102"/>
      <c r="I3681" s="93"/>
      <c r="J3681" s="93"/>
    </row>
    <row r="3682" spans="1:10" s="65" customFormat="1" ht="14" x14ac:dyDescent="0.35">
      <c r="A3682" s="145"/>
      <c r="B3682" s="152"/>
      <c r="E3682" s="102"/>
      <c r="F3682" s="102"/>
      <c r="G3682" s="102"/>
      <c r="I3682" s="93"/>
      <c r="J3682" s="93"/>
    </row>
    <row r="3683" spans="1:10" s="65" customFormat="1" ht="14" x14ac:dyDescent="0.35">
      <c r="A3683" s="145"/>
      <c r="B3683" s="152"/>
      <c r="E3683" s="102"/>
      <c r="F3683" s="102"/>
      <c r="G3683" s="102"/>
      <c r="I3683" s="93"/>
      <c r="J3683" s="93"/>
    </row>
    <row r="3684" spans="1:10" s="65" customFormat="1" ht="14" x14ac:dyDescent="0.35">
      <c r="A3684" s="145"/>
      <c r="B3684" s="152"/>
      <c r="E3684" s="102"/>
      <c r="F3684" s="102"/>
      <c r="G3684" s="102"/>
      <c r="I3684" s="93"/>
      <c r="J3684" s="93"/>
    </row>
    <row r="3685" spans="1:10" s="65" customFormat="1" ht="14" x14ac:dyDescent="0.35">
      <c r="A3685" s="145"/>
      <c r="B3685" s="152"/>
      <c r="E3685" s="102"/>
      <c r="F3685" s="102"/>
      <c r="G3685" s="102"/>
      <c r="I3685" s="93"/>
      <c r="J3685" s="93"/>
    </row>
    <row r="3686" spans="1:10" s="65" customFormat="1" ht="14" x14ac:dyDescent="0.35">
      <c r="A3686" s="145"/>
      <c r="B3686" s="152"/>
      <c r="E3686" s="102"/>
      <c r="F3686" s="102"/>
      <c r="G3686" s="102"/>
      <c r="I3686" s="93"/>
      <c r="J3686" s="93"/>
    </row>
    <row r="3687" spans="1:10" s="65" customFormat="1" ht="14" x14ac:dyDescent="0.35">
      <c r="A3687" s="145"/>
      <c r="B3687" s="152"/>
      <c r="E3687" s="102"/>
      <c r="F3687" s="102"/>
      <c r="G3687" s="102"/>
      <c r="I3687" s="93"/>
      <c r="J3687" s="93"/>
    </row>
    <row r="3688" spans="1:10" s="65" customFormat="1" ht="14" x14ac:dyDescent="0.35">
      <c r="A3688" s="145"/>
      <c r="B3688" s="152"/>
      <c r="E3688" s="102"/>
      <c r="F3688" s="102"/>
      <c r="G3688" s="102"/>
      <c r="I3688" s="93"/>
      <c r="J3688" s="93"/>
    </row>
    <row r="3689" spans="1:10" s="65" customFormat="1" ht="14" x14ac:dyDescent="0.35">
      <c r="A3689" s="145"/>
      <c r="B3689" s="152"/>
      <c r="E3689" s="102"/>
      <c r="F3689" s="102"/>
      <c r="G3689" s="102"/>
      <c r="I3689" s="93"/>
      <c r="J3689" s="93"/>
    </row>
    <row r="3690" spans="1:10" s="65" customFormat="1" ht="14" x14ac:dyDescent="0.35">
      <c r="A3690" s="145"/>
      <c r="B3690" s="152"/>
      <c r="E3690" s="102"/>
      <c r="F3690" s="102"/>
      <c r="G3690" s="102"/>
      <c r="I3690" s="93"/>
      <c r="J3690" s="93"/>
    </row>
    <row r="3691" spans="1:10" s="65" customFormat="1" ht="14" x14ac:dyDescent="0.35">
      <c r="A3691" s="145"/>
      <c r="B3691" s="152"/>
      <c r="E3691" s="102"/>
      <c r="F3691" s="102"/>
      <c r="G3691" s="102"/>
      <c r="I3691" s="93"/>
      <c r="J3691" s="93"/>
    </row>
    <row r="3692" spans="1:10" s="65" customFormat="1" ht="14" x14ac:dyDescent="0.35">
      <c r="A3692" s="145"/>
      <c r="B3692" s="152"/>
      <c r="E3692" s="102"/>
      <c r="F3692" s="102"/>
      <c r="G3692" s="102"/>
      <c r="I3692" s="93"/>
      <c r="J3692" s="93"/>
    </row>
    <row r="3693" spans="1:10" s="65" customFormat="1" ht="14" x14ac:dyDescent="0.35">
      <c r="A3693" s="145"/>
      <c r="B3693" s="152"/>
      <c r="E3693" s="102"/>
      <c r="F3693" s="102"/>
      <c r="G3693" s="102"/>
      <c r="I3693" s="93"/>
      <c r="J3693" s="93"/>
    </row>
    <row r="3694" spans="1:10" s="65" customFormat="1" ht="14" x14ac:dyDescent="0.35">
      <c r="A3694" s="145"/>
      <c r="B3694" s="152"/>
      <c r="E3694" s="102"/>
      <c r="F3694" s="102"/>
      <c r="G3694" s="102"/>
      <c r="I3694" s="93"/>
      <c r="J3694" s="93"/>
    </row>
    <row r="3695" spans="1:10" s="65" customFormat="1" ht="14" x14ac:dyDescent="0.35">
      <c r="A3695" s="145"/>
      <c r="B3695" s="152"/>
      <c r="E3695" s="102"/>
      <c r="F3695" s="102"/>
      <c r="G3695" s="102"/>
      <c r="I3695" s="93"/>
      <c r="J3695" s="93"/>
    </row>
    <row r="3696" spans="1:10" s="65" customFormat="1" ht="14" x14ac:dyDescent="0.35">
      <c r="A3696" s="145"/>
      <c r="B3696" s="152"/>
      <c r="E3696" s="102"/>
      <c r="F3696" s="102"/>
      <c r="G3696" s="102"/>
      <c r="I3696" s="93"/>
      <c r="J3696" s="93"/>
    </row>
    <row r="3697" spans="1:24" s="65" customFormat="1" ht="14" x14ac:dyDescent="0.35">
      <c r="A3697" s="145"/>
      <c r="B3697" s="152"/>
      <c r="E3697" s="102"/>
      <c r="F3697" s="102"/>
      <c r="G3697" s="102"/>
      <c r="I3697" s="93"/>
      <c r="J3697" s="93"/>
    </row>
    <row r="3698" spans="1:24" s="65" customFormat="1" ht="14" x14ac:dyDescent="0.35">
      <c r="A3698" s="145"/>
      <c r="B3698" s="152"/>
      <c r="E3698" s="102"/>
      <c r="F3698" s="102"/>
      <c r="G3698" s="102"/>
      <c r="I3698" s="93"/>
      <c r="J3698" s="93"/>
    </row>
    <row r="3699" spans="1:24" s="65" customFormat="1" ht="14" x14ac:dyDescent="0.35">
      <c r="A3699" s="145"/>
      <c r="B3699" s="152"/>
      <c r="E3699" s="102"/>
      <c r="F3699" s="102"/>
      <c r="G3699" s="102"/>
      <c r="I3699" s="93"/>
      <c r="J3699" s="93"/>
    </row>
    <row r="3700" spans="1:24" s="65" customFormat="1" ht="14" x14ac:dyDescent="0.35">
      <c r="A3700" s="145"/>
      <c r="B3700" s="152"/>
      <c r="E3700" s="102"/>
      <c r="F3700" s="102"/>
      <c r="G3700" s="102"/>
      <c r="I3700" s="93"/>
      <c r="J3700" s="93"/>
    </row>
    <row r="3701" spans="1:24" s="65" customFormat="1" ht="14" x14ac:dyDescent="0.35">
      <c r="A3701" s="145"/>
      <c r="B3701" s="152"/>
      <c r="E3701" s="102"/>
      <c r="F3701" s="102"/>
      <c r="G3701" s="102"/>
      <c r="I3701" s="93"/>
      <c r="J3701" s="93"/>
    </row>
    <row r="3702" spans="1:24" s="65" customFormat="1" ht="14" x14ac:dyDescent="0.35">
      <c r="A3702" s="145"/>
      <c r="B3702" s="152"/>
      <c r="E3702" s="102"/>
      <c r="F3702" s="102"/>
      <c r="G3702" s="102"/>
      <c r="I3702" s="93"/>
      <c r="J3702" s="93"/>
    </row>
    <row r="3703" spans="1:24" s="65" customFormat="1" ht="14" x14ac:dyDescent="0.35">
      <c r="A3703" s="145"/>
      <c r="B3703" s="152"/>
      <c r="E3703" s="102"/>
      <c r="F3703" s="102"/>
      <c r="G3703" s="102"/>
      <c r="I3703" s="93"/>
      <c r="J3703" s="93"/>
    </row>
    <row r="3704" spans="1:24" s="65" customFormat="1" ht="14" x14ac:dyDescent="0.35">
      <c r="A3704" s="145"/>
      <c r="B3704" s="152"/>
      <c r="E3704" s="102"/>
      <c r="F3704" s="102"/>
      <c r="G3704" s="102"/>
      <c r="I3704" s="93"/>
      <c r="J3704" s="93"/>
    </row>
    <row r="3705" spans="1:24" s="65" customFormat="1" x14ac:dyDescent="0.35">
      <c r="A3705" s="145"/>
      <c r="B3705" s="152"/>
      <c r="E3705" s="102"/>
      <c r="F3705" s="102"/>
      <c r="G3705" s="102"/>
      <c r="I3705" s="93"/>
      <c r="J3705" s="93"/>
      <c r="R3705" s="103"/>
      <c r="S3705" s="103"/>
      <c r="T3705" s="103"/>
    </row>
    <row r="3706" spans="1:24" s="65" customFormat="1" x14ac:dyDescent="0.35">
      <c r="A3706" s="145"/>
      <c r="B3706" s="152"/>
      <c r="E3706" s="102"/>
      <c r="F3706" s="102"/>
      <c r="G3706" s="102"/>
      <c r="I3706" s="93"/>
      <c r="J3706" s="93"/>
      <c r="R3706" s="103"/>
      <c r="S3706" s="103"/>
      <c r="T3706" s="103"/>
    </row>
    <row r="3707" spans="1:24" s="65" customFormat="1" x14ac:dyDescent="0.35">
      <c r="A3707" s="145"/>
      <c r="B3707" s="152"/>
      <c r="E3707" s="102"/>
      <c r="F3707" s="102"/>
      <c r="G3707" s="102"/>
      <c r="I3707" s="93"/>
      <c r="J3707" s="93"/>
      <c r="R3707" s="103"/>
      <c r="S3707" s="103"/>
      <c r="T3707" s="103"/>
    </row>
    <row r="3708" spans="1:24" s="65" customFormat="1" x14ac:dyDescent="0.35">
      <c r="A3708" s="145"/>
      <c r="B3708" s="152"/>
      <c r="E3708" s="102"/>
      <c r="F3708" s="102"/>
      <c r="G3708" s="102"/>
      <c r="I3708" s="93"/>
      <c r="J3708" s="93"/>
      <c r="R3708" s="103"/>
      <c r="S3708" s="103"/>
      <c r="T3708" s="103"/>
    </row>
    <row r="3709" spans="1:24" s="65" customFormat="1" x14ac:dyDescent="0.35">
      <c r="A3709" s="145"/>
      <c r="B3709" s="152"/>
      <c r="E3709" s="102"/>
      <c r="F3709" s="102"/>
      <c r="G3709" s="102"/>
      <c r="I3709" s="93"/>
      <c r="J3709" s="52"/>
      <c r="R3709" s="103"/>
      <c r="S3709" s="103"/>
      <c r="T3709" s="103"/>
    </row>
    <row r="3710" spans="1:24" s="65" customFormat="1" x14ac:dyDescent="0.35">
      <c r="A3710" s="145"/>
      <c r="B3710" s="152"/>
      <c r="E3710" s="102"/>
      <c r="F3710" s="102"/>
      <c r="G3710" s="102"/>
      <c r="I3710" s="93"/>
      <c r="J3710" s="52"/>
      <c r="R3710" s="103"/>
      <c r="S3710" s="103"/>
      <c r="T3710" s="103"/>
      <c r="U3710" s="103"/>
    </row>
    <row r="3711" spans="1:24" s="65" customFormat="1" x14ac:dyDescent="0.35">
      <c r="A3711" s="145"/>
      <c r="B3711" s="152"/>
      <c r="E3711" s="102"/>
      <c r="F3711" s="102"/>
      <c r="G3711" s="102"/>
      <c r="I3711" s="93"/>
      <c r="J3711" s="52"/>
      <c r="R3711" s="103"/>
      <c r="S3711" s="103"/>
      <c r="T3711" s="103"/>
      <c r="U3711" s="103"/>
    </row>
    <row r="3712" spans="1:24" s="65" customFormat="1" x14ac:dyDescent="0.35">
      <c r="A3712" s="145"/>
      <c r="B3712" s="152"/>
      <c r="E3712" s="102"/>
      <c r="F3712" s="102"/>
      <c r="G3712" s="102"/>
      <c r="I3712" s="93"/>
      <c r="J3712" s="52"/>
      <c r="R3712" s="103"/>
      <c r="S3712" s="103"/>
      <c r="T3712" s="103"/>
      <c r="U3712" s="103"/>
      <c r="V3712" s="103"/>
      <c r="W3712" s="103"/>
      <c r="X3712" s="103"/>
    </row>
  </sheetData>
  <mergeCells count="10">
    <mergeCell ref="AD2:AF2"/>
    <mergeCell ref="R2:S2"/>
    <mergeCell ref="U2:X2"/>
    <mergeCell ref="Y2:Z2"/>
    <mergeCell ref="AA2:AC2"/>
    <mergeCell ref="C57:P57"/>
    <mergeCell ref="N2:P2"/>
    <mergeCell ref="K2:M2"/>
    <mergeCell ref="H2:I2"/>
    <mergeCell ref="D2:G2"/>
  </mergeCells>
  <conditionalFormatting sqref="R4:AF52">
    <cfRule type="cellIs" dxfId="1" priority="1" stopIfTrue="1" operator="greaterThan">
      <formula>0.5</formula>
    </cfRule>
    <cfRule type="cellIs" dxfId="0" priority="2" stopIfTrue="1" operator="lessThan">
      <formula>-0.5</formula>
    </cfRule>
  </conditionalFormatting>
  <printOptions horizontalCentered="1" verticalCentered="1"/>
  <pageMargins left="0.31496062992125984" right="0.51181102362204722" top="0.19685039370078741" bottom="0.15748031496062992" header="0.17" footer="0.1574803149606299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K3708"/>
  <sheetViews>
    <sheetView showGridLines="0" zoomScaleNormal="100" workbookViewId="0">
      <pane xSplit="2" ySplit="3" topLeftCell="C33" activePane="bottomRight" state="frozen"/>
      <selection activeCell="A4" sqref="A4:H4"/>
      <selection pane="topRight" activeCell="A4" sqref="A4:H4"/>
      <selection pane="bottomLeft" activeCell="A4" sqref="A4:H4"/>
      <selection pane="bottomRight" activeCell="A4" sqref="A4:H4"/>
    </sheetView>
  </sheetViews>
  <sheetFormatPr defaultColWidth="9.1796875" defaultRowHeight="15.5" x14ac:dyDescent="0.35"/>
  <cols>
    <col min="1" max="1" width="10.81640625" style="145" hidden="1" customWidth="1"/>
    <col min="2" max="3" width="22.54296875" style="103" customWidth="1"/>
    <col min="4" max="4" width="11.26953125" style="103" customWidth="1"/>
    <col min="5" max="5" width="12.81640625" style="105" customWidth="1"/>
    <col min="6" max="6" width="12.26953125" style="105" customWidth="1"/>
    <col min="7" max="7" width="13.26953125" style="105" customWidth="1"/>
    <col min="8" max="8" width="16.81640625" style="103"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6384" width="9.1796875" style="103"/>
  </cols>
  <sheetData>
    <row r="1" spans="1:37" s="52" customFormat="1" ht="24.75" customHeight="1" x14ac:dyDescent="0.35">
      <c r="A1" s="145"/>
      <c r="B1" s="49" t="s">
        <v>239</v>
      </c>
      <c r="C1" s="49"/>
      <c r="D1" s="50"/>
      <c r="E1" s="51"/>
      <c r="F1" s="51"/>
      <c r="G1" s="51"/>
      <c r="H1" s="50"/>
      <c r="I1" s="50"/>
      <c r="J1" s="50"/>
      <c r="K1" s="50"/>
      <c r="L1" s="50"/>
      <c r="M1" s="50"/>
      <c r="N1" s="50"/>
      <c r="O1" s="50"/>
      <c r="P1" s="50"/>
      <c r="Q1" s="151"/>
      <c r="R1" s="151"/>
      <c r="S1" s="151"/>
      <c r="T1" s="151"/>
      <c r="U1" s="151"/>
      <c r="V1" s="151"/>
      <c r="W1" s="151"/>
    </row>
    <row r="2" spans="1:37" s="57" customFormat="1" ht="34.5" customHeight="1" x14ac:dyDescent="0.35">
      <c r="A2" s="145"/>
      <c r="B2" s="54"/>
      <c r="C2" s="54"/>
      <c r="D2" s="378" t="s">
        <v>166</v>
      </c>
      <c r="E2" s="378"/>
      <c r="F2" s="378"/>
      <c r="G2" s="378"/>
      <c r="H2" s="378" t="s">
        <v>167</v>
      </c>
      <c r="I2" s="378"/>
      <c r="J2" s="107"/>
      <c r="K2" s="376" t="s">
        <v>168</v>
      </c>
      <c r="L2" s="376"/>
      <c r="M2" s="376"/>
      <c r="N2" s="376" t="s">
        <v>169</v>
      </c>
      <c r="O2" s="376"/>
      <c r="P2" s="376"/>
    </row>
    <row r="3" spans="1:37" s="57" customFormat="1" ht="30.5" x14ac:dyDescent="0.35">
      <c r="A3" s="145"/>
      <c r="B3" s="54"/>
      <c r="C3" s="54"/>
      <c r="D3" s="60" t="s">
        <v>170</v>
      </c>
      <c r="E3" s="60" t="s">
        <v>236</v>
      </c>
      <c r="F3" s="60" t="s">
        <v>172</v>
      </c>
      <c r="G3" s="60" t="s">
        <v>173</v>
      </c>
      <c r="H3" s="60" t="s">
        <v>235</v>
      </c>
      <c r="I3" s="60" t="s">
        <v>171</v>
      </c>
      <c r="J3" s="60"/>
      <c r="K3" s="61" t="s">
        <v>175</v>
      </c>
      <c r="L3" s="61" t="s">
        <v>234</v>
      </c>
      <c r="M3" s="60" t="s">
        <v>233</v>
      </c>
      <c r="N3" s="60" t="s">
        <v>232</v>
      </c>
      <c r="O3" s="60" t="s">
        <v>179</v>
      </c>
      <c r="P3" s="60" t="s">
        <v>180</v>
      </c>
    </row>
    <row r="4" spans="1:37" s="67" customFormat="1" ht="25.5" customHeight="1" x14ac:dyDescent="0.35">
      <c r="A4" s="145"/>
      <c r="B4" s="62" t="s">
        <v>181</v>
      </c>
      <c r="C4" s="62"/>
      <c r="D4" s="64">
        <v>26289</v>
      </c>
      <c r="E4" s="64">
        <v>13177</v>
      </c>
      <c r="F4" s="64">
        <v>1306.5</v>
      </c>
      <c r="G4" s="64">
        <v>8026</v>
      </c>
      <c r="H4" s="70">
        <v>659</v>
      </c>
      <c r="I4" s="70">
        <v>748</v>
      </c>
      <c r="J4" s="75" t="s">
        <v>3</v>
      </c>
      <c r="K4" s="70">
        <v>2018</v>
      </c>
      <c r="L4" s="70">
        <v>146</v>
      </c>
      <c r="M4" s="70">
        <v>1574</v>
      </c>
      <c r="N4" s="70">
        <v>5028</v>
      </c>
      <c r="O4" s="70">
        <v>359</v>
      </c>
      <c r="P4" s="70">
        <v>245</v>
      </c>
      <c r="Q4" s="62"/>
      <c r="R4" s="65"/>
      <c r="S4" s="65"/>
      <c r="T4" s="65"/>
      <c r="U4" s="65"/>
      <c r="V4" s="65"/>
      <c r="W4" s="65"/>
      <c r="X4" s="65"/>
      <c r="Y4" s="65"/>
      <c r="Z4" s="65"/>
      <c r="AA4" s="65"/>
      <c r="AB4" s="65"/>
      <c r="AC4" s="65"/>
      <c r="AD4" s="65"/>
      <c r="AE4" s="65"/>
      <c r="AF4" s="65"/>
      <c r="AG4" s="65"/>
      <c r="AH4" s="65"/>
      <c r="AI4" s="65"/>
      <c r="AJ4" s="65"/>
      <c r="AK4" s="65"/>
    </row>
    <row r="5" spans="1:37" s="71" customFormat="1" ht="25.5" customHeight="1" x14ac:dyDescent="0.35">
      <c r="A5" s="147"/>
      <c r="B5" s="62" t="s">
        <v>182</v>
      </c>
      <c r="C5" s="62"/>
      <c r="D5" s="70">
        <v>14483</v>
      </c>
      <c r="E5" s="70">
        <v>12777</v>
      </c>
      <c r="F5" s="70">
        <v>936.5</v>
      </c>
      <c r="G5" s="70">
        <v>5251</v>
      </c>
      <c r="H5" s="70">
        <v>383</v>
      </c>
      <c r="I5" s="70">
        <v>730</v>
      </c>
      <c r="J5" s="75" t="s">
        <v>3</v>
      </c>
      <c r="K5" s="70">
        <v>1604</v>
      </c>
      <c r="L5" s="70">
        <v>125</v>
      </c>
      <c r="M5" s="70">
        <v>1213</v>
      </c>
      <c r="N5" s="70">
        <v>4004</v>
      </c>
      <c r="O5" s="70">
        <v>237</v>
      </c>
      <c r="P5" s="70">
        <v>158</v>
      </c>
      <c r="R5" s="65"/>
      <c r="S5" s="65"/>
      <c r="T5" s="65"/>
      <c r="U5" s="65"/>
      <c r="V5" s="65"/>
      <c r="W5" s="65"/>
      <c r="X5" s="65"/>
      <c r="Y5" s="65"/>
      <c r="Z5" s="65"/>
      <c r="AA5" s="65"/>
      <c r="AB5" s="65"/>
      <c r="AC5" s="65"/>
      <c r="AD5" s="65"/>
      <c r="AE5" s="65"/>
      <c r="AF5" s="65"/>
      <c r="AH5" s="65"/>
      <c r="AI5" s="65"/>
      <c r="AJ5" s="65"/>
      <c r="AK5" s="65"/>
    </row>
    <row r="6" spans="1:37" s="81" customFormat="1" ht="14.25" customHeight="1" x14ac:dyDescent="0.35">
      <c r="A6" s="145">
        <v>51</v>
      </c>
      <c r="B6" s="82" t="s">
        <v>77</v>
      </c>
      <c r="C6" s="82"/>
      <c r="D6" s="75">
        <v>579</v>
      </c>
      <c r="E6" s="75">
        <v>245</v>
      </c>
      <c r="F6" s="75">
        <v>33</v>
      </c>
      <c r="G6" s="75">
        <v>127</v>
      </c>
      <c r="H6" s="75">
        <v>11</v>
      </c>
      <c r="I6" s="75">
        <v>12</v>
      </c>
      <c r="J6" s="75" t="s">
        <v>3</v>
      </c>
      <c r="K6" s="75">
        <v>31</v>
      </c>
      <c r="L6" s="75">
        <v>6</v>
      </c>
      <c r="M6" s="75">
        <v>26</v>
      </c>
      <c r="N6" s="75">
        <v>68</v>
      </c>
      <c r="O6" s="75">
        <v>8</v>
      </c>
      <c r="P6" s="75">
        <v>2</v>
      </c>
      <c r="R6" s="65"/>
      <c r="S6" s="65"/>
      <c r="T6" s="65"/>
      <c r="U6" s="65"/>
      <c r="V6" s="65"/>
      <c r="W6" s="65"/>
      <c r="X6" s="65"/>
      <c r="Y6" s="65"/>
      <c r="Z6" s="65"/>
      <c r="AA6" s="65"/>
      <c r="AB6" s="65"/>
      <c r="AC6" s="65"/>
      <c r="AD6" s="65"/>
      <c r="AE6" s="65"/>
      <c r="AF6" s="65"/>
      <c r="AH6" s="65"/>
      <c r="AI6" s="65"/>
      <c r="AJ6" s="65"/>
      <c r="AK6" s="65"/>
    </row>
    <row r="7" spans="1:37" s="81" customFormat="1" ht="14.25" customHeight="1" x14ac:dyDescent="0.35">
      <c r="A7" s="145">
        <v>52</v>
      </c>
      <c r="B7" s="82" t="s">
        <v>75</v>
      </c>
      <c r="C7" s="82"/>
      <c r="D7" s="75">
        <v>291</v>
      </c>
      <c r="E7" s="75">
        <v>152</v>
      </c>
      <c r="F7" s="75">
        <v>28</v>
      </c>
      <c r="G7" s="75">
        <v>142</v>
      </c>
      <c r="H7" s="75">
        <v>6</v>
      </c>
      <c r="I7" s="75">
        <v>8</v>
      </c>
      <c r="J7" s="75" t="s">
        <v>3</v>
      </c>
      <c r="K7" s="75">
        <v>22</v>
      </c>
      <c r="L7" s="75">
        <v>2</v>
      </c>
      <c r="M7" s="75">
        <v>22</v>
      </c>
      <c r="N7" s="75">
        <v>52</v>
      </c>
      <c r="O7" s="75">
        <v>4</v>
      </c>
      <c r="P7" s="75">
        <v>2</v>
      </c>
      <c r="R7" s="65"/>
      <c r="S7" s="65"/>
      <c r="T7" s="65"/>
      <c r="U7" s="65"/>
      <c r="V7" s="65"/>
      <c r="W7" s="65"/>
      <c r="X7" s="65"/>
      <c r="Y7" s="65"/>
      <c r="Z7" s="65"/>
      <c r="AA7" s="65"/>
      <c r="AB7" s="65"/>
      <c r="AC7" s="65"/>
      <c r="AD7" s="65"/>
      <c r="AE7" s="65"/>
      <c r="AF7" s="65"/>
      <c r="AH7" s="65"/>
      <c r="AI7" s="65"/>
      <c r="AJ7" s="65"/>
      <c r="AK7" s="65"/>
    </row>
    <row r="8" spans="1:37" s="81" customFormat="1" ht="14.25" customHeight="1" x14ac:dyDescent="0.35">
      <c r="A8" s="145">
        <v>86</v>
      </c>
      <c r="B8" s="82" t="s">
        <v>73</v>
      </c>
      <c r="C8" s="82"/>
      <c r="D8" s="75">
        <v>385</v>
      </c>
      <c r="E8" s="75">
        <v>75</v>
      </c>
      <c r="F8" s="75">
        <v>27</v>
      </c>
      <c r="G8" s="75">
        <v>139</v>
      </c>
      <c r="H8" s="75">
        <v>10</v>
      </c>
      <c r="I8" s="75">
        <v>8</v>
      </c>
      <c r="J8" s="75" t="s">
        <v>3</v>
      </c>
      <c r="K8" s="75">
        <v>22</v>
      </c>
      <c r="L8" s="75">
        <v>1</v>
      </c>
      <c r="M8" s="75">
        <v>14</v>
      </c>
      <c r="N8" s="75">
        <v>81</v>
      </c>
      <c r="O8" s="75">
        <v>6</v>
      </c>
      <c r="P8" s="75">
        <v>3</v>
      </c>
      <c r="R8" s="65"/>
      <c r="S8" s="65"/>
      <c r="T8" s="65"/>
      <c r="U8" s="65"/>
      <c r="V8" s="65"/>
      <c r="W8" s="65"/>
      <c r="X8" s="65"/>
      <c r="Y8" s="65"/>
      <c r="Z8" s="65"/>
      <c r="AA8" s="65"/>
      <c r="AB8" s="65"/>
      <c r="AC8" s="65"/>
      <c r="AD8" s="65"/>
      <c r="AE8" s="65"/>
      <c r="AF8" s="65"/>
      <c r="AH8" s="65"/>
      <c r="AI8" s="65"/>
      <c r="AJ8" s="65"/>
      <c r="AK8" s="65"/>
    </row>
    <row r="9" spans="1:37" s="81" customFormat="1" ht="14.25" customHeight="1" x14ac:dyDescent="0.35">
      <c r="A9" s="145">
        <v>53</v>
      </c>
      <c r="B9" s="82" t="s">
        <v>71</v>
      </c>
      <c r="C9" s="82"/>
      <c r="D9" s="75">
        <v>309</v>
      </c>
      <c r="E9" s="75">
        <v>176</v>
      </c>
      <c r="F9" s="75">
        <v>17</v>
      </c>
      <c r="G9" s="75">
        <v>108</v>
      </c>
      <c r="H9" s="75">
        <v>10</v>
      </c>
      <c r="I9" s="75">
        <v>10</v>
      </c>
      <c r="J9" s="75" t="s">
        <v>3</v>
      </c>
      <c r="K9" s="75">
        <v>30</v>
      </c>
      <c r="L9" s="75">
        <v>1</v>
      </c>
      <c r="M9" s="75">
        <v>23</v>
      </c>
      <c r="N9" s="75">
        <v>97</v>
      </c>
      <c r="O9" s="75">
        <v>4</v>
      </c>
      <c r="P9" s="75">
        <v>4</v>
      </c>
      <c r="R9" s="65"/>
      <c r="S9" s="65"/>
      <c r="T9" s="65"/>
      <c r="U9" s="65"/>
      <c r="V9" s="65"/>
      <c r="W9" s="65"/>
      <c r="X9" s="65"/>
      <c r="Y9" s="65"/>
      <c r="Z9" s="65"/>
      <c r="AA9" s="65"/>
      <c r="AB9" s="65"/>
      <c r="AC9" s="65"/>
      <c r="AD9" s="65"/>
      <c r="AE9" s="65"/>
      <c r="AF9" s="65"/>
      <c r="AH9" s="65"/>
      <c r="AI9" s="65"/>
      <c r="AJ9" s="65"/>
      <c r="AK9" s="65"/>
    </row>
    <row r="10" spans="1:37" s="81" customFormat="1" ht="14.25" customHeight="1" x14ac:dyDescent="0.35">
      <c r="A10" s="145">
        <v>54</v>
      </c>
      <c r="B10" s="82" t="s">
        <v>69</v>
      </c>
      <c r="C10" s="82"/>
      <c r="D10" s="75">
        <v>243</v>
      </c>
      <c r="E10" s="75">
        <v>302</v>
      </c>
      <c r="F10" s="75">
        <v>42</v>
      </c>
      <c r="G10" s="75">
        <v>117</v>
      </c>
      <c r="H10" s="75">
        <v>7</v>
      </c>
      <c r="I10" s="75">
        <v>20</v>
      </c>
      <c r="J10" s="75" t="s">
        <v>3</v>
      </c>
      <c r="K10" s="75">
        <v>45</v>
      </c>
      <c r="L10" s="75">
        <v>4</v>
      </c>
      <c r="M10" s="75">
        <v>14</v>
      </c>
      <c r="N10" s="75">
        <v>98</v>
      </c>
      <c r="O10" s="75">
        <v>5</v>
      </c>
      <c r="P10" s="75">
        <v>3</v>
      </c>
      <c r="R10" s="65"/>
      <c r="S10" s="65"/>
      <c r="T10" s="65"/>
      <c r="U10" s="65"/>
      <c r="V10" s="65"/>
      <c r="W10" s="65"/>
      <c r="X10" s="65"/>
      <c r="Y10" s="65"/>
      <c r="Z10" s="65"/>
      <c r="AA10" s="65"/>
      <c r="AB10" s="65"/>
      <c r="AC10" s="65"/>
      <c r="AD10" s="65"/>
      <c r="AE10" s="65"/>
      <c r="AF10" s="65"/>
      <c r="AH10" s="65"/>
      <c r="AI10" s="65"/>
      <c r="AJ10" s="65"/>
      <c r="AK10" s="65"/>
    </row>
    <row r="11" spans="1:37" s="81" customFormat="1" ht="14.25" customHeight="1" x14ac:dyDescent="0.35">
      <c r="A11" s="145">
        <v>55</v>
      </c>
      <c r="B11" s="82" t="s">
        <v>67</v>
      </c>
      <c r="C11" s="82"/>
      <c r="D11" s="75">
        <v>461</v>
      </c>
      <c r="E11" s="75">
        <v>225</v>
      </c>
      <c r="F11" s="75">
        <v>23</v>
      </c>
      <c r="G11" s="75">
        <v>222</v>
      </c>
      <c r="H11" s="75">
        <v>14</v>
      </c>
      <c r="I11" s="75">
        <v>10</v>
      </c>
      <c r="J11" s="75" t="s">
        <v>3</v>
      </c>
      <c r="K11" s="75">
        <v>32</v>
      </c>
      <c r="L11" s="75">
        <v>0</v>
      </c>
      <c r="M11" s="75">
        <v>34</v>
      </c>
      <c r="N11" s="75">
        <v>117</v>
      </c>
      <c r="O11" s="75">
        <v>7</v>
      </c>
      <c r="P11" s="75">
        <v>3</v>
      </c>
      <c r="R11" s="65"/>
      <c r="S11" s="65"/>
      <c r="T11" s="65"/>
      <c r="U11" s="65"/>
      <c r="V11" s="65"/>
      <c r="W11" s="65"/>
      <c r="X11" s="65"/>
      <c r="Y11" s="65"/>
      <c r="Z11" s="65"/>
      <c r="AA11" s="65"/>
      <c r="AB11" s="65"/>
      <c r="AC11" s="65"/>
      <c r="AD11" s="65"/>
      <c r="AE11" s="65"/>
      <c r="AF11" s="65"/>
      <c r="AH11" s="65"/>
      <c r="AI11" s="65"/>
      <c r="AJ11" s="65"/>
      <c r="AK11" s="65"/>
    </row>
    <row r="12" spans="1:37" s="81" customFormat="1" ht="14.25" customHeight="1" x14ac:dyDescent="0.35">
      <c r="A12" s="145">
        <v>56</v>
      </c>
      <c r="B12" s="82" t="s">
        <v>65</v>
      </c>
      <c r="C12" s="82"/>
      <c r="D12" s="75">
        <v>420</v>
      </c>
      <c r="E12" s="75">
        <v>75</v>
      </c>
      <c r="F12" s="75">
        <v>24</v>
      </c>
      <c r="G12" s="75">
        <v>114</v>
      </c>
      <c r="H12" s="75">
        <v>9</v>
      </c>
      <c r="I12" s="75">
        <v>6</v>
      </c>
      <c r="J12" s="75" t="s">
        <v>3</v>
      </c>
      <c r="K12" s="75">
        <v>21</v>
      </c>
      <c r="L12" s="75">
        <v>0</v>
      </c>
      <c r="M12" s="75">
        <v>21</v>
      </c>
      <c r="N12" s="75">
        <v>60</v>
      </c>
      <c r="O12" s="75">
        <v>6</v>
      </c>
      <c r="P12" s="75">
        <v>2</v>
      </c>
      <c r="R12" s="65"/>
      <c r="S12" s="65"/>
      <c r="T12" s="65"/>
      <c r="U12" s="65"/>
      <c r="V12" s="65"/>
      <c r="W12" s="65"/>
      <c r="X12" s="65"/>
      <c r="Y12" s="65"/>
      <c r="Z12" s="65"/>
      <c r="AA12" s="65"/>
      <c r="AB12" s="65"/>
      <c r="AC12" s="65"/>
      <c r="AD12" s="65"/>
      <c r="AE12" s="65"/>
      <c r="AF12" s="65"/>
      <c r="AH12" s="65"/>
      <c r="AI12" s="65"/>
      <c r="AJ12" s="65"/>
      <c r="AK12" s="65"/>
    </row>
    <row r="13" spans="1:37" s="81" customFormat="1" ht="14.25" customHeight="1" x14ac:dyDescent="0.35">
      <c r="A13" s="145">
        <v>57</v>
      </c>
      <c r="B13" s="82" t="s">
        <v>108</v>
      </c>
      <c r="C13" s="82"/>
      <c r="D13" s="75">
        <v>213</v>
      </c>
      <c r="E13" s="75">
        <v>412</v>
      </c>
      <c r="F13" s="75">
        <v>23</v>
      </c>
      <c r="G13" s="75">
        <v>96</v>
      </c>
      <c r="H13" s="75">
        <v>7</v>
      </c>
      <c r="I13" s="75">
        <v>24</v>
      </c>
      <c r="J13" s="75" t="s">
        <v>3</v>
      </c>
      <c r="K13" s="75">
        <v>42</v>
      </c>
      <c r="L13" s="75">
        <v>2</v>
      </c>
      <c r="M13" s="75">
        <v>66</v>
      </c>
      <c r="N13" s="75">
        <v>108</v>
      </c>
      <c r="O13" s="75">
        <v>7</v>
      </c>
      <c r="P13" s="75">
        <v>4</v>
      </c>
      <c r="R13" s="65"/>
      <c r="S13" s="65"/>
      <c r="T13" s="65"/>
      <c r="U13" s="65"/>
      <c r="V13" s="65"/>
      <c r="W13" s="65"/>
      <c r="X13" s="65"/>
      <c r="Y13" s="65"/>
      <c r="Z13" s="65"/>
      <c r="AA13" s="65"/>
      <c r="AB13" s="65"/>
      <c r="AC13" s="65"/>
      <c r="AD13" s="65"/>
      <c r="AE13" s="65"/>
      <c r="AF13" s="65"/>
      <c r="AH13" s="65"/>
      <c r="AI13" s="65"/>
      <c r="AJ13" s="65"/>
      <c r="AK13" s="65"/>
    </row>
    <row r="14" spans="1:37" s="81" customFormat="1" ht="14.25" customHeight="1" x14ac:dyDescent="0.35">
      <c r="A14" s="145">
        <v>59</v>
      </c>
      <c r="B14" s="82" t="s">
        <v>106</v>
      </c>
      <c r="C14" s="82"/>
      <c r="D14" s="75">
        <v>213</v>
      </c>
      <c r="E14" s="75">
        <v>403</v>
      </c>
      <c r="F14" s="75">
        <v>0</v>
      </c>
      <c r="G14" s="75">
        <v>80</v>
      </c>
      <c r="H14" s="75">
        <v>7</v>
      </c>
      <c r="I14" s="75">
        <v>32</v>
      </c>
      <c r="J14" s="75" t="s">
        <v>3</v>
      </c>
      <c r="K14" s="75">
        <v>51</v>
      </c>
      <c r="L14" s="75">
        <v>2</v>
      </c>
      <c r="M14" s="75">
        <v>19</v>
      </c>
      <c r="N14" s="75">
        <v>106</v>
      </c>
      <c r="O14" s="75">
        <v>5</v>
      </c>
      <c r="P14" s="75">
        <v>6</v>
      </c>
      <c r="R14" s="65"/>
      <c r="S14" s="65"/>
      <c r="T14" s="65"/>
      <c r="U14" s="65"/>
      <c r="V14" s="65"/>
      <c r="W14" s="65"/>
      <c r="X14" s="65"/>
      <c r="Y14" s="65"/>
      <c r="Z14" s="65"/>
      <c r="AA14" s="65"/>
      <c r="AB14" s="65"/>
      <c r="AC14" s="65"/>
      <c r="AD14" s="65"/>
      <c r="AE14" s="65"/>
      <c r="AF14" s="65"/>
      <c r="AH14" s="65"/>
      <c r="AI14" s="65"/>
      <c r="AJ14" s="65"/>
      <c r="AK14" s="65"/>
    </row>
    <row r="15" spans="1:37" s="81" customFormat="1" ht="14.25" customHeight="1" x14ac:dyDescent="0.35">
      <c r="A15" s="145">
        <v>60</v>
      </c>
      <c r="B15" s="82" t="s">
        <v>63</v>
      </c>
      <c r="C15" s="82"/>
      <c r="D15" s="75">
        <v>370</v>
      </c>
      <c r="E15" s="75">
        <v>326</v>
      </c>
      <c r="F15" s="75">
        <v>26</v>
      </c>
      <c r="G15" s="75">
        <v>162</v>
      </c>
      <c r="H15" s="75">
        <v>12</v>
      </c>
      <c r="I15" s="75">
        <v>19</v>
      </c>
      <c r="J15" s="75" t="s">
        <v>3</v>
      </c>
      <c r="K15" s="75">
        <v>41</v>
      </c>
      <c r="L15" s="75">
        <v>3</v>
      </c>
      <c r="M15" s="75">
        <v>23</v>
      </c>
      <c r="N15" s="75">
        <v>164</v>
      </c>
      <c r="O15" s="75">
        <v>5</v>
      </c>
      <c r="P15" s="75">
        <v>4</v>
      </c>
      <c r="R15" s="65"/>
      <c r="S15" s="65"/>
      <c r="T15" s="65"/>
      <c r="U15" s="65"/>
      <c r="V15" s="65"/>
      <c r="W15" s="65"/>
      <c r="X15" s="65"/>
      <c r="Y15" s="65"/>
      <c r="Z15" s="65"/>
      <c r="AA15" s="65"/>
      <c r="AB15" s="65"/>
      <c r="AC15" s="65"/>
      <c r="AD15" s="65"/>
      <c r="AE15" s="65"/>
      <c r="AF15" s="65"/>
      <c r="AH15" s="65"/>
      <c r="AI15" s="65"/>
      <c r="AJ15" s="65"/>
      <c r="AK15" s="65"/>
    </row>
    <row r="16" spans="1:37" s="81" customFormat="1" ht="14.25" customHeight="1" x14ac:dyDescent="0.35">
      <c r="A16" s="145">
        <v>61</v>
      </c>
      <c r="B16" s="82" t="s">
        <v>183</v>
      </c>
      <c r="C16" s="82"/>
      <c r="D16" s="75">
        <v>645</v>
      </c>
      <c r="E16" s="75">
        <v>1238</v>
      </c>
      <c r="F16" s="75">
        <v>43</v>
      </c>
      <c r="G16" s="75">
        <v>270</v>
      </c>
      <c r="H16" s="75">
        <v>12</v>
      </c>
      <c r="I16" s="75">
        <v>70</v>
      </c>
      <c r="J16" s="75" t="s">
        <v>3</v>
      </c>
      <c r="K16" s="75">
        <v>121</v>
      </c>
      <c r="L16" s="75">
        <v>7</v>
      </c>
      <c r="M16" s="75">
        <v>58</v>
      </c>
      <c r="N16" s="75">
        <v>318</v>
      </c>
      <c r="O16" s="75">
        <v>18</v>
      </c>
      <c r="P16" s="75">
        <v>15</v>
      </c>
      <c r="R16" s="65"/>
      <c r="S16" s="65"/>
      <c r="T16" s="65"/>
      <c r="U16" s="65"/>
      <c r="V16" s="65"/>
      <c r="W16" s="65"/>
      <c r="X16" s="65"/>
      <c r="Y16" s="65"/>
      <c r="Z16" s="65"/>
      <c r="AA16" s="65"/>
      <c r="AB16" s="65"/>
      <c r="AC16" s="65"/>
      <c r="AD16" s="65"/>
      <c r="AE16" s="65"/>
      <c r="AF16" s="65"/>
      <c r="AH16" s="65"/>
      <c r="AI16" s="65"/>
      <c r="AJ16" s="65"/>
      <c r="AK16" s="65"/>
    </row>
    <row r="17" spans="1:37" s="81" customFormat="1" ht="14.25" customHeight="1" x14ac:dyDescent="0.35">
      <c r="A17" s="145">
        <v>62</v>
      </c>
      <c r="B17" s="265" t="s">
        <v>399</v>
      </c>
      <c r="C17" s="265"/>
      <c r="D17" s="267">
        <f>D64+D65</f>
        <v>459</v>
      </c>
      <c r="E17" s="267">
        <f t="shared" ref="E17:P17" si="0">E64+E65</f>
        <v>679</v>
      </c>
      <c r="F17" s="267">
        <f t="shared" si="0"/>
        <v>44.5</v>
      </c>
      <c r="G17" s="267">
        <f t="shared" si="0"/>
        <v>268</v>
      </c>
      <c r="H17" s="267">
        <f t="shared" si="0"/>
        <v>13</v>
      </c>
      <c r="I17" s="267">
        <f t="shared" si="0"/>
        <v>37</v>
      </c>
      <c r="J17" s="267" t="s">
        <v>3</v>
      </c>
      <c r="K17" s="267">
        <f t="shared" si="0"/>
        <v>82</v>
      </c>
      <c r="L17" s="267">
        <f t="shared" si="0"/>
        <v>2</v>
      </c>
      <c r="M17" s="267">
        <f t="shared" si="0"/>
        <v>60</v>
      </c>
      <c r="N17" s="267">
        <f t="shared" si="0"/>
        <v>220</v>
      </c>
      <c r="O17" s="267">
        <f t="shared" si="0"/>
        <v>9</v>
      </c>
      <c r="P17" s="267">
        <f t="shared" si="0"/>
        <v>7</v>
      </c>
      <c r="R17" s="65"/>
      <c r="S17" s="65"/>
      <c r="T17" s="65"/>
      <c r="U17" s="65"/>
      <c r="V17" s="65"/>
      <c r="W17" s="65"/>
      <c r="X17" s="65"/>
      <c r="Y17" s="65"/>
      <c r="Z17" s="65"/>
      <c r="AA17" s="65"/>
      <c r="AB17" s="65"/>
      <c r="AC17" s="65"/>
      <c r="AD17" s="65"/>
      <c r="AE17" s="65"/>
      <c r="AF17" s="65"/>
      <c r="AH17" s="65"/>
      <c r="AI17" s="65"/>
      <c r="AJ17" s="65"/>
      <c r="AK17" s="65"/>
    </row>
    <row r="18" spans="1:37" s="81" customFormat="1" ht="14.25" customHeight="1" x14ac:dyDescent="0.35">
      <c r="A18" s="145">
        <v>58</v>
      </c>
      <c r="B18" s="82" t="s">
        <v>57</v>
      </c>
      <c r="C18" s="82"/>
      <c r="D18" s="75">
        <v>343</v>
      </c>
      <c r="E18" s="75">
        <v>185</v>
      </c>
      <c r="F18" s="75">
        <v>27</v>
      </c>
      <c r="G18" s="75">
        <v>68</v>
      </c>
      <c r="H18" s="75">
        <v>9</v>
      </c>
      <c r="I18" s="75">
        <v>6</v>
      </c>
      <c r="J18" s="75" t="s">
        <v>3</v>
      </c>
      <c r="K18" s="75">
        <v>27</v>
      </c>
      <c r="L18" s="75">
        <v>2</v>
      </c>
      <c r="M18" s="75">
        <v>16</v>
      </c>
      <c r="N18" s="75">
        <v>97</v>
      </c>
      <c r="O18" s="75">
        <v>5</v>
      </c>
      <c r="P18" s="75">
        <v>2</v>
      </c>
      <c r="R18" s="65"/>
      <c r="S18" s="65"/>
      <c r="T18" s="65"/>
      <c r="U18" s="65"/>
      <c r="V18" s="65"/>
      <c r="W18" s="65"/>
      <c r="X18" s="65"/>
      <c r="Y18" s="65"/>
      <c r="Z18" s="65"/>
      <c r="AA18" s="65"/>
      <c r="AB18" s="65"/>
      <c r="AC18" s="65"/>
      <c r="AD18" s="65"/>
      <c r="AE18" s="65"/>
      <c r="AF18" s="65"/>
      <c r="AH18" s="65"/>
      <c r="AI18" s="65"/>
      <c r="AJ18" s="65"/>
      <c r="AK18" s="65"/>
    </row>
    <row r="19" spans="1:37" s="81" customFormat="1" ht="14.25" customHeight="1" x14ac:dyDescent="0.35">
      <c r="A19" s="145">
        <v>63</v>
      </c>
      <c r="B19" s="82" t="s">
        <v>55</v>
      </c>
      <c r="C19" s="82"/>
      <c r="D19" s="75">
        <v>407</v>
      </c>
      <c r="E19" s="75">
        <v>281</v>
      </c>
      <c r="F19" s="75">
        <v>60</v>
      </c>
      <c r="G19" s="75">
        <v>159</v>
      </c>
      <c r="H19" s="75">
        <v>12</v>
      </c>
      <c r="I19" s="75">
        <v>12</v>
      </c>
      <c r="J19" s="75" t="s">
        <v>3</v>
      </c>
      <c r="K19" s="75">
        <v>38</v>
      </c>
      <c r="L19" s="75">
        <v>3</v>
      </c>
      <c r="M19" s="75">
        <v>10</v>
      </c>
      <c r="N19" s="75">
        <v>123</v>
      </c>
      <c r="O19" s="75">
        <v>6</v>
      </c>
      <c r="P19" s="75">
        <v>3</v>
      </c>
      <c r="R19" s="65"/>
      <c r="S19" s="65"/>
      <c r="T19" s="65"/>
      <c r="U19" s="65"/>
      <c r="V19" s="65"/>
      <c r="W19" s="65"/>
      <c r="X19" s="65"/>
      <c r="Y19" s="65"/>
      <c r="Z19" s="65"/>
      <c r="AA19" s="65"/>
      <c r="AB19" s="65"/>
      <c r="AC19" s="65"/>
      <c r="AD19" s="65"/>
      <c r="AE19" s="65"/>
      <c r="AF19" s="65"/>
      <c r="AH19" s="65"/>
      <c r="AI19" s="65"/>
      <c r="AJ19" s="65"/>
      <c r="AK19" s="65"/>
    </row>
    <row r="20" spans="1:37" s="81" customFormat="1" ht="14.25" customHeight="1" x14ac:dyDescent="0.35">
      <c r="A20" s="145">
        <v>64</v>
      </c>
      <c r="B20" s="82" t="s">
        <v>53</v>
      </c>
      <c r="C20" s="82"/>
      <c r="D20" s="75">
        <v>777</v>
      </c>
      <c r="E20" s="75">
        <v>488</v>
      </c>
      <c r="F20" s="75">
        <v>44</v>
      </c>
      <c r="G20" s="75">
        <v>277</v>
      </c>
      <c r="H20" s="75">
        <v>17</v>
      </c>
      <c r="I20" s="75">
        <v>33</v>
      </c>
      <c r="J20" s="75" t="s">
        <v>3</v>
      </c>
      <c r="K20" s="75">
        <v>74</v>
      </c>
      <c r="L20" s="75">
        <v>5</v>
      </c>
      <c r="M20" s="75">
        <v>52</v>
      </c>
      <c r="N20" s="75">
        <v>207</v>
      </c>
      <c r="O20" s="75">
        <v>13</v>
      </c>
      <c r="P20" s="75">
        <v>7</v>
      </c>
      <c r="R20" s="65"/>
      <c r="S20" s="65"/>
      <c r="T20" s="65"/>
      <c r="U20" s="65"/>
      <c r="V20" s="65"/>
      <c r="W20" s="65"/>
      <c r="X20" s="65"/>
      <c r="Y20" s="65"/>
      <c r="Z20" s="65"/>
      <c r="AA20" s="65"/>
      <c r="AB20" s="65"/>
      <c r="AC20" s="65"/>
      <c r="AD20" s="65"/>
      <c r="AE20" s="65"/>
      <c r="AF20" s="65"/>
      <c r="AH20" s="65"/>
      <c r="AI20" s="65"/>
      <c r="AJ20" s="65"/>
      <c r="AK20" s="65"/>
    </row>
    <row r="21" spans="1:37" s="81" customFormat="1" ht="14.25" customHeight="1" x14ac:dyDescent="0.35">
      <c r="A21" s="145">
        <v>65</v>
      </c>
      <c r="B21" s="82" t="s">
        <v>104</v>
      </c>
      <c r="C21" s="82"/>
      <c r="D21" s="75">
        <v>206</v>
      </c>
      <c r="E21" s="75">
        <v>248</v>
      </c>
      <c r="F21" s="75">
        <v>20</v>
      </c>
      <c r="G21" s="75">
        <v>56</v>
      </c>
      <c r="H21" s="75">
        <v>6</v>
      </c>
      <c r="I21" s="75">
        <v>16</v>
      </c>
      <c r="J21" s="75" t="s">
        <v>3</v>
      </c>
      <c r="K21" s="75">
        <v>31</v>
      </c>
      <c r="L21" s="75">
        <v>2</v>
      </c>
      <c r="M21" s="75">
        <v>18</v>
      </c>
      <c r="N21" s="75">
        <v>50</v>
      </c>
      <c r="O21" s="75">
        <v>5</v>
      </c>
      <c r="P21" s="75">
        <v>1</v>
      </c>
      <c r="R21" s="65"/>
      <c r="S21" s="65"/>
      <c r="T21" s="65"/>
      <c r="U21" s="65"/>
      <c r="V21" s="65"/>
      <c r="W21" s="65"/>
      <c r="X21" s="65"/>
      <c r="Y21" s="65"/>
      <c r="Z21" s="65"/>
      <c r="AA21" s="65"/>
      <c r="AB21" s="65"/>
      <c r="AC21" s="65"/>
      <c r="AD21" s="65"/>
      <c r="AE21" s="65"/>
      <c r="AF21" s="65"/>
      <c r="AH21" s="65"/>
      <c r="AI21" s="65"/>
      <c r="AJ21" s="65"/>
      <c r="AK21" s="65"/>
    </row>
    <row r="22" spans="1:37" s="81" customFormat="1" ht="14.25" customHeight="1" x14ac:dyDescent="0.35">
      <c r="A22" s="145">
        <v>67</v>
      </c>
      <c r="B22" s="82" t="s">
        <v>231</v>
      </c>
      <c r="C22" s="82"/>
      <c r="D22" s="75">
        <v>738</v>
      </c>
      <c r="E22" s="75">
        <v>783</v>
      </c>
      <c r="F22" s="75">
        <v>43</v>
      </c>
      <c r="G22" s="75">
        <v>315</v>
      </c>
      <c r="H22" s="150">
        <v>13</v>
      </c>
      <c r="I22" s="150">
        <v>38</v>
      </c>
      <c r="J22" s="75" t="s">
        <v>3</v>
      </c>
      <c r="K22" s="150">
        <v>76</v>
      </c>
      <c r="L22" s="150">
        <v>0</v>
      </c>
      <c r="M22" s="150">
        <v>64</v>
      </c>
      <c r="N22" s="150">
        <v>136</v>
      </c>
      <c r="O22" s="150">
        <v>12</v>
      </c>
      <c r="P22" s="150">
        <v>10</v>
      </c>
      <c r="R22" s="65"/>
      <c r="S22" s="65"/>
      <c r="T22" s="65"/>
      <c r="U22" s="65"/>
      <c r="V22" s="65"/>
      <c r="W22" s="65"/>
      <c r="X22" s="65"/>
      <c r="Y22" s="65"/>
      <c r="Z22" s="65"/>
      <c r="AA22" s="65"/>
      <c r="AB22" s="65"/>
      <c r="AC22" s="65"/>
      <c r="AD22" s="65"/>
      <c r="AE22" s="65"/>
      <c r="AF22" s="65"/>
      <c r="AH22" s="65"/>
      <c r="AI22" s="65"/>
      <c r="AJ22" s="65"/>
      <c r="AK22" s="65"/>
    </row>
    <row r="23" spans="1:37" s="81" customFormat="1" ht="14.25" customHeight="1" x14ac:dyDescent="0.35">
      <c r="A23" s="145">
        <v>68</v>
      </c>
      <c r="B23" s="82" t="s">
        <v>230</v>
      </c>
      <c r="C23" s="82"/>
      <c r="D23" s="75">
        <v>297</v>
      </c>
      <c r="E23" s="75">
        <v>392</v>
      </c>
      <c r="F23" s="75">
        <v>22</v>
      </c>
      <c r="G23" s="75">
        <v>111</v>
      </c>
      <c r="H23" s="75">
        <v>8</v>
      </c>
      <c r="I23" s="75">
        <v>19</v>
      </c>
      <c r="J23" s="75" t="s">
        <v>3</v>
      </c>
      <c r="K23" s="75">
        <v>44</v>
      </c>
      <c r="L23" s="75">
        <v>47</v>
      </c>
      <c r="M23" s="75">
        <v>43</v>
      </c>
      <c r="N23" s="75">
        <v>109</v>
      </c>
      <c r="O23" s="75">
        <v>5</v>
      </c>
      <c r="P23" s="75">
        <v>3</v>
      </c>
      <c r="R23" s="65"/>
      <c r="S23" s="65"/>
      <c r="T23" s="65"/>
      <c r="U23" s="65"/>
      <c r="V23" s="65"/>
      <c r="W23" s="65"/>
      <c r="X23" s="65"/>
      <c r="Y23" s="65"/>
      <c r="Z23" s="65"/>
      <c r="AA23" s="65"/>
      <c r="AB23" s="65"/>
      <c r="AC23" s="65"/>
      <c r="AD23" s="65"/>
      <c r="AE23" s="65"/>
      <c r="AF23" s="65"/>
      <c r="AH23" s="65"/>
      <c r="AI23" s="65"/>
      <c r="AJ23" s="65"/>
      <c r="AK23" s="65"/>
    </row>
    <row r="24" spans="1:37" s="81" customFormat="1" ht="14.25" customHeight="1" x14ac:dyDescent="0.35">
      <c r="A24" s="145">
        <v>69</v>
      </c>
      <c r="B24" s="82" t="s">
        <v>102</v>
      </c>
      <c r="C24" s="82"/>
      <c r="D24" s="75">
        <v>515</v>
      </c>
      <c r="E24" s="75">
        <v>244</v>
      </c>
      <c r="F24" s="75">
        <v>28</v>
      </c>
      <c r="G24" s="75">
        <v>200</v>
      </c>
      <c r="H24" s="75">
        <v>18</v>
      </c>
      <c r="I24" s="75">
        <v>12</v>
      </c>
      <c r="J24" s="75" t="s">
        <v>3</v>
      </c>
      <c r="K24" s="75">
        <v>40</v>
      </c>
      <c r="L24" s="75">
        <v>0</v>
      </c>
      <c r="M24" s="75">
        <v>15</v>
      </c>
      <c r="N24" s="75">
        <v>115</v>
      </c>
      <c r="O24" s="75">
        <v>6</v>
      </c>
      <c r="P24" s="75">
        <v>10</v>
      </c>
      <c r="R24" s="65"/>
      <c r="S24" s="65"/>
      <c r="T24" s="65"/>
      <c r="U24" s="65"/>
      <c r="V24" s="65"/>
      <c r="W24" s="65"/>
      <c r="X24" s="65"/>
      <c r="Y24" s="65"/>
      <c r="Z24" s="65"/>
      <c r="AA24" s="65"/>
      <c r="AB24" s="65"/>
      <c r="AC24" s="65"/>
      <c r="AD24" s="65"/>
      <c r="AE24" s="65"/>
      <c r="AF24" s="65"/>
      <c r="AH24" s="65"/>
      <c r="AI24" s="65"/>
      <c r="AJ24" s="65"/>
      <c r="AK24" s="65"/>
    </row>
    <row r="25" spans="1:37" s="81" customFormat="1" ht="14.25" customHeight="1" x14ac:dyDescent="0.35">
      <c r="A25" s="145">
        <v>70</v>
      </c>
      <c r="B25" s="82" t="s">
        <v>47</v>
      </c>
      <c r="C25" s="82"/>
      <c r="D25" s="75">
        <v>559</v>
      </c>
      <c r="E25" s="75">
        <v>287</v>
      </c>
      <c r="F25" s="75">
        <v>33</v>
      </c>
      <c r="G25" s="75">
        <v>270</v>
      </c>
      <c r="H25" s="75">
        <v>12</v>
      </c>
      <c r="I25" s="75">
        <v>18</v>
      </c>
      <c r="J25" s="75" t="s">
        <v>3</v>
      </c>
      <c r="K25" s="75">
        <v>48</v>
      </c>
      <c r="L25" s="75">
        <v>4</v>
      </c>
      <c r="M25" s="75">
        <v>33</v>
      </c>
      <c r="N25" s="75">
        <v>170</v>
      </c>
      <c r="O25" s="75">
        <v>9</v>
      </c>
      <c r="P25" s="75">
        <v>2</v>
      </c>
      <c r="R25" s="65"/>
      <c r="S25" s="65"/>
      <c r="T25" s="65"/>
      <c r="U25" s="65"/>
      <c r="V25" s="65"/>
      <c r="W25" s="65"/>
      <c r="X25" s="65"/>
      <c r="Y25" s="65"/>
      <c r="Z25" s="65"/>
      <c r="AA25" s="65"/>
      <c r="AB25" s="65"/>
      <c r="AC25" s="65"/>
      <c r="AD25" s="65"/>
      <c r="AE25" s="65"/>
      <c r="AF25" s="65"/>
      <c r="AH25" s="65"/>
      <c r="AI25" s="65"/>
      <c r="AJ25" s="65"/>
      <c r="AK25" s="65"/>
    </row>
    <row r="26" spans="1:37" s="81" customFormat="1" ht="14.25" customHeight="1" x14ac:dyDescent="0.35">
      <c r="A26" s="145">
        <v>71</v>
      </c>
      <c r="B26" s="148" t="s">
        <v>100</v>
      </c>
      <c r="C26" s="148"/>
      <c r="D26" s="75">
        <v>81</v>
      </c>
      <c r="E26" s="75">
        <v>112</v>
      </c>
      <c r="F26" s="75">
        <v>0</v>
      </c>
      <c r="G26" s="75">
        <v>22</v>
      </c>
      <c r="H26" s="75">
        <v>2</v>
      </c>
      <c r="I26" s="75">
        <v>8</v>
      </c>
      <c r="J26" s="75" t="s">
        <v>3</v>
      </c>
      <c r="K26" s="75">
        <v>12</v>
      </c>
      <c r="L26" s="149">
        <v>2</v>
      </c>
      <c r="M26" s="75">
        <v>22</v>
      </c>
      <c r="N26" s="75">
        <v>16</v>
      </c>
      <c r="O26" s="75">
        <v>3</v>
      </c>
      <c r="P26" s="75">
        <v>0</v>
      </c>
      <c r="R26" s="65"/>
      <c r="S26" s="65"/>
      <c r="T26" s="65"/>
      <c r="U26" s="65"/>
      <c r="V26" s="65"/>
      <c r="W26" s="65"/>
      <c r="X26" s="65"/>
      <c r="Y26" s="65"/>
      <c r="Z26" s="65"/>
      <c r="AA26" s="65"/>
      <c r="AB26" s="65"/>
      <c r="AC26" s="65"/>
      <c r="AD26" s="65"/>
      <c r="AE26" s="65"/>
      <c r="AF26" s="65"/>
      <c r="AH26" s="65"/>
      <c r="AI26" s="65"/>
      <c r="AJ26" s="65"/>
      <c r="AK26" s="65"/>
    </row>
    <row r="27" spans="1:37" s="81" customFormat="1" ht="14.25" customHeight="1" x14ac:dyDescent="0.35">
      <c r="A27" s="145">
        <v>73</v>
      </c>
      <c r="B27" s="82" t="s">
        <v>45</v>
      </c>
      <c r="C27" s="82"/>
      <c r="D27" s="75">
        <v>792</v>
      </c>
      <c r="E27" s="75">
        <v>551</v>
      </c>
      <c r="F27" s="75">
        <v>29</v>
      </c>
      <c r="G27" s="75">
        <v>227</v>
      </c>
      <c r="H27" s="75">
        <v>23</v>
      </c>
      <c r="I27" s="75">
        <v>34</v>
      </c>
      <c r="J27" s="75" t="s">
        <v>3</v>
      </c>
      <c r="K27" s="75">
        <v>89</v>
      </c>
      <c r="L27" s="75">
        <v>6</v>
      </c>
      <c r="M27" s="75">
        <v>56</v>
      </c>
      <c r="N27" s="75">
        <v>279</v>
      </c>
      <c r="O27" s="75">
        <v>12</v>
      </c>
      <c r="P27" s="75">
        <v>7</v>
      </c>
      <c r="R27" s="65"/>
      <c r="S27" s="65"/>
      <c r="T27" s="65"/>
      <c r="U27" s="65"/>
      <c r="V27" s="65"/>
      <c r="W27" s="65"/>
      <c r="X27" s="65"/>
      <c r="Y27" s="65"/>
      <c r="Z27" s="65"/>
      <c r="AA27" s="65"/>
      <c r="AB27" s="65"/>
      <c r="AC27" s="65"/>
      <c r="AD27" s="65"/>
      <c r="AE27" s="65"/>
      <c r="AF27" s="65"/>
      <c r="AH27" s="65"/>
      <c r="AI27" s="65"/>
      <c r="AJ27" s="65"/>
      <c r="AK27" s="65"/>
    </row>
    <row r="28" spans="1:37" s="81" customFormat="1" ht="14.25" customHeight="1" x14ac:dyDescent="0.35">
      <c r="A28" s="145">
        <v>74</v>
      </c>
      <c r="B28" s="82" t="s">
        <v>43</v>
      </c>
      <c r="C28" s="82"/>
      <c r="D28" s="75">
        <v>715</v>
      </c>
      <c r="E28" s="75">
        <v>404</v>
      </c>
      <c r="F28" s="75">
        <v>38</v>
      </c>
      <c r="G28" s="75">
        <v>218</v>
      </c>
      <c r="H28" s="75">
        <v>22</v>
      </c>
      <c r="I28" s="75">
        <v>18</v>
      </c>
      <c r="J28" s="75" t="s">
        <v>3</v>
      </c>
      <c r="K28" s="75">
        <v>62</v>
      </c>
      <c r="L28" s="75">
        <v>4</v>
      </c>
      <c r="M28" s="75">
        <v>47</v>
      </c>
      <c r="N28" s="75">
        <v>92</v>
      </c>
      <c r="O28" s="75">
        <v>7</v>
      </c>
      <c r="P28" s="75">
        <v>6</v>
      </c>
      <c r="R28" s="65"/>
      <c r="S28" s="65"/>
      <c r="T28" s="65"/>
      <c r="U28" s="65"/>
      <c r="V28" s="65"/>
      <c r="W28" s="65"/>
      <c r="X28" s="65"/>
      <c r="Y28" s="65"/>
      <c r="Z28" s="65"/>
      <c r="AA28" s="65"/>
      <c r="AB28" s="65"/>
      <c r="AC28" s="65"/>
      <c r="AD28" s="65"/>
      <c r="AE28" s="65"/>
      <c r="AF28" s="65"/>
      <c r="AH28" s="65"/>
      <c r="AI28" s="65"/>
      <c r="AJ28" s="65"/>
      <c r="AK28" s="65"/>
    </row>
    <row r="29" spans="1:37" s="81" customFormat="1" ht="14.25" customHeight="1" x14ac:dyDescent="0.35">
      <c r="A29" s="145">
        <v>75</v>
      </c>
      <c r="B29" s="82" t="s">
        <v>41</v>
      </c>
      <c r="C29" s="82"/>
      <c r="D29" s="75">
        <v>440</v>
      </c>
      <c r="E29" s="75">
        <v>248</v>
      </c>
      <c r="F29" s="75">
        <v>27</v>
      </c>
      <c r="G29" s="75">
        <v>169</v>
      </c>
      <c r="H29" s="75">
        <v>11</v>
      </c>
      <c r="I29" s="75">
        <v>9</v>
      </c>
      <c r="J29" s="75" t="s">
        <v>3</v>
      </c>
      <c r="K29" s="75">
        <v>30</v>
      </c>
      <c r="L29" s="75">
        <v>0</v>
      </c>
      <c r="M29" s="75">
        <v>23</v>
      </c>
      <c r="N29" s="75">
        <v>156</v>
      </c>
      <c r="O29" s="75">
        <v>3</v>
      </c>
      <c r="P29" s="75">
        <v>5</v>
      </c>
      <c r="R29" s="65"/>
      <c r="S29" s="65"/>
      <c r="T29" s="65"/>
      <c r="U29" s="65"/>
      <c r="V29" s="65"/>
      <c r="W29" s="65"/>
      <c r="X29" s="65"/>
      <c r="Y29" s="65"/>
      <c r="Z29" s="65"/>
      <c r="AA29" s="65"/>
      <c r="AB29" s="65"/>
      <c r="AC29" s="65"/>
      <c r="AD29" s="65"/>
      <c r="AE29" s="65"/>
      <c r="AF29" s="65"/>
      <c r="AH29" s="65"/>
      <c r="AI29" s="65"/>
      <c r="AJ29" s="65"/>
      <c r="AK29" s="65"/>
    </row>
    <row r="30" spans="1:37" s="81" customFormat="1" ht="14.25" customHeight="1" x14ac:dyDescent="0.35">
      <c r="A30" s="145">
        <v>76</v>
      </c>
      <c r="B30" s="82" t="s">
        <v>98</v>
      </c>
      <c r="C30" s="82"/>
      <c r="D30" s="75">
        <v>208</v>
      </c>
      <c r="E30" s="75">
        <v>477</v>
      </c>
      <c r="F30" s="75">
        <v>22</v>
      </c>
      <c r="G30" s="75">
        <v>72</v>
      </c>
      <c r="H30" s="75">
        <v>7</v>
      </c>
      <c r="I30" s="75">
        <v>31</v>
      </c>
      <c r="J30" s="75" t="s">
        <v>3</v>
      </c>
      <c r="K30" s="75">
        <v>48</v>
      </c>
      <c r="L30" s="75">
        <v>2</v>
      </c>
      <c r="M30" s="75">
        <v>63</v>
      </c>
      <c r="N30" s="75">
        <v>107</v>
      </c>
      <c r="O30" s="75">
        <v>4</v>
      </c>
      <c r="P30" s="75">
        <v>2</v>
      </c>
      <c r="R30" s="65"/>
      <c r="S30" s="65"/>
      <c r="T30" s="65"/>
      <c r="U30" s="65"/>
      <c r="V30" s="65"/>
      <c r="W30" s="65"/>
      <c r="X30" s="65"/>
      <c r="Y30" s="65"/>
      <c r="Z30" s="65"/>
      <c r="AA30" s="65"/>
      <c r="AB30" s="65"/>
      <c r="AC30" s="65"/>
      <c r="AD30" s="65"/>
      <c r="AE30" s="65"/>
      <c r="AF30" s="65"/>
      <c r="AH30" s="65"/>
      <c r="AI30" s="65"/>
      <c r="AJ30" s="65"/>
      <c r="AK30" s="65"/>
    </row>
    <row r="31" spans="1:37" s="81" customFormat="1" ht="14.25" customHeight="1" x14ac:dyDescent="0.35">
      <c r="A31" s="145">
        <v>79</v>
      </c>
      <c r="B31" s="82" t="s">
        <v>96</v>
      </c>
      <c r="C31" s="82"/>
      <c r="D31" s="75">
        <v>256</v>
      </c>
      <c r="E31" s="75">
        <v>496</v>
      </c>
      <c r="F31" s="75">
        <v>24</v>
      </c>
      <c r="G31" s="75">
        <v>105</v>
      </c>
      <c r="H31" s="75">
        <v>6</v>
      </c>
      <c r="I31" s="75">
        <v>35</v>
      </c>
      <c r="J31" s="75" t="s">
        <v>3</v>
      </c>
      <c r="K31" s="75">
        <v>56</v>
      </c>
      <c r="L31" s="75">
        <v>0</v>
      </c>
      <c r="M31" s="75">
        <v>51</v>
      </c>
      <c r="N31" s="75">
        <v>50</v>
      </c>
      <c r="O31" s="75">
        <v>6</v>
      </c>
      <c r="P31" s="75">
        <v>3</v>
      </c>
      <c r="R31" s="65"/>
      <c r="S31" s="65"/>
      <c r="T31" s="65"/>
      <c r="U31" s="65"/>
      <c r="V31" s="65"/>
      <c r="W31" s="65"/>
      <c r="X31" s="65"/>
      <c r="Y31" s="65"/>
      <c r="Z31" s="65"/>
      <c r="AA31" s="65"/>
      <c r="AB31" s="65"/>
      <c r="AC31" s="65"/>
      <c r="AD31" s="65"/>
      <c r="AE31" s="65"/>
      <c r="AF31" s="65"/>
      <c r="AH31" s="65"/>
      <c r="AI31" s="65"/>
      <c r="AJ31" s="65"/>
      <c r="AK31" s="65"/>
    </row>
    <row r="32" spans="1:37" s="81" customFormat="1" ht="14.25" customHeight="1" x14ac:dyDescent="0.35">
      <c r="A32" s="145">
        <v>80</v>
      </c>
      <c r="B32" s="82" t="s">
        <v>39</v>
      </c>
      <c r="C32" s="82"/>
      <c r="D32" s="75">
        <v>324</v>
      </c>
      <c r="E32" s="75">
        <v>389</v>
      </c>
      <c r="F32" s="75">
        <v>21</v>
      </c>
      <c r="G32" s="75">
        <v>104</v>
      </c>
      <c r="H32" s="75">
        <v>12</v>
      </c>
      <c r="I32" s="75">
        <v>24</v>
      </c>
      <c r="J32" s="75" t="s">
        <v>3</v>
      </c>
      <c r="K32" s="75">
        <v>46</v>
      </c>
      <c r="L32" s="75">
        <v>3</v>
      </c>
      <c r="M32" s="75">
        <v>36</v>
      </c>
      <c r="N32" s="75">
        <v>54</v>
      </c>
      <c r="O32" s="75">
        <v>4</v>
      </c>
      <c r="P32" s="75">
        <v>4</v>
      </c>
      <c r="R32" s="65"/>
      <c r="S32" s="65"/>
      <c r="T32" s="65"/>
      <c r="U32" s="65"/>
      <c r="V32" s="65"/>
      <c r="W32" s="65"/>
      <c r="X32" s="65"/>
      <c r="Y32" s="65"/>
      <c r="Z32" s="65"/>
      <c r="AA32" s="65"/>
      <c r="AB32" s="65"/>
      <c r="AC32" s="65"/>
      <c r="AD32" s="65"/>
      <c r="AE32" s="65"/>
      <c r="AF32" s="65"/>
      <c r="AH32" s="65"/>
      <c r="AI32" s="65"/>
      <c r="AJ32" s="65"/>
      <c r="AK32" s="65"/>
    </row>
    <row r="33" spans="1:37" s="81" customFormat="1" ht="14.25" customHeight="1" x14ac:dyDescent="0.35">
      <c r="A33" s="145">
        <v>81</v>
      </c>
      <c r="B33" s="82" t="s">
        <v>94</v>
      </c>
      <c r="C33" s="82"/>
      <c r="D33" s="75">
        <v>285</v>
      </c>
      <c r="E33" s="75">
        <v>228</v>
      </c>
      <c r="F33" s="75">
        <v>21</v>
      </c>
      <c r="G33" s="75">
        <v>62</v>
      </c>
      <c r="H33" s="75">
        <v>8</v>
      </c>
      <c r="I33" s="75">
        <v>14</v>
      </c>
      <c r="J33" s="75" t="s">
        <v>3</v>
      </c>
      <c r="K33" s="75">
        <v>24</v>
      </c>
      <c r="L33" s="75">
        <v>2</v>
      </c>
      <c r="M33" s="75">
        <v>20</v>
      </c>
      <c r="N33" s="75">
        <v>91</v>
      </c>
      <c r="O33" s="75">
        <v>4</v>
      </c>
      <c r="P33" s="75">
        <v>2</v>
      </c>
      <c r="R33" s="65"/>
      <c r="S33" s="65"/>
      <c r="T33" s="65"/>
      <c r="U33" s="65"/>
      <c r="V33" s="65"/>
      <c r="W33" s="65"/>
      <c r="X33" s="65"/>
      <c r="Y33" s="65"/>
      <c r="Z33" s="65"/>
      <c r="AA33" s="65"/>
      <c r="AB33" s="65"/>
      <c r="AC33" s="65"/>
      <c r="AD33" s="65"/>
      <c r="AE33" s="65"/>
      <c r="AF33" s="65"/>
      <c r="AH33" s="65"/>
      <c r="AI33" s="65"/>
      <c r="AJ33" s="65"/>
      <c r="AK33" s="65"/>
    </row>
    <row r="34" spans="1:37" s="81" customFormat="1" ht="14.25" customHeight="1" x14ac:dyDescent="0.35">
      <c r="A34" s="145">
        <v>83</v>
      </c>
      <c r="B34" s="82" t="s">
        <v>92</v>
      </c>
      <c r="C34" s="82"/>
      <c r="D34" s="75">
        <v>146</v>
      </c>
      <c r="E34" s="75">
        <v>218</v>
      </c>
      <c r="F34" s="75">
        <v>17</v>
      </c>
      <c r="G34" s="75">
        <v>51</v>
      </c>
      <c r="H34" s="75">
        <v>4</v>
      </c>
      <c r="I34" s="75">
        <v>12</v>
      </c>
      <c r="J34" s="75" t="s">
        <v>3</v>
      </c>
      <c r="K34" s="75">
        <v>24</v>
      </c>
      <c r="L34" s="75">
        <v>0</v>
      </c>
      <c r="M34" s="75">
        <v>31</v>
      </c>
      <c r="N34" s="75">
        <v>25</v>
      </c>
      <c r="O34" s="75">
        <v>3</v>
      </c>
      <c r="P34" s="75">
        <v>4</v>
      </c>
      <c r="R34" s="65"/>
      <c r="S34" s="65"/>
      <c r="T34" s="65"/>
      <c r="U34" s="65"/>
      <c r="V34" s="65"/>
      <c r="W34" s="65"/>
      <c r="X34" s="65"/>
      <c r="Y34" s="65"/>
      <c r="Z34" s="65"/>
      <c r="AA34" s="65"/>
      <c r="AB34" s="65"/>
      <c r="AC34" s="65"/>
      <c r="AD34" s="65"/>
      <c r="AE34" s="65"/>
      <c r="AF34" s="65"/>
      <c r="AH34" s="65"/>
      <c r="AI34" s="65"/>
      <c r="AJ34" s="65"/>
      <c r="AK34" s="65"/>
    </row>
    <row r="35" spans="1:37" s="81" customFormat="1" ht="14.25" customHeight="1" x14ac:dyDescent="0.35">
      <c r="A35" s="145">
        <v>84</v>
      </c>
      <c r="B35" s="82" t="s">
        <v>37</v>
      </c>
      <c r="C35" s="82"/>
      <c r="D35" s="75">
        <v>536</v>
      </c>
      <c r="E35" s="75">
        <v>259</v>
      </c>
      <c r="F35" s="75">
        <v>27</v>
      </c>
      <c r="G35" s="75">
        <v>175</v>
      </c>
      <c r="H35" s="75">
        <v>13</v>
      </c>
      <c r="I35" s="75">
        <v>11</v>
      </c>
      <c r="J35" s="75" t="s">
        <v>3</v>
      </c>
      <c r="K35" s="75">
        <v>44</v>
      </c>
      <c r="L35" s="75">
        <v>3</v>
      </c>
      <c r="M35" s="75">
        <v>25</v>
      </c>
      <c r="N35" s="75">
        <v>100</v>
      </c>
      <c r="O35" s="75">
        <v>8</v>
      </c>
      <c r="P35" s="75">
        <v>5</v>
      </c>
      <c r="R35" s="65"/>
      <c r="S35" s="65"/>
      <c r="T35" s="65"/>
      <c r="U35" s="65"/>
      <c r="V35" s="65"/>
      <c r="W35" s="65"/>
      <c r="X35" s="65"/>
      <c r="Y35" s="65"/>
      <c r="Z35" s="65"/>
      <c r="AA35" s="65"/>
      <c r="AB35" s="65"/>
      <c r="AC35" s="65"/>
      <c r="AD35" s="65"/>
      <c r="AE35" s="65"/>
      <c r="AF35" s="65"/>
      <c r="AH35" s="65"/>
      <c r="AI35" s="65"/>
      <c r="AJ35" s="65"/>
      <c r="AK35" s="65"/>
    </row>
    <row r="36" spans="1:37" s="81" customFormat="1" ht="14.25" customHeight="1" x14ac:dyDescent="0.35">
      <c r="A36" s="145">
        <v>85</v>
      </c>
      <c r="B36" s="82" t="s">
        <v>90</v>
      </c>
      <c r="C36" s="82"/>
      <c r="D36" s="75">
        <v>246</v>
      </c>
      <c r="E36" s="75">
        <v>334</v>
      </c>
      <c r="F36" s="75">
        <v>22</v>
      </c>
      <c r="G36" s="75">
        <v>79</v>
      </c>
      <c r="H36" s="75">
        <v>6</v>
      </c>
      <c r="I36" s="75">
        <v>18</v>
      </c>
      <c r="J36" s="75" t="s">
        <v>3</v>
      </c>
      <c r="K36" s="75">
        <v>34</v>
      </c>
      <c r="L36" s="75">
        <v>1</v>
      </c>
      <c r="M36" s="75">
        <v>20</v>
      </c>
      <c r="N36" s="75">
        <v>97</v>
      </c>
      <c r="O36" s="75">
        <v>5</v>
      </c>
      <c r="P36" s="75">
        <v>4</v>
      </c>
      <c r="R36" s="65"/>
      <c r="S36" s="65"/>
      <c r="T36" s="65"/>
      <c r="U36" s="65"/>
      <c r="V36" s="65"/>
      <c r="W36" s="65"/>
      <c r="X36" s="65"/>
      <c r="Y36" s="65"/>
      <c r="Z36" s="65"/>
      <c r="AA36" s="65"/>
      <c r="AB36" s="65"/>
      <c r="AC36" s="65"/>
      <c r="AD36" s="65"/>
      <c r="AE36" s="65"/>
      <c r="AF36" s="65"/>
      <c r="AH36" s="65"/>
      <c r="AI36" s="65"/>
      <c r="AJ36" s="65"/>
      <c r="AK36" s="65"/>
    </row>
    <row r="37" spans="1:37" s="81" customFormat="1" ht="14.25" customHeight="1" x14ac:dyDescent="0.35">
      <c r="A37" s="145">
        <v>87</v>
      </c>
      <c r="B37" s="82" t="s">
        <v>35</v>
      </c>
      <c r="C37" s="82"/>
      <c r="D37" s="75">
        <v>178</v>
      </c>
      <c r="E37" s="75">
        <v>325</v>
      </c>
      <c r="F37" s="75">
        <v>19</v>
      </c>
      <c r="G37" s="75">
        <v>72</v>
      </c>
      <c r="H37" s="75">
        <v>3</v>
      </c>
      <c r="I37" s="75">
        <v>20</v>
      </c>
      <c r="J37" s="75" t="s">
        <v>3</v>
      </c>
      <c r="K37" s="75">
        <v>28</v>
      </c>
      <c r="L37" s="75">
        <v>2</v>
      </c>
      <c r="M37" s="75">
        <v>35</v>
      </c>
      <c r="N37" s="75">
        <v>53</v>
      </c>
      <c r="O37" s="75">
        <v>4</v>
      </c>
      <c r="P37" s="75">
        <v>2</v>
      </c>
      <c r="R37" s="65"/>
      <c r="S37" s="65"/>
      <c r="T37" s="65"/>
      <c r="U37" s="65"/>
      <c r="V37" s="65"/>
      <c r="W37" s="65"/>
      <c r="X37" s="65"/>
      <c r="Y37" s="65"/>
      <c r="Z37" s="65"/>
      <c r="AA37" s="65"/>
      <c r="AB37" s="65"/>
      <c r="AC37" s="65"/>
      <c r="AD37" s="65"/>
      <c r="AE37" s="65"/>
      <c r="AF37" s="65"/>
      <c r="AH37" s="65"/>
      <c r="AI37" s="65"/>
      <c r="AJ37" s="65"/>
      <c r="AK37" s="65"/>
    </row>
    <row r="38" spans="1:37" s="81" customFormat="1" ht="14.25" customHeight="1" x14ac:dyDescent="0.35">
      <c r="A38" s="145">
        <v>90</v>
      </c>
      <c r="B38" s="82" t="s">
        <v>33</v>
      </c>
      <c r="C38" s="82"/>
      <c r="D38" s="75">
        <v>399</v>
      </c>
      <c r="E38" s="75">
        <v>471</v>
      </c>
      <c r="F38" s="75">
        <v>19</v>
      </c>
      <c r="G38" s="75">
        <v>202</v>
      </c>
      <c r="H38" s="75">
        <v>10</v>
      </c>
      <c r="I38" s="75">
        <v>23</v>
      </c>
      <c r="J38" s="75" t="s">
        <v>3</v>
      </c>
      <c r="K38" s="75">
        <v>42</v>
      </c>
      <c r="L38" s="75">
        <v>3</v>
      </c>
      <c r="M38" s="75">
        <v>26</v>
      </c>
      <c r="N38" s="75">
        <v>120</v>
      </c>
      <c r="O38" s="75">
        <v>8</v>
      </c>
      <c r="P38" s="75">
        <v>6</v>
      </c>
      <c r="R38" s="65"/>
      <c r="S38" s="65"/>
      <c r="T38" s="65"/>
      <c r="U38" s="65"/>
      <c r="V38" s="65"/>
      <c r="W38" s="65"/>
      <c r="X38" s="65"/>
      <c r="Y38" s="65"/>
      <c r="Z38" s="65"/>
      <c r="AA38" s="65"/>
      <c r="AB38" s="65"/>
      <c r="AC38" s="65"/>
      <c r="AD38" s="65"/>
      <c r="AE38" s="65"/>
      <c r="AF38" s="65"/>
      <c r="AH38" s="65"/>
      <c r="AI38" s="65"/>
      <c r="AJ38" s="65"/>
      <c r="AK38" s="65"/>
    </row>
    <row r="39" spans="1:37" s="81" customFormat="1" ht="14.25" customHeight="1" x14ac:dyDescent="0.35">
      <c r="A39" s="145">
        <v>91</v>
      </c>
      <c r="B39" s="82" t="s">
        <v>88</v>
      </c>
      <c r="C39" s="82"/>
      <c r="D39" s="75">
        <v>243</v>
      </c>
      <c r="E39" s="75">
        <v>445</v>
      </c>
      <c r="F39" s="75">
        <v>0</v>
      </c>
      <c r="G39" s="75">
        <v>90</v>
      </c>
      <c r="H39" s="75">
        <v>7</v>
      </c>
      <c r="I39" s="75">
        <v>28</v>
      </c>
      <c r="J39" s="75" t="s">
        <v>3</v>
      </c>
      <c r="K39" s="75">
        <v>45</v>
      </c>
      <c r="L39" s="75">
        <v>2</v>
      </c>
      <c r="M39" s="75">
        <v>52</v>
      </c>
      <c r="N39" s="75">
        <v>56</v>
      </c>
      <c r="O39" s="75">
        <v>4</v>
      </c>
      <c r="P39" s="75">
        <v>3</v>
      </c>
      <c r="R39" s="65"/>
      <c r="S39" s="65"/>
      <c r="T39" s="65"/>
      <c r="U39" s="65"/>
      <c r="V39" s="65"/>
      <c r="W39" s="65"/>
      <c r="X39" s="65"/>
      <c r="Y39" s="65"/>
      <c r="Z39" s="65"/>
      <c r="AA39" s="65"/>
      <c r="AB39" s="65"/>
      <c r="AC39" s="65"/>
      <c r="AD39" s="65"/>
      <c r="AE39" s="65"/>
      <c r="AF39" s="65"/>
      <c r="AH39" s="65"/>
      <c r="AI39" s="65"/>
      <c r="AJ39" s="65"/>
      <c r="AK39" s="65"/>
    </row>
    <row r="40" spans="1:37" s="81" customFormat="1" ht="14.25" customHeight="1" x14ac:dyDescent="0.35">
      <c r="A40" s="145">
        <v>92</v>
      </c>
      <c r="B40" s="82" t="s">
        <v>86</v>
      </c>
      <c r="C40" s="82"/>
      <c r="D40" s="75">
        <v>590</v>
      </c>
      <c r="E40" s="75">
        <v>131</v>
      </c>
      <c r="F40" s="75">
        <v>26</v>
      </c>
      <c r="G40" s="75">
        <v>99</v>
      </c>
      <c r="H40" s="75">
        <v>18</v>
      </c>
      <c r="I40" s="75">
        <v>7</v>
      </c>
      <c r="J40" s="75" t="s">
        <v>3</v>
      </c>
      <c r="K40" s="75">
        <v>35</v>
      </c>
      <c r="L40" s="75">
        <v>0</v>
      </c>
      <c r="M40" s="75">
        <v>26</v>
      </c>
      <c r="N40" s="75">
        <v>102</v>
      </c>
      <c r="O40" s="75">
        <v>8</v>
      </c>
      <c r="P40" s="75">
        <v>3</v>
      </c>
      <c r="R40" s="65"/>
      <c r="S40" s="65"/>
      <c r="T40" s="65"/>
      <c r="U40" s="65"/>
      <c r="V40" s="65"/>
      <c r="W40" s="65"/>
      <c r="X40" s="65"/>
      <c r="Y40" s="65"/>
      <c r="Z40" s="65"/>
      <c r="AA40" s="65"/>
      <c r="AB40" s="65"/>
      <c r="AC40" s="65"/>
      <c r="AD40" s="65"/>
      <c r="AE40" s="65"/>
      <c r="AF40" s="65"/>
      <c r="AH40" s="65"/>
      <c r="AI40" s="65"/>
      <c r="AJ40" s="65"/>
      <c r="AK40" s="65"/>
    </row>
    <row r="41" spans="1:37" s="81" customFormat="1" ht="14.25" customHeight="1" x14ac:dyDescent="0.35">
      <c r="A41" s="145">
        <v>94</v>
      </c>
      <c r="B41" s="82" t="s">
        <v>84</v>
      </c>
      <c r="C41" s="82"/>
      <c r="D41" s="75">
        <v>268</v>
      </c>
      <c r="E41" s="75">
        <v>128</v>
      </c>
      <c r="F41" s="75">
        <v>17</v>
      </c>
      <c r="G41" s="75">
        <v>81</v>
      </c>
      <c r="H41" s="75">
        <v>7</v>
      </c>
      <c r="I41" s="75">
        <v>9</v>
      </c>
      <c r="J41" s="75" t="s">
        <v>3</v>
      </c>
      <c r="K41" s="75">
        <v>20</v>
      </c>
      <c r="L41" s="75">
        <v>2</v>
      </c>
      <c r="M41" s="75">
        <v>12</v>
      </c>
      <c r="N41" s="75">
        <v>0</v>
      </c>
      <c r="O41" s="75">
        <v>4</v>
      </c>
      <c r="P41" s="75">
        <v>4</v>
      </c>
      <c r="R41" s="65"/>
      <c r="S41" s="65"/>
      <c r="T41" s="65"/>
      <c r="U41" s="65"/>
      <c r="V41" s="65"/>
      <c r="W41" s="65"/>
      <c r="X41" s="65"/>
      <c r="Y41" s="65"/>
      <c r="Z41" s="65"/>
      <c r="AA41" s="65"/>
      <c r="AB41" s="65"/>
      <c r="AC41" s="65"/>
      <c r="AD41" s="65"/>
      <c r="AE41" s="65"/>
      <c r="AF41" s="65"/>
      <c r="AH41" s="65"/>
      <c r="AI41" s="65"/>
      <c r="AJ41" s="65"/>
      <c r="AK41" s="65"/>
    </row>
    <row r="42" spans="1:37" s="81" customFormat="1" ht="14.25" customHeight="1" x14ac:dyDescent="0.35">
      <c r="A42" s="145">
        <v>96</v>
      </c>
      <c r="B42" s="82" t="s">
        <v>82</v>
      </c>
      <c r="C42" s="82"/>
      <c r="D42" s="75">
        <v>334</v>
      </c>
      <c r="E42" s="75">
        <v>307</v>
      </c>
      <c r="F42" s="75">
        <v>0</v>
      </c>
      <c r="G42" s="75">
        <v>119</v>
      </c>
      <c r="H42" s="75">
        <v>10</v>
      </c>
      <c r="I42" s="75">
        <v>14</v>
      </c>
      <c r="J42" s="75" t="s">
        <v>3</v>
      </c>
      <c r="K42" s="75">
        <v>40</v>
      </c>
      <c r="L42" s="75">
        <v>0</v>
      </c>
      <c r="M42" s="75">
        <v>37</v>
      </c>
      <c r="N42" s="75">
        <v>107</v>
      </c>
      <c r="O42" s="75">
        <v>4</v>
      </c>
      <c r="P42" s="75">
        <v>5</v>
      </c>
      <c r="Q42" s="82"/>
      <c r="R42" s="65"/>
      <c r="S42" s="65"/>
      <c r="T42" s="65"/>
      <c r="U42" s="65"/>
      <c r="V42" s="65"/>
      <c r="W42" s="65"/>
      <c r="X42" s="65"/>
      <c r="Y42" s="65"/>
      <c r="Z42" s="65"/>
      <c r="AA42" s="65"/>
      <c r="AB42" s="65"/>
      <c r="AC42" s="65"/>
      <c r="AD42" s="65"/>
      <c r="AE42" s="65"/>
      <c r="AF42" s="65"/>
      <c r="AH42" s="65"/>
      <c r="AI42" s="65"/>
      <c r="AJ42" s="65"/>
      <c r="AK42" s="65"/>
    </row>
    <row r="43" spans="1:37" s="81" customFormat="1" ht="14.25" customHeight="1" x14ac:dyDescent="0.35">
      <c r="A43" s="145">
        <v>72</v>
      </c>
      <c r="B43" s="148" t="s">
        <v>79</v>
      </c>
      <c r="C43" s="148"/>
      <c r="D43" s="75">
        <v>12</v>
      </c>
      <c r="E43" s="75">
        <v>38</v>
      </c>
      <c r="F43" s="75">
        <v>0</v>
      </c>
      <c r="G43" s="75">
        <v>3</v>
      </c>
      <c r="H43" s="75">
        <v>1</v>
      </c>
      <c r="I43" s="75">
        <v>5</v>
      </c>
      <c r="J43" s="75" t="s">
        <v>3</v>
      </c>
      <c r="K43" s="75">
        <v>7</v>
      </c>
      <c r="L43" s="75">
        <v>0</v>
      </c>
      <c r="M43" s="75">
        <v>0</v>
      </c>
      <c r="N43" s="75">
        <v>3</v>
      </c>
      <c r="O43" s="75">
        <v>1</v>
      </c>
      <c r="P43" s="75">
        <v>0</v>
      </c>
      <c r="R43" s="65"/>
      <c r="S43" s="65"/>
      <c r="T43" s="65"/>
      <c r="U43" s="65"/>
      <c r="V43" s="65"/>
      <c r="W43" s="65"/>
      <c r="X43" s="65"/>
      <c r="Y43" s="65"/>
      <c r="Z43" s="65"/>
      <c r="AA43" s="65"/>
      <c r="AB43" s="65"/>
      <c r="AC43" s="65"/>
      <c r="AD43" s="65"/>
      <c r="AE43" s="65"/>
      <c r="AF43" s="65"/>
      <c r="AH43" s="65"/>
      <c r="AI43" s="65"/>
      <c r="AJ43" s="65"/>
      <c r="AK43" s="65"/>
    </row>
    <row r="44" spans="1:37" s="67" customFormat="1" ht="14.25" customHeight="1" x14ac:dyDescent="0.35">
      <c r="A44" s="147"/>
      <c r="B44" s="62" t="s">
        <v>188</v>
      </c>
      <c r="C44" s="62"/>
      <c r="D44" s="70">
        <v>11806</v>
      </c>
      <c r="E44" s="70">
        <v>400</v>
      </c>
      <c r="F44" s="70">
        <v>370</v>
      </c>
      <c r="G44" s="70">
        <v>2775</v>
      </c>
      <c r="H44" s="70">
        <v>276</v>
      </c>
      <c r="I44" s="70">
        <v>18</v>
      </c>
      <c r="J44" s="75" t="s">
        <v>3</v>
      </c>
      <c r="K44" s="70">
        <v>414</v>
      </c>
      <c r="L44" s="70">
        <v>21</v>
      </c>
      <c r="M44" s="70">
        <v>361</v>
      </c>
      <c r="N44" s="70">
        <v>1024</v>
      </c>
      <c r="O44" s="70">
        <v>122</v>
      </c>
      <c r="P44" s="70">
        <v>87</v>
      </c>
      <c r="R44" s="65"/>
      <c r="S44" s="65"/>
      <c r="T44" s="65"/>
      <c r="U44" s="65"/>
      <c r="V44" s="65"/>
      <c r="W44" s="65"/>
      <c r="X44" s="65"/>
      <c r="Y44" s="65"/>
      <c r="Z44" s="65"/>
      <c r="AA44" s="65"/>
      <c r="AB44" s="65"/>
      <c r="AC44" s="65"/>
      <c r="AD44" s="65"/>
      <c r="AE44" s="65"/>
      <c r="AF44" s="65"/>
      <c r="AH44" s="65"/>
      <c r="AI44" s="65"/>
      <c r="AJ44" s="65"/>
      <c r="AK44" s="65"/>
    </row>
    <row r="45" spans="1:37" s="81" customFormat="1" ht="14.25" customHeight="1" x14ac:dyDescent="0.35">
      <c r="A45" s="145">
        <v>66</v>
      </c>
      <c r="B45" s="73" t="s">
        <v>28</v>
      </c>
      <c r="C45" s="73"/>
      <c r="D45" s="87">
        <v>1503</v>
      </c>
      <c r="E45" s="87">
        <v>38</v>
      </c>
      <c r="F45" s="87">
        <v>49</v>
      </c>
      <c r="G45" s="75">
        <v>466</v>
      </c>
      <c r="H45" s="75">
        <v>40</v>
      </c>
      <c r="I45" s="75">
        <v>1</v>
      </c>
      <c r="J45" s="75" t="s">
        <v>3</v>
      </c>
      <c r="K45" s="75">
        <v>64</v>
      </c>
      <c r="L45" s="75">
        <v>0</v>
      </c>
      <c r="M45" s="75">
        <v>12</v>
      </c>
      <c r="N45" s="75">
        <v>160</v>
      </c>
      <c r="O45" s="75">
        <v>14</v>
      </c>
      <c r="P45" s="75">
        <v>7</v>
      </c>
      <c r="R45" s="65"/>
      <c r="S45" s="65"/>
      <c r="T45" s="65"/>
      <c r="U45" s="65"/>
      <c r="V45" s="65"/>
      <c r="W45" s="65"/>
      <c r="X45" s="65"/>
      <c r="Y45" s="65"/>
      <c r="Z45" s="65"/>
      <c r="AA45" s="65"/>
      <c r="AB45" s="65"/>
      <c r="AC45" s="65"/>
      <c r="AD45" s="65"/>
      <c r="AE45" s="65"/>
      <c r="AF45" s="65"/>
      <c r="AH45" s="65"/>
      <c r="AI45" s="65"/>
      <c r="AJ45" s="65"/>
      <c r="AK45" s="65"/>
    </row>
    <row r="46" spans="1:37" s="81" customFormat="1" ht="14.25" customHeight="1" x14ac:dyDescent="0.35">
      <c r="A46" s="145">
        <v>78</v>
      </c>
      <c r="B46" s="73" t="s">
        <v>26</v>
      </c>
      <c r="C46" s="73"/>
      <c r="D46" s="87">
        <v>788</v>
      </c>
      <c r="E46" s="87">
        <v>92</v>
      </c>
      <c r="F46" s="87">
        <v>36</v>
      </c>
      <c r="G46" s="75">
        <v>332</v>
      </c>
      <c r="H46" s="75">
        <v>26</v>
      </c>
      <c r="I46" s="75">
        <v>0</v>
      </c>
      <c r="J46" s="75" t="s">
        <v>3</v>
      </c>
      <c r="K46" s="75">
        <v>30</v>
      </c>
      <c r="L46" s="75">
        <v>0</v>
      </c>
      <c r="M46" s="75">
        <v>27</v>
      </c>
      <c r="N46" s="75">
        <v>166</v>
      </c>
      <c r="O46" s="75">
        <v>11</v>
      </c>
      <c r="P46" s="75">
        <v>8</v>
      </c>
      <c r="R46" s="65"/>
      <c r="S46" s="65"/>
      <c r="T46" s="65"/>
      <c r="U46" s="65"/>
      <c r="V46" s="65"/>
      <c r="W46" s="65"/>
      <c r="X46" s="65"/>
      <c r="Y46" s="65"/>
      <c r="Z46" s="65"/>
      <c r="AA46" s="65"/>
      <c r="AB46" s="65"/>
      <c r="AC46" s="65"/>
      <c r="AD46" s="65"/>
      <c r="AE46" s="65"/>
      <c r="AF46" s="65"/>
      <c r="AH46" s="65"/>
      <c r="AI46" s="65"/>
      <c r="AJ46" s="65"/>
      <c r="AK46" s="65"/>
    </row>
    <row r="47" spans="1:37" s="81" customFormat="1" ht="14.25" customHeight="1" x14ac:dyDescent="0.35">
      <c r="A47" s="145">
        <v>89</v>
      </c>
      <c r="B47" s="73" t="s">
        <v>24</v>
      </c>
      <c r="C47" s="73"/>
      <c r="D47" s="75">
        <v>650</v>
      </c>
      <c r="E47" s="75">
        <v>88</v>
      </c>
      <c r="F47" s="75">
        <v>32</v>
      </c>
      <c r="G47" s="75">
        <v>215</v>
      </c>
      <c r="H47" s="75">
        <v>17</v>
      </c>
      <c r="I47" s="75">
        <v>5</v>
      </c>
      <c r="J47" s="75" t="s">
        <v>3</v>
      </c>
      <c r="K47" s="75">
        <v>27</v>
      </c>
      <c r="L47" s="75">
        <v>0</v>
      </c>
      <c r="M47" s="75">
        <v>13</v>
      </c>
      <c r="N47" s="75">
        <v>148</v>
      </c>
      <c r="O47" s="75">
        <v>7</v>
      </c>
      <c r="P47" s="75">
        <v>3</v>
      </c>
      <c r="R47" s="65"/>
      <c r="S47" s="65"/>
      <c r="T47" s="65"/>
      <c r="U47" s="65"/>
      <c r="V47" s="65"/>
      <c r="W47" s="65"/>
      <c r="X47" s="65"/>
      <c r="Y47" s="65"/>
      <c r="Z47" s="65"/>
      <c r="AA47" s="65"/>
      <c r="AB47" s="65"/>
      <c r="AC47" s="65"/>
      <c r="AD47" s="65"/>
      <c r="AE47" s="65"/>
      <c r="AF47" s="65"/>
      <c r="AH47" s="65"/>
      <c r="AI47" s="65"/>
      <c r="AJ47" s="65"/>
      <c r="AK47" s="65"/>
    </row>
    <row r="48" spans="1:37" s="81" customFormat="1" ht="14.25" customHeight="1" x14ac:dyDescent="0.35">
      <c r="A48" s="145">
        <v>93</v>
      </c>
      <c r="B48" s="73" t="s">
        <v>189</v>
      </c>
      <c r="C48" s="73"/>
      <c r="D48" s="75">
        <v>724</v>
      </c>
      <c r="E48" s="75">
        <v>11</v>
      </c>
      <c r="F48" s="75">
        <v>32</v>
      </c>
      <c r="G48" s="75">
        <v>246</v>
      </c>
      <c r="H48" s="75">
        <v>16</v>
      </c>
      <c r="I48" s="75">
        <v>1</v>
      </c>
      <c r="J48" s="75" t="s">
        <v>3</v>
      </c>
      <c r="K48" s="75">
        <v>30</v>
      </c>
      <c r="L48" s="75">
        <v>0</v>
      </c>
      <c r="M48" s="75">
        <v>19</v>
      </c>
      <c r="N48" s="75">
        <v>97</v>
      </c>
      <c r="O48" s="75">
        <v>6</v>
      </c>
      <c r="P48" s="75">
        <v>10</v>
      </c>
      <c r="R48" s="65"/>
      <c r="S48" s="65"/>
      <c r="T48" s="65"/>
      <c r="U48" s="65"/>
      <c r="V48" s="65"/>
      <c r="W48" s="65"/>
      <c r="X48" s="65"/>
      <c r="Y48" s="65"/>
      <c r="Z48" s="65"/>
      <c r="AA48" s="65"/>
      <c r="AB48" s="65"/>
      <c r="AC48" s="65"/>
      <c r="AD48" s="65"/>
      <c r="AE48" s="65"/>
      <c r="AF48" s="65"/>
      <c r="AH48" s="65"/>
      <c r="AI48" s="65"/>
      <c r="AJ48" s="65"/>
      <c r="AK48" s="65"/>
    </row>
    <row r="49" spans="1:37" s="81" customFormat="1" ht="14.25" customHeight="1" x14ac:dyDescent="0.35">
      <c r="A49" s="145">
        <v>95</v>
      </c>
      <c r="B49" s="73" t="s">
        <v>20</v>
      </c>
      <c r="C49" s="73"/>
      <c r="D49" s="75">
        <v>1603</v>
      </c>
      <c r="E49" s="75">
        <v>6</v>
      </c>
      <c r="F49" s="75">
        <v>69</v>
      </c>
      <c r="G49" s="75">
        <v>438</v>
      </c>
      <c r="H49" s="75">
        <v>38</v>
      </c>
      <c r="I49" s="75">
        <v>0</v>
      </c>
      <c r="J49" s="75" t="s">
        <v>3</v>
      </c>
      <c r="K49" s="75">
        <v>46</v>
      </c>
      <c r="L49" s="75">
        <v>4</v>
      </c>
      <c r="M49" s="75">
        <v>45</v>
      </c>
      <c r="N49" s="75">
        <v>106</v>
      </c>
      <c r="O49" s="75">
        <v>18</v>
      </c>
      <c r="P49" s="75">
        <v>10</v>
      </c>
      <c r="R49" s="65"/>
      <c r="S49" s="65"/>
      <c r="T49" s="65"/>
      <c r="U49" s="65"/>
      <c r="V49" s="65"/>
      <c r="W49" s="65"/>
      <c r="X49" s="65"/>
      <c r="Y49" s="65"/>
      <c r="Z49" s="65"/>
      <c r="AA49" s="65"/>
      <c r="AB49" s="65"/>
      <c r="AC49" s="65"/>
      <c r="AD49" s="65"/>
      <c r="AE49" s="65"/>
      <c r="AF49" s="65"/>
      <c r="AH49" s="65"/>
      <c r="AI49" s="65"/>
      <c r="AJ49" s="65"/>
      <c r="AK49" s="65"/>
    </row>
    <row r="50" spans="1:37" s="81" customFormat="1" ht="14.25" customHeight="1" x14ac:dyDescent="0.35">
      <c r="A50" s="145">
        <v>97</v>
      </c>
      <c r="B50" s="82" t="s">
        <v>18</v>
      </c>
      <c r="C50" s="82"/>
      <c r="D50" s="75">
        <v>1201</v>
      </c>
      <c r="E50" s="75">
        <v>165</v>
      </c>
      <c r="F50" s="75">
        <v>47</v>
      </c>
      <c r="G50" s="75">
        <v>254</v>
      </c>
      <c r="H50" s="75">
        <v>36</v>
      </c>
      <c r="I50" s="75">
        <v>11</v>
      </c>
      <c r="J50" s="75" t="s">
        <v>3</v>
      </c>
      <c r="K50" s="75">
        <v>62</v>
      </c>
      <c r="L50" s="75">
        <v>6</v>
      </c>
      <c r="M50" s="75">
        <v>37</v>
      </c>
      <c r="N50" s="75">
        <v>294</v>
      </c>
      <c r="O50" s="75">
        <v>17</v>
      </c>
      <c r="P50" s="75">
        <v>12</v>
      </c>
      <c r="R50" s="65"/>
      <c r="S50" s="65"/>
      <c r="T50" s="65"/>
      <c r="U50" s="65"/>
      <c r="V50" s="65"/>
      <c r="W50" s="65"/>
      <c r="X50" s="65"/>
      <c r="Y50" s="65"/>
      <c r="Z50" s="65"/>
      <c r="AA50" s="65"/>
      <c r="AB50" s="65"/>
      <c r="AC50" s="65"/>
      <c r="AD50" s="65"/>
      <c r="AE50" s="65"/>
      <c r="AF50" s="65"/>
      <c r="AH50" s="65"/>
      <c r="AI50" s="65"/>
      <c r="AJ50" s="65"/>
      <c r="AK50" s="65"/>
    </row>
    <row r="51" spans="1:37" s="81" customFormat="1" ht="14.25" customHeight="1" x14ac:dyDescent="0.35">
      <c r="A51" s="146">
        <v>77</v>
      </c>
      <c r="B51" s="89" t="s">
        <v>190</v>
      </c>
      <c r="C51" s="89"/>
      <c r="D51" s="91">
        <v>5337</v>
      </c>
      <c r="E51" s="91">
        <v>0</v>
      </c>
      <c r="F51" s="91">
        <v>105</v>
      </c>
      <c r="G51" s="92">
        <v>824</v>
      </c>
      <c r="H51" s="92">
        <v>103</v>
      </c>
      <c r="I51" s="92">
        <v>0</v>
      </c>
      <c r="J51" s="75" t="s">
        <v>3</v>
      </c>
      <c r="K51" s="92">
        <v>155</v>
      </c>
      <c r="L51" s="92">
        <v>11</v>
      </c>
      <c r="M51" s="92">
        <v>208</v>
      </c>
      <c r="N51" s="92">
        <v>53</v>
      </c>
      <c r="O51" s="92">
        <v>49</v>
      </c>
      <c r="P51" s="92">
        <v>37</v>
      </c>
      <c r="R51" s="65"/>
      <c r="S51" s="65"/>
      <c r="T51" s="65"/>
      <c r="U51" s="65"/>
      <c r="V51" s="65"/>
      <c r="W51" s="65"/>
      <c r="X51" s="65"/>
      <c r="Y51" s="65"/>
      <c r="Z51" s="65"/>
      <c r="AA51" s="65"/>
      <c r="AB51" s="65"/>
      <c r="AC51" s="65"/>
      <c r="AD51" s="65"/>
      <c r="AE51" s="65"/>
      <c r="AF51" s="65"/>
      <c r="AH51" s="65"/>
      <c r="AI51" s="65"/>
      <c r="AJ51" s="65"/>
      <c r="AK51" s="65"/>
    </row>
    <row r="52" spans="1:37" s="65" customFormat="1" ht="6" customHeight="1" x14ac:dyDescent="0.35">
      <c r="A52" s="145"/>
      <c r="B52" s="93"/>
      <c r="C52" s="93"/>
      <c r="D52" s="94"/>
      <c r="E52" s="95"/>
      <c r="F52" s="95"/>
      <c r="G52" s="95"/>
      <c r="H52" s="96"/>
      <c r="I52" s="93"/>
      <c r="J52" s="93"/>
      <c r="K52" s="93"/>
      <c r="L52" s="93"/>
      <c r="M52" s="93"/>
      <c r="N52" s="93"/>
      <c r="O52" s="93"/>
      <c r="P52" s="93"/>
      <c r="Q52" s="93"/>
      <c r="U52" s="81"/>
      <c r="V52" s="81"/>
      <c r="W52" s="81"/>
      <c r="X52" s="81"/>
    </row>
    <row r="53" spans="1:37" s="81" customFormat="1" ht="14" x14ac:dyDescent="0.35">
      <c r="A53" s="145"/>
      <c r="B53" s="100" t="s">
        <v>229</v>
      </c>
      <c r="C53" s="100"/>
      <c r="D53" s="98"/>
      <c r="E53" s="98"/>
      <c r="F53" s="87"/>
      <c r="G53" s="87"/>
      <c r="H53" s="73"/>
      <c r="I53" s="82"/>
      <c r="J53" s="82"/>
      <c r="K53" s="82"/>
      <c r="L53" s="82"/>
      <c r="M53" s="82"/>
      <c r="N53" s="82"/>
      <c r="O53" s="82"/>
      <c r="P53" s="82"/>
      <c r="Q53" s="82"/>
      <c r="R53" s="65"/>
      <c r="S53" s="65"/>
      <c r="T53" s="65"/>
      <c r="U53" s="65"/>
    </row>
    <row r="54" spans="1:37" s="81" customFormat="1" ht="14" x14ac:dyDescent="0.35">
      <c r="A54" s="145"/>
      <c r="B54" s="82" t="s">
        <v>228</v>
      </c>
      <c r="C54" s="82"/>
      <c r="D54" s="98"/>
      <c r="E54" s="98"/>
      <c r="F54" s="87"/>
      <c r="G54" s="87"/>
      <c r="H54" s="73"/>
      <c r="I54" s="82"/>
      <c r="J54" s="82"/>
      <c r="K54" s="82"/>
      <c r="L54" s="82"/>
      <c r="M54" s="82"/>
      <c r="N54" s="82"/>
      <c r="O54" s="82"/>
      <c r="P54" s="82"/>
      <c r="Q54" s="82"/>
      <c r="R54" s="65"/>
      <c r="S54" s="65"/>
      <c r="T54" s="65"/>
      <c r="U54" s="65"/>
    </row>
    <row r="55" spans="1:37" s="81" customFormat="1" ht="15" customHeight="1" x14ac:dyDescent="0.35">
      <c r="A55" s="145"/>
      <c r="B55" s="82" t="s">
        <v>227</v>
      </c>
      <c r="C55" s="82"/>
      <c r="D55" s="98"/>
      <c r="E55" s="98"/>
      <c r="F55" s="87"/>
      <c r="G55" s="87"/>
      <c r="H55" s="73"/>
      <c r="I55" s="82"/>
      <c r="J55" s="82"/>
      <c r="K55" s="82"/>
      <c r="L55" s="82"/>
      <c r="M55" s="82"/>
      <c r="N55" s="82"/>
      <c r="O55" s="82"/>
      <c r="P55" s="82"/>
      <c r="Q55" s="82"/>
      <c r="R55" s="65"/>
      <c r="S55" s="65"/>
      <c r="T55" s="65"/>
      <c r="U55" s="65"/>
    </row>
    <row r="56" spans="1:37" s="81" customFormat="1" ht="25.5" customHeight="1" x14ac:dyDescent="0.35">
      <c r="A56" s="145"/>
      <c r="B56" s="375" t="s">
        <v>226</v>
      </c>
      <c r="C56" s="375"/>
      <c r="D56" s="375"/>
      <c r="E56" s="375"/>
      <c r="F56" s="375"/>
      <c r="G56" s="375"/>
      <c r="H56" s="375"/>
      <c r="I56" s="375"/>
      <c r="J56" s="375"/>
      <c r="K56" s="375"/>
      <c r="L56" s="375"/>
      <c r="M56" s="375"/>
      <c r="N56" s="375"/>
      <c r="O56" s="375"/>
      <c r="P56" s="375"/>
      <c r="Q56" s="82"/>
      <c r="R56" s="65"/>
      <c r="S56" s="65"/>
      <c r="T56" s="65"/>
      <c r="U56" s="65"/>
      <c r="V56" s="65"/>
      <c r="W56" s="65"/>
      <c r="X56" s="65"/>
    </row>
    <row r="57" spans="1:37" s="65" customFormat="1" ht="14" x14ac:dyDescent="0.35">
      <c r="A57" s="145"/>
      <c r="B57" s="82" t="s">
        <v>225</v>
      </c>
      <c r="C57" s="82"/>
      <c r="D57" s="98"/>
      <c r="E57" s="98"/>
      <c r="F57" s="87"/>
      <c r="G57" s="87"/>
      <c r="H57" s="73"/>
      <c r="I57" s="82"/>
      <c r="J57" s="82"/>
      <c r="K57" s="82"/>
      <c r="L57" s="82"/>
      <c r="M57" s="82"/>
      <c r="N57" s="82"/>
      <c r="O57" s="82"/>
      <c r="P57" s="82"/>
    </row>
    <row r="58" spans="1:37" s="65" customFormat="1" ht="14" x14ac:dyDescent="0.35">
      <c r="A58" s="145"/>
      <c r="B58" s="100" t="s">
        <v>224</v>
      </c>
      <c r="C58" s="100"/>
      <c r="D58" s="98"/>
      <c r="E58" s="98"/>
      <c r="F58" s="87"/>
      <c r="G58" s="87"/>
      <c r="H58" s="73"/>
      <c r="I58" s="82"/>
      <c r="J58" s="82"/>
      <c r="K58" s="82"/>
      <c r="L58" s="82"/>
      <c r="M58" s="82"/>
      <c r="N58" s="82"/>
      <c r="O58" s="82"/>
      <c r="P58" s="82"/>
    </row>
    <row r="59" spans="1:37" s="65" customFormat="1" ht="14" x14ac:dyDescent="0.35">
      <c r="A59" s="145"/>
      <c r="B59" s="100"/>
      <c r="C59" s="100"/>
      <c r="D59" s="98"/>
      <c r="E59" s="98"/>
      <c r="F59" s="87"/>
      <c r="G59" s="87"/>
      <c r="H59" s="73"/>
      <c r="I59" s="82"/>
      <c r="J59" s="82"/>
      <c r="K59" s="82"/>
      <c r="L59" s="82"/>
      <c r="M59" s="82"/>
      <c r="N59" s="82"/>
      <c r="O59" s="82"/>
      <c r="P59" s="82"/>
    </row>
    <row r="60" spans="1:37" s="65" customFormat="1" ht="14" x14ac:dyDescent="0.35">
      <c r="A60" s="145"/>
      <c r="B60" s="82" t="s">
        <v>223</v>
      </c>
      <c r="C60" s="82"/>
      <c r="D60" s="98"/>
      <c r="E60" s="87"/>
      <c r="F60" s="87"/>
      <c r="G60" s="87"/>
      <c r="H60" s="73"/>
      <c r="I60" s="82"/>
      <c r="J60" s="82"/>
      <c r="K60" s="82"/>
      <c r="L60" s="82"/>
      <c r="M60" s="82"/>
      <c r="N60" s="82"/>
      <c r="O60" s="82"/>
      <c r="P60" s="82"/>
    </row>
    <row r="61" spans="1:37" s="65" customFormat="1" ht="14" x14ac:dyDescent="0.35">
      <c r="A61" s="145"/>
      <c r="D61" s="101"/>
      <c r="E61" s="95"/>
      <c r="F61" s="95"/>
      <c r="G61" s="95"/>
      <c r="H61" s="93"/>
      <c r="I61" s="93"/>
      <c r="J61" s="93"/>
    </row>
    <row r="62" spans="1:37" s="65" customFormat="1" ht="14" x14ac:dyDescent="0.35">
      <c r="A62" s="145"/>
      <c r="B62" s="93"/>
      <c r="C62" s="93"/>
      <c r="D62" s="94"/>
      <c r="E62" s="95"/>
      <c r="F62" s="95"/>
      <c r="G62" s="95"/>
      <c r="H62" s="93"/>
      <c r="I62" s="93"/>
      <c r="J62" s="93"/>
    </row>
    <row r="63" spans="1:37" s="65" customFormat="1" ht="14" x14ac:dyDescent="0.35">
      <c r="A63" s="145"/>
      <c r="B63" s="93"/>
      <c r="C63" s="93"/>
      <c r="D63" s="94"/>
      <c r="E63" s="95"/>
      <c r="F63" s="95"/>
      <c r="G63" s="95"/>
      <c r="H63" s="93"/>
      <c r="I63" s="93"/>
      <c r="J63" s="93"/>
    </row>
    <row r="64" spans="1:37" s="81" customFormat="1" ht="14.25" customHeight="1" x14ac:dyDescent="0.35">
      <c r="A64" s="145">
        <v>62</v>
      </c>
      <c r="B64" s="265" t="s">
        <v>59</v>
      </c>
      <c r="C64" s="265"/>
      <c r="D64" s="267">
        <v>263</v>
      </c>
      <c r="E64" s="267">
        <v>348</v>
      </c>
      <c r="F64" s="267">
        <v>23.5</v>
      </c>
      <c r="G64" s="267">
        <v>147</v>
      </c>
      <c r="H64" s="267">
        <v>7</v>
      </c>
      <c r="I64" s="267">
        <v>19</v>
      </c>
      <c r="J64" s="267" t="s">
        <v>3</v>
      </c>
      <c r="K64" s="267">
        <v>40</v>
      </c>
      <c r="L64" s="267">
        <v>0</v>
      </c>
      <c r="M64" s="267">
        <v>35</v>
      </c>
      <c r="N64" s="267">
        <v>102</v>
      </c>
      <c r="O64" s="267">
        <v>4</v>
      </c>
      <c r="P64" s="267">
        <v>5</v>
      </c>
      <c r="R64" s="65"/>
      <c r="S64" s="65"/>
      <c r="T64" s="65"/>
      <c r="U64" s="65"/>
      <c r="V64" s="65"/>
      <c r="W64" s="65"/>
      <c r="X64" s="65"/>
      <c r="Y64" s="65"/>
      <c r="Z64" s="65"/>
      <c r="AA64" s="65"/>
      <c r="AB64" s="65"/>
      <c r="AC64" s="65"/>
      <c r="AD64" s="65"/>
      <c r="AE64" s="65"/>
      <c r="AF64" s="65"/>
      <c r="AH64" s="65"/>
      <c r="AI64" s="65"/>
      <c r="AJ64" s="65"/>
      <c r="AK64" s="65"/>
    </row>
    <row r="65" spans="1:37" s="81" customFormat="1" ht="14.25" customHeight="1" x14ac:dyDescent="0.35">
      <c r="A65" s="145">
        <v>98</v>
      </c>
      <c r="B65" s="265" t="s">
        <v>30</v>
      </c>
      <c r="C65" s="265"/>
      <c r="D65" s="267">
        <v>196</v>
      </c>
      <c r="E65" s="267">
        <v>331</v>
      </c>
      <c r="F65" s="267">
        <v>21</v>
      </c>
      <c r="G65" s="267">
        <v>121</v>
      </c>
      <c r="H65" s="267">
        <v>6</v>
      </c>
      <c r="I65" s="267">
        <v>18</v>
      </c>
      <c r="J65" s="267" t="s">
        <v>3</v>
      </c>
      <c r="K65" s="267">
        <v>42</v>
      </c>
      <c r="L65" s="267">
        <v>2</v>
      </c>
      <c r="M65" s="267">
        <v>25</v>
      </c>
      <c r="N65" s="267">
        <v>118</v>
      </c>
      <c r="O65" s="267">
        <v>5</v>
      </c>
      <c r="P65" s="267">
        <v>2</v>
      </c>
      <c r="Q65" s="82"/>
      <c r="R65" s="65"/>
      <c r="S65" s="65"/>
      <c r="T65" s="65"/>
      <c r="U65" s="65"/>
      <c r="V65" s="65"/>
      <c r="W65" s="65"/>
      <c r="X65" s="65"/>
      <c r="Y65" s="65"/>
      <c r="Z65" s="65"/>
      <c r="AA65" s="65"/>
      <c r="AB65" s="65"/>
      <c r="AC65" s="65"/>
      <c r="AD65" s="65"/>
      <c r="AE65" s="65"/>
      <c r="AF65" s="65"/>
      <c r="AH65" s="65"/>
      <c r="AI65" s="65"/>
      <c r="AJ65" s="65"/>
      <c r="AK65" s="65"/>
    </row>
    <row r="66" spans="1:37" s="65" customFormat="1" ht="14" x14ac:dyDescent="0.35">
      <c r="A66" s="145"/>
      <c r="B66" s="93"/>
      <c r="C66" s="93"/>
      <c r="D66" s="94"/>
      <c r="E66" s="95"/>
      <c r="F66" s="95"/>
      <c r="G66" s="95"/>
      <c r="H66" s="93"/>
      <c r="I66" s="93"/>
      <c r="J66" s="93"/>
    </row>
    <row r="67" spans="1:37" s="65" customFormat="1" ht="14" x14ac:dyDescent="0.35">
      <c r="A67" s="145"/>
      <c r="B67" s="93"/>
      <c r="C67" s="93"/>
      <c r="D67" s="94"/>
      <c r="E67" s="95"/>
      <c r="F67" s="95"/>
      <c r="G67" s="95"/>
      <c r="H67" s="93"/>
      <c r="I67" s="93"/>
      <c r="J67" s="93"/>
    </row>
    <row r="68" spans="1:37" s="65" customFormat="1" ht="14" x14ac:dyDescent="0.35">
      <c r="A68" s="145"/>
      <c r="B68" s="93"/>
      <c r="C68" s="93"/>
      <c r="D68" s="93"/>
      <c r="E68" s="95"/>
      <c r="F68" s="95"/>
      <c r="G68" s="95"/>
      <c r="H68" s="93"/>
      <c r="I68" s="93"/>
      <c r="J68" s="93"/>
    </row>
    <row r="69" spans="1:37" s="65" customFormat="1" ht="14" x14ac:dyDescent="0.35">
      <c r="A69" s="145"/>
      <c r="B69" s="93"/>
      <c r="C69" s="93"/>
      <c r="D69" s="93"/>
      <c r="E69" s="95"/>
      <c r="F69" s="95"/>
      <c r="G69" s="95"/>
      <c r="H69" s="93"/>
      <c r="I69" s="93"/>
      <c r="J69" s="93"/>
    </row>
    <row r="70" spans="1:37" s="65" customFormat="1" ht="14" x14ac:dyDescent="0.35">
      <c r="A70" s="145"/>
      <c r="B70" s="93"/>
      <c r="C70" s="93"/>
      <c r="D70" s="93"/>
      <c r="E70" s="95"/>
      <c r="F70" s="95"/>
      <c r="G70" s="95"/>
      <c r="H70" s="93"/>
      <c r="I70" s="93"/>
      <c r="J70" s="93"/>
    </row>
    <row r="71" spans="1:37" s="65" customFormat="1" ht="14" x14ac:dyDescent="0.35">
      <c r="A71" s="145"/>
      <c r="B71" s="93"/>
      <c r="C71" s="93"/>
      <c r="D71" s="93"/>
      <c r="E71" s="95"/>
      <c r="F71" s="95"/>
      <c r="G71" s="95"/>
      <c r="H71" s="93"/>
      <c r="I71" s="93"/>
      <c r="J71" s="93"/>
    </row>
    <row r="72" spans="1:37" s="65" customFormat="1" ht="14" x14ac:dyDescent="0.35">
      <c r="A72" s="145"/>
      <c r="B72" s="93"/>
      <c r="C72" s="93"/>
      <c r="D72" s="93"/>
      <c r="E72" s="95"/>
      <c r="F72" s="95"/>
      <c r="G72" s="95"/>
      <c r="H72" s="93"/>
      <c r="I72" s="93"/>
      <c r="J72" s="93"/>
    </row>
    <row r="73" spans="1:37" s="65" customFormat="1" ht="14" x14ac:dyDescent="0.35">
      <c r="A73" s="145"/>
      <c r="B73" s="93"/>
      <c r="C73" s="93"/>
      <c r="D73" s="93"/>
      <c r="E73" s="95"/>
      <c r="F73" s="95"/>
      <c r="G73" s="95"/>
      <c r="H73" s="93"/>
      <c r="I73" s="93"/>
      <c r="J73" s="93"/>
    </row>
    <row r="74" spans="1:37" s="65" customFormat="1" ht="14" x14ac:dyDescent="0.35">
      <c r="A74" s="145"/>
      <c r="B74" s="93"/>
      <c r="C74" s="93"/>
      <c r="D74" s="93"/>
      <c r="E74" s="95"/>
      <c r="F74" s="95"/>
      <c r="G74" s="95"/>
      <c r="H74" s="93"/>
      <c r="I74" s="93"/>
      <c r="J74" s="93"/>
    </row>
    <row r="75" spans="1:37" s="65" customFormat="1" ht="14" x14ac:dyDescent="0.35">
      <c r="A75" s="145"/>
      <c r="B75" s="93"/>
      <c r="C75" s="93"/>
      <c r="D75" s="93"/>
      <c r="E75" s="95"/>
      <c r="F75" s="95"/>
      <c r="G75" s="95"/>
      <c r="H75" s="93"/>
      <c r="I75" s="93"/>
      <c r="J75" s="93"/>
    </row>
    <row r="76" spans="1:37" s="65" customFormat="1" ht="14" x14ac:dyDescent="0.35">
      <c r="A76" s="145"/>
      <c r="B76" s="93"/>
      <c r="C76" s="93"/>
      <c r="D76" s="93"/>
      <c r="E76" s="95"/>
      <c r="F76" s="95"/>
      <c r="G76" s="95"/>
      <c r="H76" s="93"/>
      <c r="I76" s="93"/>
      <c r="J76" s="93"/>
    </row>
    <row r="77" spans="1:37" s="65" customFormat="1" ht="14" x14ac:dyDescent="0.35">
      <c r="A77" s="145"/>
      <c r="B77" s="93"/>
      <c r="C77" s="93"/>
      <c r="D77" s="93"/>
      <c r="E77" s="95"/>
      <c r="F77" s="95"/>
      <c r="G77" s="95"/>
      <c r="H77" s="93"/>
      <c r="I77" s="93"/>
      <c r="J77" s="93"/>
    </row>
    <row r="78" spans="1:37" s="65" customFormat="1" ht="14" x14ac:dyDescent="0.35">
      <c r="A78" s="145"/>
      <c r="B78" s="93"/>
      <c r="C78" s="93"/>
      <c r="D78" s="93"/>
      <c r="E78" s="95"/>
      <c r="F78" s="95"/>
      <c r="G78" s="95"/>
      <c r="H78" s="93"/>
      <c r="I78" s="93"/>
      <c r="J78" s="93"/>
    </row>
    <row r="79" spans="1:37" s="65" customFormat="1" ht="14" x14ac:dyDescent="0.35">
      <c r="A79" s="145"/>
      <c r="B79" s="93"/>
      <c r="C79" s="93"/>
      <c r="D79" s="93"/>
      <c r="E79" s="95"/>
      <c r="F79" s="95"/>
      <c r="G79" s="95"/>
      <c r="H79" s="93"/>
      <c r="I79" s="93"/>
      <c r="J79" s="93"/>
    </row>
    <row r="80" spans="1:37" s="65" customFormat="1" ht="14" x14ac:dyDescent="0.35">
      <c r="A80" s="145"/>
      <c r="B80" s="93"/>
      <c r="C80" s="93"/>
      <c r="D80" s="93"/>
      <c r="E80" s="95"/>
      <c r="F80" s="95"/>
      <c r="G80" s="95"/>
      <c r="H80" s="93"/>
      <c r="I80" s="93"/>
      <c r="J80" s="93"/>
    </row>
    <row r="81" spans="1:10" s="65" customFormat="1" ht="14" x14ac:dyDescent="0.35">
      <c r="A81" s="145"/>
      <c r="B81" s="93"/>
      <c r="C81" s="93"/>
      <c r="D81" s="93"/>
      <c r="E81" s="95"/>
      <c r="F81" s="95"/>
      <c r="G81" s="95"/>
      <c r="H81" s="93"/>
      <c r="I81" s="93"/>
      <c r="J81" s="93"/>
    </row>
    <row r="82" spans="1:10" s="65" customFormat="1" ht="14" x14ac:dyDescent="0.35">
      <c r="A82" s="145"/>
      <c r="B82" s="93"/>
      <c r="C82" s="93"/>
      <c r="D82" s="93"/>
      <c r="E82" s="95"/>
      <c r="F82" s="95"/>
      <c r="G82" s="95"/>
      <c r="H82" s="93"/>
      <c r="I82" s="93"/>
      <c r="J82" s="93"/>
    </row>
    <row r="83" spans="1:10" s="65" customFormat="1" ht="14" x14ac:dyDescent="0.35">
      <c r="A83" s="145"/>
      <c r="B83" s="93"/>
      <c r="C83" s="93"/>
      <c r="D83" s="93"/>
      <c r="E83" s="95"/>
      <c r="F83" s="95"/>
      <c r="G83" s="95"/>
      <c r="H83" s="93"/>
      <c r="I83" s="93"/>
      <c r="J83" s="93"/>
    </row>
    <row r="84" spans="1:10" s="65" customFormat="1" ht="14" x14ac:dyDescent="0.35">
      <c r="A84" s="145"/>
      <c r="B84" s="93"/>
      <c r="C84" s="93"/>
      <c r="D84" s="93"/>
      <c r="E84" s="95"/>
      <c r="F84" s="95"/>
      <c r="G84" s="95"/>
      <c r="H84" s="93"/>
      <c r="I84" s="93"/>
      <c r="J84" s="93"/>
    </row>
    <row r="85" spans="1:10" s="65" customFormat="1" ht="14" x14ac:dyDescent="0.35">
      <c r="A85" s="145"/>
      <c r="B85" s="93"/>
      <c r="C85" s="93"/>
      <c r="D85" s="93"/>
      <c r="E85" s="95"/>
      <c r="F85" s="95"/>
      <c r="G85" s="95"/>
      <c r="H85" s="93"/>
      <c r="I85" s="93"/>
      <c r="J85" s="93"/>
    </row>
    <row r="86" spans="1:10" s="65" customFormat="1" ht="14" x14ac:dyDescent="0.35">
      <c r="A86" s="145"/>
      <c r="B86" s="93"/>
      <c r="C86" s="93"/>
      <c r="D86" s="93"/>
      <c r="E86" s="95"/>
      <c r="F86" s="95"/>
      <c r="G86" s="95"/>
      <c r="H86" s="93"/>
      <c r="I86" s="93"/>
      <c r="J86" s="93"/>
    </row>
    <row r="87" spans="1:10" s="65" customFormat="1" ht="14" x14ac:dyDescent="0.35">
      <c r="A87" s="145"/>
      <c r="B87" s="93"/>
      <c r="C87" s="93"/>
      <c r="D87" s="93"/>
      <c r="E87" s="95"/>
      <c r="F87" s="95"/>
      <c r="G87" s="95"/>
      <c r="H87" s="93"/>
      <c r="I87" s="93"/>
      <c r="J87" s="93"/>
    </row>
    <row r="88" spans="1:10" s="65" customFormat="1" ht="14" x14ac:dyDescent="0.35">
      <c r="A88" s="145"/>
      <c r="B88" s="93"/>
      <c r="C88" s="93"/>
      <c r="D88" s="93"/>
      <c r="E88" s="95"/>
      <c r="F88" s="95"/>
      <c r="G88" s="95"/>
      <c r="H88" s="93"/>
      <c r="I88" s="93"/>
      <c r="J88" s="93"/>
    </row>
    <row r="89" spans="1:10" s="65" customFormat="1" ht="14" x14ac:dyDescent="0.35">
      <c r="A89" s="145"/>
      <c r="B89" s="93"/>
      <c r="C89" s="93"/>
      <c r="D89" s="93"/>
      <c r="E89" s="95"/>
      <c r="F89" s="95"/>
      <c r="G89" s="95"/>
      <c r="H89" s="93"/>
      <c r="I89" s="93"/>
      <c r="J89" s="93"/>
    </row>
    <row r="90" spans="1:10" s="65" customFormat="1" ht="14" x14ac:dyDescent="0.35">
      <c r="A90" s="145"/>
      <c r="B90" s="93"/>
      <c r="C90" s="93"/>
      <c r="D90" s="93"/>
      <c r="E90" s="95"/>
      <c r="F90" s="95"/>
      <c r="G90" s="95"/>
      <c r="H90" s="93"/>
      <c r="I90" s="93"/>
      <c r="J90" s="93"/>
    </row>
    <row r="91" spans="1:10" s="65" customFormat="1" ht="14" x14ac:dyDescent="0.35">
      <c r="A91" s="145"/>
      <c r="B91" s="93"/>
      <c r="C91" s="93"/>
      <c r="D91" s="93"/>
      <c r="E91" s="95"/>
      <c r="F91" s="95"/>
      <c r="G91" s="95"/>
      <c r="H91" s="93"/>
      <c r="I91" s="93"/>
      <c r="J91" s="93"/>
    </row>
    <row r="92" spans="1:10" s="65" customFormat="1" ht="14" x14ac:dyDescent="0.35">
      <c r="A92" s="145"/>
      <c r="B92" s="93"/>
      <c r="C92" s="93"/>
      <c r="D92" s="93"/>
      <c r="E92" s="95"/>
      <c r="F92" s="95"/>
      <c r="G92" s="95"/>
      <c r="H92" s="93"/>
      <c r="I92" s="93"/>
      <c r="J92" s="93"/>
    </row>
    <row r="93" spans="1:10" s="65" customFormat="1" ht="14" x14ac:dyDescent="0.35">
      <c r="A93" s="145"/>
      <c r="B93" s="93"/>
      <c r="C93" s="93"/>
      <c r="D93" s="93"/>
      <c r="E93" s="95"/>
      <c r="F93" s="95"/>
      <c r="G93" s="95"/>
      <c r="H93" s="93"/>
      <c r="I93" s="93"/>
      <c r="J93" s="93"/>
    </row>
    <row r="94" spans="1:10" s="65" customFormat="1" ht="14" x14ac:dyDescent="0.35">
      <c r="A94" s="145"/>
      <c r="B94" s="93"/>
      <c r="C94" s="93"/>
      <c r="D94" s="93"/>
      <c r="E94" s="95"/>
      <c r="F94" s="95"/>
      <c r="G94" s="95"/>
      <c r="H94" s="93"/>
      <c r="I94" s="93"/>
      <c r="J94" s="93"/>
    </row>
    <row r="95" spans="1:10" s="65" customFormat="1" ht="14" x14ac:dyDescent="0.35">
      <c r="A95" s="145"/>
      <c r="B95" s="93"/>
      <c r="C95" s="93"/>
      <c r="D95" s="93"/>
      <c r="E95" s="95"/>
      <c r="F95" s="95"/>
      <c r="G95" s="95"/>
      <c r="H95" s="93"/>
      <c r="I95" s="93"/>
      <c r="J95" s="93"/>
    </row>
    <row r="96" spans="1:10" s="65" customFormat="1" ht="14" x14ac:dyDescent="0.35">
      <c r="A96" s="145"/>
      <c r="B96" s="93"/>
      <c r="C96" s="93"/>
      <c r="D96" s="93"/>
      <c r="E96" s="95"/>
      <c r="F96" s="95"/>
      <c r="G96" s="95"/>
      <c r="H96" s="93"/>
      <c r="I96" s="93"/>
      <c r="J96" s="93"/>
    </row>
    <row r="97" spans="1:10" s="65" customFormat="1" ht="14" x14ac:dyDescent="0.35">
      <c r="A97" s="145"/>
      <c r="B97" s="93"/>
      <c r="C97" s="93"/>
      <c r="D97" s="93"/>
      <c r="E97" s="95"/>
      <c r="F97" s="95"/>
      <c r="G97" s="95"/>
      <c r="H97" s="93"/>
      <c r="I97" s="93"/>
      <c r="J97" s="93"/>
    </row>
    <row r="98" spans="1:10" s="65" customFormat="1" ht="14" x14ac:dyDescent="0.35">
      <c r="A98" s="145"/>
      <c r="B98" s="93"/>
      <c r="C98" s="93"/>
      <c r="D98" s="93"/>
      <c r="E98" s="95"/>
      <c r="F98" s="95"/>
      <c r="G98" s="95"/>
      <c r="H98" s="93"/>
      <c r="I98" s="93"/>
      <c r="J98" s="93"/>
    </row>
    <row r="99" spans="1:10" s="65" customFormat="1" ht="14" x14ac:dyDescent="0.35">
      <c r="A99" s="145"/>
      <c r="B99" s="93"/>
      <c r="C99" s="93"/>
      <c r="D99" s="93"/>
      <c r="E99" s="95"/>
      <c r="F99" s="95"/>
      <c r="G99" s="95"/>
      <c r="H99" s="93"/>
      <c r="I99" s="93"/>
      <c r="J99" s="93"/>
    </row>
    <row r="100" spans="1:10" s="65" customFormat="1" ht="14" x14ac:dyDescent="0.35">
      <c r="A100" s="145"/>
      <c r="B100" s="93"/>
      <c r="C100" s="93"/>
      <c r="D100" s="93"/>
      <c r="E100" s="95"/>
      <c r="F100" s="95"/>
      <c r="G100" s="95"/>
      <c r="H100" s="93"/>
      <c r="I100" s="93"/>
      <c r="J100" s="93"/>
    </row>
    <row r="101" spans="1:10" s="65" customFormat="1" ht="14" x14ac:dyDescent="0.35">
      <c r="A101" s="145"/>
      <c r="B101" s="93"/>
      <c r="C101" s="93"/>
      <c r="D101" s="93"/>
      <c r="E101" s="95"/>
      <c r="F101" s="95"/>
      <c r="G101" s="95"/>
      <c r="H101" s="93"/>
      <c r="I101" s="93"/>
      <c r="J101" s="93"/>
    </row>
    <row r="102" spans="1:10" s="65" customFormat="1" ht="14" x14ac:dyDescent="0.35">
      <c r="A102" s="145"/>
      <c r="B102" s="93"/>
      <c r="C102" s="93"/>
      <c r="D102" s="93"/>
      <c r="E102" s="95"/>
      <c r="F102" s="95"/>
      <c r="G102" s="95"/>
      <c r="H102" s="93"/>
      <c r="I102" s="93"/>
      <c r="J102" s="93"/>
    </row>
    <row r="103" spans="1:10" s="65" customFormat="1" ht="14" x14ac:dyDescent="0.35">
      <c r="A103" s="145"/>
      <c r="B103" s="93"/>
      <c r="C103" s="93"/>
      <c r="D103" s="93"/>
      <c r="E103" s="95"/>
      <c r="F103" s="95"/>
      <c r="G103" s="95"/>
      <c r="H103" s="93"/>
      <c r="I103" s="93"/>
      <c r="J103" s="93"/>
    </row>
    <row r="104" spans="1:10" s="65" customFormat="1" ht="14" x14ac:dyDescent="0.35">
      <c r="A104" s="145"/>
      <c r="B104" s="93"/>
      <c r="C104" s="93"/>
      <c r="D104" s="93"/>
      <c r="E104" s="95"/>
      <c r="F104" s="95"/>
      <c r="G104" s="95"/>
      <c r="H104" s="93"/>
      <c r="I104" s="93"/>
      <c r="J104" s="93"/>
    </row>
    <row r="105" spans="1:10" s="65" customFormat="1" ht="14" x14ac:dyDescent="0.35">
      <c r="A105" s="145"/>
      <c r="B105" s="93"/>
      <c r="C105" s="93"/>
      <c r="D105" s="93"/>
      <c r="E105" s="95"/>
      <c r="F105" s="95"/>
      <c r="G105" s="95"/>
      <c r="H105" s="93"/>
      <c r="I105" s="93"/>
      <c r="J105" s="93"/>
    </row>
    <row r="106" spans="1:10" s="65" customFormat="1" ht="14" x14ac:dyDescent="0.35">
      <c r="A106" s="145"/>
      <c r="B106" s="93"/>
      <c r="C106" s="93"/>
      <c r="D106" s="93"/>
      <c r="E106" s="95"/>
      <c r="F106" s="95"/>
      <c r="G106" s="95"/>
      <c r="H106" s="93"/>
      <c r="I106" s="93"/>
      <c r="J106" s="93"/>
    </row>
    <row r="107" spans="1:10" s="65" customFormat="1" ht="14" x14ac:dyDescent="0.35">
      <c r="A107" s="145"/>
      <c r="B107" s="93"/>
      <c r="C107" s="93"/>
      <c r="D107" s="93"/>
      <c r="E107" s="95"/>
      <c r="F107" s="95"/>
      <c r="G107" s="95"/>
      <c r="H107" s="93"/>
      <c r="I107" s="93"/>
      <c r="J107" s="93"/>
    </row>
    <row r="108" spans="1:10" s="65" customFormat="1" ht="14" x14ac:dyDescent="0.35">
      <c r="A108" s="145"/>
      <c r="B108" s="93"/>
      <c r="C108" s="93"/>
      <c r="D108" s="93"/>
      <c r="E108" s="95"/>
      <c r="F108" s="95"/>
      <c r="G108" s="95"/>
      <c r="H108" s="93"/>
      <c r="I108" s="93"/>
      <c r="J108" s="93"/>
    </row>
    <row r="109" spans="1:10" s="65" customFormat="1" ht="14" x14ac:dyDescent="0.35">
      <c r="A109" s="145"/>
      <c r="B109" s="93"/>
      <c r="C109" s="93"/>
      <c r="D109" s="93"/>
      <c r="E109" s="95"/>
      <c r="F109" s="95"/>
      <c r="G109" s="95"/>
      <c r="H109" s="93"/>
      <c r="I109" s="93"/>
      <c r="J109" s="93"/>
    </row>
    <row r="110" spans="1:10" s="65" customFormat="1" ht="14" x14ac:dyDescent="0.35">
      <c r="A110" s="145"/>
      <c r="B110" s="93"/>
      <c r="C110" s="93"/>
      <c r="D110" s="93"/>
      <c r="E110" s="95"/>
      <c r="F110" s="95"/>
      <c r="G110" s="95"/>
      <c r="H110" s="93"/>
      <c r="I110" s="93"/>
      <c r="J110" s="93"/>
    </row>
    <row r="111" spans="1:10" s="65" customFormat="1" ht="14" x14ac:dyDescent="0.35">
      <c r="A111" s="145"/>
      <c r="B111" s="93"/>
      <c r="C111" s="93"/>
      <c r="D111" s="93"/>
      <c r="E111" s="95"/>
      <c r="F111" s="95"/>
      <c r="G111" s="95"/>
      <c r="H111" s="93"/>
      <c r="I111" s="93"/>
      <c r="J111" s="93"/>
    </row>
    <row r="112" spans="1:10" s="65" customFormat="1" ht="14" x14ac:dyDescent="0.35">
      <c r="A112" s="145"/>
      <c r="B112" s="93"/>
      <c r="C112" s="93"/>
      <c r="D112" s="93"/>
      <c r="E112" s="95"/>
      <c r="F112" s="95"/>
      <c r="G112" s="95"/>
      <c r="H112" s="93"/>
      <c r="I112" s="93"/>
      <c r="J112" s="93"/>
    </row>
    <row r="113" spans="1:10" s="65" customFormat="1" ht="14" x14ac:dyDescent="0.35">
      <c r="A113" s="145"/>
      <c r="B113" s="93"/>
      <c r="C113" s="93"/>
      <c r="D113" s="93"/>
      <c r="E113" s="95"/>
      <c r="F113" s="95"/>
      <c r="G113" s="95"/>
      <c r="H113" s="93"/>
      <c r="I113" s="93"/>
      <c r="J113" s="93"/>
    </row>
    <row r="114" spans="1:10" s="65" customFormat="1" ht="14" x14ac:dyDescent="0.35">
      <c r="A114" s="145"/>
      <c r="B114" s="93"/>
      <c r="C114" s="93"/>
      <c r="D114" s="93"/>
      <c r="E114" s="95"/>
      <c r="F114" s="95"/>
      <c r="G114" s="95"/>
      <c r="H114" s="93"/>
      <c r="I114" s="93"/>
      <c r="J114" s="93"/>
    </row>
    <row r="115" spans="1:10" s="65" customFormat="1" ht="14" x14ac:dyDescent="0.35">
      <c r="A115" s="145"/>
      <c r="B115" s="93"/>
      <c r="C115" s="93"/>
      <c r="D115" s="93"/>
      <c r="E115" s="95"/>
      <c r="F115" s="95"/>
      <c r="G115" s="95"/>
      <c r="H115" s="93"/>
      <c r="I115" s="93"/>
      <c r="J115" s="93"/>
    </row>
    <row r="116" spans="1:10" s="65" customFormat="1" ht="14" x14ac:dyDescent="0.35">
      <c r="A116" s="145"/>
      <c r="B116" s="93"/>
      <c r="C116" s="93"/>
      <c r="D116" s="93"/>
      <c r="E116" s="95"/>
      <c r="F116" s="95"/>
      <c r="G116" s="95"/>
      <c r="H116" s="93"/>
      <c r="I116" s="93"/>
      <c r="J116" s="93"/>
    </row>
    <row r="117" spans="1:10" s="65" customFormat="1" ht="14" x14ac:dyDescent="0.35">
      <c r="A117" s="145"/>
      <c r="B117" s="93"/>
      <c r="C117" s="93"/>
      <c r="D117" s="93"/>
      <c r="E117" s="95"/>
      <c r="F117" s="95"/>
      <c r="G117" s="95"/>
      <c r="H117" s="93"/>
      <c r="I117" s="93"/>
      <c r="J117" s="93"/>
    </row>
    <row r="118" spans="1:10" s="65" customFormat="1" ht="14" x14ac:dyDescent="0.35">
      <c r="A118" s="145"/>
      <c r="B118" s="93"/>
      <c r="C118" s="93"/>
      <c r="D118" s="93"/>
      <c r="E118" s="95"/>
      <c r="F118" s="95"/>
      <c r="G118" s="95"/>
      <c r="H118" s="93"/>
      <c r="I118" s="93"/>
      <c r="J118" s="93"/>
    </row>
    <row r="119" spans="1:10" s="65" customFormat="1" ht="14" x14ac:dyDescent="0.35">
      <c r="A119" s="145"/>
      <c r="B119" s="93"/>
      <c r="C119" s="93"/>
      <c r="D119" s="93"/>
      <c r="E119" s="95"/>
      <c r="F119" s="95"/>
      <c r="G119" s="95"/>
      <c r="H119" s="93"/>
      <c r="I119" s="93"/>
      <c r="J119" s="93"/>
    </row>
    <row r="120" spans="1:10" s="65" customFormat="1" ht="14" x14ac:dyDescent="0.35">
      <c r="A120" s="145"/>
      <c r="B120" s="93"/>
      <c r="C120" s="93"/>
      <c r="D120" s="93"/>
      <c r="E120" s="95"/>
      <c r="F120" s="95"/>
      <c r="G120" s="95"/>
      <c r="H120" s="93"/>
      <c r="I120" s="93"/>
      <c r="J120" s="93"/>
    </row>
    <row r="121" spans="1:10" s="65" customFormat="1" ht="14" x14ac:dyDescent="0.35">
      <c r="A121" s="145"/>
      <c r="B121" s="93"/>
      <c r="C121" s="93"/>
      <c r="D121" s="93"/>
      <c r="E121" s="95"/>
      <c r="F121" s="95"/>
      <c r="G121" s="95"/>
      <c r="H121" s="93"/>
      <c r="I121" s="93"/>
      <c r="J121" s="93"/>
    </row>
    <row r="122" spans="1:10" s="65" customFormat="1" ht="14" x14ac:dyDescent="0.35">
      <c r="A122" s="145"/>
      <c r="B122" s="93"/>
      <c r="C122" s="93"/>
      <c r="D122" s="93"/>
      <c r="E122" s="95"/>
      <c r="F122" s="95"/>
      <c r="G122" s="95"/>
      <c r="H122" s="93"/>
      <c r="I122" s="93"/>
      <c r="J122" s="93"/>
    </row>
    <row r="123" spans="1:10" s="65" customFormat="1" ht="14" x14ac:dyDescent="0.35">
      <c r="A123" s="145"/>
      <c r="B123" s="93"/>
      <c r="C123" s="93"/>
      <c r="D123" s="93"/>
      <c r="E123" s="95"/>
      <c r="F123" s="95"/>
      <c r="G123" s="95"/>
      <c r="H123" s="93"/>
      <c r="I123" s="93"/>
      <c r="J123" s="93"/>
    </row>
    <row r="124" spans="1:10" s="65" customFormat="1" ht="14" x14ac:dyDescent="0.35">
      <c r="A124" s="145"/>
      <c r="B124" s="93"/>
      <c r="C124" s="93"/>
      <c r="D124" s="93"/>
      <c r="E124" s="95"/>
      <c r="F124" s="95"/>
      <c r="G124" s="95"/>
      <c r="H124" s="93"/>
      <c r="I124" s="93"/>
      <c r="J124" s="93"/>
    </row>
    <row r="125" spans="1:10" s="65" customFormat="1" ht="14" x14ac:dyDescent="0.35">
      <c r="A125" s="145"/>
      <c r="B125" s="93"/>
      <c r="C125" s="93"/>
      <c r="D125" s="93"/>
      <c r="E125" s="95"/>
      <c r="F125" s="95"/>
      <c r="G125" s="95"/>
      <c r="H125" s="93"/>
      <c r="I125" s="93"/>
      <c r="J125" s="93"/>
    </row>
    <row r="126" spans="1:10" s="65" customFormat="1" ht="14" x14ac:dyDescent="0.35">
      <c r="A126" s="145"/>
      <c r="B126" s="93"/>
      <c r="C126" s="93"/>
      <c r="D126" s="93"/>
      <c r="E126" s="95"/>
      <c r="F126" s="95"/>
      <c r="G126" s="95"/>
      <c r="H126" s="93"/>
      <c r="I126" s="93"/>
      <c r="J126" s="93"/>
    </row>
    <row r="127" spans="1:10" s="65" customFormat="1" ht="14" x14ac:dyDescent="0.35">
      <c r="A127" s="145"/>
      <c r="B127" s="93"/>
      <c r="C127" s="93"/>
      <c r="D127" s="93"/>
      <c r="E127" s="95"/>
      <c r="F127" s="95"/>
      <c r="G127" s="95"/>
      <c r="H127" s="93"/>
      <c r="I127" s="93"/>
      <c r="J127" s="93"/>
    </row>
    <row r="128" spans="1:10" s="65" customFormat="1" ht="14" x14ac:dyDescent="0.35">
      <c r="A128" s="145"/>
      <c r="B128" s="93"/>
      <c r="C128" s="93"/>
      <c r="D128" s="93"/>
      <c r="E128" s="95"/>
      <c r="F128" s="95"/>
      <c r="G128" s="95"/>
      <c r="H128" s="93"/>
      <c r="I128" s="93"/>
      <c r="J128" s="93"/>
    </row>
    <row r="129" spans="1:10" s="65" customFormat="1" ht="14" x14ac:dyDescent="0.35">
      <c r="A129" s="145"/>
      <c r="B129" s="93"/>
      <c r="C129" s="93"/>
      <c r="D129" s="93"/>
      <c r="E129" s="95"/>
      <c r="F129" s="95"/>
      <c r="G129" s="95"/>
      <c r="H129" s="93"/>
      <c r="I129" s="93"/>
      <c r="J129" s="93"/>
    </row>
    <row r="130" spans="1:10" s="65" customFormat="1" ht="14" x14ac:dyDescent="0.35">
      <c r="A130" s="145"/>
      <c r="B130" s="93"/>
      <c r="C130" s="93"/>
      <c r="D130" s="93"/>
      <c r="E130" s="95"/>
      <c r="F130" s="95"/>
      <c r="G130" s="95"/>
      <c r="H130" s="93"/>
      <c r="I130" s="93"/>
      <c r="J130" s="93"/>
    </row>
    <row r="131" spans="1:10" s="65" customFormat="1" ht="14" x14ac:dyDescent="0.35">
      <c r="A131" s="145"/>
      <c r="B131" s="93"/>
      <c r="C131" s="93"/>
      <c r="D131" s="93"/>
      <c r="E131" s="95"/>
      <c r="F131" s="95"/>
      <c r="G131" s="95"/>
      <c r="H131" s="93"/>
      <c r="I131" s="93"/>
      <c r="J131" s="93"/>
    </row>
    <row r="132" spans="1:10" s="65" customFormat="1" ht="14" x14ac:dyDescent="0.35">
      <c r="A132" s="145"/>
      <c r="B132" s="93"/>
      <c r="C132" s="93"/>
      <c r="D132" s="93"/>
      <c r="E132" s="95"/>
      <c r="F132" s="95"/>
      <c r="G132" s="95"/>
      <c r="H132" s="93"/>
      <c r="I132" s="93"/>
      <c r="J132" s="93"/>
    </row>
    <row r="133" spans="1:10" s="65" customFormat="1" ht="14" x14ac:dyDescent="0.35">
      <c r="A133" s="145"/>
      <c r="B133" s="93"/>
      <c r="C133" s="93"/>
      <c r="D133" s="93"/>
      <c r="E133" s="95"/>
      <c r="F133" s="95"/>
      <c r="G133" s="95"/>
      <c r="H133" s="93"/>
      <c r="I133" s="93"/>
      <c r="J133" s="93"/>
    </row>
    <row r="134" spans="1:10" s="65" customFormat="1" ht="14" x14ac:dyDescent="0.35">
      <c r="A134" s="145"/>
      <c r="B134" s="93"/>
      <c r="C134" s="93"/>
      <c r="D134" s="93"/>
      <c r="E134" s="95"/>
      <c r="F134" s="95"/>
      <c r="G134" s="95"/>
      <c r="H134" s="93"/>
      <c r="I134" s="93"/>
      <c r="J134" s="93"/>
    </row>
    <row r="135" spans="1:10" s="65" customFormat="1" ht="14" x14ac:dyDescent="0.35">
      <c r="A135" s="145"/>
      <c r="B135" s="93"/>
      <c r="C135" s="93"/>
      <c r="D135" s="93"/>
      <c r="E135" s="95"/>
      <c r="F135" s="95"/>
      <c r="G135" s="95"/>
      <c r="H135" s="93"/>
      <c r="I135" s="93"/>
      <c r="J135" s="93"/>
    </row>
    <row r="136" spans="1:10" s="65" customFormat="1" ht="14" x14ac:dyDescent="0.35">
      <c r="A136" s="145"/>
      <c r="B136" s="93"/>
      <c r="C136" s="93"/>
      <c r="D136" s="93"/>
      <c r="E136" s="95"/>
      <c r="F136" s="95"/>
      <c r="G136" s="95"/>
      <c r="H136" s="93"/>
      <c r="I136" s="93"/>
      <c r="J136" s="93"/>
    </row>
    <row r="137" spans="1:10" s="65" customFormat="1" ht="14" x14ac:dyDescent="0.35">
      <c r="A137" s="145"/>
      <c r="B137" s="93"/>
      <c r="C137" s="93"/>
      <c r="D137" s="93"/>
      <c r="E137" s="95"/>
      <c r="F137" s="95"/>
      <c r="G137" s="95"/>
      <c r="H137" s="93"/>
      <c r="I137" s="93"/>
      <c r="J137" s="93"/>
    </row>
    <row r="138" spans="1:10" s="65" customFormat="1" ht="14" x14ac:dyDescent="0.35">
      <c r="A138" s="145"/>
      <c r="B138" s="93"/>
      <c r="C138" s="93"/>
      <c r="D138" s="93"/>
      <c r="E138" s="95"/>
      <c r="F138" s="95"/>
      <c r="G138" s="95"/>
      <c r="H138" s="93"/>
      <c r="I138" s="93"/>
      <c r="J138" s="93"/>
    </row>
    <row r="139" spans="1:10" s="65" customFormat="1" ht="14" x14ac:dyDescent="0.35">
      <c r="A139" s="145"/>
      <c r="B139" s="93"/>
      <c r="C139" s="93"/>
      <c r="D139" s="93"/>
      <c r="E139" s="95"/>
      <c r="F139" s="95"/>
      <c r="G139" s="95"/>
      <c r="H139" s="93"/>
      <c r="I139" s="93"/>
      <c r="J139" s="93"/>
    </row>
    <row r="140" spans="1:10" s="65" customFormat="1" ht="14" x14ac:dyDescent="0.35">
      <c r="A140" s="145"/>
      <c r="B140" s="93"/>
      <c r="C140" s="93"/>
      <c r="D140" s="93"/>
      <c r="E140" s="95"/>
      <c r="F140" s="95"/>
      <c r="G140" s="95"/>
      <c r="H140" s="93"/>
      <c r="I140" s="93"/>
      <c r="J140" s="93"/>
    </row>
    <row r="141" spans="1:10" s="65" customFormat="1" ht="14" x14ac:dyDescent="0.35">
      <c r="A141" s="145"/>
      <c r="B141" s="93"/>
      <c r="C141" s="93"/>
      <c r="D141" s="93"/>
      <c r="E141" s="95"/>
      <c r="F141" s="95"/>
      <c r="G141" s="95"/>
      <c r="H141" s="93"/>
      <c r="I141" s="93"/>
      <c r="J141" s="93"/>
    </row>
    <row r="142" spans="1:10" s="65" customFormat="1" ht="14" x14ac:dyDescent="0.35">
      <c r="A142" s="145"/>
      <c r="B142" s="93"/>
      <c r="C142" s="93"/>
      <c r="D142" s="93"/>
      <c r="E142" s="95"/>
      <c r="F142" s="95"/>
      <c r="G142" s="95"/>
      <c r="H142" s="93"/>
      <c r="I142" s="93"/>
      <c r="J142" s="93"/>
    </row>
    <row r="143" spans="1:10" s="65" customFormat="1" ht="14" x14ac:dyDescent="0.35">
      <c r="A143" s="145"/>
      <c r="B143" s="93"/>
      <c r="C143" s="93"/>
      <c r="D143" s="93"/>
      <c r="E143" s="95"/>
      <c r="F143" s="95"/>
      <c r="G143" s="95"/>
      <c r="H143" s="93"/>
      <c r="I143" s="93"/>
      <c r="J143" s="93"/>
    </row>
    <row r="144" spans="1:10" s="65" customFormat="1" ht="14" x14ac:dyDescent="0.35">
      <c r="A144" s="145"/>
      <c r="B144" s="93"/>
      <c r="C144" s="93"/>
      <c r="D144" s="93"/>
      <c r="E144" s="95"/>
      <c r="F144" s="95"/>
      <c r="G144" s="95"/>
      <c r="H144" s="93"/>
      <c r="I144" s="93"/>
      <c r="J144" s="93"/>
    </row>
    <row r="145" spans="1:10" s="65" customFormat="1" ht="14" x14ac:dyDescent="0.35">
      <c r="A145" s="145"/>
      <c r="B145" s="93"/>
      <c r="C145" s="93"/>
      <c r="D145" s="93"/>
      <c r="E145" s="95"/>
      <c r="F145" s="95"/>
      <c r="G145" s="95"/>
      <c r="H145" s="93"/>
      <c r="I145" s="93"/>
      <c r="J145" s="93"/>
    </row>
    <row r="146" spans="1:10" s="65" customFormat="1" ht="14" x14ac:dyDescent="0.35">
      <c r="A146" s="145"/>
      <c r="B146" s="93"/>
      <c r="C146" s="93"/>
      <c r="D146" s="93"/>
      <c r="E146" s="95"/>
      <c r="F146" s="95"/>
      <c r="G146" s="95"/>
      <c r="H146" s="93"/>
      <c r="I146" s="93"/>
      <c r="J146" s="93"/>
    </row>
    <row r="147" spans="1:10" s="65" customFormat="1" ht="14" x14ac:dyDescent="0.35">
      <c r="A147" s="145"/>
      <c r="B147" s="93"/>
      <c r="C147" s="93"/>
      <c r="D147" s="93"/>
      <c r="E147" s="95"/>
      <c r="F147" s="95"/>
      <c r="G147" s="95"/>
      <c r="H147" s="93"/>
      <c r="I147" s="93"/>
      <c r="J147" s="93"/>
    </row>
    <row r="148" spans="1:10" s="65" customFormat="1" ht="14" x14ac:dyDescent="0.35">
      <c r="A148" s="145"/>
      <c r="B148" s="93"/>
      <c r="C148" s="93"/>
      <c r="D148" s="93"/>
      <c r="E148" s="95"/>
      <c r="F148" s="95"/>
      <c r="G148" s="95"/>
      <c r="H148" s="93"/>
      <c r="I148" s="93"/>
      <c r="J148" s="93"/>
    </row>
    <row r="149" spans="1:10" s="65" customFormat="1" ht="14" x14ac:dyDescent="0.35">
      <c r="A149" s="145"/>
      <c r="B149" s="93"/>
      <c r="C149" s="93"/>
      <c r="D149" s="93"/>
      <c r="E149" s="95"/>
      <c r="F149" s="95"/>
      <c r="G149" s="95"/>
      <c r="H149" s="93"/>
      <c r="I149" s="93"/>
      <c r="J149" s="93"/>
    </row>
    <row r="150" spans="1:10" s="65" customFormat="1" ht="14" x14ac:dyDescent="0.35">
      <c r="A150" s="145"/>
      <c r="B150" s="93"/>
      <c r="C150" s="93"/>
      <c r="D150" s="93"/>
      <c r="E150" s="95"/>
      <c r="F150" s="95"/>
      <c r="G150" s="95"/>
      <c r="H150" s="93"/>
      <c r="I150" s="93"/>
      <c r="J150" s="93"/>
    </row>
    <row r="151" spans="1:10" s="65" customFormat="1" ht="14" x14ac:dyDescent="0.35">
      <c r="A151" s="145"/>
      <c r="B151" s="93"/>
      <c r="C151" s="93"/>
      <c r="D151" s="93"/>
      <c r="E151" s="95"/>
      <c r="F151" s="95"/>
      <c r="G151" s="95"/>
      <c r="H151" s="93"/>
      <c r="I151" s="93"/>
      <c r="J151" s="93"/>
    </row>
    <row r="152" spans="1:10" s="65" customFormat="1" ht="14" x14ac:dyDescent="0.35">
      <c r="A152" s="145"/>
      <c r="B152" s="93"/>
      <c r="C152" s="93"/>
      <c r="D152" s="93"/>
      <c r="E152" s="95"/>
      <c r="F152" s="95"/>
      <c r="G152" s="95"/>
      <c r="H152" s="93"/>
      <c r="I152" s="93"/>
      <c r="J152" s="93"/>
    </row>
    <row r="153" spans="1:10" s="65" customFormat="1" ht="14" x14ac:dyDescent="0.35">
      <c r="A153" s="145"/>
      <c r="B153" s="93"/>
      <c r="C153" s="93"/>
      <c r="D153" s="93"/>
      <c r="E153" s="95"/>
      <c r="F153" s="95"/>
      <c r="G153" s="95"/>
      <c r="H153" s="93"/>
      <c r="I153" s="93"/>
      <c r="J153" s="93"/>
    </row>
    <row r="154" spans="1:10" s="65" customFormat="1" ht="14" x14ac:dyDescent="0.35">
      <c r="A154" s="145"/>
      <c r="B154" s="93"/>
      <c r="C154" s="93"/>
      <c r="D154" s="93"/>
      <c r="E154" s="95"/>
      <c r="F154" s="95"/>
      <c r="G154" s="95"/>
      <c r="H154" s="93"/>
      <c r="I154" s="93"/>
      <c r="J154" s="93"/>
    </row>
    <row r="155" spans="1:10" s="65" customFormat="1" ht="14" x14ac:dyDescent="0.35">
      <c r="A155" s="145"/>
      <c r="B155" s="93"/>
      <c r="C155" s="93"/>
      <c r="D155" s="93"/>
      <c r="E155" s="95"/>
      <c r="F155" s="95"/>
      <c r="G155" s="95"/>
      <c r="H155" s="93"/>
      <c r="I155" s="93"/>
      <c r="J155" s="93"/>
    </row>
    <row r="156" spans="1:10" s="65" customFormat="1" ht="14" x14ac:dyDescent="0.35">
      <c r="A156" s="145"/>
      <c r="B156" s="93"/>
      <c r="C156" s="93"/>
      <c r="D156" s="93"/>
      <c r="E156" s="95"/>
      <c r="F156" s="95"/>
      <c r="G156" s="95"/>
      <c r="H156" s="93"/>
      <c r="I156" s="93"/>
      <c r="J156" s="93"/>
    </row>
    <row r="157" spans="1:10" s="65" customFormat="1" ht="14" x14ac:dyDescent="0.35">
      <c r="A157" s="145"/>
      <c r="B157" s="93"/>
      <c r="C157" s="93"/>
      <c r="D157" s="93"/>
      <c r="E157" s="95"/>
      <c r="F157" s="95"/>
      <c r="G157" s="95"/>
      <c r="H157" s="93"/>
      <c r="I157" s="93"/>
      <c r="J157" s="93"/>
    </row>
    <row r="158" spans="1:10" s="65" customFormat="1" ht="14" x14ac:dyDescent="0.35">
      <c r="A158" s="145"/>
      <c r="B158" s="93"/>
      <c r="C158" s="93"/>
      <c r="D158" s="93"/>
      <c r="E158" s="95"/>
      <c r="F158" s="95"/>
      <c r="G158" s="95"/>
      <c r="H158" s="93"/>
      <c r="I158" s="93"/>
      <c r="J158" s="93"/>
    </row>
    <row r="159" spans="1:10" s="65" customFormat="1" ht="14" x14ac:dyDescent="0.35">
      <c r="A159" s="145"/>
      <c r="B159" s="93"/>
      <c r="C159" s="93"/>
      <c r="D159" s="93"/>
      <c r="E159" s="95"/>
      <c r="F159" s="95"/>
      <c r="G159" s="95"/>
      <c r="H159" s="93"/>
      <c r="I159" s="93"/>
      <c r="J159" s="93"/>
    </row>
    <row r="160" spans="1:10" s="65" customFormat="1" ht="14" x14ac:dyDescent="0.35">
      <c r="A160" s="145"/>
      <c r="B160" s="93"/>
      <c r="C160" s="93"/>
      <c r="D160" s="93"/>
      <c r="E160" s="95"/>
      <c r="F160" s="95"/>
      <c r="G160" s="95"/>
      <c r="H160" s="93"/>
      <c r="I160" s="93"/>
      <c r="J160" s="93"/>
    </row>
    <row r="161" spans="1:10" s="65" customFormat="1" ht="14" x14ac:dyDescent="0.35">
      <c r="A161" s="145"/>
      <c r="B161" s="93"/>
      <c r="C161" s="93"/>
      <c r="D161" s="93"/>
      <c r="E161" s="95"/>
      <c r="F161" s="95"/>
      <c r="G161" s="95"/>
      <c r="H161" s="93"/>
      <c r="I161" s="93"/>
      <c r="J161" s="93"/>
    </row>
    <row r="162" spans="1:10" s="65" customFormat="1" ht="14" x14ac:dyDescent="0.35">
      <c r="A162" s="145"/>
      <c r="B162" s="93"/>
      <c r="C162" s="93"/>
      <c r="D162" s="93"/>
      <c r="E162" s="95"/>
      <c r="F162" s="95"/>
      <c r="G162" s="95"/>
      <c r="H162" s="93"/>
      <c r="I162" s="93"/>
      <c r="J162" s="93"/>
    </row>
    <row r="163" spans="1:10" s="65" customFormat="1" ht="14" x14ac:dyDescent="0.35">
      <c r="A163" s="145"/>
      <c r="B163" s="93"/>
      <c r="C163" s="93"/>
      <c r="D163" s="93"/>
      <c r="E163" s="95"/>
      <c r="F163" s="95"/>
      <c r="G163" s="95"/>
      <c r="H163" s="93"/>
      <c r="I163" s="93"/>
      <c r="J163" s="93"/>
    </row>
    <row r="164" spans="1:10" s="65" customFormat="1" ht="14" x14ac:dyDescent="0.35">
      <c r="A164" s="145"/>
      <c r="B164" s="93"/>
      <c r="C164" s="93"/>
      <c r="D164" s="93"/>
      <c r="E164" s="95"/>
      <c r="F164" s="95"/>
      <c r="G164" s="95"/>
      <c r="H164" s="93"/>
      <c r="I164" s="93"/>
      <c r="J164" s="93"/>
    </row>
    <row r="165" spans="1:10" s="65" customFormat="1" ht="14" x14ac:dyDescent="0.35">
      <c r="A165" s="145"/>
      <c r="B165" s="93"/>
      <c r="C165" s="93"/>
      <c r="D165" s="93"/>
      <c r="E165" s="95"/>
      <c r="F165" s="95"/>
      <c r="G165" s="95"/>
      <c r="H165" s="93"/>
      <c r="I165" s="93"/>
      <c r="J165" s="93"/>
    </row>
    <row r="166" spans="1:10" s="65" customFormat="1" ht="14" x14ac:dyDescent="0.35">
      <c r="A166" s="145"/>
      <c r="B166" s="93"/>
      <c r="C166" s="93"/>
      <c r="D166" s="93"/>
      <c r="E166" s="95"/>
      <c r="F166" s="95"/>
      <c r="G166" s="95"/>
      <c r="H166" s="93"/>
      <c r="I166" s="93"/>
      <c r="J166" s="93"/>
    </row>
    <row r="167" spans="1:10" s="65" customFormat="1" ht="14" x14ac:dyDescent="0.35">
      <c r="A167" s="145"/>
      <c r="B167" s="93"/>
      <c r="C167" s="93"/>
      <c r="D167" s="93"/>
      <c r="E167" s="95"/>
      <c r="F167" s="95"/>
      <c r="G167" s="95"/>
      <c r="H167" s="93"/>
      <c r="I167" s="93"/>
      <c r="J167" s="93"/>
    </row>
    <row r="168" spans="1:10" s="65" customFormat="1" ht="14" x14ac:dyDescent="0.35">
      <c r="A168" s="145"/>
      <c r="B168" s="93"/>
      <c r="C168" s="93"/>
      <c r="D168" s="93"/>
      <c r="E168" s="95"/>
      <c r="F168" s="95"/>
      <c r="G168" s="95"/>
      <c r="H168" s="93"/>
      <c r="I168" s="93"/>
      <c r="J168" s="93"/>
    </row>
    <row r="169" spans="1:10" s="65" customFormat="1" ht="14" x14ac:dyDescent="0.35">
      <c r="A169" s="145"/>
      <c r="B169" s="93"/>
      <c r="C169" s="93"/>
      <c r="D169" s="93"/>
      <c r="E169" s="95"/>
      <c r="F169" s="95"/>
      <c r="G169" s="95"/>
      <c r="H169" s="93"/>
      <c r="I169" s="93"/>
      <c r="J169" s="93"/>
    </row>
    <row r="170" spans="1:10" s="65" customFormat="1" ht="14" x14ac:dyDescent="0.35">
      <c r="A170" s="145"/>
      <c r="B170" s="93"/>
      <c r="C170" s="93"/>
      <c r="D170" s="93"/>
      <c r="E170" s="95"/>
      <c r="F170" s="95"/>
      <c r="G170" s="95"/>
      <c r="H170" s="93"/>
      <c r="I170" s="93"/>
      <c r="J170" s="93"/>
    </row>
    <row r="171" spans="1:10" s="65" customFormat="1" ht="14" x14ac:dyDescent="0.35">
      <c r="A171" s="145"/>
      <c r="B171" s="93"/>
      <c r="C171" s="93"/>
      <c r="D171" s="93"/>
      <c r="E171" s="95"/>
      <c r="F171" s="95"/>
      <c r="G171" s="95"/>
      <c r="H171" s="93"/>
      <c r="I171" s="93"/>
      <c r="J171" s="93"/>
    </row>
    <row r="172" spans="1:10" s="65" customFormat="1" ht="14" x14ac:dyDescent="0.35">
      <c r="A172" s="145"/>
      <c r="B172" s="93"/>
      <c r="C172" s="93"/>
      <c r="D172" s="93"/>
      <c r="E172" s="95"/>
      <c r="F172" s="95"/>
      <c r="G172" s="95"/>
      <c r="H172" s="93"/>
      <c r="I172" s="93"/>
      <c r="J172" s="93"/>
    </row>
    <row r="173" spans="1:10" s="65" customFormat="1" ht="14" x14ac:dyDescent="0.35">
      <c r="A173" s="145"/>
      <c r="B173" s="93"/>
      <c r="C173" s="93"/>
      <c r="D173" s="93"/>
      <c r="E173" s="95"/>
      <c r="F173" s="95"/>
      <c r="G173" s="95"/>
      <c r="H173" s="93"/>
      <c r="I173" s="93"/>
      <c r="J173" s="93"/>
    </row>
    <row r="174" spans="1:10" s="65" customFormat="1" ht="14" x14ac:dyDescent="0.35">
      <c r="A174" s="145"/>
      <c r="B174" s="93"/>
      <c r="C174" s="93"/>
      <c r="D174" s="93"/>
      <c r="E174" s="95"/>
      <c r="F174" s="95"/>
      <c r="G174" s="95"/>
      <c r="H174" s="93"/>
      <c r="I174" s="93"/>
      <c r="J174" s="93"/>
    </row>
    <row r="175" spans="1:10" s="65" customFormat="1" ht="14" x14ac:dyDescent="0.35">
      <c r="A175" s="145"/>
      <c r="B175" s="93"/>
      <c r="C175" s="93"/>
      <c r="D175" s="93"/>
      <c r="E175" s="95"/>
      <c r="F175" s="95"/>
      <c r="G175" s="95"/>
      <c r="H175" s="93"/>
      <c r="I175" s="93"/>
      <c r="J175" s="93"/>
    </row>
    <row r="176" spans="1:10" s="65" customFormat="1" ht="14" x14ac:dyDescent="0.35">
      <c r="A176" s="145"/>
      <c r="B176" s="93"/>
      <c r="C176" s="93"/>
      <c r="D176" s="93"/>
      <c r="E176" s="95"/>
      <c r="F176" s="95"/>
      <c r="G176" s="95"/>
      <c r="H176" s="93"/>
      <c r="I176" s="93"/>
      <c r="J176" s="93"/>
    </row>
    <row r="177" spans="1:10" s="65" customFormat="1" ht="14" x14ac:dyDescent="0.35">
      <c r="A177" s="145"/>
      <c r="B177" s="93"/>
      <c r="C177" s="93"/>
      <c r="D177" s="93"/>
      <c r="E177" s="95"/>
      <c r="F177" s="95"/>
      <c r="G177" s="95"/>
      <c r="H177" s="93"/>
      <c r="I177" s="93"/>
      <c r="J177" s="93"/>
    </row>
    <row r="178" spans="1:10" s="65" customFormat="1" ht="14" x14ac:dyDescent="0.35">
      <c r="A178" s="145"/>
      <c r="B178" s="93"/>
      <c r="C178" s="93"/>
      <c r="D178" s="93"/>
      <c r="E178" s="95"/>
      <c r="F178" s="95"/>
      <c r="G178" s="95"/>
      <c r="H178" s="93"/>
      <c r="I178" s="93"/>
      <c r="J178" s="93"/>
    </row>
    <row r="179" spans="1:10" s="65" customFormat="1" ht="14" x14ac:dyDescent="0.35">
      <c r="A179" s="145"/>
      <c r="B179" s="93"/>
      <c r="C179" s="93"/>
      <c r="D179" s="93"/>
      <c r="E179" s="95"/>
      <c r="F179" s="95"/>
      <c r="G179" s="95"/>
      <c r="H179" s="93"/>
      <c r="I179" s="93"/>
      <c r="J179" s="93"/>
    </row>
    <row r="180" spans="1:10" s="65" customFormat="1" ht="14" x14ac:dyDescent="0.35">
      <c r="A180" s="145"/>
      <c r="B180" s="93"/>
      <c r="C180" s="93"/>
      <c r="D180" s="93"/>
      <c r="E180" s="95"/>
      <c r="F180" s="95"/>
      <c r="G180" s="95"/>
      <c r="H180" s="93"/>
      <c r="I180" s="93"/>
      <c r="J180" s="93"/>
    </row>
    <row r="181" spans="1:10" s="65" customFormat="1" ht="14" x14ac:dyDescent="0.35">
      <c r="A181" s="145"/>
      <c r="B181" s="93"/>
      <c r="C181" s="93"/>
      <c r="D181" s="93"/>
      <c r="E181" s="95"/>
      <c r="F181" s="95"/>
      <c r="G181" s="95"/>
      <c r="H181" s="93"/>
      <c r="I181" s="93"/>
      <c r="J181" s="93"/>
    </row>
    <row r="182" spans="1:10" s="65" customFormat="1" ht="14" x14ac:dyDescent="0.35">
      <c r="A182" s="145"/>
      <c r="B182" s="93"/>
      <c r="C182" s="93"/>
      <c r="D182" s="93"/>
      <c r="E182" s="95"/>
      <c r="F182" s="95"/>
      <c r="G182" s="95"/>
      <c r="H182" s="93"/>
      <c r="I182" s="93"/>
      <c r="J182" s="93"/>
    </row>
    <row r="183" spans="1:10" s="65" customFormat="1" ht="14" x14ac:dyDescent="0.35">
      <c r="A183" s="145"/>
      <c r="B183" s="93"/>
      <c r="C183" s="93"/>
      <c r="D183" s="93"/>
      <c r="E183" s="95"/>
      <c r="F183" s="95"/>
      <c r="G183" s="95"/>
      <c r="H183" s="93"/>
      <c r="I183" s="93"/>
      <c r="J183" s="93"/>
    </row>
    <row r="184" spans="1:10" s="65" customFormat="1" ht="14" x14ac:dyDescent="0.35">
      <c r="A184" s="145"/>
      <c r="B184" s="93"/>
      <c r="C184" s="93"/>
      <c r="D184" s="93"/>
      <c r="E184" s="95"/>
      <c r="F184" s="95"/>
      <c r="G184" s="95"/>
      <c r="H184" s="93"/>
      <c r="I184" s="93"/>
      <c r="J184" s="93"/>
    </row>
    <row r="185" spans="1:10" s="65" customFormat="1" ht="14" x14ac:dyDescent="0.35">
      <c r="A185" s="145"/>
      <c r="B185" s="93"/>
      <c r="C185" s="93"/>
      <c r="D185" s="93"/>
      <c r="E185" s="95"/>
      <c r="F185" s="95"/>
      <c r="G185" s="95"/>
      <c r="H185" s="93"/>
      <c r="I185" s="93"/>
      <c r="J185" s="93"/>
    </row>
    <row r="186" spans="1:10" s="65" customFormat="1" ht="14" x14ac:dyDescent="0.35">
      <c r="A186" s="145"/>
      <c r="B186" s="93"/>
      <c r="C186" s="93"/>
      <c r="D186" s="93"/>
      <c r="E186" s="95"/>
      <c r="F186" s="95"/>
      <c r="G186" s="95"/>
      <c r="H186" s="93"/>
      <c r="I186" s="93"/>
      <c r="J186" s="93"/>
    </row>
    <row r="187" spans="1:10" s="65" customFormat="1" ht="14" x14ac:dyDescent="0.35">
      <c r="A187" s="145"/>
      <c r="B187" s="93"/>
      <c r="C187" s="93"/>
      <c r="D187" s="93"/>
      <c r="E187" s="95"/>
      <c r="F187" s="95"/>
      <c r="G187" s="95"/>
      <c r="H187" s="93"/>
      <c r="I187" s="93"/>
      <c r="J187" s="93"/>
    </row>
    <row r="188" spans="1:10" s="65" customFormat="1" ht="14" x14ac:dyDescent="0.35">
      <c r="A188" s="145"/>
      <c r="B188" s="93"/>
      <c r="C188" s="93"/>
      <c r="D188" s="93"/>
      <c r="E188" s="95"/>
      <c r="F188" s="95"/>
      <c r="G188" s="95"/>
      <c r="H188" s="93"/>
      <c r="I188" s="93"/>
      <c r="J188" s="93"/>
    </row>
    <row r="189" spans="1:10" s="65" customFormat="1" ht="14" x14ac:dyDescent="0.35">
      <c r="A189" s="145"/>
      <c r="B189" s="93"/>
      <c r="C189" s="93"/>
      <c r="D189" s="93"/>
      <c r="E189" s="95"/>
      <c r="F189" s="95"/>
      <c r="G189" s="95"/>
      <c r="H189" s="93"/>
      <c r="I189" s="93"/>
      <c r="J189" s="93"/>
    </row>
    <row r="190" spans="1:10" s="65" customFormat="1" ht="14" x14ac:dyDescent="0.35">
      <c r="A190" s="145"/>
      <c r="B190" s="93"/>
      <c r="C190" s="93"/>
      <c r="D190" s="93"/>
      <c r="E190" s="95"/>
      <c r="F190" s="95"/>
      <c r="G190" s="95"/>
      <c r="H190" s="93"/>
      <c r="I190" s="93"/>
      <c r="J190" s="93"/>
    </row>
    <row r="191" spans="1:10" s="65" customFormat="1" ht="14" x14ac:dyDescent="0.35">
      <c r="A191" s="145"/>
      <c r="B191" s="93"/>
      <c r="C191" s="93"/>
      <c r="D191" s="93"/>
      <c r="E191" s="95"/>
      <c r="F191" s="95"/>
      <c r="G191" s="95"/>
      <c r="H191" s="93"/>
      <c r="I191" s="93"/>
      <c r="J191" s="93"/>
    </row>
    <row r="192" spans="1:10" s="65" customFormat="1" ht="14" x14ac:dyDescent="0.35">
      <c r="A192" s="145"/>
      <c r="B192" s="93"/>
      <c r="C192" s="93"/>
      <c r="D192" s="93"/>
      <c r="E192" s="95"/>
      <c r="F192" s="95"/>
      <c r="G192" s="95"/>
      <c r="H192" s="93"/>
      <c r="I192" s="93"/>
      <c r="J192" s="93"/>
    </row>
    <row r="193" spans="1:10" s="65" customFormat="1" ht="14" x14ac:dyDescent="0.35">
      <c r="A193" s="145"/>
      <c r="B193" s="93"/>
      <c r="C193" s="93"/>
      <c r="D193" s="93"/>
      <c r="E193" s="95"/>
      <c r="F193" s="95"/>
      <c r="G193" s="95"/>
      <c r="H193" s="93"/>
      <c r="I193" s="93"/>
      <c r="J193" s="93"/>
    </row>
    <row r="194" spans="1:10" s="65" customFormat="1" ht="14" x14ac:dyDescent="0.35">
      <c r="A194" s="145"/>
      <c r="B194" s="93"/>
      <c r="C194" s="93"/>
      <c r="D194" s="93"/>
      <c r="E194" s="95"/>
      <c r="F194" s="95"/>
      <c r="G194" s="95"/>
      <c r="H194" s="93"/>
      <c r="I194" s="93"/>
      <c r="J194" s="93"/>
    </row>
    <row r="195" spans="1:10" s="65" customFormat="1" ht="14" x14ac:dyDescent="0.35">
      <c r="A195" s="145"/>
      <c r="B195" s="93"/>
      <c r="C195" s="93"/>
      <c r="D195" s="93"/>
      <c r="E195" s="95"/>
      <c r="F195" s="95"/>
      <c r="G195" s="95"/>
      <c r="H195" s="93"/>
      <c r="I195" s="93"/>
      <c r="J195" s="93"/>
    </row>
    <row r="196" spans="1:10" s="65" customFormat="1" ht="14" x14ac:dyDescent="0.35">
      <c r="A196" s="145"/>
      <c r="B196" s="93"/>
      <c r="C196" s="93"/>
      <c r="D196" s="93"/>
      <c r="E196" s="95"/>
      <c r="F196" s="95"/>
      <c r="G196" s="95"/>
      <c r="H196" s="93"/>
      <c r="I196" s="93"/>
      <c r="J196" s="93"/>
    </row>
    <row r="197" spans="1:10" s="65" customFormat="1" ht="14" x14ac:dyDescent="0.35">
      <c r="A197" s="145"/>
      <c r="B197" s="93"/>
      <c r="C197" s="93"/>
      <c r="D197" s="93"/>
      <c r="E197" s="95"/>
      <c r="F197" s="95"/>
      <c r="G197" s="95"/>
      <c r="H197" s="93"/>
      <c r="I197" s="93"/>
      <c r="J197" s="93"/>
    </row>
    <row r="198" spans="1:10" s="65" customFormat="1" ht="14" x14ac:dyDescent="0.35">
      <c r="A198" s="145"/>
      <c r="B198" s="93"/>
      <c r="C198" s="93"/>
      <c r="D198" s="93"/>
      <c r="E198" s="95"/>
      <c r="F198" s="95"/>
      <c r="G198" s="95"/>
      <c r="H198" s="93"/>
      <c r="I198" s="93"/>
      <c r="J198" s="93"/>
    </row>
    <row r="199" spans="1:10" s="65" customFormat="1" ht="14" x14ac:dyDescent="0.35">
      <c r="A199" s="145"/>
      <c r="B199" s="93"/>
      <c r="C199" s="93"/>
      <c r="D199" s="93"/>
      <c r="E199" s="95"/>
      <c r="F199" s="95"/>
      <c r="G199" s="95"/>
      <c r="H199" s="93"/>
      <c r="I199" s="93"/>
      <c r="J199" s="93"/>
    </row>
    <row r="200" spans="1:10" s="65" customFormat="1" ht="14" x14ac:dyDescent="0.35">
      <c r="A200" s="145"/>
      <c r="B200" s="93"/>
      <c r="C200" s="93"/>
      <c r="D200" s="93"/>
      <c r="E200" s="95"/>
      <c r="F200" s="95"/>
      <c r="G200" s="95"/>
      <c r="H200" s="93"/>
      <c r="I200" s="93"/>
      <c r="J200" s="93"/>
    </row>
    <row r="201" spans="1:10" s="65" customFormat="1" ht="14" x14ac:dyDescent="0.35">
      <c r="A201" s="145"/>
      <c r="B201" s="93"/>
      <c r="C201" s="93"/>
      <c r="D201" s="93"/>
      <c r="E201" s="95"/>
      <c r="F201" s="95"/>
      <c r="G201" s="95"/>
      <c r="H201" s="93"/>
      <c r="I201" s="93"/>
      <c r="J201" s="93"/>
    </row>
    <row r="202" spans="1:10" s="65" customFormat="1" ht="14" x14ac:dyDescent="0.35">
      <c r="A202" s="145"/>
      <c r="B202" s="93"/>
      <c r="C202" s="93"/>
      <c r="D202" s="93"/>
      <c r="E202" s="95"/>
      <c r="F202" s="95"/>
      <c r="G202" s="95"/>
      <c r="H202" s="93"/>
      <c r="I202" s="93"/>
      <c r="J202" s="93"/>
    </row>
    <row r="203" spans="1:10" s="65" customFormat="1" ht="14" x14ac:dyDescent="0.35">
      <c r="A203" s="145"/>
      <c r="B203" s="93"/>
      <c r="C203" s="93"/>
      <c r="D203" s="93"/>
      <c r="E203" s="95"/>
      <c r="F203" s="95"/>
      <c r="G203" s="95"/>
      <c r="H203" s="93"/>
      <c r="I203" s="93"/>
      <c r="J203" s="93"/>
    </row>
    <row r="204" spans="1:10" s="65" customFormat="1" ht="14" x14ac:dyDescent="0.35">
      <c r="A204" s="145"/>
      <c r="B204" s="93"/>
      <c r="C204" s="93"/>
      <c r="D204" s="93"/>
      <c r="E204" s="95"/>
      <c r="F204" s="95"/>
      <c r="G204" s="95"/>
      <c r="H204" s="93"/>
      <c r="I204" s="93"/>
      <c r="J204" s="93"/>
    </row>
    <row r="205" spans="1:10" s="65" customFormat="1" ht="14" x14ac:dyDescent="0.35">
      <c r="A205" s="145"/>
      <c r="B205" s="93"/>
      <c r="C205" s="93"/>
      <c r="D205" s="93"/>
      <c r="E205" s="95"/>
      <c r="F205" s="95"/>
      <c r="G205" s="95"/>
      <c r="H205" s="93"/>
      <c r="I205" s="93"/>
      <c r="J205" s="93"/>
    </row>
    <row r="206" spans="1:10" s="65" customFormat="1" ht="14" x14ac:dyDescent="0.35">
      <c r="A206" s="145"/>
      <c r="B206" s="93"/>
      <c r="C206" s="93"/>
      <c r="D206" s="93"/>
      <c r="E206" s="95"/>
      <c r="F206" s="95"/>
      <c r="G206" s="95"/>
      <c r="H206" s="93"/>
      <c r="I206" s="93"/>
      <c r="J206" s="93"/>
    </row>
    <row r="207" spans="1:10" s="65" customFormat="1" ht="14" x14ac:dyDescent="0.35">
      <c r="A207" s="145"/>
      <c r="B207" s="93"/>
      <c r="C207" s="93"/>
      <c r="D207" s="93"/>
      <c r="E207" s="95"/>
      <c r="F207" s="95"/>
      <c r="G207" s="95"/>
      <c r="H207" s="93"/>
      <c r="I207" s="93"/>
      <c r="J207" s="93"/>
    </row>
    <row r="208" spans="1:10" s="65" customFormat="1" ht="14" x14ac:dyDescent="0.35">
      <c r="A208" s="145"/>
      <c r="B208" s="93"/>
      <c r="C208" s="93"/>
      <c r="D208" s="93"/>
      <c r="E208" s="95"/>
      <c r="F208" s="95"/>
      <c r="G208" s="95"/>
      <c r="H208" s="93"/>
      <c r="I208" s="93"/>
      <c r="J208" s="93"/>
    </row>
    <row r="209" spans="1:10" s="65" customFormat="1" ht="14" x14ac:dyDescent="0.35">
      <c r="A209" s="145"/>
      <c r="B209" s="93"/>
      <c r="C209" s="93"/>
      <c r="D209" s="93"/>
      <c r="E209" s="95"/>
      <c r="F209" s="95"/>
      <c r="G209" s="95"/>
      <c r="H209" s="93"/>
      <c r="I209" s="93"/>
      <c r="J209" s="93"/>
    </row>
    <row r="210" spans="1:10" s="65" customFormat="1" ht="14" x14ac:dyDescent="0.35">
      <c r="A210" s="145"/>
      <c r="B210" s="93"/>
      <c r="C210" s="93"/>
      <c r="D210" s="93"/>
      <c r="E210" s="95"/>
      <c r="F210" s="95"/>
      <c r="G210" s="95"/>
      <c r="H210" s="93"/>
      <c r="I210" s="93"/>
      <c r="J210" s="93"/>
    </row>
    <row r="211" spans="1:10" s="65" customFormat="1" ht="14" x14ac:dyDescent="0.35">
      <c r="A211" s="145"/>
      <c r="B211" s="93"/>
      <c r="C211" s="93"/>
      <c r="D211" s="93"/>
      <c r="E211" s="95"/>
      <c r="F211" s="95"/>
      <c r="G211" s="95"/>
      <c r="H211" s="93"/>
      <c r="I211" s="93"/>
      <c r="J211" s="93"/>
    </row>
    <row r="212" spans="1:10" s="65" customFormat="1" ht="14" x14ac:dyDescent="0.35">
      <c r="A212" s="145"/>
      <c r="B212" s="93"/>
      <c r="C212" s="93"/>
      <c r="D212" s="93"/>
      <c r="E212" s="95"/>
      <c r="F212" s="95"/>
      <c r="G212" s="95"/>
      <c r="H212" s="93"/>
      <c r="I212" s="93"/>
      <c r="J212" s="93"/>
    </row>
    <row r="213" spans="1:10" s="65" customFormat="1" ht="14" x14ac:dyDescent="0.35">
      <c r="A213" s="145"/>
      <c r="B213" s="93"/>
      <c r="C213" s="93"/>
      <c r="D213" s="93"/>
      <c r="E213" s="95"/>
      <c r="F213" s="95"/>
      <c r="G213" s="95"/>
      <c r="H213" s="93"/>
      <c r="I213" s="93"/>
      <c r="J213" s="93"/>
    </row>
    <row r="214" spans="1:10" s="65" customFormat="1" ht="14" x14ac:dyDescent="0.35">
      <c r="A214" s="145"/>
      <c r="B214" s="93"/>
      <c r="C214" s="93"/>
      <c r="D214" s="93"/>
      <c r="E214" s="95"/>
      <c r="F214" s="95"/>
      <c r="G214" s="95"/>
      <c r="H214" s="93"/>
      <c r="I214" s="93"/>
      <c r="J214" s="93"/>
    </row>
    <row r="215" spans="1:10" s="65" customFormat="1" ht="14" x14ac:dyDescent="0.35">
      <c r="A215" s="145"/>
      <c r="B215" s="93"/>
      <c r="C215" s="93"/>
      <c r="D215" s="93"/>
      <c r="E215" s="95"/>
      <c r="F215" s="95"/>
      <c r="G215" s="95"/>
      <c r="H215" s="93"/>
      <c r="I215" s="93"/>
      <c r="J215" s="93"/>
    </row>
    <row r="216" spans="1:10" s="65" customFormat="1" ht="14" x14ac:dyDescent="0.35">
      <c r="A216" s="145"/>
      <c r="B216" s="93"/>
      <c r="C216" s="93"/>
      <c r="D216" s="93"/>
      <c r="E216" s="95"/>
      <c r="F216" s="95"/>
      <c r="G216" s="95"/>
      <c r="H216" s="93"/>
      <c r="I216" s="93"/>
      <c r="J216" s="93"/>
    </row>
    <row r="217" spans="1:10" s="65" customFormat="1" ht="14" x14ac:dyDescent="0.35">
      <c r="A217" s="145"/>
      <c r="B217" s="93"/>
      <c r="C217" s="93"/>
      <c r="D217" s="93"/>
      <c r="E217" s="95"/>
      <c r="F217" s="95"/>
      <c r="G217" s="95"/>
      <c r="H217" s="93"/>
      <c r="I217" s="93"/>
      <c r="J217" s="93"/>
    </row>
    <row r="218" spans="1:10" s="65" customFormat="1" ht="14" x14ac:dyDescent="0.35">
      <c r="A218" s="145"/>
      <c r="B218" s="93"/>
      <c r="C218" s="93"/>
      <c r="D218" s="93"/>
      <c r="E218" s="95"/>
      <c r="F218" s="95"/>
      <c r="G218" s="95"/>
      <c r="H218" s="93"/>
      <c r="I218" s="93"/>
      <c r="J218" s="93"/>
    </row>
    <row r="219" spans="1:10" s="65" customFormat="1" ht="14" x14ac:dyDescent="0.35">
      <c r="A219" s="145"/>
      <c r="B219" s="93"/>
      <c r="C219" s="93"/>
      <c r="D219" s="93"/>
      <c r="E219" s="95"/>
      <c r="F219" s="95"/>
      <c r="G219" s="95"/>
      <c r="H219" s="93"/>
      <c r="I219" s="93"/>
      <c r="J219" s="93"/>
    </row>
    <row r="220" spans="1:10" s="65" customFormat="1" ht="14" x14ac:dyDescent="0.35">
      <c r="A220" s="145"/>
      <c r="B220" s="93"/>
      <c r="C220" s="93"/>
      <c r="D220" s="93"/>
      <c r="E220" s="95"/>
      <c r="F220" s="95"/>
      <c r="G220" s="95"/>
      <c r="H220" s="93"/>
      <c r="I220" s="93"/>
      <c r="J220" s="93"/>
    </row>
    <row r="221" spans="1:10" s="65" customFormat="1" ht="14" x14ac:dyDescent="0.35">
      <c r="A221" s="145"/>
      <c r="B221" s="93"/>
      <c r="C221" s="93"/>
      <c r="D221" s="93"/>
      <c r="E221" s="95"/>
      <c r="F221" s="95"/>
      <c r="G221" s="95"/>
      <c r="H221" s="93"/>
      <c r="I221" s="93"/>
      <c r="J221" s="93"/>
    </row>
    <row r="222" spans="1:10" s="65" customFormat="1" ht="14" x14ac:dyDescent="0.35">
      <c r="A222" s="145"/>
      <c r="B222" s="93"/>
      <c r="C222" s="93"/>
      <c r="D222" s="93"/>
      <c r="E222" s="95"/>
      <c r="F222" s="95"/>
      <c r="G222" s="95"/>
      <c r="H222" s="93"/>
      <c r="I222" s="93"/>
      <c r="J222" s="93"/>
    </row>
    <row r="223" spans="1:10" s="65" customFormat="1" ht="14" x14ac:dyDescent="0.35">
      <c r="A223" s="145"/>
      <c r="B223" s="93"/>
      <c r="C223" s="93"/>
      <c r="D223" s="93"/>
      <c r="E223" s="95"/>
      <c r="F223" s="95"/>
      <c r="G223" s="95"/>
      <c r="H223" s="93"/>
      <c r="I223" s="93"/>
      <c r="J223" s="93"/>
    </row>
    <row r="224" spans="1:10" s="65" customFormat="1" ht="14" x14ac:dyDescent="0.35">
      <c r="A224" s="145"/>
      <c r="B224" s="93"/>
      <c r="C224" s="93"/>
      <c r="D224" s="93"/>
      <c r="E224" s="95"/>
      <c r="F224" s="95"/>
      <c r="G224" s="95"/>
      <c r="H224" s="93"/>
      <c r="I224" s="93"/>
      <c r="J224" s="93"/>
    </row>
    <row r="225" spans="1:10" s="65" customFormat="1" ht="14" x14ac:dyDescent="0.35">
      <c r="A225" s="145"/>
      <c r="B225" s="93"/>
      <c r="C225" s="93"/>
      <c r="D225" s="93"/>
      <c r="E225" s="95"/>
      <c r="F225" s="95"/>
      <c r="G225" s="95"/>
      <c r="H225" s="93"/>
      <c r="I225" s="93"/>
      <c r="J225" s="93"/>
    </row>
    <row r="226" spans="1:10" s="65" customFormat="1" ht="14" x14ac:dyDescent="0.35">
      <c r="A226" s="145"/>
      <c r="B226" s="93"/>
      <c r="C226" s="93"/>
      <c r="D226" s="93"/>
      <c r="E226" s="95"/>
      <c r="F226" s="95"/>
      <c r="G226" s="95"/>
      <c r="H226" s="93"/>
      <c r="I226" s="93"/>
      <c r="J226" s="93"/>
    </row>
    <row r="227" spans="1:10" s="65" customFormat="1" ht="14" x14ac:dyDescent="0.35">
      <c r="A227" s="145"/>
      <c r="B227" s="93"/>
      <c r="C227" s="93"/>
      <c r="D227" s="93"/>
      <c r="E227" s="95"/>
      <c r="F227" s="95"/>
      <c r="G227" s="95"/>
      <c r="H227" s="93"/>
      <c r="I227" s="93"/>
      <c r="J227" s="93"/>
    </row>
    <row r="228" spans="1:10" s="65" customFormat="1" ht="14" x14ac:dyDescent="0.35">
      <c r="A228" s="145"/>
      <c r="B228" s="93"/>
      <c r="C228" s="93"/>
      <c r="D228" s="93"/>
      <c r="E228" s="95"/>
      <c r="F228" s="95"/>
      <c r="G228" s="95"/>
      <c r="H228" s="93"/>
      <c r="I228" s="93"/>
      <c r="J228" s="93"/>
    </row>
    <row r="229" spans="1:10" s="65" customFormat="1" ht="14" x14ac:dyDescent="0.35">
      <c r="A229" s="145"/>
      <c r="B229" s="93"/>
      <c r="C229" s="93"/>
      <c r="D229" s="93"/>
      <c r="E229" s="95"/>
      <c r="F229" s="95"/>
      <c r="G229" s="95"/>
      <c r="H229" s="93"/>
      <c r="I229" s="93"/>
      <c r="J229" s="93"/>
    </row>
    <row r="230" spans="1:10" s="65" customFormat="1" ht="14" x14ac:dyDescent="0.35">
      <c r="A230" s="145"/>
      <c r="B230" s="93"/>
      <c r="C230" s="93"/>
      <c r="D230" s="93"/>
      <c r="E230" s="95"/>
      <c r="F230" s="95"/>
      <c r="G230" s="95"/>
      <c r="H230" s="93"/>
      <c r="I230" s="93"/>
      <c r="J230" s="93"/>
    </row>
    <row r="231" spans="1:10" s="65" customFormat="1" ht="14" x14ac:dyDescent="0.35">
      <c r="A231" s="145"/>
      <c r="B231" s="93"/>
      <c r="C231" s="93"/>
      <c r="D231" s="93"/>
      <c r="E231" s="95"/>
      <c r="F231" s="95"/>
      <c r="G231" s="95"/>
      <c r="H231" s="93"/>
      <c r="I231" s="93"/>
      <c r="J231" s="93"/>
    </row>
    <row r="232" spans="1:10" s="65" customFormat="1" ht="14" x14ac:dyDescent="0.35">
      <c r="A232" s="145"/>
      <c r="B232" s="93"/>
      <c r="C232" s="93"/>
      <c r="D232" s="93"/>
      <c r="E232" s="95"/>
      <c r="F232" s="95"/>
      <c r="G232" s="95"/>
      <c r="H232" s="93"/>
      <c r="I232" s="93"/>
      <c r="J232" s="93"/>
    </row>
    <row r="233" spans="1:10" s="65" customFormat="1" ht="14" x14ac:dyDescent="0.35">
      <c r="A233" s="145"/>
      <c r="B233" s="93"/>
      <c r="C233" s="93"/>
      <c r="D233" s="93"/>
      <c r="E233" s="95"/>
      <c r="F233" s="95"/>
      <c r="G233" s="95"/>
      <c r="H233" s="93"/>
      <c r="I233" s="93"/>
      <c r="J233" s="93"/>
    </row>
    <row r="234" spans="1:10" s="65" customFormat="1" ht="14" x14ac:dyDescent="0.35">
      <c r="A234" s="145"/>
      <c r="B234" s="93"/>
      <c r="C234" s="93"/>
      <c r="D234" s="93"/>
      <c r="E234" s="95"/>
      <c r="F234" s="95"/>
      <c r="G234" s="95"/>
      <c r="H234" s="93"/>
      <c r="I234" s="93"/>
      <c r="J234" s="93"/>
    </row>
    <row r="235" spans="1:10" s="65" customFormat="1" ht="14" x14ac:dyDescent="0.35">
      <c r="A235" s="145"/>
      <c r="B235" s="93"/>
      <c r="C235" s="93"/>
      <c r="D235" s="93"/>
      <c r="E235" s="95"/>
      <c r="F235" s="95"/>
      <c r="G235" s="95"/>
      <c r="H235" s="93"/>
      <c r="I235" s="93"/>
      <c r="J235" s="93"/>
    </row>
    <row r="236" spans="1:10" s="65" customFormat="1" ht="14" x14ac:dyDescent="0.35">
      <c r="A236" s="145"/>
      <c r="B236" s="93"/>
      <c r="C236" s="93"/>
      <c r="D236" s="93"/>
      <c r="E236" s="95"/>
      <c r="F236" s="95"/>
      <c r="G236" s="95"/>
      <c r="H236" s="93"/>
      <c r="I236" s="93"/>
      <c r="J236" s="93"/>
    </row>
    <row r="237" spans="1:10" s="65" customFormat="1" ht="14" x14ac:dyDescent="0.35">
      <c r="A237" s="145"/>
      <c r="B237" s="93"/>
      <c r="C237" s="93"/>
      <c r="D237" s="93"/>
      <c r="E237" s="95"/>
      <c r="F237" s="95"/>
      <c r="G237" s="95"/>
      <c r="H237" s="93"/>
      <c r="I237" s="93"/>
      <c r="J237" s="93"/>
    </row>
    <row r="238" spans="1:10" s="65" customFormat="1" ht="14" x14ac:dyDescent="0.35">
      <c r="A238" s="145"/>
      <c r="B238" s="93"/>
      <c r="C238" s="93"/>
      <c r="D238" s="93"/>
      <c r="E238" s="95"/>
      <c r="F238" s="95"/>
      <c r="G238" s="95"/>
      <c r="H238" s="93"/>
      <c r="I238" s="93"/>
      <c r="J238" s="93"/>
    </row>
    <row r="239" spans="1:10" s="65" customFormat="1" ht="14" x14ac:dyDescent="0.35">
      <c r="A239" s="145"/>
      <c r="B239" s="93"/>
      <c r="C239" s="93"/>
      <c r="D239" s="93"/>
      <c r="E239" s="95"/>
      <c r="F239" s="95"/>
      <c r="G239" s="95"/>
      <c r="H239" s="93"/>
      <c r="I239" s="93"/>
      <c r="J239" s="93"/>
    </row>
    <row r="240" spans="1:10" s="65" customFormat="1" ht="14" x14ac:dyDescent="0.35">
      <c r="A240" s="145"/>
      <c r="B240" s="93"/>
      <c r="C240" s="93"/>
      <c r="D240" s="93"/>
      <c r="E240" s="95"/>
      <c r="F240" s="95"/>
      <c r="G240" s="95"/>
      <c r="H240" s="93"/>
      <c r="I240" s="93"/>
      <c r="J240" s="93"/>
    </row>
    <row r="241" spans="1:10" s="65" customFormat="1" ht="14" x14ac:dyDescent="0.35">
      <c r="A241" s="145"/>
      <c r="B241" s="93"/>
      <c r="C241" s="93"/>
      <c r="D241" s="93"/>
      <c r="E241" s="95"/>
      <c r="F241" s="95"/>
      <c r="G241" s="95"/>
      <c r="H241" s="93"/>
      <c r="I241" s="93"/>
      <c r="J241" s="93"/>
    </row>
    <row r="242" spans="1:10" s="65" customFormat="1" ht="14" x14ac:dyDescent="0.35">
      <c r="A242" s="145"/>
      <c r="B242" s="93"/>
      <c r="C242" s="93"/>
      <c r="D242" s="93"/>
      <c r="E242" s="95"/>
      <c r="F242" s="95"/>
      <c r="G242" s="95"/>
      <c r="H242" s="93"/>
      <c r="I242" s="93"/>
      <c r="J242" s="93"/>
    </row>
    <row r="243" spans="1:10" s="65" customFormat="1" ht="14" x14ac:dyDescent="0.35">
      <c r="A243" s="145"/>
      <c r="B243" s="93"/>
      <c r="C243" s="93"/>
      <c r="D243" s="93"/>
      <c r="E243" s="95"/>
      <c r="F243" s="95"/>
      <c r="G243" s="95"/>
      <c r="H243" s="93"/>
      <c r="I243" s="93"/>
      <c r="J243" s="93"/>
    </row>
    <row r="244" spans="1:10" s="65" customFormat="1" ht="14" x14ac:dyDescent="0.35">
      <c r="A244" s="145"/>
      <c r="B244" s="93"/>
      <c r="C244" s="93"/>
      <c r="D244" s="93"/>
      <c r="E244" s="95"/>
      <c r="F244" s="95"/>
      <c r="G244" s="95"/>
      <c r="H244" s="93"/>
      <c r="I244" s="93"/>
      <c r="J244" s="93"/>
    </row>
    <row r="245" spans="1:10" s="65" customFormat="1" ht="14" x14ac:dyDescent="0.35">
      <c r="A245" s="145"/>
      <c r="B245" s="93"/>
      <c r="C245" s="93"/>
      <c r="D245" s="93"/>
      <c r="E245" s="95"/>
      <c r="F245" s="95"/>
      <c r="G245" s="95"/>
      <c r="H245" s="93"/>
      <c r="I245" s="93"/>
      <c r="J245" s="93"/>
    </row>
    <row r="246" spans="1:10" s="65" customFormat="1" ht="14" x14ac:dyDescent="0.35">
      <c r="A246" s="145"/>
      <c r="B246" s="93"/>
      <c r="C246" s="93"/>
      <c r="D246" s="93"/>
      <c r="E246" s="95"/>
      <c r="F246" s="95"/>
      <c r="G246" s="95"/>
      <c r="H246" s="93"/>
      <c r="I246" s="93"/>
      <c r="J246" s="93"/>
    </row>
    <row r="247" spans="1:10" s="65" customFormat="1" ht="14" x14ac:dyDescent="0.35">
      <c r="A247" s="145"/>
      <c r="B247" s="93"/>
      <c r="C247" s="93"/>
      <c r="D247" s="93"/>
      <c r="E247" s="95"/>
      <c r="F247" s="95"/>
      <c r="G247" s="95"/>
      <c r="H247" s="93"/>
      <c r="I247" s="93"/>
      <c r="J247" s="93"/>
    </row>
    <row r="248" spans="1:10" s="65" customFormat="1" ht="14" x14ac:dyDescent="0.35">
      <c r="A248" s="145"/>
      <c r="B248" s="93"/>
      <c r="C248" s="93"/>
      <c r="D248" s="93"/>
      <c r="E248" s="95"/>
      <c r="F248" s="95"/>
      <c r="G248" s="95"/>
      <c r="H248" s="93"/>
      <c r="I248" s="93"/>
      <c r="J248" s="93"/>
    </row>
    <row r="249" spans="1:10" s="65" customFormat="1" ht="14" x14ac:dyDescent="0.35">
      <c r="A249" s="145"/>
      <c r="B249" s="93"/>
      <c r="C249" s="93"/>
      <c r="D249" s="93"/>
      <c r="E249" s="95"/>
      <c r="F249" s="95"/>
      <c r="G249" s="95"/>
      <c r="H249" s="93"/>
      <c r="I249" s="93"/>
      <c r="J249" s="93"/>
    </row>
    <row r="250" spans="1:10" s="65" customFormat="1" ht="14" x14ac:dyDescent="0.35">
      <c r="A250" s="145"/>
      <c r="B250" s="93"/>
      <c r="C250" s="93"/>
      <c r="D250" s="93"/>
      <c r="E250" s="95"/>
      <c r="F250" s="95"/>
      <c r="G250" s="95"/>
      <c r="H250" s="93"/>
      <c r="I250" s="93"/>
      <c r="J250" s="93"/>
    </row>
    <row r="251" spans="1:10" s="65" customFormat="1" ht="14" x14ac:dyDescent="0.35">
      <c r="A251" s="145"/>
      <c r="B251" s="93"/>
      <c r="C251" s="93"/>
      <c r="D251" s="93"/>
      <c r="E251" s="95"/>
      <c r="F251" s="95"/>
      <c r="G251" s="95"/>
      <c r="H251" s="93"/>
      <c r="I251" s="93"/>
      <c r="J251" s="93"/>
    </row>
    <row r="252" spans="1:10" s="65" customFormat="1" ht="14" x14ac:dyDescent="0.35">
      <c r="A252" s="145"/>
      <c r="B252" s="93"/>
      <c r="C252" s="93"/>
      <c r="D252" s="93"/>
      <c r="E252" s="95"/>
      <c r="F252" s="95"/>
      <c r="G252" s="95"/>
      <c r="H252" s="93"/>
      <c r="I252" s="93"/>
      <c r="J252" s="93"/>
    </row>
    <row r="253" spans="1:10" s="65" customFormat="1" ht="14" x14ac:dyDescent="0.35">
      <c r="A253" s="145"/>
      <c r="B253" s="93"/>
      <c r="C253" s="93"/>
      <c r="D253" s="93"/>
      <c r="E253" s="95"/>
      <c r="F253" s="95"/>
      <c r="G253" s="95"/>
      <c r="H253" s="93"/>
      <c r="I253" s="93"/>
      <c r="J253" s="93"/>
    </row>
    <row r="254" spans="1:10" s="65" customFormat="1" ht="14" x14ac:dyDescent="0.35">
      <c r="A254" s="145"/>
      <c r="B254" s="93"/>
      <c r="C254" s="93"/>
      <c r="D254" s="93"/>
      <c r="E254" s="95"/>
      <c r="F254" s="95"/>
      <c r="G254" s="95"/>
      <c r="H254" s="93"/>
      <c r="I254" s="93"/>
      <c r="J254" s="93"/>
    </row>
    <row r="255" spans="1:10" s="65" customFormat="1" ht="14" x14ac:dyDescent="0.35">
      <c r="A255" s="145"/>
      <c r="B255" s="93"/>
      <c r="C255" s="93"/>
      <c r="D255" s="93"/>
      <c r="E255" s="95"/>
      <c r="F255" s="95"/>
      <c r="G255" s="95"/>
      <c r="H255" s="93"/>
      <c r="I255" s="93"/>
      <c r="J255" s="93"/>
    </row>
    <row r="256" spans="1:10" s="65" customFormat="1" ht="14" x14ac:dyDescent="0.35">
      <c r="A256" s="145"/>
      <c r="B256" s="93"/>
      <c r="C256" s="93"/>
      <c r="D256" s="93"/>
      <c r="E256" s="95"/>
      <c r="F256" s="95"/>
      <c r="G256" s="95"/>
      <c r="H256" s="93"/>
      <c r="I256" s="93"/>
      <c r="J256" s="93"/>
    </row>
    <row r="257" spans="1:10" s="65" customFormat="1" ht="14" x14ac:dyDescent="0.35">
      <c r="A257" s="145"/>
      <c r="B257" s="93"/>
      <c r="C257" s="93"/>
      <c r="D257" s="93"/>
      <c r="E257" s="95"/>
      <c r="F257" s="95"/>
      <c r="G257" s="95"/>
      <c r="H257" s="93"/>
      <c r="I257" s="93"/>
      <c r="J257" s="93"/>
    </row>
    <row r="258" spans="1:10" s="65" customFormat="1" ht="14" x14ac:dyDescent="0.35">
      <c r="A258" s="145"/>
      <c r="B258" s="93"/>
      <c r="C258" s="93"/>
      <c r="D258" s="93"/>
      <c r="E258" s="95"/>
      <c r="F258" s="95"/>
      <c r="G258" s="95"/>
      <c r="H258" s="93"/>
      <c r="I258" s="93"/>
      <c r="J258" s="93"/>
    </row>
    <row r="259" spans="1:10" s="65" customFormat="1" ht="14" x14ac:dyDescent="0.35">
      <c r="A259" s="145"/>
      <c r="B259" s="93"/>
      <c r="C259" s="93"/>
      <c r="D259" s="93"/>
      <c r="E259" s="95"/>
      <c r="F259" s="95"/>
      <c r="G259" s="95"/>
      <c r="H259" s="93"/>
      <c r="I259" s="93"/>
      <c r="J259" s="93"/>
    </row>
    <row r="260" spans="1:10" s="65" customFormat="1" ht="14" x14ac:dyDescent="0.35">
      <c r="A260" s="145"/>
      <c r="B260" s="93"/>
      <c r="C260" s="93"/>
      <c r="D260" s="93"/>
      <c r="E260" s="95"/>
      <c r="F260" s="95"/>
      <c r="G260" s="95"/>
      <c r="H260" s="93"/>
      <c r="I260" s="93"/>
      <c r="J260" s="93"/>
    </row>
    <row r="261" spans="1:10" s="65" customFormat="1" ht="14" x14ac:dyDescent="0.35">
      <c r="A261" s="145"/>
      <c r="B261" s="93"/>
      <c r="C261" s="93"/>
      <c r="D261" s="93"/>
      <c r="E261" s="95"/>
      <c r="F261" s="95"/>
      <c r="G261" s="95"/>
      <c r="H261" s="93"/>
      <c r="I261" s="93"/>
      <c r="J261" s="93"/>
    </row>
    <row r="262" spans="1:10" s="65" customFormat="1" ht="14" x14ac:dyDescent="0.35">
      <c r="A262" s="145"/>
      <c r="B262" s="93"/>
      <c r="C262" s="93"/>
      <c r="D262" s="93"/>
      <c r="E262" s="95"/>
      <c r="F262" s="95"/>
      <c r="G262" s="95"/>
      <c r="H262" s="93"/>
      <c r="I262" s="93"/>
      <c r="J262" s="93"/>
    </row>
    <row r="263" spans="1:10" s="65" customFormat="1" ht="14" x14ac:dyDescent="0.35">
      <c r="A263" s="145"/>
      <c r="B263" s="93"/>
      <c r="C263" s="93"/>
      <c r="D263" s="93"/>
      <c r="E263" s="95"/>
      <c r="F263" s="95"/>
      <c r="G263" s="95"/>
      <c r="H263" s="93"/>
      <c r="I263" s="93"/>
      <c r="J263" s="93"/>
    </row>
    <row r="264" spans="1:10" s="65" customFormat="1" ht="14" x14ac:dyDescent="0.35">
      <c r="A264" s="145"/>
      <c r="B264" s="93"/>
      <c r="C264" s="93"/>
      <c r="D264" s="93"/>
      <c r="E264" s="95"/>
      <c r="F264" s="95"/>
      <c r="G264" s="95"/>
      <c r="H264" s="93"/>
      <c r="I264" s="93"/>
      <c r="J264" s="93"/>
    </row>
    <row r="265" spans="1:10" s="65" customFormat="1" ht="14" x14ac:dyDescent="0.35">
      <c r="A265" s="145"/>
      <c r="B265" s="93"/>
      <c r="C265" s="93"/>
      <c r="D265" s="93"/>
      <c r="E265" s="95"/>
      <c r="F265" s="95"/>
      <c r="G265" s="95"/>
      <c r="H265" s="93"/>
      <c r="I265" s="93"/>
      <c r="J265" s="93"/>
    </row>
    <row r="266" spans="1:10" s="65" customFormat="1" ht="14" x14ac:dyDescent="0.35">
      <c r="A266" s="145"/>
      <c r="B266" s="93"/>
      <c r="C266" s="93"/>
      <c r="D266" s="93"/>
      <c r="E266" s="95"/>
      <c r="F266" s="95"/>
      <c r="G266" s="95"/>
      <c r="H266" s="93"/>
      <c r="I266" s="93"/>
      <c r="J266" s="93"/>
    </row>
    <row r="267" spans="1:10" s="65" customFormat="1" ht="14" x14ac:dyDescent="0.35">
      <c r="A267" s="145"/>
      <c r="B267" s="93"/>
      <c r="C267" s="93"/>
      <c r="D267" s="93"/>
      <c r="E267" s="95"/>
      <c r="F267" s="95"/>
      <c r="G267" s="95"/>
      <c r="H267" s="93"/>
      <c r="I267" s="93"/>
      <c r="J267" s="93"/>
    </row>
    <row r="268" spans="1:10" s="65" customFormat="1" ht="14" x14ac:dyDescent="0.35">
      <c r="A268" s="145"/>
      <c r="B268" s="93"/>
      <c r="C268" s="93"/>
      <c r="D268" s="93"/>
      <c r="E268" s="95"/>
      <c r="F268" s="95"/>
      <c r="G268" s="95"/>
      <c r="H268" s="93"/>
      <c r="I268" s="93"/>
      <c r="J268" s="93"/>
    </row>
    <row r="269" spans="1:10" s="65" customFormat="1" ht="14" x14ac:dyDescent="0.35">
      <c r="A269" s="145"/>
      <c r="B269" s="93"/>
      <c r="C269" s="93"/>
      <c r="D269" s="93"/>
      <c r="E269" s="95"/>
      <c r="F269" s="95"/>
      <c r="G269" s="95"/>
      <c r="H269" s="93"/>
      <c r="I269" s="93"/>
      <c r="J269" s="93"/>
    </row>
    <row r="270" spans="1:10" s="65" customFormat="1" ht="14" x14ac:dyDescent="0.35">
      <c r="A270" s="145"/>
      <c r="B270" s="93"/>
      <c r="C270" s="93"/>
      <c r="D270" s="93"/>
      <c r="E270" s="95"/>
      <c r="F270" s="95"/>
      <c r="G270" s="95"/>
      <c r="H270" s="93"/>
      <c r="I270" s="93"/>
      <c r="J270" s="93"/>
    </row>
    <row r="271" spans="1:10" s="65" customFormat="1" ht="14" x14ac:dyDescent="0.35">
      <c r="A271" s="145"/>
      <c r="B271" s="93"/>
      <c r="C271" s="93"/>
      <c r="D271" s="93"/>
      <c r="E271" s="95"/>
      <c r="F271" s="95"/>
      <c r="G271" s="95"/>
      <c r="H271" s="93"/>
      <c r="I271" s="93"/>
      <c r="J271" s="93"/>
    </row>
    <row r="272" spans="1:10" s="65" customFormat="1" ht="14" x14ac:dyDescent="0.35">
      <c r="A272" s="145"/>
      <c r="B272" s="93"/>
      <c r="C272" s="93"/>
      <c r="D272" s="93"/>
      <c r="E272" s="95"/>
      <c r="F272" s="95"/>
      <c r="G272" s="95"/>
      <c r="H272" s="93"/>
      <c r="I272" s="93"/>
      <c r="J272" s="93"/>
    </row>
    <row r="273" spans="1:10" s="65" customFormat="1" ht="14" x14ac:dyDescent="0.35">
      <c r="A273" s="145"/>
      <c r="B273" s="93"/>
      <c r="C273" s="93"/>
      <c r="D273" s="93"/>
      <c r="E273" s="95"/>
      <c r="F273" s="95"/>
      <c r="G273" s="95"/>
      <c r="H273" s="93"/>
      <c r="I273" s="93"/>
      <c r="J273" s="93"/>
    </row>
    <row r="274" spans="1:10" s="65" customFormat="1" ht="14" x14ac:dyDescent="0.35">
      <c r="A274" s="145"/>
      <c r="B274" s="93"/>
      <c r="C274" s="93"/>
      <c r="D274" s="93"/>
      <c r="E274" s="95"/>
      <c r="F274" s="95"/>
      <c r="G274" s="95"/>
      <c r="H274" s="93"/>
      <c r="I274" s="93"/>
      <c r="J274" s="93"/>
    </row>
    <row r="275" spans="1:10" s="65" customFormat="1" ht="14" x14ac:dyDescent="0.35">
      <c r="A275" s="145"/>
      <c r="B275" s="93"/>
      <c r="C275" s="93"/>
      <c r="D275" s="93"/>
      <c r="E275" s="95"/>
      <c r="F275" s="95"/>
      <c r="G275" s="95"/>
      <c r="H275" s="93"/>
      <c r="I275" s="93"/>
      <c r="J275" s="93"/>
    </row>
    <row r="276" spans="1:10" s="65" customFormat="1" ht="14" x14ac:dyDescent="0.35">
      <c r="A276" s="145"/>
      <c r="B276" s="93"/>
      <c r="C276" s="93"/>
      <c r="D276" s="93"/>
      <c r="E276" s="95"/>
      <c r="F276" s="95"/>
      <c r="G276" s="95"/>
      <c r="H276" s="93"/>
      <c r="I276" s="93"/>
      <c r="J276" s="93"/>
    </row>
    <row r="277" spans="1:10" s="65" customFormat="1" ht="14" x14ac:dyDescent="0.35">
      <c r="A277" s="145"/>
      <c r="B277" s="93"/>
      <c r="C277" s="93"/>
      <c r="D277" s="93"/>
      <c r="E277" s="95"/>
      <c r="F277" s="95"/>
      <c r="G277" s="95"/>
      <c r="H277" s="93"/>
      <c r="I277" s="93"/>
      <c r="J277" s="93"/>
    </row>
    <row r="278" spans="1:10" s="65" customFormat="1" ht="14" x14ac:dyDescent="0.35">
      <c r="A278" s="145"/>
      <c r="B278" s="93"/>
      <c r="C278" s="93"/>
      <c r="D278" s="93"/>
      <c r="E278" s="95"/>
      <c r="F278" s="95"/>
      <c r="G278" s="95"/>
      <c r="H278" s="93"/>
      <c r="I278" s="93"/>
      <c r="J278" s="93"/>
    </row>
    <row r="279" spans="1:10" s="65" customFormat="1" ht="14" x14ac:dyDescent="0.35">
      <c r="A279" s="145"/>
      <c r="B279" s="93"/>
      <c r="C279" s="93"/>
      <c r="D279" s="93"/>
      <c r="E279" s="95"/>
      <c r="F279" s="95"/>
      <c r="G279" s="95"/>
      <c r="H279" s="93"/>
      <c r="I279" s="93"/>
      <c r="J279" s="93"/>
    </row>
    <row r="280" spans="1:10" s="65" customFormat="1" ht="14" x14ac:dyDescent="0.35">
      <c r="A280" s="145"/>
      <c r="B280" s="93"/>
      <c r="C280" s="93"/>
      <c r="D280" s="93"/>
      <c r="E280" s="95"/>
      <c r="F280" s="95"/>
      <c r="G280" s="95"/>
      <c r="H280" s="93"/>
      <c r="I280" s="93"/>
      <c r="J280" s="93"/>
    </row>
    <row r="281" spans="1:10" s="65" customFormat="1" ht="14" x14ac:dyDescent="0.35">
      <c r="A281" s="145"/>
      <c r="B281" s="93"/>
      <c r="C281" s="93"/>
      <c r="D281" s="93"/>
      <c r="E281" s="95"/>
      <c r="F281" s="95"/>
      <c r="G281" s="95"/>
      <c r="H281" s="93"/>
      <c r="I281" s="93"/>
      <c r="J281" s="93"/>
    </row>
    <row r="282" spans="1:10" s="65" customFormat="1" ht="14" x14ac:dyDescent="0.35">
      <c r="A282" s="145"/>
      <c r="B282" s="93"/>
      <c r="C282" s="93"/>
      <c r="D282" s="93"/>
      <c r="E282" s="95"/>
      <c r="F282" s="95"/>
      <c r="G282" s="95"/>
      <c r="H282" s="93"/>
      <c r="I282" s="93"/>
      <c r="J282" s="93"/>
    </row>
    <row r="283" spans="1:10" s="65" customFormat="1" ht="14" x14ac:dyDescent="0.35">
      <c r="A283" s="145"/>
      <c r="B283" s="93"/>
      <c r="C283" s="93"/>
      <c r="D283" s="93"/>
      <c r="E283" s="95"/>
      <c r="F283" s="95"/>
      <c r="G283" s="95"/>
      <c r="H283" s="93"/>
      <c r="I283" s="93"/>
      <c r="J283" s="93"/>
    </row>
    <row r="284" spans="1:10" s="65" customFormat="1" ht="14" x14ac:dyDescent="0.35">
      <c r="A284" s="145"/>
      <c r="B284" s="93"/>
      <c r="C284" s="93"/>
      <c r="D284" s="93"/>
      <c r="E284" s="95"/>
      <c r="F284" s="95"/>
      <c r="G284" s="95"/>
      <c r="H284" s="93"/>
      <c r="I284" s="93"/>
      <c r="J284" s="93"/>
    </row>
    <row r="285" spans="1:10" s="65" customFormat="1" ht="14" x14ac:dyDescent="0.35">
      <c r="A285" s="145"/>
      <c r="B285" s="93"/>
      <c r="C285" s="93"/>
      <c r="D285" s="93"/>
      <c r="E285" s="95"/>
      <c r="F285" s="95"/>
      <c r="G285" s="95"/>
      <c r="H285" s="93"/>
      <c r="I285" s="93"/>
      <c r="J285" s="93"/>
    </row>
    <row r="286" spans="1:10" s="65" customFormat="1" ht="14" x14ac:dyDescent="0.35">
      <c r="A286" s="145"/>
      <c r="B286" s="93"/>
      <c r="C286" s="93"/>
      <c r="D286" s="93"/>
      <c r="E286" s="95"/>
      <c r="F286" s="95"/>
      <c r="G286" s="95"/>
      <c r="H286" s="93"/>
      <c r="I286" s="93"/>
      <c r="J286" s="93"/>
    </row>
    <row r="287" spans="1:10" s="65" customFormat="1" ht="14" x14ac:dyDescent="0.35">
      <c r="A287" s="145"/>
      <c r="B287" s="93"/>
      <c r="C287" s="93"/>
      <c r="D287" s="93"/>
      <c r="E287" s="95"/>
      <c r="F287" s="95"/>
      <c r="G287" s="95"/>
      <c r="H287" s="93"/>
      <c r="I287" s="93"/>
      <c r="J287" s="93"/>
    </row>
    <row r="288" spans="1:10" s="65" customFormat="1" ht="14" x14ac:dyDescent="0.35">
      <c r="A288" s="145"/>
      <c r="B288" s="93"/>
      <c r="C288" s="93"/>
      <c r="D288" s="93"/>
      <c r="E288" s="95"/>
      <c r="F288" s="95"/>
      <c r="G288" s="95"/>
      <c r="H288" s="93"/>
      <c r="I288" s="93"/>
      <c r="J288" s="93"/>
    </row>
    <row r="289" spans="1:10" s="65" customFormat="1" ht="14" x14ac:dyDescent="0.35">
      <c r="A289" s="145"/>
      <c r="B289" s="93"/>
      <c r="C289" s="93"/>
      <c r="D289" s="93"/>
      <c r="E289" s="95"/>
      <c r="F289" s="95"/>
      <c r="G289" s="95"/>
      <c r="H289" s="93"/>
      <c r="I289" s="93"/>
      <c r="J289" s="93"/>
    </row>
    <row r="290" spans="1:10" s="65" customFormat="1" ht="14" x14ac:dyDescent="0.35">
      <c r="A290" s="145"/>
      <c r="B290" s="93"/>
      <c r="C290" s="93"/>
      <c r="D290" s="93"/>
      <c r="E290" s="95"/>
      <c r="F290" s="95"/>
      <c r="G290" s="95"/>
      <c r="H290" s="93"/>
      <c r="I290" s="93"/>
      <c r="J290" s="93"/>
    </row>
    <row r="291" spans="1:10" s="65" customFormat="1" ht="14" x14ac:dyDescent="0.35">
      <c r="A291" s="145"/>
      <c r="B291" s="93"/>
      <c r="C291" s="93"/>
      <c r="D291" s="93"/>
      <c r="E291" s="95"/>
      <c r="F291" s="95"/>
      <c r="G291" s="95"/>
      <c r="H291" s="93"/>
      <c r="I291" s="93"/>
      <c r="J291" s="93"/>
    </row>
    <row r="292" spans="1:10" s="65" customFormat="1" ht="14" x14ac:dyDescent="0.35">
      <c r="A292" s="145"/>
      <c r="B292" s="93"/>
      <c r="C292" s="93"/>
      <c r="D292" s="93"/>
      <c r="E292" s="95"/>
      <c r="F292" s="95"/>
      <c r="G292" s="95"/>
      <c r="H292" s="93"/>
      <c r="I292" s="93"/>
      <c r="J292" s="93"/>
    </row>
    <row r="293" spans="1:10" s="65" customFormat="1" ht="14" x14ac:dyDescent="0.35">
      <c r="A293" s="145"/>
      <c r="B293" s="93"/>
      <c r="C293" s="93"/>
      <c r="D293" s="93"/>
      <c r="E293" s="95"/>
      <c r="F293" s="95"/>
      <c r="G293" s="95"/>
      <c r="H293" s="93"/>
      <c r="I293" s="93"/>
      <c r="J293" s="93"/>
    </row>
    <row r="294" spans="1:10" s="65" customFormat="1" ht="14" x14ac:dyDescent="0.35">
      <c r="A294" s="145"/>
      <c r="B294" s="93"/>
      <c r="C294" s="93"/>
      <c r="D294" s="93"/>
      <c r="E294" s="95"/>
      <c r="F294" s="95"/>
      <c r="G294" s="95"/>
      <c r="H294" s="93"/>
      <c r="I294" s="93"/>
      <c r="J294" s="93"/>
    </row>
    <row r="295" spans="1:10" s="65" customFormat="1" ht="14" x14ac:dyDescent="0.35">
      <c r="A295" s="145"/>
      <c r="B295" s="93"/>
      <c r="C295" s="93"/>
      <c r="D295" s="93"/>
      <c r="E295" s="95"/>
      <c r="F295" s="95"/>
      <c r="G295" s="95"/>
      <c r="H295" s="93"/>
      <c r="I295" s="93"/>
      <c r="J295" s="93"/>
    </row>
    <row r="296" spans="1:10" s="65" customFormat="1" ht="14" x14ac:dyDescent="0.35">
      <c r="A296" s="145"/>
      <c r="B296" s="93"/>
      <c r="C296" s="93"/>
      <c r="D296" s="93"/>
      <c r="E296" s="95"/>
      <c r="F296" s="95"/>
      <c r="G296" s="95"/>
      <c r="H296" s="93"/>
      <c r="I296" s="93"/>
      <c r="J296" s="93"/>
    </row>
    <row r="297" spans="1:10" s="65" customFormat="1" ht="14" x14ac:dyDescent="0.35">
      <c r="A297" s="145"/>
      <c r="B297" s="93"/>
      <c r="C297" s="93"/>
      <c r="D297" s="93"/>
      <c r="E297" s="95"/>
      <c r="F297" s="95"/>
      <c r="G297" s="95"/>
      <c r="H297" s="93"/>
      <c r="I297" s="93"/>
      <c r="J297" s="93"/>
    </row>
    <row r="298" spans="1:10" s="65" customFormat="1" ht="14" x14ac:dyDescent="0.35">
      <c r="A298" s="145"/>
      <c r="B298" s="93"/>
      <c r="C298" s="93"/>
      <c r="D298" s="93"/>
      <c r="E298" s="95"/>
      <c r="F298" s="95"/>
      <c r="G298" s="95"/>
      <c r="H298" s="93"/>
      <c r="I298" s="93"/>
      <c r="J298" s="93"/>
    </row>
    <row r="299" spans="1:10" s="65" customFormat="1" ht="14" x14ac:dyDescent="0.35">
      <c r="A299" s="145"/>
      <c r="B299" s="93"/>
      <c r="C299" s="93"/>
      <c r="D299" s="93"/>
      <c r="E299" s="95"/>
      <c r="F299" s="95"/>
      <c r="G299" s="95"/>
      <c r="H299" s="93"/>
      <c r="I299" s="93"/>
      <c r="J299" s="93"/>
    </row>
    <row r="300" spans="1:10" s="65" customFormat="1" ht="14" x14ac:dyDescent="0.35">
      <c r="A300" s="145"/>
      <c r="B300" s="93"/>
      <c r="C300" s="93"/>
      <c r="D300" s="93"/>
      <c r="E300" s="95"/>
      <c r="F300" s="95"/>
      <c r="G300" s="95"/>
      <c r="H300" s="93"/>
      <c r="I300" s="93"/>
      <c r="J300" s="93"/>
    </row>
    <row r="301" spans="1:10" s="65" customFormat="1" ht="14" x14ac:dyDescent="0.35">
      <c r="A301" s="145"/>
      <c r="B301" s="93"/>
      <c r="C301" s="93"/>
      <c r="D301" s="93"/>
      <c r="E301" s="95"/>
      <c r="F301" s="95"/>
      <c r="G301" s="95"/>
      <c r="H301" s="93"/>
      <c r="I301" s="93"/>
      <c r="J301" s="93"/>
    </row>
    <row r="302" spans="1:10" s="65" customFormat="1" ht="14" x14ac:dyDescent="0.35">
      <c r="A302" s="145"/>
      <c r="B302" s="93"/>
      <c r="C302" s="93"/>
      <c r="D302" s="93"/>
      <c r="E302" s="95"/>
      <c r="F302" s="95"/>
      <c r="G302" s="95"/>
      <c r="H302" s="93"/>
      <c r="I302" s="93"/>
      <c r="J302" s="93"/>
    </row>
    <row r="303" spans="1:10" s="65" customFormat="1" ht="14" x14ac:dyDescent="0.35">
      <c r="A303" s="145"/>
      <c r="B303" s="93"/>
      <c r="C303" s="93"/>
      <c r="D303" s="93"/>
      <c r="E303" s="95"/>
      <c r="F303" s="95"/>
      <c r="G303" s="95"/>
      <c r="H303" s="93"/>
      <c r="I303" s="93"/>
      <c r="J303" s="93"/>
    </row>
    <row r="304" spans="1:10" s="65" customFormat="1" ht="14" x14ac:dyDescent="0.35">
      <c r="A304" s="145"/>
      <c r="B304" s="93"/>
      <c r="C304" s="93"/>
      <c r="D304" s="93"/>
      <c r="E304" s="95"/>
      <c r="F304" s="95"/>
      <c r="G304" s="95"/>
      <c r="H304" s="93"/>
      <c r="I304" s="93"/>
      <c r="J304" s="93"/>
    </row>
    <row r="305" spans="1:10" s="65" customFormat="1" ht="14" x14ac:dyDescent="0.35">
      <c r="A305" s="145"/>
      <c r="B305" s="93"/>
      <c r="C305" s="93"/>
      <c r="D305" s="93"/>
      <c r="E305" s="95"/>
      <c r="F305" s="95"/>
      <c r="G305" s="95"/>
      <c r="H305" s="93"/>
      <c r="I305" s="93"/>
      <c r="J305" s="93"/>
    </row>
    <row r="306" spans="1:10" s="65" customFormat="1" ht="14" x14ac:dyDescent="0.35">
      <c r="A306" s="145"/>
      <c r="B306" s="93"/>
      <c r="C306" s="93"/>
      <c r="D306" s="93"/>
      <c r="E306" s="95"/>
      <c r="F306" s="95"/>
      <c r="G306" s="95"/>
      <c r="H306" s="93"/>
      <c r="I306" s="93"/>
      <c r="J306" s="93"/>
    </row>
    <row r="307" spans="1:10" s="65" customFormat="1" ht="14" x14ac:dyDescent="0.35">
      <c r="A307" s="145"/>
      <c r="B307" s="93"/>
      <c r="C307" s="93"/>
      <c r="D307" s="93"/>
      <c r="E307" s="95"/>
      <c r="F307" s="95"/>
      <c r="G307" s="95"/>
      <c r="H307" s="93"/>
      <c r="I307" s="93"/>
      <c r="J307" s="93"/>
    </row>
    <row r="308" spans="1:10" s="65" customFormat="1" ht="14" x14ac:dyDescent="0.35">
      <c r="A308" s="145"/>
      <c r="B308" s="93"/>
      <c r="C308" s="93"/>
      <c r="D308" s="93"/>
      <c r="E308" s="95"/>
      <c r="F308" s="95"/>
      <c r="G308" s="95"/>
      <c r="H308" s="93"/>
      <c r="I308" s="93"/>
      <c r="J308" s="93"/>
    </row>
    <row r="309" spans="1:10" s="65" customFormat="1" ht="14" x14ac:dyDescent="0.35">
      <c r="A309" s="145"/>
      <c r="B309" s="93"/>
      <c r="C309" s="93"/>
      <c r="D309" s="93"/>
      <c r="E309" s="95"/>
      <c r="F309" s="95"/>
      <c r="G309" s="95"/>
      <c r="H309" s="93"/>
      <c r="I309" s="93"/>
      <c r="J309" s="93"/>
    </row>
    <row r="310" spans="1:10" s="65" customFormat="1" ht="14" x14ac:dyDescent="0.35">
      <c r="A310" s="145"/>
      <c r="B310" s="93"/>
      <c r="C310" s="93"/>
      <c r="D310" s="93"/>
      <c r="E310" s="95"/>
      <c r="F310" s="95"/>
      <c r="G310" s="95"/>
      <c r="H310" s="93"/>
      <c r="I310" s="93"/>
      <c r="J310" s="93"/>
    </row>
    <row r="311" spans="1:10" s="65" customFormat="1" ht="14" x14ac:dyDescent="0.35">
      <c r="A311" s="145"/>
      <c r="B311" s="93"/>
      <c r="C311" s="93"/>
      <c r="D311" s="93"/>
      <c r="E311" s="95"/>
      <c r="F311" s="95"/>
      <c r="G311" s="95"/>
      <c r="H311" s="93"/>
      <c r="I311" s="93"/>
      <c r="J311" s="93"/>
    </row>
    <row r="312" spans="1:10" s="65" customFormat="1" ht="14" x14ac:dyDescent="0.35">
      <c r="A312" s="145"/>
      <c r="B312" s="93"/>
      <c r="C312" s="93"/>
      <c r="D312" s="93"/>
      <c r="E312" s="95"/>
      <c r="F312" s="95"/>
      <c r="G312" s="95"/>
      <c r="H312" s="93"/>
      <c r="I312" s="93"/>
      <c r="J312" s="93"/>
    </row>
    <row r="313" spans="1:10" s="65" customFormat="1" ht="14" x14ac:dyDescent="0.35">
      <c r="A313" s="145"/>
      <c r="B313" s="93"/>
      <c r="C313" s="93"/>
      <c r="D313" s="93"/>
      <c r="E313" s="95"/>
      <c r="F313" s="95"/>
      <c r="G313" s="95"/>
      <c r="H313" s="93"/>
      <c r="I313" s="93"/>
      <c r="J313" s="93"/>
    </row>
    <row r="314" spans="1:10" s="65" customFormat="1" ht="14" x14ac:dyDescent="0.35">
      <c r="A314" s="145"/>
      <c r="B314" s="93"/>
      <c r="C314" s="93"/>
      <c r="D314" s="93"/>
      <c r="E314" s="95"/>
      <c r="F314" s="95"/>
      <c r="G314" s="95"/>
      <c r="H314" s="93"/>
      <c r="I314" s="93"/>
      <c r="J314" s="93"/>
    </row>
    <row r="315" spans="1:10" s="65" customFormat="1" ht="14" x14ac:dyDescent="0.35">
      <c r="A315" s="145"/>
      <c r="B315" s="93"/>
      <c r="C315" s="93"/>
      <c r="D315" s="93"/>
      <c r="E315" s="95"/>
      <c r="F315" s="95"/>
      <c r="G315" s="95"/>
      <c r="H315" s="93"/>
      <c r="I315" s="93"/>
      <c r="J315" s="93"/>
    </row>
    <row r="316" spans="1:10" s="65" customFormat="1" ht="14" x14ac:dyDescent="0.35">
      <c r="A316" s="145"/>
      <c r="B316" s="93"/>
      <c r="C316" s="93"/>
      <c r="D316" s="93"/>
      <c r="E316" s="95"/>
      <c r="F316" s="95"/>
      <c r="G316" s="95"/>
      <c r="H316" s="93"/>
      <c r="I316" s="93"/>
      <c r="J316" s="93"/>
    </row>
    <row r="317" spans="1:10" s="65" customFormat="1" ht="14" x14ac:dyDescent="0.35">
      <c r="A317" s="145"/>
      <c r="B317" s="93"/>
      <c r="C317" s="93"/>
      <c r="D317" s="93"/>
      <c r="E317" s="95"/>
      <c r="F317" s="95"/>
      <c r="G317" s="95"/>
      <c r="H317" s="93"/>
      <c r="I317" s="93"/>
      <c r="J317" s="93"/>
    </row>
    <row r="318" spans="1:10" s="65" customFormat="1" ht="14" x14ac:dyDescent="0.35">
      <c r="A318" s="145"/>
      <c r="B318" s="93"/>
      <c r="C318" s="93"/>
      <c r="D318" s="93"/>
      <c r="E318" s="95"/>
      <c r="F318" s="95"/>
      <c r="G318" s="95"/>
      <c r="H318" s="93"/>
      <c r="I318" s="93"/>
      <c r="J318" s="93"/>
    </row>
    <row r="319" spans="1:10" s="65" customFormat="1" ht="14" x14ac:dyDescent="0.35">
      <c r="A319" s="145"/>
      <c r="B319" s="93"/>
      <c r="C319" s="93"/>
      <c r="D319" s="93"/>
      <c r="E319" s="95"/>
      <c r="F319" s="95"/>
      <c r="G319" s="95"/>
      <c r="H319" s="93"/>
      <c r="I319" s="93"/>
      <c r="J319" s="93"/>
    </row>
    <row r="320" spans="1:10" s="65" customFormat="1" ht="14" x14ac:dyDescent="0.35">
      <c r="A320" s="145"/>
      <c r="B320" s="93"/>
      <c r="C320" s="93"/>
      <c r="D320" s="93"/>
      <c r="E320" s="95"/>
      <c r="F320" s="95"/>
      <c r="G320" s="95"/>
      <c r="H320" s="93"/>
      <c r="I320" s="93"/>
      <c r="J320" s="93"/>
    </row>
    <row r="321" spans="1:10" s="65" customFormat="1" ht="14" x14ac:dyDescent="0.35">
      <c r="A321" s="145"/>
      <c r="B321" s="93"/>
      <c r="C321" s="93"/>
      <c r="D321" s="93"/>
      <c r="E321" s="95"/>
      <c r="F321" s="95"/>
      <c r="G321" s="95"/>
      <c r="H321" s="93"/>
      <c r="I321" s="93"/>
      <c r="J321" s="93"/>
    </row>
    <row r="322" spans="1:10" s="65" customFormat="1" ht="14" x14ac:dyDescent="0.35">
      <c r="A322" s="145"/>
      <c r="B322" s="93"/>
      <c r="C322" s="93"/>
      <c r="D322" s="93"/>
      <c r="E322" s="95"/>
      <c r="F322" s="95"/>
      <c r="G322" s="95"/>
      <c r="H322" s="93"/>
      <c r="I322" s="93"/>
      <c r="J322" s="93"/>
    </row>
    <row r="323" spans="1:10" s="65" customFormat="1" ht="14" x14ac:dyDescent="0.35">
      <c r="A323" s="145"/>
      <c r="B323" s="93"/>
      <c r="C323" s="93"/>
      <c r="D323" s="93"/>
      <c r="E323" s="95"/>
      <c r="F323" s="95"/>
      <c r="G323" s="95"/>
      <c r="H323" s="93"/>
      <c r="I323" s="93"/>
      <c r="J323" s="93"/>
    </row>
    <row r="324" spans="1:10" s="65" customFormat="1" ht="14" x14ac:dyDescent="0.35">
      <c r="A324" s="145"/>
      <c r="B324" s="93"/>
      <c r="C324" s="93"/>
      <c r="D324" s="93"/>
      <c r="E324" s="95"/>
      <c r="F324" s="95"/>
      <c r="G324" s="95"/>
      <c r="H324" s="93"/>
      <c r="I324" s="93"/>
      <c r="J324" s="93"/>
    </row>
    <row r="325" spans="1:10" s="65" customFormat="1" ht="14" x14ac:dyDescent="0.35">
      <c r="A325" s="145"/>
      <c r="B325" s="93"/>
      <c r="C325" s="93"/>
      <c r="D325" s="93"/>
      <c r="E325" s="95"/>
      <c r="F325" s="95"/>
      <c r="G325" s="95"/>
      <c r="H325" s="93"/>
      <c r="I325" s="93"/>
      <c r="J325" s="93"/>
    </row>
    <row r="326" spans="1:10" s="65" customFormat="1" ht="14" x14ac:dyDescent="0.35">
      <c r="A326" s="145"/>
      <c r="B326" s="93"/>
      <c r="C326" s="93"/>
      <c r="D326" s="93"/>
      <c r="E326" s="95"/>
      <c r="F326" s="95"/>
      <c r="G326" s="95"/>
      <c r="H326" s="93"/>
      <c r="I326" s="93"/>
      <c r="J326" s="93"/>
    </row>
    <row r="327" spans="1:10" s="65" customFormat="1" ht="14" x14ac:dyDescent="0.35">
      <c r="A327" s="145"/>
      <c r="B327" s="93"/>
      <c r="C327" s="93"/>
      <c r="D327" s="93"/>
      <c r="E327" s="95"/>
      <c r="F327" s="95"/>
      <c r="G327" s="95"/>
      <c r="H327" s="93"/>
      <c r="I327" s="93"/>
      <c r="J327" s="93"/>
    </row>
    <row r="328" spans="1:10" s="65" customFormat="1" ht="14" x14ac:dyDescent="0.35">
      <c r="A328" s="145"/>
      <c r="B328" s="93"/>
      <c r="C328" s="93"/>
      <c r="D328" s="93"/>
      <c r="E328" s="95"/>
      <c r="F328" s="95"/>
      <c r="G328" s="95"/>
      <c r="H328" s="93"/>
      <c r="I328" s="93"/>
      <c r="J328" s="93"/>
    </row>
    <row r="329" spans="1:10" s="65" customFormat="1" ht="14" x14ac:dyDescent="0.35">
      <c r="A329" s="145"/>
      <c r="B329" s="93"/>
      <c r="C329" s="93"/>
      <c r="D329" s="93"/>
      <c r="E329" s="95"/>
      <c r="F329" s="95"/>
      <c r="G329" s="95"/>
      <c r="H329" s="93"/>
      <c r="I329" s="93"/>
      <c r="J329" s="93"/>
    </row>
    <row r="330" spans="1:10" s="65" customFormat="1" ht="14" x14ac:dyDescent="0.35">
      <c r="A330" s="145"/>
      <c r="B330" s="93"/>
      <c r="C330" s="93"/>
      <c r="D330" s="93"/>
      <c r="E330" s="95"/>
      <c r="F330" s="95"/>
      <c r="G330" s="95"/>
      <c r="H330" s="93"/>
      <c r="I330" s="93"/>
      <c r="J330" s="93"/>
    </row>
    <row r="331" spans="1:10" s="65" customFormat="1" ht="14" x14ac:dyDescent="0.35">
      <c r="A331" s="145"/>
      <c r="B331" s="93"/>
      <c r="C331" s="93"/>
      <c r="D331" s="93"/>
      <c r="E331" s="95"/>
      <c r="F331" s="95"/>
      <c r="G331" s="95"/>
      <c r="H331" s="93"/>
      <c r="I331" s="93"/>
      <c r="J331" s="93"/>
    </row>
    <row r="332" spans="1:10" s="65" customFormat="1" ht="14" x14ac:dyDescent="0.35">
      <c r="A332" s="145"/>
      <c r="B332" s="93"/>
      <c r="C332" s="93"/>
      <c r="D332" s="93"/>
      <c r="E332" s="95"/>
      <c r="F332" s="95"/>
      <c r="G332" s="95"/>
      <c r="H332" s="93"/>
      <c r="I332" s="93"/>
      <c r="J332" s="93"/>
    </row>
    <row r="333" spans="1:10" s="65" customFormat="1" ht="14" x14ac:dyDescent="0.35">
      <c r="A333" s="145"/>
      <c r="B333" s="93"/>
      <c r="C333" s="93"/>
      <c r="D333" s="93"/>
      <c r="E333" s="95"/>
      <c r="F333" s="95"/>
      <c r="G333" s="95"/>
      <c r="H333" s="93"/>
      <c r="I333" s="93"/>
      <c r="J333" s="93"/>
    </row>
    <row r="334" spans="1:10" s="65" customFormat="1" ht="14" x14ac:dyDescent="0.35">
      <c r="A334" s="145"/>
      <c r="B334" s="93"/>
      <c r="C334" s="93"/>
      <c r="D334" s="93"/>
      <c r="E334" s="95"/>
      <c r="F334" s="95"/>
      <c r="G334" s="95"/>
      <c r="H334" s="93"/>
      <c r="I334" s="93"/>
      <c r="J334" s="93"/>
    </row>
    <row r="335" spans="1:10" s="65" customFormat="1" ht="14" x14ac:dyDescent="0.35">
      <c r="A335" s="145"/>
      <c r="B335" s="93"/>
      <c r="C335" s="93"/>
      <c r="D335" s="93"/>
      <c r="E335" s="95"/>
      <c r="F335" s="95"/>
      <c r="G335" s="95"/>
      <c r="H335" s="93"/>
      <c r="I335" s="93"/>
      <c r="J335" s="93"/>
    </row>
    <row r="336" spans="1:10" s="65" customFormat="1" ht="14" x14ac:dyDescent="0.35">
      <c r="A336" s="145"/>
      <c r="B336" s="93"/>
      <c r="C336" s="93"/>
      <c r="D336" s="93"/>
      <c r="E336" s="95"/>
      <c r="F336" s="95"/>
      <c r="G336" s="95"/>
      <c r="H336" s="93"/>
      <c r="I336" s="93"/>
      <c r="J336" s="93"/>
    </row>
    <row r="337" spans="1:10" s="65" customFormat="1" ht="14" x14ac:dyDescent="0.35">
      <c r="A337" s="145"/>
      <c r="B337" s="93"/>
      <c r="C337" s="93"/>
      <c r="D337" s="93"/>
      <c r="E337" s="95"/>
      <c r="F337" s="95"/>
      <c r="G337" s="95"/>
      <c r="H337" s="93"/>
      <c r="I337" s="93"/>
      <c r="J337" s="93"/>
    </row>
    <row r="338" spans="1:10" s="65" customFormat="1" ht="14" x14ac:dyDescent="0.35">
      <c r="A338" s="145"/>
      <c r="B338" s="93"/>
      <c r="C338" s="93"/>
      <c r="D338" s="93"/>
      <c r="E338" s="95"/>
      <c r="F338" s="95"/>
      <c r="G338" s="95"/>
      <c r="H338" s="93"/>
      <c r="I338" s="93"/>
      <c r="J338" s="93"/>
    </row>
    <row r="339" spans="1:10" s="65" customFormat="1" ht="14" x14ac:dyDescent="0.35">
      <c r="A339" s="145"/>
      <c r="B339" s="93"/>
      <c r="C339" s="93"/>
      <c r="D339" s="93"/>
      <c r="E339" s="95"/>
      <c r="F339" s="95"/>
      <c r="G339" s="95"/>
      <c r="H339" s="93"/>
      <c r="I339" s="93"/>
      <c r="J339" s="93"/>
    </row>
    <row r="340" spans="1:10" s="65" customFormat="1" ht="14" x14ac:dyDescent="0.35">
      <c r="A340" s="145"/>
      <c r="B340" s="93"/>
      <c r="C340" s="93"/>
      <c r="D340" s="93"/>
      <c r="E340" s="95"/>
      <c r="F340" s="95"/>
      <c r="G340" s="95"/>
      <c r="H340" s="93"/>
      <c r="I340" s="93"/>
      <c r="J340" s="93"/>
    </row>
    <row r="341" spans="1:10" s="65" customFormat="1" ht="14" x14ac:dyDescent="0.35">
      <c r="A341" s="145"/>
      <c r="B341" s="93"/>
      <c r="C341" s="93"/>
      <c r="D341" s="93"/>
      <c r="E341" s="95"/>
      <c r="F341" s="95"/>
      <c r="G341" s="95"/>
      <c r="H341" s="93"/>
      <c r="I341" s="93"/>
      <c r="J341" s="93"/>
    </row>
    <row r="342" spans="1:10" s="65" customFormat="1" ht="14" x14ac:dyDescent="0.35">
      <c r="A342" s="145"/>
      <c r="B342" s="93"/>
      <c r="C342" s="93"/>
      <c r="D342" s="93"/>
      <c r="E342" s="95"/>
      <c r="F342" s="95"/>
      <c r="G342" s="95"/>
      <c r="H342" s="93"/>
      <c r="I342" s="93"/>
      <c r="J342" s="93"/>
    </row>
    <row r="343" spans="1:10" s="65" customFormat="1" ht="14" x14ac:dyDescent="0.35">
      <c r="A343" s="145"/>
      <c r="B343" s="93"/>
      <c r="C343" s="93"/>
      <c r="D343" s="93"/>
      <c r="E343" s="95"/>
      <c r="F343" s="95"/>
      <c r="G343" s="95"/>
      <c r="H343" s="93"/>
      <c r="I343" s="93"/>
      <c r="J343" s="93"/>
    </row>
    <row r="344" spans="1:10" s="65" customFormat="1" ht="14" x14ac:dyDescent="0.35">
      <c r="A344" s="145"/>
      <c r="B344" s="93"/>
      <c r="C344" s="93"/>
      <c r="D344" s="93"/>
      <c r="E344" s="95"/>
      <c r="F344" s="95"/>
      <c r="G344" s="95"/>
      <c r="H344" s="93"/>
      <c r="I344" s="93"/>
      <c r="J344" s="93"/>
    </row>
    <row r="345" spans="1:10" s="65" customFormat="1" ht="14" x14ac:dyDescent="0.35">
      <c r="A345" s="145"/>
      <c r="B345" s="93"/>
      <c r="C345" s="93"/>
      <c r="D345" s="93"/>
      <c r="E345" s="95"/>
      <c r="F345" s="95"/>
      <c r="G345" s="95"/>
      <c r="H345" s="93"/>
      <c r="I345" s="93"/>
      <c r="J345" s="93"/>
    </row>
    <row r="346" spans="1:10" s="65" customFormat="1" ht="14" x14ac:dyDescent="0.35">
      <c r="A346" s="145"/>
      <c r="B346" s="93"/>
      <c r="C346" s="93"/>
      <c r="D346" s="93"/>
      <c r="E346" s="95"/>
      <c r="F346" s="95"/>
      <c r="G346" s="95"/>
      <c r="H346" s="93"/>
      <c r="I346" s="93"/>
      <c r="J346" s="93"/>
    </row>
    <row r="347" spans="1:10" s="65" customFormat="1" ht="14" x14ac:dyDescent="0.35">
      <c r="A347" s="145"/>
      <c r="B347" s="93"/>
      <c r="C347" s="93"/>
      <c r="D347" s="93"/>
      <c r="E347" s="95"/>
      <c r="F347" s="95"/>
      <c r="G347" s="95"/>
      <c r="H347" s="93"/>
      <c r="I347" s="93"/>
      <c r="J347" s="93"/>
    </row>
    <row r="348" spans="1:10" s="65" customFormat="1" ht="14" x14ac:dyDescent="0.35">
      <c r="A348" s="145"/>
      <c r="B348" s="93"/>
      <c r="C348" s="93"/>
      <c r="D348" s="93"/>
      <c r="E348" s="95"/>
      <c r="F348" s="95"/>
      <c r="G348" s="95"/>
      <c r="H348" s="93"/>
      <c r="I348" s="93"/>
      <c r="J348" s="93"/>
    </row>
    <row r="349" spans="1:10" s="65" customFormat="1" ht="14" x14ac:dyDescent="0.35">
      <c r="A349" s="145"/>
      <c r="B349" s="93"/>
      <c r="C349" s="93"/>
      <c r="D349" s="93"/>
      <c r="E349" s="95"/>
      <c r="F349" s="95"/>
      <c r="G349" s="95"/>
      <c r="H349" s="93"/>
      <c r="I349" s="93"/>
      <c r="J349" s="93"/>
    </row>
    <row r="350" spans="1:10" s="65" customFormat="1" ht="14" x14ac:dyDescent="0.35">
      <c r="A350" s="145"/>
      <c r="B350" s="93"/>
      <c r="C350" s="93"/>
      <c r="D350" s="93"/>
      <c r="E350" s="95"/>
      <c r="F350" s="95"/>
      <c r="G350" s="95"/>
      <c r="H350" s="93"/>
      <c r="I350" s="93"/>
      <c r="J350" s="93"/>
    </row>
    <row r="351" spans="1:10" s="65" customFormat="1" ht="14" x14ac:dyDescent="0.35">
      <c r="A351" s="145"/>
      <c r="B351" s="93"/>
      <c r="C351" s="93"/>
      <c r="D351" s="93"/>
      <c r="E351" s="95"/>
      <c r="F351" s="95"/>
      <c r="G351" s="95"/>
      <c r="H351" s="93"/>
      <c r="I351" s="93"/>
      <c r="J351" s="93"/>
    </row>
    <row r="352" spans="1:10" s="65" customFormat="1" ht="14" x14ac:dyDescent="0.35">
      <c r="A352" s="145"/>
      <c r="B352" s="93"/>
      <c r="C352" s="93"/>
      <c r="D352" s="93"/>
      <c r="E352" s="95"/>
      <c r="F352" s="95"/>
      <c r="G352" s="95"/>
      <c r="H352" s="93"/>
      <c r="I352" s="93"/>
      <c r="J352" s="93"/>
    </row>
    <row r="353" spans="1:10" s="65" customFormat="1" ht="14" x14ac:dyDescent="0.35">
      <c r="A353" s="145"/>
      <c r="B353" s="93"/>
      <c r="C353" s="93"/>
      <c r="D353" s="93"/>
      <c r="E353" s="95"/>
      <c r="F353" s="95"/>
      <c r="G353" s="95"/>
      <c r="H353" s="93"/>
      <c r="I353" s="93"/>
      <c r="J353" s="93"/>
    </row>
    <row r="354" spans="1:10" s="65" customFormat="1" ht="14" x14ac:dyDescent="0.35">
      <c r="A354" s="145"/>
      <c r="B354" s="93"/>
      <c r="C354" s="93"/>
      <c r="D354" s="93"/>
      <c r="E354" s="95"/>
      <c r="F354" s="95"/>
      <c r="G354" s="95"/>
      <c r="H354" s="93"/>
      <c r="I354" s="93"/>
      <c r="J354" s="93"/>
    </row>
    <row r="355" spans="1:10" s="65" customFormat="1" ht="14" x14ac:dyDescent="0.35">
      <c r="A355" s="145"/>
      <c r="B355" s="93"/>
      <c r="C355" s="93"/>
      <c r="D355" s="93"/>
      <c r="E355" s="95"/>
      <c r="F355" s="95"/>
      <c r="G355" s="95"/>
      <c r="H355" s="93"/>
      <c r="I355" s="93"/>
      <c r="J355" s="93"/>
    </row>
    <row r="356" spans="1:10" s="65" customFormat="1" ht="14" x14ac:dyDescent="0.35">
      <c r="A356" s="145"/>
      <c r="B356" s="93"/>
      <c r="C356" s="93"/>
      <c r="D356" s="93"/>
      <c r="E356" s="95"/>
      <c r="F356" s="95"/>
      <c r="G356" s="95"/>
      <c r="H356" s="93"/>
      <c r="I356" s="93"/>
      <c r="J356" s="93"/>
    </row>
    <row r="357" spans="1:10" s="65" customFormat="1" ht="14" x14ac:dyDescent="0.35">
      <c r="A357" s="145"/>
      <c r="B357" s="93"/>
      <c r="C357" s="93"/>
      <c r="D357" s="93"/>
      <c r="E357" s="95"/>
      <c r="F357" s="95"/>
      <c r="G357" s="95"/>
      <c r="H357" s="93"/>
      <c r="I357" s="93"/>
      <c r="J357" s="93"/>
    </row>
    <row r="358" spans="1:10" s="65" customFormat="1" ht="14" x14ac:dyDescent="0.35">
      <c r="A358" s="145"/>
      <c r="B358" s="93"/>
      <c r="C358" s="93"/>
      <c r="D358" s="93"/>
      <c r="E358" s="95"/>
      <c r="F358" s="95"/>
      <c r="G358" s="95"/>
      <c r="H358" s="93"/>
      <c r="I358" s="93"/>
      <c r="J358" s="93"/>
    </row>
    <row r="359" spans="1:10" s="65" customFormat="1" ht="14" x14ac:dyDescent="0.35">
      <c r="A359" s="145"/>
      <c r="B359" s="93"/>
      <c r="C359" s="93"/>
      <c r="D359" s="93"/>
      <c r="E359" s="95"/>
      <c r="F359" s="95"/>
      <c r="G359" s="95"/>
      <c r="H359" s="93"/>
      <c r="I359" s="93"/>
      <c r="J359" s="93"/>
    </row>
    <row r="360" spans="1:10" s="65" customFormat="1" ht="14" x14ac:dyDescent="0.35">
      <c r="A360" s="145"/>
      <c r="B360" s="93"/>
      <c r="C360" s="93"/>
      <c r="D360" s="93"/>
      <c r="E360" s="95"/>
      <c r="F360" s="95"/>
      <c r="G360" s="95"/>
      <c r="H360" s="93"/>
      <c r="I360" s="93"/>
      <c r="J360" s="93"/>
    </row>
    <row r="361" spans="1:10" s="65" customFormat="1" ht="14" x14ac:dyDescent="0.35">
      <c r="A361" s="145"/>
      <c r="B361" s="93"/>
      <c r="C361" s="93"/>
      <c r="D361" s="93"/>
      <c r="E361" s="95"/>
      <c r="F361" s="95"/>
      <c r="G361" s="95"/>
      <c r="H361" s="93"/>
      <c r="I361" s="93"/>
      <c r="J361" s="93"/>
    </row>
    <row r="362" spans="1:10" s="65" customFormat="1" ht="14" x14ac:dyDescent="0.35">
      <c r="A362" s="145"/>
      <c r="B362" s="93"/>
      <c r="C362" s="93"/>
      <c r="D362" s="93"/>
      <c r="E362" s="95"/>
      <c r="F362" s="95"/>
      <c r="G362" s="95"/>
      <c r="H362" s="93"/>
      <c r="I362" s="93"/>
      <c r="J362" s="93"/>
    </row>
    <row r="363" spans="1:10" s="65" customFormat="1" ht="14" x14ac:dyDescent="0.35">
      <c r="A363" s="145"/>
      <c r="B363" s="93"/>
      <c r="C363" s="93"/>
      <c r="D363" s="93"/>
      <c r="E363" s="95"/>
      <c r="F363" s="95"/>
      <c r="G363" s="95"/>
      <c r="H363" s="93"/>
      <c r="I363" s="93"/>
      <c r="J363" s="93"/>
    </row>
    <row r="364" spans="1:10" s="65" customFormat="1" ht="14" x14ac:dyDescent="0.35">
      <c r="A364" s="145"/>
      <c r="B364" s="93"/>
      <c r="C364" s="93"/>
      <c r="D364" s="93"/>
      <c r="E364" s="95"/>
      <c r="F364" s="95"/>
      <c r="G364" s="95"/>
      <c r="H364" s="93"/>
      <c r="I364" s="93"/>
      <c r="J364" s="93"/>
    </row>
    <row r="365" spans="1:10" s="65" customFormat="1" ht="14" x14ac:dyDescent="0.35">
      <c r="A365" s="145"/>
      <c r="B365" s="93"/>
      <c r="C365" s="93"/>
      <c r="D365" s="93"/>
      <c r="E365" s="95"/>
      <c r="F365" s="95"/>
      <c r="G365" s="95"/>
      <c r="H365" s="93"/>
      <c r="I365" s="93"/>
      <c r="J365" s="93"/>
    </row>
    <row r="366" spans="1:10" s="65" customFormat="1" ht="14" x14ac:dyDescent="0.35">
      <c r="A366" s="145"/>
      <c r="B366" s="93"/>
      <c r="C366" s="93"/>
      <c r="D366" s="93"/>
      <c r="E366" s="95"/>
      <c r="F366" s="95"/>
      <c r="G366" s="95"/>
      <c r="H366" s="93"/>
      <c r="I366" s="93"/>
      <c r="J366" s="93"/>
    </row>
    <row r="367" spans="1:10" s="65" customFormat="1" ht="14" x14ac:dyDescent="0.35">
      <c r="A367" s="145"/>
      <c r="B367" s="93"/>
      <c r="C367" s="93"/>
      <c r="D367" s="93"/>
      <c r="E367" s="95"/>
      <c r="F367" s="95"/>
      <c r="G367" s="95"/>
      <c r="H367" s="93"/>
      <c r="I367" s="93"/>
      <c r="J367" s="93"/>
    </row>
    <row r="368" spans="1:10" s="65" customFormat="1" ht="14" x14ac:dyDescent="0.35">
      <c r="A368" s="145"/>
      <c r="B368" s="93"/>
      <c r="C368" s="93"/>
      <c r="D368" s="93"/>
      <c r="E368" s="95"/>
      <c r="F368" s="95"/>
      <c r="G368" s="95"/>
      <c r="H368" s="93"/>
      <c r="I368" s="93"/>
      <c r="J368" s="93"/>
    </row>
    <row r="369" spans="1:10" s="65" customFormat="1" ht="14" x14ac:dyDescent="0.35">
      <c r="A369" s="145"/>
      <c r="B369" s="93"/>
      <c r="C369" s="93"/>
      <c r="D369" s="93"/>
      <c r="E369" s="95"/>
      <c r="F369" s="95"/>
      <c r="G369" s="95"/>
      <c r="H369" s="93"/>
      <c r="I369" s="93"/>
      <c r="J369" s="93"/>
    </row>
    <row r="370" spans="1:10" s="65" customFormat="1" ht="14" x14ac:dyDescent="0.35">
      <c r="A370" s="145"/>
      <c r="B370" s="93"/>
      <c r="C370" s="93"/>
      <c r="D370" s="93"/>
      <c r="E370" s="95"/>
      <c r="F370" s="95"/>
      <c r="G370" s="95"/>
      <c r="H370" s="93"/>
      <c r="I370" s="93"/>
      <c r="J370" s="93"/>
    </row>
    <row r="371" spans="1:10" s="65" customFormat="1" ht="14" x14ac:dyDescent="0.35">
      <c r="A371" s="145"/>
      <c r="B371" s="93"/>
      <c r="C371" s="93"/>
      <c r="D371" s="93"/>
      <c r="E371" s="95"/>
      <c r="F371" s="95"/>
      <c r="G371" s="95"/>
      <c r="H371" s="93"/>
      <c r="I371" s="93"/>
      <c r="J371" s="93"/>
    </row>
    <row r="372" spans="1:10" s="65" customFormat="1" ht="14" x14ac:dyDescent="0.35">
      <c r="A372" s="145"/>
      <c r="B372" s="93"/>
      <c r="C372" s="93"/>
      <c r="D372" s="93"/>
      <c r="E372" s="95"/>
      <c r="F372" s="95"/>
      <c r="G372" s="95"/>
      <c r="H372" s="93"/>
      <c r="I372" s="93"/>
      <c r="J372" s="93"/>
    </row>
    <row r="373" spans="1:10" s="65" customFormat="1" ht="14" x14ac:dyDescent="0.35">
      <c r="A373" s="145"/>
      <c r="B373" s="93"/>
      <c r="C373" s="93"/>
      <c r="D373" s="93"/>
      <c r="E373" s="95"/>
      <c r="F373" s="95"/>
      <c r="G373" s="95"/>
      <c r="H373" s="93"/>
      <c r="I373" s="93"/>
      <c r="J373" s="93"/>
    </row>
    <row r="374" spans="1:10" s="65" customFormat="1" ht="14" x14ac:dyDescent="0.35">
      <c r="A374" s="145"/>
      <c r="B374" s="93"/>
      <c r="C374" s="93"/>
      <c r="D374" s="93"/>
      <c r="E374" s="95"/>
      <c r="F374" s="95"/>
      <c r="G374" s="95"/>
      <c r="H374" s="93"/>
      <c r="I374" s="93"/>
      <c r="J374" s="93"/>
    </row>
    <row r="375" spans="1:10" s="65" customFormat="1" ht="14" x14ac:dyDescent="0.35">
      <c r="A375" s="145"/>
      <c r="B375" s="93"/>
      <c r="C375" s="93"/>
      <c r="D375" s="93"/>
      <c r="E375" s="95"/>
      <c r="F375" s="95"/>
      <c r="G375" s="95"/>
      <c r="H375" s="93"/>
      <c r="I375" s="93"/>
      <c r="J375" s="93"/>
    </row>
    <row r="376" spans="1:10" s="65" customFormat="1" ht="14" x14ac:dyDescent="0.35">
      <c r="A376" s="145"/>
      <c r="B376" s="93"/>
      <c r="C376" s="93"/>
      <c r="D376" s="93"/>
      <c r="E376" s="95"/>
      <c r="F376" s="95"/>
      <c r="G376" s="95"/>
      <c r="H376" s="93"/>
      <c r="I376" s="93"/>
      <c r="J376" s="93"/>
    </row>
    <row r="377" spans="1:10" s="65" customFormat="1" ht="14" x14ac:dyDescent="0.35">
      <c r="A377" s="145"/>
      <c r="B377" s="93"/>
      <c r="C377" s="93"/>
      <c r="D377" s="93"/>
      <c r="E377" s="95"/>
      <c r="F377" s="95"/>
      <c r="G377" s="95"/>
      <c r="H377" s="93"/>
      <c r="I377" s="93"/>
      <c r="J377" s="93"/>
    </row>
    <row r="378" spans="1:10" s="65" customFormat="1" ht="14" x14ac:dyDescent="0.35">
      <c r="A378" s="145"/>
      <c r="B378" s="93"/>
      <c r="C378" s="93"/>
      <c r="D378" s="93"/>
      <c r="E378" s="95"/>
      <c r="F378" s="95"/>
      <c r="G378" s="95"/>
      <c r="H378" s="93"/>
      <c r="I378" s="93"/>
      <c r="J378" s="93"/>
    </row>
    <row r="379" spans="1:10" s="65" customFormat="1" ht="14" x14ac:dyDescent="0.35">
      <c r="A379" s="145"/>
      <c r="B379" s="93"/>
      <c r="C379" s="93"/>
      <c r="D379" s="93"/>
      <c r="E379" s="95"/>
      <c r="F379" s="95"/>
      <c r="G379" s="95"/>
      <c r="H379" s="93"/>
      <c r="I379" s="93"/>
      <c r="J379" s="93"/>
    </row>
    <row r="380" spans="1:10" s="65" customFormat="1" ht="14" x14ac:dyDescent="0.35">
      <c r="A380" s="145"/>
      <c r="B380" s="93"/>
      <c r="C380" s="93"/>
      <c r="D380" s="93"/>
      <c r="E380" s="95"/>
      <c r="F380" s="95"/>
      <c r="G380" s="95"/>
      <c r="H380" s="93"/>
      <c r="I380" s="93"/>
      <c r="J380" s="93"/>
    </row>
    <row r="381" spans="1:10" s="65" customFormat="1" ht="14" x14ac:dyDescent="0.35">
      <c r="A381" s="145"/>
      <c r="B381" s="93"/>
      <c r="C381" s="93"/>
      <c r="D381" s="93"/>
      <c r="E381" s="95"/>
      <c r="F381" s="95"/>
      <c r="G381" s="95"/>
      <c r="H381" s="93"/>
      <c r="I381" s="93"/>
      <c r="J381" s="93"/>
    </row>
    <row r="382" spans="1:10" s="65" customFormat="1" ht="14" x14ac:dyDescent="0.35">
      <c r="A382" s="145"/>
      <c r="B382" s="93"/>
      <c r="C382" s="93"/>
      <c r="D382" s="93"/>
      <c r="E382" s="95"/>
      <c r="F382" s="95"/>
      <c r="G382" s="95"/>
      <c r="H382" s="93"/>
      <c r="I382" s="93"/>
      <c r="J382" s="93"/>
    </row>
    <row r="383" spans="1:10" s="65" customFormat="1" ht="14" x14ac:dyDescent="0.35">
      <c r="A383" s="145"/>
      <c r="B383" s="93"/>
      <c r="C383" s="93"/>
      <c r="D383" s="93"/>
      <c r="E383" s="95"/>
      <c r="F383" s="95"/>
      <c r="G383" s="95"/>
      <c r="H383" s="93"/>
      <c r="I383" s="93"/>
      <c r="J383" s="93"/>
    </row>
    <row r="384" spans="1:10" s="65" customFormat="1" ht="14" x14ac:dyDescent="0.35">
      <c r="A384" s="145"/>
      <c r="B384" s="93"/>
      <c r="C384" s="93"/>
      <c r="D384" s="93"/>
      <c r="E384" s="95"/>
      <c r="F384" s="95"/>
      <c r="G384" s="95"/>
      <c r="H384" s="93"/>
      <c r="I384" s="93"/>
      <c r="J384" s="93"/>
    </row>
    <row r="385" spans="1:10" s="65" customFormat="1" ht="14" x14ac:dyDescent="0.35">
      <c r="A385" s="145"/>
      <c r="B385" s="93"/>
      <c r="C385" s="93"/>
      <c r="D385" s="93"/>
      <c r="E385" s="95"/>
      <c r="F385" s="95"/>
      <c r="G385" s="95"/>
      <c r="H385" s="93"/>
      <c r="I385" s="93"/>
      <c r="J385" s="93"/>
    </row>
    <row r="386" spans="1:10" s="65" customFormat="1" ht="14" x14ac:dyDescent="0.35">
      <c r="A386" s="145"/>
      <c r="B386" s="93"/>
      <c r="C386" s="93"/>
      <c r="D386" s="93"/>
      <c r="E386" s="95"/>
      <c r="F386" s="95"/>
      <c r="G386" s="95"/>
      <c r="H386" s="93"/>
      <c r="I386" s="93"/>
      <c r="J386" s="93"/>
    </row>
    <row r="387" spans="1:10" s="65" customFormat="1" ht="14" x14ac:dyDescent="0.35">
      <c r="A387" s="145"/>
      <c r="B387" s="93"/>
      <c r="C387" s="93"/>
      <c r="D387" s="93"/>
      <c r="E387" s="95"/>
      <c r="F387" s="95"/>
      <c r="G387" s="95"/>
      <c r="H387" s="93"/>
      <c r="I387" s="93"/>
      <c r="J387" s="93"/>
    </row>
    <row r="388" spans="1:10" s="65" customFormat="1" ht="14" x14ac:dyDescent="0.35">
      <c r="A388" s="145"/>
      <c r="B388" s="93"/>
      <c r="C388" s="93"/>
      <c r="D388" s="93"/>
      <c r="E388" s="95"/>
      <c r="F388" s="95"/>
      <c r="G388" s="95"/>
      <c r="H388" s="93"/>
      <c r="I388" s="93"/>
      <c r="J388" s="93"/>
    </row>
    <row r="389" spans="1:10" s="65" customFormat="1" ht="14" x14ac:dyDescent="0.35">
      <c r="A389" s="145"/>
      <c r="B389" s="93"/>
      <c r="C389" s="93"/>
      <c r="D389" s="93"/>
      <c r="E389" s="95"/>
      <c r="F389" s="95"/>
      <c r="G389" s="95"/>
      <c r="H389" s="93"/>
      <c r="I389" s="93"/>
      <c r="J389" s="93"/>
    </row>
    <row r="390" spans="1:10" s="65" customFormat="1" ht="14" x14ac:dyDescent="0.35">
      <c r="A390" s="145"/>
      <c r="B390" s="93"/>
      <c r="C390" s="93"/>
      <c r="D390" s="93"/>
      <c r="E390" s="95"/>
      <c r="F390" s="95"/>
      <c r="G390" s="95"/>
      <c r="H390" s="93"/>
      <c r="I390" s="93"/>
      <c r="J390" s="93"/>
    </row>
    <row r="391" spans="1:10" s="65" customFormat="1" ht="14" x14ac:dyDescent="0.35">
      <c r="A391" s="145"/>
      <c r="B391" s="93"/>
      <c r="C391" s="93"/>
      <c r="D391" s="93"/>
      <c r="E391" s="95"/>
      <c r="F391" s="95"/>
      <c r="G391" s="95"/>
      <c r="H391" s="93"/>
      <c r="I391" s="93"/>
      <c r="J391" s="93"/>
    </row>
    <row r="392" spans="1:10" s="65" customFormat="1" ht="14" x14ac:dyDescent="0.35">
      <c r="A392" s="145"/>
      <c r="B392" s="93"/>
      <c r="C392" s="93"/>
      <c r="D392" s="93"/>
      <c r="E392" s="95"/>
      <c r="F392" s="95"/>
      <c r="G392" s="95"/>
      <c r="H392" s="93"/>
      <c r="I392" s="93"/>
      <c r="J392" s="93"/>
    </row>
    <row r="393" spans="1:10" s="65" customFormat="1" ht="14" x14ac:dyDescent="0.35">
      <c r="A393" s="145"/>
      <c r="B393" s="93"/>
      <c r="C393" s="93"/>
      <c r="D393" s="93"/>
      <c r="E393" s="95"/>
      <c r="F393" s="95"/>
      <c r="G393" s="95"/>
      <c r="H393" s="93"/>
      <c r="I393" s="93"/>
      <c r="J393" s="93"/>
    </row>
    <row r="394" spans="1:10" s="65" customFormat="1" ht="14" x14ac:dyDescent="0.35">
      <c r="A394" s="145"/>
      <c r="B394" s="93"/>
      <c r="C394" s="93"/>
      <c r="D394" s="93"/>
      <c r="E394" s="95"/>
      <c r="F394" s="95"/>
      <c r="G394" s="95"/>
      <c r="H394" s="93"/>
      <c r="I394" s="93"/>
      <c r="J394" s="93"/>
    </row>
    <row r="395" spans="1:10" s="65" customFormat="1" ht="14" x14ac:dyDescent="0.35">
      <c r="A395" s="145"/>
      <c r="B395" s="93"/>
      <c r="C395" s="93"/>
      <c r="D395" s="93"/>
      <c r="E395" s="95"/>
      <c r="F395" s="95"/>
      <c r="G395" s="95"/>
      <c r="H395" s="93"/>
      <c r="I395" s="93"/>
      <c r="J395" s="93"/>
    </row>
    <row r="396" spans="1:10" s="65" customFormat="1" ht="14" x14ac:dyDescent="0.35">
      <c r="A396" s="145"/>
      <c r="B396" s="93"/>
      <c r="C396" s="93"/>
      <c r="D396" s="93"/>
      <c r="E396" s="95"/>
      <c r="F396" s="95"/>
      <c r="G396" s="95"/>
      <c r="H396" s="93"/>
      <c r="I396" s="93"/>
      <c r="J396" s="93"/>
    </row>
    <row r="397" spans="1:10" s="65" customFormat="1" ht="14" x14ac:dyDescent="0.35">
      <c r="A397" s="145"/>
      <c r="B397" s="93"/>
      <c r="C397" s="93"/>
      <c r="D397" s="93"/>
      <c r="E397" s="95"/>
      <c r="F397" s="95"/>
      <c r="G397" s="95"/>
      <c r="H397" s="93"/>
      <c r="I397" s="93"/>
      <c r="J397" s="93"/>
    </row>
    <row r="398" spans="1:10" s="65" customFormat="1" ht="14" x14ac:dyDescent="0.35">
      <c r="A398" s="145"/>
      <c r="B398" s="93"/>
      <c r="C398" s="93"/>
      <c r="D398" s="93"/>
      <c r="E398" s="95"/>
      <c r="F398" s="95"/>
      <c r="G398" s="95"/>
      <c r="H398" s="93"/>
      <c r="I398" s="93"/>
      <c r="J398" s="93"/>
    </row>
    <row r="399" spans="1:10" s="65" customFormat="1" ht="14" x14ac:dyDescent="0.35">
      <c r="A399" s="145"/>
      <c r="B399" s="93"/>
      <c r="C399" s="93"/>
      <c r="D399" s="93"/>
      <c r="E399" s="95"/>
      <c r="F399" s="95"/>
      <c r="G399" s="95"/>
      <c r="H399" s="93"/>
      <c r="I399" s="93"/>
      <c r="J399" s="93"/>
    </row>
    <row r="400" spans="1:10" s="65" customFormat="1" ht="14" x14ac:dyDescent="0.35">
      <c r="A400" s="145"/>
      <c r="B400" s="93"/>
      <c r="C400" s="93"/>
      <c r="D400" s="93"/>
      <c r="E400" s="95"/>
      <c r="F400" s="95"/>
      <c r="G400" s="95"/>
      <c r="H400" s="93"/>
      <c r="I400" s="93"/>
      <c r="J400" s="93"/>
    </row>
    <row r="401" spans="1:10" s="65" customFormat="1" ht="14" x14ac:dyDescent="0.35">
      <c r="A401" s="145"/>
      <c r="B401" s="93"/>
      <c r="C401" s="93"/>
      <c r="D401" s="93"/>
      <c r="E401" s="95"/>
      <c r="F401" s="95"/>
      <c r="G401" s="95"/>
      <c r="H401" s="93"/>
      <c r="I401" s="93"/>
      <c r="J401" s="93"/>
    </row>
    <row r="402" spans="1:10" s="65" customFormat="1" ht="14" x14ac:dyDescent="0.35">
      <c r="A402" s="145"/>
      <c r="B402" s="93"/>
      <c r="C402" s="93"/>
      <c r="D402" s="93"/>
      <c r="E402" s="95"/>
      <c r="F402" s="95"/>
      <c r="G402" s="95"/>
      <c r="H402" s="93"/>
      <c r="I402" s="93"/>
      <c r="J402" s="93"/>
    </row>
    <row r="403" spans="1:10" s="65" customFormat="1" ht="14" x14ac:dyDescent="0.35">
      <c r="A403" s="145"/>
      <c r="B403" s="93"/>
      <c r="C403" s="93"/>
      <c r="D403" s="93"/>
      <c r="E403" s="95"/>
      <c r="F403" s="95"/>
      <c r="G403" s="95"/>
      <c r="H403" s="93"/>
      <c r="I403" s="93"/>
      <c r="J403" s="93"/>
    </row>
    <row r="404" spans="1:10" s="65" customFormat="1" ht="14" x14ac:dyDescent="0.35">
      <c r="A404" s="145"/>
      <c r="B404" s="93"/>
      <c r="C404" s="93"/>
      <c r="D404" s="93"/>
      <c r="E404" s="95"/>
      <c r="F404" s="95"/>
      <c r="G404" s="95"/>
      <c r="H404" s="93"/>
      <c r="I404" s="93"/>
      <c r="J404" s="93"/>
    </row>
    <row r="405" spans="1:10" s="65" customFormat="1" ht="14" x14ac:dyDescent="0.35">
      <c r="A405" s="145"/>
      <c r="B405" s="93"/>
      <c r="C405" s="93"/>
      <c r="D405" s="93"/>
      <c r="E405" s="95"/>
      <c r="F405" s="95"/>
      <c r="G405" s="95"/>
      <c r="H405" s="93"/>
      <c r="I405" s="93"/>
      <c r="J405" s="93"/>
    </row>
    <row r="406" spans="1:10" s="65" customFormat="1" ht="14" x14ac:dyDescent="0.35">
      <c r="A406" s="145"/>
      <c r="B406" s="93"/>
      <c r="C406" s="93"/>
      <c r="D406" s="93"/>
      <c r="E406" s="95"/>
      <c r="F406" s="95"/>
      <c r="G406" s="95"/>
      <c r="H406" s="93"/>
      <c r="I406" s="93"/>
      <c r="J406" s="93"/>
    </row>
    <row r="407" spans="1:10" s="65" customFormat="1" ht="14" x14ac:dyDescent="0.35">
      <c r="A407" s="145"/>
      <c r="B407" s="93"/>
      <c r="C407" s="93"/>
      <c r="D407" s="93"/>
      <c r="E407" s="95"/>
      <c r="F407" s="95"/>
      <c r="G407" s="95"/>
      <c r="H407" s="93"/>
      <c r="I407" s="93"/>
      <c r="J407" s="93"/>
    </row>
    <row r="408" spans="1:10" s="65" customFormat="1" ht="14" x14ac:dyDescent="0.35">
      <c r="A408" s="145"/>
      <c r="B408" s="93"/>
      <c r="C408" s="93"/>
      <c r="D408" s="93"/>
      <c r="E408" s="95"/>
      <c r="F408" s="95"/>
      <c r="G408" s="95"/>
      <c r="H408" s="93"/>
      <c r="I408" s="93"/>
      <c r="J408" s="93"/>
    </row>
    <row r="409" spans="1:10" s="65" customFormat="1" ht="14" x14ac:dyDescent="0.35">
      <c r="A409" s="145"/>
      <c r="B409" s="93"/>
      <c r="C409" s="93"/>
      <c r="D409" s="93"/>
      <c r="E409" s="95"/>
      <c r="F409" s="95"/>
      <c r="G409" s="95"/>
      <c r="H409" s="93"/>
      <c r="I409" s="93"/>
      <c r="J409" s="93"/>
    </row>
    <row r="410" spans="1:10" s="65" customFormat="1" ht="14" x14ac:dyDescent="0.35">
      <c r="A410" s="145"/>
      <c r="B410" s="93"/>
      <c r="C410" s="93"/>
      <c r="D410" s="93"/>
      <c r="E410" s="95"/>
      <c r="F410" s="95"/>
      <c r="G410" s="95"/>
      <c r="H410" s="93"/>
      <c r="I410" s="93"/>
      <c r="J410" s="93"/>
    </row>
    <row r="411" spans="1:10" s="65" customFormat="1" ht="14" x14ac:dyDescent="0.35">
      <c r="A411" s="145"/>
      <c r="B411" s="93"/>
      <c r="C411" s="93"/>
      <c r="D411" s="93"/>
      <c r="E411" s="95"/>
      <c r="F411" s="95"/>
      <c r="G411" s="95"/>
      <c r="H411" s="93"/>
      <c r="I411" s="93"/>
      <c r="J411" s="93"/>
    </row>
    <row r="412" spans="1:10" s="65" customFormat="1" ht="14" x14ac:dyDescent="0.35">
      <c r="A412" s="145"/>
      <c r="B412" s="93"/>
      <c r="C412" s="93"/>
      <c r="D412" s="93"/>
      <c r="E412" s="95"/>
      <c r="F412" s="95"/>
      <c r="G412" s="95"/>
      <c r="H412" s="93"/>
      <c r="I412" s="93"/>
      <c r="J412" s="93"/>
    </row>
    <row r="413" spans="1:10" s="65" customFormat="1" ht="14" x14ac:dyDescent="0.35">
      <c r="A413" s="145"/>
      <c r="B413" s="93"/>
      <c r="C413" s="93"/>
      <c r="D413" s="93"/>
      <c r="E413" s="95"/>
      <c r="F413" s="95"/>
      <c r="G413" s="95"/>
      <c r="H413" s="93"/>
      <c r="I413" s="93"/>
      <c r="J413" s="93"/>
    </row>
    <row r="414" spans="1:10" s="65" customFormat="1" ht="14" x14ac:dyDescent="0.35">
      <c r="A414" s="145"/>
      <c r="B414" s="93"/>
      <c r="C414" s="93"/>
      <c r="D414" s="93"/>
      <c r="E414" s="95"/>
      <c r="F414" s="95"/>
      <c r="G414" s="95"/>
      <c r="H414" s="93"/>
      <c r="I414" s="93"/>
      <c r="J414" s="93"/>
    </row>
    <row r="415" spans="1:10" s="65" customFormat="1" ht="14" x14ac:dyDescent="0.35">
      <c r="A415" s="145"/>
      <c r="B415" s="93"/>
      <c r="C415" s="93"/>
      <c r="D415" s="93"/>
      <c r="E415" s="95"/>
      <c r="F415" s="95"/>
      <c r="G415" s="95"/>
      <c r="H415" s="93"/>
      <c r="I415" s="93"/>
      <c r="J415" s="93"/>
    </row>
    <row r="416" spans="1:10" s="65" customFormat="1" ht="14" x14ac:dyDescent="0.35">
      <c r="A416" s="145"/>
      <c r="B416" s="93"/>
      <c r="C416" s="93"/>
      <c r="D416" s="93"/>
      <c r="E416" s="95"/>
      <c r="F416" s="95"/>
      <c r="G416" s="95"/>
      <c r="H416" s="93"/>
      <c r="I416" s="93"/>
      <c r="J416" s="93"/>
    </row>
    <row r="417" spans="1:10" s="65" customFormat="1" ht="14" x14ac:dyDescent="0.35">
      <c r="A417" s="145"/>
      <c r="B417" s="93"/>
      <c r="C417" s="93"/>
      <c r="D417" s="93"/>
      <c r="E417" s="95"/>
      <c r="F417" s="95"/>
      <c r="G417" s="95"/>
      <c r="H417" s="93"/>
      <c r="I417" s="93"/>
      <c r="J417" s="93"/>
    </row>
    <row r="418" spans="1:10" s="65" customFormat="1" ht="14" x14ac:dyDescent="0.35">
      <c r="A418" s="145"/>
      <c r="B418" s="93"/>
      <c r="C418" s="93"/>
      <c r="D418" s="93"/>
      <c r="E418" s="95"/>
      <c r="F418" s="95"/>
      <c r="G418" s="95"/>
      <c r="H418" s="93"/>
      <c r="I418" s="93"/>
      <c r="J418" s="93"/>
    </row>
    <row r="419" spans="1:10" s="65" customFormat="1" ht="14" x14ac:dyDescent="0.35">
      <c r="A419" s="145"/>
      <c r="B419" s="93"/>
      <c r="C419" s="93"/>
      <c r="D419" s="93"/>
      <c r="E419" s="95"/>
      <c r="F419" s="95"/>
      <c r="G419" s="95"/>
      <c r="H419" s="93"/>
      <c r="I419" s="93"/>
      <c r="J419" s="93"/>
    </row>
    <row r="420" spans="1:10" s="65" customFormat="1" ht="14" x14ac:dyDescent="0.35">
      <c r="A420" s="145"/>
      <c r="B420" s="93"/>
      <c r="C420" s="93"/>
      <c r="D420" s="93"/>
      <c r="E420" s="95"/>
      <c r="F420" s="95"/>
      <c r="G420" s="95"/>
      <c r="H420" s="93"/>
      <c r="I420" s="93"/>
      <c r="J420" s="93"/>
    </row>
    <row r="421" spans="1:10" s="65" customFormat="1" ht="14" x14ac:dyDescent="0.35">
      <c r="A421" s="145"/>
      <c r="B421" s="93"/>
      <c r="C421" s="93"/>
      <c r="D421" s="93"/>
      <c r="E421" s="95"/>
      <c r="F421" s="95"/>
      <c r="G421" s="95"/>
      <c r="H421" s="93"/>
      <c r="I421" s="93"/>
      <c r="J421" s="93"/>
    </row>
    <row r="422" spans="1:10" s="65" customFormat="1" ht="14" x14ac:dyDescent="0.35">
      <c r="A422" s="145"/>
      <c r="B422" s="93"/>
      <c r="C422" s="93"/>
      <c r="D422" s="93"/>
      <c r="E422" s="95"/>
      <c r="F422" s="95"/>
      <c r="G422" s="95"/>
      <c r="H422" s="93"/>
      <c r="I422" s="93"/>
      <c r="J422" s="93"/>
    </row>
    <row r="423" spans="1:10" s="65" customFormat="1" ht="14" x14ac:dyDescent="0.35">
      <c r="A423" s="145"/>
      <c r="B423" s="93"/>
      <c r="C423" s="93"/>
      <c r="D423" s="93"/>
      <c r="E423" s="95"/>
      <c r="F423" s="95"/>
      <c r="G423" s="95"/>
      <c r="H423" s="93"/>
      <c r="I423" s="93"/>
      <c r="J423" s="93"/>
    </row>
    <row r="424" spans="1:10" s="65" customFormat="1" ht="14" x14ac:dyDescent="0.35">
      <c r="A424" s="145"/>
      <c r="B424" s="93"/>
      <c r="C424" s="93"/>
      <c r="D424" s="93"/>
      <c r="E424" s="95"/>
      <c r="F424" s="95"/>
      <c r="G424" s="95"/>
      <c r="H424" s="93"/>
      <c r="I424" s="93"/>
      <c r="J424" s="93"/>
    </row>
    <row r="425" spans="1:10" s="65" customFormat="1" ht="14" x14ac:dyDescent="0.35">
      <c r="A425" s="145"/>
      <c r="B425" s="93"/>
      <c r="C425" s="93"/>
      <c r="D425" s="93"/>
      <c r="E425" s="95"/>
      <c r="F425" s="95"/>
      <c r="G425" s="95"/>
      <c r="H425" s="93"/>
      <c r="I425" s="93"/>
      <c r="J425" s="93"/>
    </row>
    <row r="426" spans="1:10" s="65" customFormat="1" ht="14" x14ac:dyDescent="0.35">
      <c r="A426" s="145"/>
      <c r="B426" s="93"/>
      <c r="C426" s="93"/>
      <c r="D426" s="93"/>
      <c r="E426" s="95"/>
      <c r="F426" s="95"/>
      <c r="G426" s="95"/>
      <c r="H426" s="93"/>
      <c r="I426" s="93"/>
      <c r="J426" s="93"/>
    </row>
    <row r="427" spans="1:10" s="65" customFormat="1" ht="14" x14ac:dyDescent="0.35">
      <c r="A427" s="145"/>
      <c r="B427" s="93"/>
      <c r="C427" s="93"/>
      <c r="D427" s="93"/>
      <c r="E427" s="95"/>
      <c r="F427" s="95"/>
      <c r="G427" s="95"/>
      <c r="H427" s="93"/>
      <c r="I427" s="93"/>
      <c r="J427" s="93"/>
    </row>
    <row r="428" spans="1:10" s="65" customFormat="1" ht="14" x14ac:dyDescent="0.35">
      <c r="A428" s="145"/>
      <c r="B428" s="93"/>
      <c r="C428" s="93"/>
      <c r="D428" s="93"/>
      <c r="E428" s="95"/>
      <c r="F428" s="95"/>
      <c r="G428" s="95"/>
      <c r="H428" s="93"/>
      <c r="I428" s="93"/>
      <c r="J428" s="93"/>
    </row>
    <row r="429" spans="1:10" s="65" customFormat="1" ht="14" x14ac:dyDescent="0.35">
      <c r="A429" s="145"/>
      <c r="B429" s="93"/>
      <c r="C429" s="93"/>
      <c r="D429" s="93"/>
      <c r="E429" s="95"/>
      <c r="F429" s="95"/>
      <c r="G429" s="95"/>
      <c r="H429" s="93"/>
      <c r="I429" s="93"/>
      <c r="J429" s="93"/>
    </row>
    <row r="430" spans="1:10" s="65" customFormat="1" ht="14" x14ac:dyDescent="0.35">
      <c r="A430" s="145"/>
      <c r="B430" s="93"/>
      <c r="C430" s="93"/>
      <c r="D430" s="93"/>
      <c r="E430" s="95"/>
      <c r="F430" s="95"/>
      <c r="G430" s="95"/>
      <c r="H430" s="93"/>
      <c r="I430" s="93"/>
      <c r="J430" s="93"/>
    </row>
    <row r="431" spans="1:10" s="65" customFormat="1" ht="14" x14ac:dyDescent="0.35">
      <c r="A431" s="145"/>
      <c r="B431" s="93"/>
      <c r="C431" s="93"/>
      <c r="D431" s="93"/>
      <c r="E431" s="95"/>
      <c r="F431" s="95"/>
      <c r="G431" s="95"/>
      <c r="H431" s="93"/>
      <c r="I431" s="93"/>
      <c r="J431" s="93"/>
    </row>
    <row r="432" spans="1:10" s="65" customFormat="1" ht="14" x14ac:dyDescent="0.35">
      <c r="A432" s="145"/>
      <c r="B432" s="93"/>
      <c r="C432" s="93"/>
      <c r="D432" s="93"/>
      <c r="E432" s="95"/>
      <c r="F432" s="95"/>
      <c r="G432" s="95"/>
      <c r="H432" s="93"/>
      <c r="I432" s="93"/>
      <c r="J432" s="93"/>
    </row>
    <row r="433" spans="1:10" s="65" customFormat="1" ht="14" x14ac:dyDescent="0.35">
      <c r="A433" s="145"/>
      <c r="B433" s="93"/>
      <c r="C433" s="93"/>
      <c r="D433" s="93"/>
      <c r="E433" s="95"/>
      <c r="F433" s="95"/>
      <c r="G433" s="95"/>
      <c r="H433" s="93"/>
      <c r="I433" s="93"/>
      <c r="J433" s="93"/>
    </row>
    <row r="434" spans="1:10" s="65" customFormat="1" ht="14" x14ac:dyDescent="0.35">
      <c r="A434" s="145"/>
      <c r="B434" s="93"/>
      <c r="C434" s="93"/>
      <c r="D434" s="93"/>
      <c r="E434" s="95"/>
      <c r="F434" s="95"/>
      <c r="G434" s="95"/>
      <c r="H434" s="93"/>
      <c r="I434" s="93"/>
      <c r="J434" s="93"/>
    </row>
    <row r="435" spans="1:10" s="65" customFormat="1" ht="14" x14ac:dyDescent="0.35">
      <c r="A435" s="145"/>
      <c r="B435" s="93"/>
      <c r="C435" s="93"/>
      <c r="D435" s="93"/>
      <c r="E435" s="95"/>
      <c r="F435" s="95"/>
      <c r="G435" s="95"/>
      <c r="H435" s="93"/>
      <c r="I435" s="93"/>
      <c r="J435" s="93"/>
    </row>
    <row r="436" spans="1:10" s="65" customFormat="1" ht="14" x14ac:dyDescent="0.35">
      <c r="A436" s="145"/>
      <c r="B436" s="93"/>
      <c r="C436" s="93"/>
      <c r="D436" s="93"/>
      <c r="E436" s="95"/>
      <c r="F436" s="95"/>
      <c r="G436" s="95"/>
      <c r="H436" s="93"/>
      <c r="I436" s="93"/>
      <c r="J436" s="93"/>
    </row>
    <row r="437" spans="1:10" s="65" customFormat="1" ht="14" x14ac:dyDescent="0.35">
      <c r="A437" s="145"/>
      <c r="B437" s="93"/>
      <c r="C437" s="93"/>
      <c r="D437" s="93"/>
      <c r="E437" s="95"/>
      <c r="F437" s="95"/>
      <c r="G437" s="95"/>
      <c r="H437" s="93"/>
      <c r="I437" s="93"/>
      <c r="J437" s="93"/>
    </row>
    <row r="438" spans="1:10" s="65" customFormat="1" ht="14" x14ac:dyDescent="0.35">
      <c r="A438" s="145"/>
      <c r="B438" s="93"/>
      <c r="C438" s="93"/>
      <c r="D438" s="93"/>
      <c r="E438" s="95"/>
      <c r="F438" s="95"/>
      <c r="G438" s="95"/>
      <c r="H438" s="93"/>
      <c r="I438" s="93"/>
      <c r="J438" s="93"/>
    </row>
    <row r="439" spans="1:10" s="65" customFormat="1" ht="14" x14ac:dyDescent="0.35">
      <c r="A439" s="145"/>
      <c r="B439" s="93"/>
      <c r="C439" s="93"/>
      <c r="D439" s="93"/>
      <c r="E439" s="95"/>
      <c r="F439" s="95"/>
      <c r="G439" s="95"/>
      <c r="H439" s="93"/>
      <c r="I439" s="93"/>
      <c r="J439" s="93"/>
    </row>
    <row r="440" spans="1:10" s="65" customFormat="1" ht="14" x14ac:dyDescent="0.35">
      <c r="A440" s="145"/>
      <c r="B440" s="93"/>
      <c r="C440" s="93"/>
      <c r="D440" s="93"/>
      <c r="E440" s="95"/>
      <c r="F440" s="95"/>
      <c r="G440" s="95"/>
      <c r="H440" s="93"/>
      <c r="I440" s="93"/>
      <c r="J440" s="93"/>
    </row>
    <row r="441" spans="1:10" s="65" customFormat="1" ht="14" x14ac:dyDescent="0.35">
      <c r="A441" s="145"/>
      <c r="B441" s="93"/>
      <c r="C441" s="93"/>
      <c r="D441" s="93"/>
      <c r="E441" s="95"/>
      <c r="F441" s="95"/>
      <c r="G441" s="95"/>
      <c r="H441" s="93"/>
      <c r="I441" s="93"/>
      <c r="J441" s="93"/>
    </row>
    <row r="442" spans="1:10" s="65" customFormat="1" ht="14" x14ac:dyDescent="0.35">
      <c r="A442" s="145"/>
      <c r="B442" s="93"/>
      <c r="C442" s="93"/>
      <c r="D442" s="93"/>
      <c r="E442" s="95"/>
      <c r="F442" s="95"/>
      <c r="G442" s="95"/>
      <c r="H442" s="93"/>
      <c r="I442" s="93"/>
      <c r="J442" s="93"/>
    </row>
    <row r="443" spans="1:10" s="65" customFormat="1" ht="14" x14ac:dyDescent="0.35">
      <c r="A443" s="145"/>
      <c r="B443" s="93"/>
      <c r="C443" s="93"/>
      <c r="D443" s="93"/>
      <c r="E443" s="95"/>
      <c r="F443" s="95"/>
      <c r="G443" s="95"/>
      <c r="H443" s="93"/>
      <c r="I443" s="93"/>
      <c r="J443" s="93"/>
    </row>
    <row r="444" spans="1:10" s="65" customFormat="1" ht="14" x14ac:dyDescent="0.35">
      <c r="A444" s="145"/>
      <c r="B444" s="93"/>
      <c r="C444" s="93"/>
      <c r="D444" s="93"/>
      <c r="E444" s="95"/>
      <c r="F444" s="95"/>
      <c r="G444" s="95"/>
      <c r="H444" s="93"/>
      <c r="I444" s="93"/>
      <c r="J444" s="93"/>
    </row>
    <row r="445" spans="1:10" s="65" customFormat="1" ht="14" x14ac:dyDescent="0.35">
      <c r="A445" s="145"/>
      <c r="B445" s="93"/>
      <c r="C445" s="93"/>
      <c r="D445" s="93"/>
      <c r="E445" s="95"/>
      <c r="F445" s="95"/>
      <c r="G445" s="95"/>
      <c r="H445" s="93"/>
      <c r="I445" s="93"/>
      <c r="J445" s="93"/>
    </row>
    <row r="446" spans="1:10" s="65" customFormat="1" ht="14" x14ac:dyDescent="0.35">
      <c r="A446" s="145"/>
      <c r="B446" s="93"/>
      <c r="C446" s="93"/>
      <c r="D446" s="93"/>
      <c r="E446" s="95"/>
      <c r="F446" s="95"/>
      <c r="G446" s="95"/>
      <c r="H446" s="93"/>
      <c r="I446" s="93"/>
      <c r="J446" s="93"/>
    </row>
    <row r="447" spans="1:10" s="65" customFormat="1" ht="14" x14ac:dyDescent="0.35">
      <c r="A447" s="145"/>
      <c r="B447" s="93"/>
      <c r="C447" s="93"/>
      <c r="D447" s="93"/>
      <c r="E447" s="95"/>
      <c r="F447" s="95"/>
      <c r="G447" s="95"/>
      <c r="H447" s="93"/>
      <c r="I447" s="93"/>
      <c r="J447" s="93"/>
    </row>
    <row r="448" spans="1:10" s="65" customFormat="1" ht="14" x14ac:dyDescent="0.35">
      <c r="A448" s="145"/>
      <c r="B448" s="93"/>
      <c r="C448" s="93"/>
      <c r="D448" s="93"/>
      <c r="E448" s="95"/>
      <c r="F448" s="95"/>
      <c r="G448" s="95"/>
      <c r="H448" s="93"/>
      <c r="I448" s="93"/>
      <c r="J448" s="93"/>
    </row>
    <row r="449" spans="1:10" s="65" customFormat="1" ht="14" x14ac:dyDescent="0.35">
      <c r="A449" s="145"/>
      <c r="B449" s="93"/>
      <c r="C449" s="93"/>
      <c r="D449" s="93"/>
      <c r="E449" s="95"/>
      <c r="F449" s="95"/>
      <c r="G449" s="95"/>
      <c r="H449" s="93"/>
      <c r="I449" s="93"/>
      <c r="J449" s="93"/>
    </row>
    <row r="450" spans="1:10" s="65" customFormat="1" ht="14" x14ac:dyDescent="0.35">
      <c r="A450" s="145"/>
      <c r="B450" s="93"/>
      <c r="C450" s="93"/>
      <c r="D450" s="93"/>
      <c r="E450" s="95"/>
      <c r="F450" s="95"/>
      <c r="G450" s="95"/>
      <c r="H450" s="93"/>
      <c r="I450" s="93"/>
      <c r="J450" s="93"/>
    </row>
    <row r="451" spans="1:10" s="65" customFormat="1" ht="14" x14ac:dyDescent="0.35">
      <c r="A451" s="145"/>
      <c r="B451" s="93"/>
      <c r="C451" s="93"/>
      <c r="D451" s="93"/>
      <c r="E451" s="95"/>
      <c r="F451" s="95"/>
      <c r="G451" s="95"/>
      <c r="H451" s="93"/>
      <c r="I451" s="93"/>
      <c r="J451" s="93"/>
    </row>
    <row r="452" spans="1:10" s="65" customFormat="1" ht="14" x14ac:dyDescent="0.35">
      <c r="A452" s="145"/>
      <c r="B452" s="93"/>
      <c r="C452" s="93"/>
      <c r="D452" s="93"/>
      <c r="E452" s="95"/>
      <c r="F452" s="95"/>
      <c r="G452" s="95"/>
      <c r="H452" s="93"/>
      <c r="I452" s="93"/>
      <c r="J452" s="93"/>
    </row>
    <row r="453" spans="1:10" s="65" customFormat="1" ht="14" x14ac:dyDescent="0.35">
      <c r="A453" s="145"/>
      <c r="B453" s="93"/>
      <c r="C453" s="93"/>
      <c r="D453" s="93"/>
      <c r="E453" s="95"/>
      <c r="F453" s="95"/>
      <c r="G453" s="95"/>
      <c r="H453" s="93"/>
      <c r="I453" s="93"/>
      <c r="J453" s="93"/>
    </row>
    <row r="454" spans="1:10" s="65" customFormat="1" ht="14" x14ac:dyDescent="0.35">
      <c r="A454" s="145"/>
      <c r="B454" s="93"/>
      <c r="C454" s="93"/>
      <c r="D454" s="93"/>
      <c r="E454" s="95"/>
      <c r="F454" s="95"/>
      <c r="G454" s="95"/>
      <c r="H454" s="93"/>
      <c r="I454" s="93"/>
      <c r="J454" s="93"/>
    </row>
    <row r="455" spans="1:10" s="65" customFormat="1" ht="14" x14ac:dyDescent="0.35">
      <c r="A455" s="145"/>
      <c r="B455" s="93"/>
      <c r="C455" s="93"/>
      <c r="D455" s="93"/>
      <c r="E455" s="95"/>
      <c r="F455" s="95"/>
      <c r="G455" s="95"/>
      <c r="H455" s="93"/>
      <c r="I455" s="93"/>
      <c r="J455" s="93"/>
    </row>
    <row r="456" spans="1:10" s="65" customFormat="1" ht="14" x14ac:dyDescent="0.35">
      <c r="A456" s="145"/>
      <c r="B456" s="93"/>
      <c r="C456" s="93"/>
      <c r="D456" s="93"/>
      <c r="E456" s="95"/>
      <c r="F456" s="95"/>
      <c r="G456" s="95"/>
      <c r="H456" s="93"/>
      <c r="I456" s="93"/>
      <c r="J456" s="93"/>
    </row>
    <row r="457" spans="1:10" s="65" customFormat="1" ht="14" x14ac:dyDescent="0.35">
      <c r="A457" s="145"/>
      <c r="B457" s="93"/>
      <c r="C457" s="93"/>
      <c r="D457" s="93"/>
      <c r="E457" s="95"/>
      <c r="F457" s="95"/>
      <c r="G457" s="95"/>
      <c r="H457" s="93"/>
      <c r="I457" s="93"/>
      <c r="J457" s="93"/>
    </row>
    <row r="458" spans="1:10" s="65" customFormat="1" ht="14" x14ac:dyDescent="0.35">
      <c r="A458" s="145"/>
      <c r="B458" s="93"/>
      <c r="C458" s="93"/>
      <c r="D458" s="93"/>
      <c r="E458" s="95"/>
      <c r="F458" s="95"/>
      <c r="G458" s="95"/>
      <c r="H458" s="93"/>
      <c r="I458" s="93"/>
      <c r="J458" s="93"/>
    </row>
    <row r="459" spans="1:10" s="65" customFormat="1" ht="14" x14ac:dyDescent="0.35">
      <c r="A459" s="145"/>
      <c r="B459" s="93"/>
      <c r="C459" s="93"/>
      <c r="D459" s="93"/>
      <c r="E459" s="95"/>
      <c r="F459" s="95"/>
      <c r="G459" s="95"/>
      <c r="H459" s="93"/>
      <c r="I459" s="93"/>
      <c r="J459" s="93"/>
    </row>
    <row r="460" spans="1:10" s="65" customFormat="1" ht="14" x14ac:dyDescent="0.35">
      <c r="A460" s="145"/>
      <c r="B460" s="93"/>
      <c r="C460" s="93"/>
      <c r="D460" s="93"/>
      <c r="E460" s="95"/>
      <c r="F460" s="95"/>
      <c r="G460" s="95"/>
      <c r="H460" s="93"/>
      <c r="I460" s="93"/>
      <c r="J460" s="93"/>
    </row>
    <row r="461" spans="1:10" s="65" customFormat="1" ht="14" x14ac:dyDescent="0.35">
      <c r="A461" s="145"/>
      <c r="B461" s="93"/>
      <c r="C461" s="93"/>
      <c r="D461" s="93"/>
      <c r="E461" s="95"/>
      <c r="F461" s="95"/>
      <c r="G461" s="95"/>
      <c r="H461" s="93"/>
      <c r="I461" s="93"/>
      <c r="J461" s="93"/>
    </row>
    <row r="462" spans="1:10" s="65" customFormat="1" ht="14" x14ac:dyDescent="0.35">
      <c r="A462" s="145"/>
      <c r="B462" s="93"/>
      <c r="C462" s="93"/>
      <c r="D462" s="93"/>
      <c r="E462" s="95"/>
      <c r="F462" s="95"/>
      <c r="G462" s="95"/>
      <c r="H462" s="93"/>
      <c r="I462" s="93"/>
      <c r="J462" s="93"/>
    </row>
    <row r="463" spans="1:10" s="65" customFormat="1" ht="14" x14ac:dyDescent="0.35">
      <c r="A463" s="145"/>
      <c r="B463" s="93"/>
      <c r="C463" s="93"/>
      <c r="D463" s="93"/>
      <c r="E463" s="95"/>
      <c r="F463" s="95"/>
      <c r="G463" s="95"/>
      <c r="H463" s="93"/>
      <c r="I463" s="93"/>
      <c r="J463" s="93"/>
    </row>
    <row r="464" spans="1:10" s="65" customFormat="1" ht="14" x14ac:dyDescent="0.35">
      <c r="A464" s="145"/>
      <c r="B464" s="93"/>
      <c r="C464" s="93"/>
      <c r="D464" s="93"/>
      <c r="E464" s="95"/>
      <c r="F464" s="95"/>
      <c r="G464" s="95"/>
      <c r="H464" s="93"/>
      <c r="I464" s="93"/>
      <c r="J464" s="93"/>
    </row>
    <row r="465" spans="1:10" s="65" customFormat="1" ht="14" x14ac:dyDescent="0.35">
      <c r="A465" s="145"/>
      <c r="B465" s="93"/>
      <c r="C465" s="93"/>
      <c r="D465" s="93"/>
      <c r="E465" s="95"/>
      <c r="F465" s="95"/>
      <c r="G465" s="95"/>
      <c r="H465" s="93"/>
      <c r="I465" s="93"/>
      <c r="J465" s="93"/>
    </row>
    <row r="466" spans="1:10" s="65" customFormat="1" ht="14" x14ac:dyDescent="0.35">
      <c r="A466" s="145"/>
      <c r="B466" s="93"/>
      <c r="C466" s="93"/>
      <c r="D466" s="93"/>
      <c r="E466" s="95"/>
      <c r="F466" s="95"/>
      <c r="G466" s="95"/>
      <c r="H466" s="93"/>
      <c r="I466" s="93"/>
      <c r="J466" s="93"/>
    </row>
    <row r="467" spans="1:10" s="65" customFormat="1" ht="14" x14ac:dyDescent="0.35">
      <c r="A467" s="145"/>
      <c r="B467" s="93"/>
      <c r="C467" s="93"/>
      <c r="D467" s="93"/>
      <c r="E467" s="95"/>
      <c r="F467" s="95"/>
      <c r="G467" s="95"/>
      <c r="H467" s="93"/>
      <c r="I467" s="93"/>
      <c r="J467" s="93"/>
    </row>
    <row r="468" spans="1:10" s="65" customFormat="1" ht="14" x14ac:dyDescent="0.35">
      <c r="A468" s="145"/>
      <c r="B468" s="93"/>
      <c r="C468" s="93"/>
      <c r="D468" s="93"/>
      <c r="E468" s="95"/>
      <c r="F468" s="95"/>
      <c r="G468" s="95"/>
      <c r="H468" s="93"/>
      <c r="I468" s="93"/>
      <c r="J468" s="93"/>
    </row>
    <row r="469" spans="1:10" s="65" customFormat="1" ht="14" x14ac:dyDescent="0.35">
      <c r="A469" s="145"/>
      <c r="B469" s="93"/>
      <c r="C469" s="93"/>
      <c r="D469" s="93"/>
      <c r="E469" s="95"/>
      <c r="F469" s="95"/>
      <c r="G469" s="95"/>
      <c r="H469" s="93"/>
      <c r="I469" s="93"/>
      <c r="J469" s="93"/>
    </row>
    <row r="470" spans="1:10" s="65" customFormat="1" ht="14" x14ac:dyDescent="0.35">
      <c r="A470" s="145"/>
      <c r="B470" s="93"/>
      <c r="C470" s="93"/>
      <c r="D470" s="93"/>
      <c r="E470" s="95"/>
      <c r="F470" s="95"/>
      <c r="G470" s="95"/>
      <c r="H470" s="93"/>
      <c r="I470" s="93"/>
      <c r="J470" s="93"/>
    </row>
    <row r="471" spans="1:10" s="65" customFormat="1" ht="14" x14ac:dyDescent="0.35">
      <c r="A471" s="145"/>
      <c r="B471" s="93"/>
      <c r="C471" s="93"/>
      <c r="D471" s="93"/>
      <c r="E471" s="95"/>
      <c r="F471" s="95"/>
      <c r="G471" s="95"/>
      <c r="H471" s="93"/>
      <c r="I471" s="93"/>
      <c r="J471" s="93"/>
    </row>
    <row r="472" spans="1:10" s="65" customFormat="1" ht="14" x14ac:dyDescent="0.35">
      <c r="A472" s="145"/>
      <c r="B472" s="93"/>
      <c r="C472" s="93"/>
      <c r="D472" s="93"/>
      <c r="E472" s="95"/>
      <c r="F472" s="95"/>
      <c r="G472" s="95"/>
      <c r="H472" s="93"/>
      <c r="I472" s="93"/>
      <c r="J472" s="93"/>
    </row>
    <row r="473" spans="1:10" s="65" customFormat="1" ht="14" x14ac:dyDescent="0.35">
      <c r="A473" s="145"/>
      <c r="B473" s="93"/>
      <c r="C473" s="93"/>
      <c r="D473" s="93"/>
      <c r="E473" s="95"/>
      <c r="F473" s="95"/>
      <c r="G473" s="95"/>
      <c r="H473" s="93"/>
      <c r="I473" s="93"/>
      <c r="J473" s="93"/>
    </row>
    <row r="474" spans="1:10" s="65" customFormat="1" ht="14" x14ac:dyDescent="0.35">
      <c r="A474" s="145"/>
      <c r="B474" s="93"/>
      <c r="C474" s="93"/>
      <c r="D474" s="93"/>
      <c r="E474" s="95"/>
      <c r="F474" s="95"/>
      <c r="G474" s="95"/>
      <c r="H474" s="93"/>
      <c r="I474" s="93"/>
      <c r="J474" s="93"/>
    </row>
    <row r="475" spans="1:10" s="65" customFormat="1" ht="14" x14ac:dyDescent="0.35">
      <c r="A475" s="145"/>
      <c r="B475" s="93"/>
      <c r="C475" s="93"/>
      <c r="D475" s="93"/>
      <c r="E475" s="95"/>
      <c r="F475" s="95"/>
      <c r="G475" s="95"/>
      <c r="H475" s="93"/>
      <c r="I475" s="93"/>
      <c r="J475" s="93"/>
    </row>
    <row r="476" spans="1:10" s="65" customFormat="1" ht="14" x14ac:dyDescent="0.35">
      <c r="A476" s="145"/>
      <c r="B476" s="93"/>
      <c r="C476" s="93"/>
      <c r="D476" s="93"/>
      <c r="E476" s="95"/>
      <c r="F476" s="95"/>
      <c r="G476" s="95"/>
      <c r="H476" s="93"/>
      <c r="I476" s="93"/>
      <c r="J476" s="93"/>
    </row>
    <row r="477" spans="1:10" s="65" customFormat="1" ht="14" x14ac:dyDescent="0.35">
      <c r="A477" s="145"/>
      <c r="B477" s="93"/>
      <c r="C477" s="93"/>
      <c r="D477" s="93"/>
      <c r="E477" s="95"/>
      <c r="F477" s="95"/>
      <c r="G477" s="95"/>
      <c r="H477" s="93"/>
      <c r="I477" s="93"/>
      <c r="J477" s="93"/>
    </row>
    <row r="478" spans="1:10" s="65" customFormat="1" ht="14" x14ac:dyDescent="0.35">
      <c r="A478" s="145"/>
      <c r="B478" s="93"/>
      <c r="C478" s="93"/>
      <c r="D478" s="93"/>
      <c r="E478" s="95"/>
      <c r="F478" s="95"/>
      <c r="G478" s="95"/>
      <c r="H478" s="93"/>
      <c r="I478" s="93"/>
      <c r="J478" s="93"/>
    </row>
    <row r="479" spans="1:10" s="65" customFormat="1" ht="14" x14ac:dyDescent="0.35">
      <c r="A479" s="145"/>
      <c r="B479" s="93"/>
      <c r="C479" s="93"/>
      <c r="D479" s="93"/>
      <c r="E479" s="95"/>
      <c r="F479" s="95"/>
      <c r="G479" s="95"/>
      <c r="H479" s="93"/>
      <c r="I479" s="93"/>
      <c r="J479" s="93"/>
    </row>
    <row r="480" spans="1:10" s="65" customFormat="1" ht="14" x14ac:dyDescent="0.35">
      <c r="A480" s="145"/>
      <c r="B480" s="93"/>
      <c r="C480" s="93"/>
      <c r="D480" s="93"/>
      <c r="E480" s="95"/>
      <c r="F480" s="95"/>
      <c r="G480" s="95"/>
      <c r="H480" s="93"/>
      <c r="I480" s="93"/>
      <c r="J480" s="93"/>
    </row>
    <row r="481" spans="1:10" s="65" customFormat="1" ht="14" x14ac:dyDescent="0.35">
      <c r="A481" s="145"/>
      <c r="B481" s="93"/>
      <c r="C481" s="93"/>
      <c r="D481" s="93"/>
      <c r="E481" s="95"/>
      <c r="F481" s="95"/>
      <c r="G481" s="95"/>
      <c r="H481" s="93"/>
      <c r="I481" s="93"/>
      <c r="J481" s="93"/>
    </row>
    <row r="482" spans="1:10" s="65" customFormat="1" ht="14" x14ac:dyDescent="0.35">
      <c r="A482" s="145"/>
      <c r="B482" s="93"/>
      <c r="C482" s="93"/>
      <c r="D482" s="93"/>
      <c r="E482" s="95"/>
      <c r="F482" s="95"/>
      <c r="G482" s="95"/>
      <c r="H482" s="93"/>
      <c r="I482" s="93"/>
      <c r="J482" s="93"/>
    </row>
    <row r="483" spans="1:10" s="65" customFormat="1" ht="14" x14ac:dyDescent="0.35">
      <c r="A483" s="145"/>
      <c r="B483" s="93"/>
      <c r="C483" s="93"/>
      <c r="D483" s="93"/>
      <c r="E483" s="95"/>
      <c r="F483" s="95"/>
      <c r="G483" s="95"/>
      <c r="H483" s="93"/>
      <c r="I483" s="93"/>
      <c r="J483" s="93"/>
    </row>
    <row r="484" spans="1:10" s="65" customFormat="1" ht="14" x14ac:dyDescent="0.35">
      <c r="A484" s="145"/>
      <c r="B484" s="93"/>
      <c r="C484" s="93"/>
      <c r="D484" s="93"/>
      <c r="E484" s="95"/>
      <c r="F484" s="95"/>
      <c r="G484" s="95"/>
      <c r="H484" s="93"/>
      <c r="I484" s="93"/>
      <c r="J484" s="93"/>
    </row>
    <row r="485" spans="1:10" s="65" customFormat="1" ht="14" x14ac:dyDescent="0.35">
      <c r="A485" s="145"/>
      <c r="B485" s="93"/>
      <c r="C485" s="93"/>
      <c r="D485" s="93"/>
      <c r="E485" s="95"/>
      <c r="F485" s="95"/>
      <c r="G485" s="95"/>
      <c r="H485" s="93"/>
      <c r="I485" s="93"/>
      <c r="J485" s="93"/>
    </row>
    <row r="486" spans="1:10" s="65" customFormat="1" ht="14" x14ac:dyDescent="0.35">
      <c r="A486" s="145"/>
      <c r="B486" s="93"/>
      <c r="C486" s="93"/>
      <c r="D486" s="93"/>
      <c r="E486" s="95"/>
      <c r="F486" s="95"/>
      <c r="G486" s="95"/>
      <c r="H486" s="93"/>
      <c r="I486" s="93"/>
      <c r="J486" s="93"/>
    </row>
    <row r="487" spans="1:10" s="65" customFormat="1" ht="14" x14ac:dyDescent="0.35">
      <c r="A487" s="145"/>
      <c r="B487" s="93"/>
      <c r="C487" s="93"/>
      <c r="D487" s="93"/>
      <c r="E487" s="95"/>
      <c r="F487" s="95"/>
      <c r="G487" s="95"/>
      <c r="H487" s="93"/>
      <c r="I487" s="93"/>
      <c r="J487" s="93"/>
    </row>
    <row r="488" spans="1:10" s="65" customFormat="1" ht="14" x14ac:dyDescent="0.35">
      <c r="A488" s="145"/>
      <c r="B488" s="93"/>
      <c r="C488" s="93"/>
      <c r="D488" s="93"/>
      <c r="E488" s="95"/>
      <c r="F488" s="95"/>
      <c r="G488" s="95"/>
      <c r="H488" s="93"/>
      <c r="I488" s="93"/>
      <c r="J488" s="93"/>
    </row>
    <row r="489" spans="1:10" s="65" customFormat="1" ht="14" x14ac:dyDescent="0.35">
      <c r="A489" s="145"/>
      <c r="B489" s="93"/>
      <c r="C489" s="93"/>
      <c r="D489" s="93"/>
      <c r="E489" s="95"/>
      <c r="F489" s="95"/>
      <c r="G489" s="95"/>
      <c r="H489" s="93"/>
      <c r="I489" s="93"/>
      <c r="J489" s="93"/>
    </row>
    <row r="490" spans="1:10" s="65" customFormat="1" ht="14" x14ac:dyDescent="0.35">
      <c r="A490" s="145"/>
      <c r="B490" s="93"/>
      <c r="C490" s="93"/>
      <c r="D490" s="93"/>
      <c r="E490" s="95"/>
      <c r="F490" s="95"/>
      <c r="G490" s="95"/>
      <c r="H490" s="93"/>
      <c r="I490" s="93"/>
      <c r="J490" s="93"/>
    </row>
    <row r="491" spans="1:10" s="65" customFormat="1" ht="14" x14ac:dyDescent="0.35">
      <c r="A491" s="145"/>
      <c r="B491" s="93"/>
      <c r="C491" s="93"/>
      <c r="D491" s="93"/>
      <c r="E491" s="95"/>
      <c r="F491" s="95"/>
      <c r="G491" s="95"/>
      <c r="H491" s="93"/>
      <c r="I491" s="93"/>
      <c r="J491" s="93"/>
    </row>
    <row r="492" spans="1:10" s="65" customFormat="1" ht="14" x14ac:dyDescent="0.35">
      <c r="A492" s="145"/>
      <c r="B492" s="93"/>
      <c r="C492" s="93"/>
      <c r="D492" s="93"/>
      <c r="E492" s="95"/>
      <c r="F492" s="95"/>
      <c r="G492" s="95"/>
      <c r="H492" s="93"/>
      <c r="I492" s="93"/>
      <c r="J492" s="93"/>
    </row>
    <row r="493" spans="1:10" s="65" customFormat="1" ht="14" x14ac:dyDescent="0.35">
      <c r="A493" s="145"/>
      <c r="B493" s="93"/>
      <c r="C493" s="93"/>
      <c r="D493" s="93"/>
      <c r="E493" s="95"/>
      <c r="F493" s="95"/>
      <c r="G493" s="95"/>
      <c r="H493" s="93"/>
      <c r="I493" s="93"/>
      <c r="J493" s="93"/>
    </row>
    <row r="494" spans="1:10" s="65" customFormat="1" ht="14" x14ac:dyDescent="0.35">
      <c r="A494" s="145"/>
      <c r="B494" s="93"/>
      <c r="C494" s="93"/>
      <c r="D494" s="93"/>
      <c r="E494" s="95"/>
      <c r="F494" s="95"/>
      <c r="G494" s="95"/>
      <c r="H494" s="93"/>
      <c r="I494" s="93"/>
      <c r="J494" s="93"/>
    </row>
    <row r="495" spans="1:10" s="65" customFormat="1" ht="14" x14ac:dyDescent="0.35">
      <c r="A495" s="145"/>
      <c r="B495" s="93"/>
      <c r="C495" s="93"/>
      <c r="D495" s="93"/>
      <c r="E495" s="95"/>
      <c r="F495" s="95"/>
      <c r="G495" s="95"/>
      <c r="H495" s="93"/>
      <c r="I495" s="93"/>
      <c r="J495" s="93"/>
    </row>
    <row r="496" spans="1:10" s="65" customFormat="1" ht="14" x14ac:dyDescent="0.35">
      <c r="A496" s="145"/>
      <c r="B496" s="93"/>
      <c r="C496" s="93"/>
      <c r="D496" s="93"/>
      <c r="E496" s="95"/>
      <c r="F496" s="95"/>
      <c r="G496" s="95"/>
      <c r="H496" s="93"/>
      <c r="I496" s="93"/>
      <c r="J496" s="93"/>
    </row>
    <row r="497" spans="1:10" s="65" customFormat="1" ht="14" x14ac:dyDescent="0.35">
      <c r="A497" s="145"/>
      <c r="B497" s="93"/>
      <c r="C497" s="93"/>
      <c r="D497" s="93"/>
      <c r="E497" s="95"/>
      <c r="F497" s="95"/>
      <c r="G497" s="95"/>
      <c r="H497" s="93"/>
      <c r="I497" s="93"/>
      <c r="J497" s="93"/>
    </row>
    <row r="498" spans="1:10" s="65" customFormat="1" ht="14" x14ac:dyDescent="0.35">
      <c r="A498" s="145"/>
      <c r="B498" s="93"/>
      <c r="C498" s="93"/>
      <c r="D498" s="93"/>
      <c r="E498" s="95"/>
      <c r="F498" s="95"/>
      <c r="G498" s="95"/>
      <c r="H498" s="93"/>
      <c r="I498" s="93"/>
      <c r="J498" s="93"/>
    </row>
    <row r="499" spans="1:10" s="65" customFormat="1" ht="14" x14ac:dyDescent="0.35">
      <c r="A499" s="145"/>
      <c r="B499" s="93"/>
      <c r="C499" s="93"/>
      <c r="D499" s="93"/>
      <c r="E499" s="95"/>
      <c r="F499" s="95"/>
      <c r="G499" s="95"/>
      <c r="H499" s="93"/>
      <c r="I499" s="93"/>
      <c r="J499" s="93"/>
    </row>
    <row r="500" spans="1:10" s="65" customFormat="1" ht="14" x14ac:dyDescent="0.35">
      <c r="A500" s="145"/>
      <c r="B500" s="93"/>
      <c r="C500" s="93"/>
      <c r="D500" s="93"/>
      <c r="E500" s="95"/>
      <c r="F500" s="95"/>
      <c r="G500" s="95"/>
      <c r="H500" s="93"/>
      <c r="I500" s="93"/>
      <c r="J500" s="93"/>
    </row>
    <row r="501" spans="1:10" s="65" customFormat="1" ht="14" x14ac:dyDescent="0.35">
      <c r="A501" s="145"/>
      <c r="B501" s="93"/>
      <c r="C501" s="93"/>
      <c r="D501" s="93"/>
      <c r="E501" s="95"/>
      <c r="F501" s="95"/>
      <c r="G501" s="95"/>
      <c r="H501" s="93"/>
      <c r="I501" s="93"/>
      <c r="J501" s="93"/>
    </row>
    <row r="502" spans="1:10" s="65" customFormat="1" ht="14" x14ac:dyDescent="0.35">
      <c r="A502" s="145"/>
      <c r="B502" s="93"/>
      <c r="C502" s="93"/>
      <c r="D502" s="93"/>
      <c r="E502" s="95"/>
      <c r="F502" s="95"/>
      <c r="G502" s="95"/>
      <c r="H502" s="93"/>
      <c r="I502" s="93"/>
      <c r="J502" s="93"/>
    </row>
    <row r="503" spans="1:10" s="65" customFormat="1" ht="14" x14ac:dyDescent="0.35">
      <c r="A503" s="145"/>
      <c r="B503" s="93"/>
      <c r="C503" s="93"/>
      <c r="D503" s="93"/>
      <c r="E503" s="95"/>
      <c r="F503" s="95"/>
      <c r="G503" s="95"/>
      <c r="H503" s="93"/>
      <c r="I503" s="93"/>
      <c r="J503" s="93"/>
    </row>
    <row r="504" spans="1:10" s="65" customFormat="1" ht="14" x14ac:dyDescent="0.35">
      <c r="A504" s="145"/>
      <c r="B504" s="93"/>
      <c r="C504" s="93"/>
      <c r="D504" s="93"/>
      <c r="E504" s="95"/>
      <c r="F504" s="95"/>
      <c r="G504" s="95"/>
      <c r="H504" s="93"/>
      <c r="I504" s="93"/>
      <c r="J504" s="93"/>
    </row>
    <row r="505" spans="1:10" s="65" customFormat="1" ht="14" x14ac:dyDescent="0.35">
      <c r="A505" s="145"/>
      <c r="B505" s="93"/>
      <c r="C505" s="93"/>
      <c r="D505" s="93"/>
      <c r="E505" s="95"/>
      <c r="F505" s="95"/>
      <c r="G505" s="95"/>
      <c r="H505" s="93"/>
      <c r="I505" s="93"/>
      <c r="J505" s="93"/>
    </row>
    <row r="506" spans="1:10" s="65" customFormat="1" ht="14" x14ac:dyDescent="0.35">
      <c r="A506" s="145"/>
      <c r="B506" s="93"/>
      <c r="C506" s="93"/>
      <c r="D506" s="93"/>
      <c r="E506" s="95"/>
      <c r="F506" s="95"/>
      <c r="G506" s="95"/>
      <c r="H506" s="93"/>
      <c r="I506" s="93"/>
      <c r="J506" s="93"/>
    </row>
    <row r="507" spans="1:10" s="65" customFormat="1" ht="14" x14ac:dyDescent="0.35">
      <c r="A507" s="145"/>
      <c r="B507" s="93"/>
      <c r="C507" s="93"/>
      <c r="D507" s="93"/>
      <c r="E507" s="95"/>
      <c r="F507" s="95"/>
      <c r="G507" s="95"/>
      <c r="H507" s="93"/>
      <c r="I507" s="93"/>
      <c r="J507" s="93"/>
    </row>
    <row r="508" spans="1:10" s="65" customFormat="1" ht="14" x14ac:dyDescent="0.35">
      <c r="A508" s="145"/>
      <c r="B508" s="93"/>
      <c r="C508" s="93"/>
      <c r="D508" s="93"/>
      <c r="E508" s="95"/>
      <c r="F508" s="95"/>
      <c r="G508" s="95"/>
      <c r="H508" s="93"/>
      <c r="I508" s="93"/>
      <c r="J508" s="93"/>
    </row>
    <row r="509" spans="1:10" s="65" customFormat="1" ht="14" x14ac:dyDescent="0.35">
      <c r="A509" s="145"/>
      <c r="B509" s="93"/>
      <c r="C509" s="93"/>
      <c r="D509" s="93"/>
      <c r="E509" s="95"/>
      <c r="F509" s="95"/>
      <c r="G509" s="95"/>
      <c r="H509" s="93"/>
      <c r="I509" s="93"/>
      <c r="J509" s="93"/>
    </row>
    <row r="510" spans="1:10" s="65" customFormat="1" ht="14" x14ac:dyDescent="0.35">
      <c r="A510" s="145"/>
      <c r="B510" s="93"/>
      <c r="C510" s="93"/>
      <c r="D510" s="93"/>
      <c r="E510" s="95"/>
      <c r="F510" s="95"/>
      <c r="G510" s="95"/>
      <c r="H510" s="93"/>
      <c r="I510" s="93"/>
      <c r="J510" s="93"/>
    </row>
    <row r="511" spans="1:10" s="65" customFormat="1" ht="14" x14ac:dyDescent="0.35">
      <c r="A511" s="145"/>
      <c r="B511" s="93"/>
      <c r="C511" s="93"/>
      <c r="D511" s="93"/>
      <c r="E511" s="95"/>
      <c r="F511" s="95"/>
      <c r="G511" s="95"/>
      <c r="H511" s="93"/>
      <c r="I511" s="93"/>
      <c r="J511" s="93"/>
    </row>
    <row r="512" spans="1:10" s="65" customFormat="1" ht="14" x14ac:dyDescent="0.35">
      <c r="A512" s="145"/>
      <c r="B512" s="93"/>
      <c r="C512" s="93"/>
      <c r="D512" s="93"/>
      <c r="E512" s="95"/>
      <c r="F512" s="95"/>
      <c r="G512" s="95"/>
      <c r="H512" s="93"/>
      <c r="I512" s="93"/>
      <c r="J512" s="93"/>
    </row>
    <row r="513" spans="1:10" s="65" customFormat="1" ht="14" x14ac:dyDescent="0.35">
      <c r="A513" s="145"/>
      <c r="B513" s="93"/>
      <c r="C513" s="93"/>
      <c r="D513" s="93"/>
      <c r="E513" s="95"/>
      <c r="F513" s="95"/>
      <c r="G513" s="95"/>
      <c r="H513" s="93"/>
      <c r="I513" s="93"/>
      <c r="J513" s="93"/>
    </row>
    <row r="514" spans="1:10" s="65" customFormat="1" ht="14" x14ac:dyDescent="0.35">
      <c r="A514" s="145"/>
      <c r="B514" s="93"/>
      <c r="C514" s="93"/>
      <c r="D514" s="93"/>
      <c r="E514" s="95"/>
      <c r="F514" s="95"/>
      <c r="G514" s="95"/>
      <c r="H514" s="93"/>
      <c r="I514" s="93"/>
      <c r="J514" s="93"/>
    </row>
    <row r="515" spans="1:10" s="65" customFormat="1" ht="14" x14ac:dyDescent="0.35">
      <c r="A515" s="145"/>
      <c r="B515" s="93"/>
      <c r="C515" s="93"/>
      <c r="D515" s="93"/>
      <c r="E515" s="95"/>
      <c r="F515" s="95"/>
      <c r="G515" s="95"/>
      <c r="H515" s="93"/>
      <c r="I515" s="93"/>
      <c r="J515" s="93"/>
    </row>
    <row r="516" spans="1:10" s="65" customFormat="1" ht="14" x14ac:dyDescent="0.35">
      <c r="A516" s="145"/>
      <c r="B516" s="93"/>
      <c r="C516" s="93"/>
      <c r="D516" s="93"/>
      <c r="E516" s="95"/>
      <c r="F516" s="95"/>
      <c r="G516" s="95"/>
      <c r="H516" s="93"/>
      <c r="I516" s="93"/>
      <c r="J516" s="93"/>
    </row>
    <row r="517" spans="1:10" s="65" customFormat="1" ht="14" x14ac:dyDescent="0.35">
      <c r="A517" s="145"/>
      <c r="B517" s="93"/>
      <c r="C517" s="93"/>
      <c r="D517" s="93"/>
      <c r="E517" s="95"/>
      <c r="F517" s="95"/>
      <c r="G517" s="95"/>
      <c r="H517" s="93"/>
      <c r="I517" s="93"/>
      <c r="J517" s="93"/>
    </row>
    <row r="518" spans="1:10" s="65" customFormat="1" ht="14" x14ac:dyDescent="0.35">
      <c r="A518" s="145"/>
      <c r="B518" s="93"/>
      <c r="C518" s="93"/>
      <c r="D518" s="93"/>
      <c r="E518" s="95"/>
      <c r="F518" s="95"/>
      <c r="G518" s="95"/>
      <c r="H518" s="93"/>
      <c r="I518" s="93"/>
      <c r="J518" s="93"/>
    </row>
    <row r="519" spans="1:10" s="65" customFormat="1" ht="14" x14ac:dyDescent="0.35">
      <c r="A519" s="145"/>
      <c r="B519" s="93"/>
      <c r="C519" s="93"/>
      <c r="D519" s="93"/>
      <c r="E519" s="95"/>
      <c r="F519" s="95"/>
      <c r="G519" s="95"/>
      <c r="H519" s="93"/>
      <c r="I519" s="93"/>
      <c r="J519" s="93"/>
    </row>
    <row r="520" spans="1:10" s="65" customFormat="1" ht="14" x14ac:dyDescent="0.35">
      <c r="A520" s="145"/>
      <c r="B520" s="93"/>
      <c r="C520" s="93"/>
      <c r="D520" s="93"/>
      <c r="E520" s="95"/>
      <c r="F520" s="95"/>
      <c r="G520" s="95"/>
      <c r="H520" s="93"/>
      <c r="I520" s="93"/>
      <c r="J520" s="93"/>
    </row>
    <row r="521" spans="1:10" s="65" customFormat="1" ht="14" x14ac:dyDescent="0.35">
      <c r="A521" s="145"/>
      <c r="B521" s="93"/>
      <c r="C521" s="93"/>
      <c r="D521" s="93"/>
      <c r="E521" s="95"/>
      <c r="F521" s="95"/>
      <c r="G521" s="95"/>
      <c r="H521" s="93"/>
      <c r="I521" s="93"/>
      <c r="J521" s="93"/>
    </row>
    <row r="522" spans="1:10" s="65" customFormat="1" ht="14" x14ac:dyDescent="0.35">
      <c r="A522" s="145"/>
      <c r="B522" s="93"/>
      <c r="C522" s="93"/>
      <c r="D522" s="93"/>
      <c r="E522" s="95"/>
      <c r="F522" s="95"/>
      <c r="G522" s="95"/>
      <c r="H522" s="93"/>
      <c r="I522" s="93"/>
      <c r="J522" s="93"/>
    </row>
    <row r="523" spans="1:10" s="65" customFormat="1" ht="14" x14ac:dyDescent="0.35">
      <c r="A523" s="145"/>
      <c r="B523" s="93"/>
      <c r="C523" s="93"/>
      <c r="D523" s="93"/>
      <c r="E523" s="95"/>
      <c r="F523" s="95"/>
      <c r="G523" s="95"/>
      <c r="H523" s="93"/>
      <c r="I523" s="93"/>
      <c r="J523" s="93"/>
    </row>
    <row r="524" spans="1:10" s="65" customFormat="1" ht="14" x14ac:dyDescent="0.35">
      <c r="A524" s="145"/>
      <c r="B524" s="93"/>
      <c r="C524" s="93"/>
      <c r="D524" s="93"/>
      <c r="E524" s="95"/>
      <c r="F524" s="95"/>
      <c r="G524" s="95"/>
      <c r="H524" s="93"/>
      <c r="I524" s="93"/>
      <c r="J524" s="93"/>
    </row>
    <row r="525" spans="1:10" s="65" customFormat="1" ht="14" x14ac:dyDescent="0.35">
      <c r="A525" s="145"/>
      <c r="B525" s="93"/>
      <c r="C525" s="93"/>
      <c r="D525" s="93"/>
      <c r="E525" s="95"/>
      <c r="F525" s="95"/>
      <c r="G525" s="95"/>
      <c r="H525" s="93"/>
      <c r="I525" s="93"/>
      <c r="J525" s="93"/>
    </row>
    <row r="526" spans="1:10" s="65" customFormat="1" ht="14" x14ac:dyDescent="0.35">
      <c r="A526" s="145"/>
      <c r="B526" s="93"/>
      <c r="C526" s="93"/>
      <c r="D526" s="93"/>
      <c r="E526" s="95"/>
      <c r="F526" s="95"/>
      <c r="G526" s="95"/>
      <c r="H526" s="93"/>
      <c r="I526" s="93"/>
      <c r="J526" s="93"/>
    </row>
    <row r="527" spans="1:10" s="65" customFormat="1" ht="14" x14ac:dyDescent="0.35">
      <c r="A527" s="145"/>
      <c r="B527" s="93"/>
      <c r="C527" s="93"/>
      <c r="D527" s="93"/>
      <c r="E527" s="95"/>
      <c r="F527" s="95"/>
      <c r="G527" s="95"/>
      <c r="H527" s="93"/>
      <c r="I527" s="93"/>
      <c r="J527" s="93"/>
    </row>
    <row r="528" spans="1:10" s="65" customFormat="1" ht="14" x14ac:dyDescent="0.35">
      <c r="A528" s="145"/>
      <c r="B528" s="93"/>
      <c r="C528" s="93"/>
      <c r="D528" s="93"/>
      <c r="E528" s="95"/>
      <c r="F528" s="95"/>
      <c r="G528" s="95"/>
      <c r="H528" s="93"/>
      <c r="I528" s="93"/>
      <c r="J528" s="93"/>
    </row>
    <row r="529" spans="1:10" s="65" customFormat="1" ht="14" x14ac:dyDescent="0.35">
      <c r="A529" s="145"/>
      <c r="B529" s="93"/>
      <c r="C529" s="93"/>
      <c r="D529" s="93"/>
      <c r="E529" s="95"/>
      <c r="F529" s="95"/>
      <c r="G529" s="95"/>
      <c r="H529" s="93"/>
      <c r="I529" s="93"/>
      <c r="J529" s="93"/>
    </row>
    <row r="530" spans="1:10" s="65" customFormat="1" ht="14" x14ac:dyDescent="0.35">
      <c r="A530" s="145"/>
      <c r="B530" s="93"/>
      <c r="C530" s="93"/>
      <c r="D530" s="93"/>
      <c r="E530" s="95"/>
      <c r="F530" s="95"/>
      <c r="G530" s="95"/>
      <c r="H530" s="93"/>
      <c r="I530" s="93"/>
      <c r="J530" s="93"/>
    </row>
    <row r="531" spans="1:10" s="65" customFormat="1" ht="14" x14ac:dyDescent="0.35">
      <c r="A531" s="145"/>
      <c r="B531" s="93"/>
      <c r="C531" s="93"/>
      <c r="D531" s="93"/>
      <c r="E531" s="95"/>
      <c r="F531" s="95"/>
      <c r="G531" s="95"/>
      <c r="H531" s="93"/>
      <c r="I531" s="93"/>
      <c r="J531" s="93"/>
    </row>
    <row r="532" spans="1:10" s="65" customFormat="1" ht="14" x14ac:dyDescent="0.35">
      <c r="A532" s="145"/>
      <c r="B532" s="93"/>
      <c r="C532" s="93"/>
      <c r="D532" s="93"/>
      <c r="E532" s="95"/>
      <c r="F532" s="95"/>
      <c r="G532" s="95"/>
      <c r="H532" s="93"/>
      <c r="I532" s="93"/>
      <c r="J532" s="93"/>
    </row>
    <row r="533" spans="1:10" s="65" customFormat="1" ht="14" x14ac:dyDescent="0.35">
      <c r="A533" s="145"/>
      <c r="B533" s="93"/>
      <c r="C533" s="93"/>
      <c r="D533" s="93"/>
      <c r="E533" s="95"/>
      <c r="F533" s="95"/>
      <c r="G533" s="95"/>
      <c r="H533" s="93"/>
      <c r="I533" s="93"/>
      <c r="J533" s="93"/>
    </row>
    <row r="534" spans="1:10" s="65" customFormat="1" ht="14" x14ac:dyDescent="0.35">
      <c r="A534" s="145"/>
      <c r="B534" s="93"/>
      <c r="C534" s="93"/>
      <c r="D534" s="93"/>
      <c r="E534" s="95"/>
      <c r="F534" s="95"/>
      <c r="G534" s="95"/>
      <c r="H534" s="93"/>
      <c r="I534" s="93"/>
      <c r="J534" s="93"/>
    </row>
    <row r="535" spans="1:10" s="65" customFormat="1" ht="14" x14ac:dyDescent="0.35">
      <c r="A535" s="145"/>
      <c r="B535" s="93"/>
      <c r="C535" s="93"/>
      <c r="D535" s="93"/>
      <c r="E535" s="95"/>
      <c r="F535" s="95"/>
      <c r="G535" s="95"/>
      <c r="H535" s="93"/>
      <c r="I535" s="93"/>
      <c r="J535" s="93"/>
    </row>
    <row r="536" spans="1:10" s="65" customFormat="1" ht="14" x14ac:dyDescent="0.35">
      <c r="A536" s="145"/>
      <c r="B536" s="93"/>
      <c r="C536" s="93"/>
      <c r="D536" s="93"/>
      <c r="E536" s="95"/>
      <c r="F536" s="95"/>
      <c r="G536" s="95"/>
      <c r="H536" s="93"/>
      <c r="I536" s="93"/>
      <c r="J536" s="93"/>
    </row>
    <row r="537" spans="1:10" s="65" customFormat="1" ht="14" x14ac:dyDescent="0.35">
      <c r="A537" s="145"/>
      <c r="B537" s="93"/>
      <c r="C537" s="93"/>
      <c r="D537" s="93"/>
      <c r="E537" s="95"/>
      <c r="F537" s="95"/>
      <c r="G537" s="95"/>
      <c r="H537" s="93"/>
      <c r="I537" s="93"/>
      <c r="J537" s="93"/>
    </row>
    <row r="538" spans="1:10" s="65" customFormat="1" ht="14" x14ac:dyDescent="0.35">
      <c r="A538" s="145"/>
      <c r="B538" s="93"/>
      <c r="C538" s="93"/>
      <c r="D538" s="93"/>
      <c r="E538" s="95"/>
      <c r="F538" s="95"/>
      <c r="G538" s="95"/>
      <c r="H538" s="93"/>
      <c r="I538" s="93"/>
      <c r="J538" s="93"/>
    </row>
    <row r="539" spans="1:10" s="65" customFormat="1" ht="14" x14ac:dyDescent="0.35">
      <c r="A539" s="145"/>
      <c r="B539" s="93"/>
      <c r="C539" s="93"/>
      <c r="D539" s="93"/>
      <c r="E539" s="95"/>
      <c r="F539" s="95"/>
      <c r="G539" s="95"/>
      <c r="H539" s="93"/>
      <c r="I539" s="93"/>
      <c r="J539" s="93"/>
    </row>
    <row r="540" spans="1:10" s="65" customFormat="1" ht="14" x14ac:dyDescent="0.35">
      <c r="A540" s="145"/>
      <c r="B540" s="93"/>
      <c r="C540" s="93"/>
      <c r="D540" s="93"/>
      <c r="E540" s="95"/>
      <c r="F540" s="95"/>
      <c r="G540" s="95"/>
      <c r="H540" s="93"/>
      <c r="I540" s="93"/>
      <c r="J540" s="93"/>
    </row>
    <row r="541" spans="1:10" s="65" customFormat="1" ht="14" x14ac:dyDescent="0.35">
      <c r="A541" s="145"/>
      <c r="B541" s="93"/>
      <c r="C541" s="93"/>
      <c r="D541" s="93"/>
      <c r="E541" s="95"/>
      <c r="F541" s="95"/>
      <c r="G541" s="95"/>
      <c r="H541" s="93"/>
      <c r="I541" s="93"/>
      <c r="J541" s="93"/>
    </row>
    <row r="542" spans="1:10" s="65" customFormat="1" ht="14" x14ac:dyDescent="0.35">
      <c r="A542" s="145"/>
      <c r="B542" s="93"/>
      <c r="C542" s="93"/>
      <c r="D542" s="93"/>
      <c r="E542" s="95"/>
      <c r="F542" s="95"/>
      <c r="G542" s="95"/>
      <c r="H542" s="93"/>
      <c r="I542" s="93"/>
      <c r="J542" s="93"/>
    </row>
    <row r="543" spans="1:10" s="65" customFormat="1" ht="14" x14ac:dyDescent="0.35">
      <c r="A543" s="145"/>
      <c r="B543" s="93"/>
      <c r="C543" s="93"/>
      <c r="D543" s="93"/>
      <c r="E543" s="95"/>
      <c r="F543" s="95"/>
      <c r="G543" s="95"/>
      <c r="H543" s="93"/>
      <c r="I543" s="93"/>
      <c r="J543" s="93"/>
    </row>
    <row r="544" spans="1:10" s="65" customFormat="1" ht="14" x14ac:dyDescent="0.35">
      <c r="A544" s="145"/>
      <c r="B544" s="93"/>
      <c r="C544" s="93"/>
      <c r="D544" s="93"/>
      <c r="E544" s="95"/>
      <c r="F544" s="95"/>
      <c r="G544" s="95"/>
      <c r="H544" s="93"/>
      <c r="I544" s="93"/>
      <c r="J544" s="93"/>
    </row>
    <row r="545" spans="1:10" s="65" customFormat="1" ht="14" x14ac:dyDescent="0.35">
      <c r="A545" s="145"/>
      <c r="B545" s="93"/>
      <c r="C545" s="93"/>
      <c r="D545" s="93"/>
      <c r="E545" s="95"/>
      <c r="F545" s="95"/>
      <c r="G545" s="95"/>
      <c r="H545" s="93"/>
      <c r="I545" s="93"/>
      <c r="J545" s="93"/>
    </row>
    <row r="546" spans="1:10" s="65" customFormat="1" ht="14" x14ac:dyDescent="0.35">
      <c r="A546" s="145"/>
      <c r="B546" s="93"/>
      <c r="C546" s="93"/>
      <c r="D546" s="93"/>
      <c r="E546" s="95"/>
      <c r="F546" s="95"/>
      <c r="G546" s="95"/>
      <c r="H546" s="93"/>
      <c r="I546" s="93"/>
      <c r="J546" s="93"/>
    </row>
    <row r="547" spans="1:10" s="65" customFormat="1" ht="14" x14ac:dyDescent="0.35">
      <c r="A547" s="145"/>
      <c r="B547" s="93"/>
      <c r="C547" s="93"/>
      <c r="D547" s="93"/>
      <c r="E547" s="95"/>
      <c r="F547" s="95"/>
      <c r="G547" s="95"/>
      <c r="H547" s="93"/>
      <c r="I547" s="93"/>
      <c r="J547" s="93"/>
    </row>
    <row r="548" spans="1:10" s="65" customFormat="1" ht="14" x14ac:dyDescent="0.35">
      <c r="A548" s="145"/>
      <c r="B548" s="93"/>
      <c r="C548" s="93"/>
      <c r="D548" s="93"/>
      <c r="E548" s="95"/>
      <c r="F548" s="95"/>
      <c r="G548" s="95"/>
      <c r="H548" s="93"/>
      <c r="I548" s="93"/>
      <c r="J548" s="93"/>
    </row>
    <row r="549" spans="1:10" s="65" customFormat="1" ht="14" x14ac:dyDescent="0.35">
      <c r="A549" s="145"/>
      <c r="B549" s="93"/>
      <c r="C549" s="93"/>
      <c r="D549" s="93"/>
      <c r="E549" s="95"/>
      <c r="F549" s="95"/>
      <c r="G549" s="95"/>
      <c r="H549" s="93"/>
      <c r="I549" s="93"/>
      <c r="J549" s="93"/>
    </row>
    <row r="550" spans="1:10" s="65" customFormat="1" ht="14" x14ac:dyDescent="0.35">
      <c r="A550" s="145"/>
      <c r="B550" s="93"/>
      <c r="C550" s="93"/>
      <c r="D550" s="93"/>
      <c r="E550" s="95"/>
      <c r="F550" s="95"/>
      <c r="G550" s="95"/>
      <c r="H550" s="93"/>
      <c r="I550" s="93"/>
      <c r="J550" s="93"/>
    </row>
    <row r="551" spans="1:10" s="65" customFormat="1" ht="14" x14ac:dyDescent="0.35">
      <c r="A551" s="145"/>
      <c r="B551" s="93"/>
      <c r="C551" s="93"/>
      <c r="D551" s="93"/>
      <c r="E551" s="95"/>
      <c r="F551" s="95"/>
      <c r="G551" s="95"/>
      <c r="H551" s="93"/>
      <c r="I551" s="93"/>
      <c r="J551" s="93"/>
    </row>
    <row r="552" spans="1:10" s="65" customFormat="1" ht="14" x14ac:dyDescent="0.35">
      <c r="A552" s="145"/>
      <c r="B552" s="93"/>
      <c r="C552" s="93"/>
      <c r="D552" s="93"/>
      <c r="E552" s="95"/>
      <c r="F552" s="95"/>
      <c r="G552" s="95"/>
      <c r="H552" s="93"/>
      <c r="I552" s="93"/>
      <c r="J552" s="93"/>
    </row>
    <row r="553" spans="1:10" s="65" customFormat="1" ht="14" x14ac:dyDescent="0.35">
      <c r="A553" s="145"/>
      <c r="B553" s="93"/>
      <c r="C553" s="93"/>
      <c r="D553" s="93"/>
      <c r="E553" s="95"/>
      <c r="F553" s="95"/>
      <c r="G553" s="95"/>
      <c r="H553" s="93"/>
      <c r="I553" s="93"/>
      <c r="J553" s="93"/>
    </row>
    <row r="554" spans="1:10" s="65" customFormat="1" ht="14" x14ac:dyDescent="0.35">
      <c r="A554" s="145"/>
      <c r="B554" s="93"/>
      <c r="C554" s="93"/>
      <c r="D554" s="93"/>
      <c r="E554" s="95"/>
      <c r="F554" s="95"/>
      <c r="G554" s="95"/>
      <c r="H554" s="93"/>
      <c r="I554" s="93"/>
      <c r="J554" s="93"/>
    </row>
    <row r="555" spans="1:10" s="65" customFormat="1" ht="14" x14ac:dyDescent="0.35">
      <c r="A555" s="145"/>
      <c r="B555" s="93"/>
      <c r="C555" s="93"/>
      <c r="D555" s="93"/>
      <c r="E555" s="95"/>
      <c r="F555" s="95"/>
      <c r="G555" s="95"/>
      <c r="H555" s="93"/>
      <c r="I555" s="93"/>
      <c r="J555" s="93"/>
    </row>
    <row r="556" spans="1:10" s="65" customFormat="1" ht="14" x14ac:dyDescent="0.35">
      <c r="A556" s="145"/>
      <c r="B556" s="93"/>
      <c r="C556" s="93"/>
      <c r="D556" s="93"/>
      <c r="E556" s="95"/>
      <c r="F556" s="95"/>
      <c r="G556" s="95"/>
      <c r="H556" s="93"/>
      <c r="I556" s="93"/>
      <c r="J556" s="93"/>
    </row>
    <row r="557" spans="1:10" s="65" customFormat="1" ht="14" x14ac:dyDescent="0.35">
      <c r="A557" s="145"/>
      <c r="B557" s="93"/>
      <c r="C557" s="93"/>
      <c r="D557" s="93"/>
      <c r="E557" s="95"/>
      <c r="F557" s="95"/>
      <c r="G557" s="95"/>
      <c r="H557" s="93"/>
      <c r="I557" s="93"/>
      <c r="J557" s="93"/>
    </row>
    <row r="558" spans="1:10" s="65" customFormat="1" ht="14" x14ac:dyDescent="0.35">
      <c r="A558" s="145"/>
      <c r="B558" s="93"/>
      <c r="C558" s="93"/>
      <c r="D558" s="93"/>
      <c r="E558" s="95"/>
      <c r="F558" s="95"/>
      <c r="G558" s="95"/>
      <c r="H558" s="93"/>
      <c r="I558" s="93"/>
      <c r="J558" s="93"/>
    </row>
    <row r="559" spans="1:10" s="65" customFormat="1" ht="14" x14ac:dyDescent="0.35">
      <c r="A559" s="145"/>
      <c r="B559" s="93"/>
      <c r="C559" s="93"/>
      <c r="D559" s="93"/>
      <c r="E559" s="95"/>
      <c r="F559" s="95"/>
      <c r="G559" s="95"/>
      <c r="H559" s="93"/>
      <c r="I559" s="93"/>
      <c r="J559" s="93"/>
    </row>
    <row r="560" spans="1:10" s="65" customFormat="1" ht="14" x14ac:dyDescent="0.35">
      <c r="A560" s="145"/>
      <c r="B560" s="93"/>
      <c r="C560" s="93"/>
      <c r="D560" s="93"/>
      <c r="E560" s="95"/>
      <c r="F560" s="95"/>
      <c r="G560" s="95"/>
      <c r="H560" s="93"/>
      <c r="I560" s="93"/>
      <c r="J560" s="93"/>
    </row>
    <row r="561" spans="1:10" s="65" customFormat="1" ht="14" x14ac:dyDescent="0.35">
      <c r="A561" s="145"/>
      <c r="B561" s="93"/>
      <c r="C561" s="93"/>
      <c r="D561" s="93"/>
      <c r="E561" s="95"/>
      <c r="F561" s="95"/>
      <c r="G561" s="95"/>
      <c r="H561" s="93"/>
      <c r="I561" s="93"/>
      <c r="J561" s="93"/>
    </row>
    <row r="562" spans="1:10" s="65" customFormat="1" ht="14" x14ac:dyDescent="0.35">
      <c r="A562" s="145"/>
      <c r="B562" s="93"/>
      <c r="C562" s="93"/>
      <c r="D562" s="93"/>
      <c r="E562" s="95"/>
      <c r="F562" s="95"/>
      <c r="G562" s="95"/>
      <c r="H562" s="93"/>
      <c r="I562" s="93"/>
      <c r="J562" s="93"/>
    </row>
    <row r="563" spans="1:10" s="65" customFormat="1" ht="14" x14ac:dyDescent="0.35">
      <c r="A563" s="145"/>
      <c r="B563" s="93"/>
      <c r="C563" s="93"/>
      <c r="D563" s="93"/>
      <c r="E563" s="95"/>
      <c r="F563" s="95"/>
      <c r="G563" s="95"/>
      <c r="H563" s="93"/>
      <c r="I563" s="93"/>
      <c r="J563" s="93"/>
    </row>
    <row r="564" spans="1:10" s="65" customFormat="1" ht="14" x14ac:dyDescent="0.35">
      <c r="A564" s="145"/>
      <c r="B564" s="93"/>
      <c r="C564" s="93"/>
      <c r="D564" s="93"/>
      <c r="E564" s="95"/>
      <c r="F564" s="95"/>
      <c r="G564" s="95"/>
      <c r="H564" s="93"/>
      <c r="I564" s="93"/>
      <c r="J564" s="93"/>
    </row>
    <row r="565" spans="1:10" s="65" customFormat="1" ht="14" x14ac:dyDescent="0.35">
      <c r="A565" s="145"/>
      <c r="B565" s="93"/>
      <c r="C565" s="93"/>
      <c r="D565" s="93"/>
      <c r="E565" s="95"/>
      <c r="F565" s="95"/>
      <c r="G565" s="95"/>
      <c r="H565" s="93"/>
      <c r="I565" s="93"/>
      <c r="J565" s="93"/>
    </row>
    <row r="566" spans="1:10" s="65" customFormat="1" ht="14" x14ac:dyDescent="0.35">
      <c r="A566" s="145"/>
      <c r="B566" s="93"/>
      <c r="C566" s="93"/>
      <c r="D566" s="93"/>
      <c r="E566" s="95"/>
      <c r="F566" s="95"/>
      <c r="G566" s="95"/>
      <c r="H566" s="93"/>
      <c r="I566" s="93"/>
      <c r="J566" s="93"/>
    </row>
    <row r="567" spans="1:10" s="65" customFormat="1" ht="14" x14ac:dyDescent="0.35">
      <c r="A567" s="145"/>
      <c r="B567" s="93"/>
      <c r="C567" s="93"/>
      <c r="D567" s="93"/>
      <c r="E567" s="95"/>
      <c r="F567" s="95"/>
      <c r="G567" s="95"/>
      <c r="H567" s="93"/>
      <c r="I567" s="93"/>
      <c r="J567" s="93"/>
    </row>
    <row r="568" spans="1:10" s="65" customFormat="1" ht="14" x14ac:dyDescent="0.35">
      <c r="A568" s="145"/>
      <c r="B568" s="93"/>
      <c r="C568" s="93"/>
      <c r="D568" s="93"/>
      <c r="E568" s="95"/>
      <c r="F568" s="95"/>
      <c r="G568" s="95"/>
      <c r="H568" s="93"/>
      <c r="I568" s="93"/>
      <c r="J568" s="93"/>
    </row>
    <row r="569" spans="1:10" s="65" customFormat="1" ht="14" x14ac:dyDescent="0.35">
      <c r="A569" s="145"/>
      <c r="B569" s="93"/>
      <c r="C569" s="93"/>
      <c r="D569" s="93"/>
      <c r="E569" s="95"/>
      <c r="F569" s="95"/>
      <c r="G569" s="95"/>
      <c r="H569" s="93"/>
      <c r="I569" s="93"/>
      <c r="J569" s="93"/>
    </row>
    <row r="570" spans="1:10" s="65" customFormat="1" ht="14" x14ac:dyDescent="0.35">
      <c r="A570" s="145"/>
      <c r="B570" s="93"/>
      <c r="C570" s="93"/>
      <c r="D570" s="93"/>
      <c r="E570" s="95"/>
      <c r="F570" s="95"/>
      <c r="G570" s="95"/>
      <c r="H570" s="93"/>
      <c r="I570" s="93"/>
      <c r="J570" s="93"/>
    </row>
    <row r="571" spans="1:10" s="65" customFormat="1" ht="14" x14ac:dyDescent="0.35">
      <c r="A571" s="145"/>
      <c r="B571" s="93"/>
      <c r="C571" s="93"/>
      <c r="D571" s="93"/>
      <c r="E571" s="95"/>
      <c r="F571" s="95"/>
      <c r="G571" s="95"/>
      <c r="H571" s="93"/>
      <c r="I571" s="93"/>
      <c r="J571" s="93"/>
    </row>
    <row r="572" spans="1:10" s="65" customFormat="1" ht="14" x14ac:dyDescent="0.35">
      <c r="A572" s="145"/>
      <c r="B572" s="93"/>
      <c r="C572" s="93"/>
      <c r="D572" s="93"/>
      <c r="E572" s="95"/>
      <c r="F572" s="95"/>
      <c r="G572" s="95"/>
      <c r="H572" s="93"/>
      <c r="I572" s="93"/>
      <c r="J572" s="93"/>
    </row>
    <row r="573" spans="1:10" s="65" customFormat="1" ht="14" x14ac:dyDescent="0.35">
      <c r="A573" s="145"/>
      <c r="B573" s="93"/>
      <c r="C573" s="93"/>
      <c r="D573" s="93"/>
      <c r="E573" s="95"/>
      <c r="F573" s="95"/>
      <c r="G573" s="95"/>
      <c r="H573" s="93"/>
      <c r="I573" s="93"/>
      <c r="J573" s="93"/>
    </row>
    <row r="574" spans="1:10" s="65" customFormat="1" ht="14" x14ac:dyDescent="0.35">
      <c r="A574" s="145"/>
      <c r="B574" s="93"/>
      <c r="C574" s="93"/>
      <c r="D574" s="93"/>
      <c r="E574" s="95"/>
      <c r="F574" s="95"/>
      <c r="G574" s="95"/>
      <c r="H574" s="93"/>
      <c r="I574" s="93"/>
      <c r="J574" s="93"/>
    </row>
    <row r="575" spans="1:10" s="65" customFormat="1" ht="14" x14ac:dyDescent="0.35">
      <c r="A575" s="145"/>
      <c r="B575" s="93"/>
      <c r="C575" s="93"/>
      <c r="D575" s="93"/>
      <c r="E575" s="95"/>
      <c r="F575" s="95"/>
      <c r="G575" s="95"/>
      <c r="H575" s="93"/>
      <c r="I575" s="93"/>
      <c r="J575" s="93"/>
    </row>
    <row r="576" spans="1:10" s="65" customFormat="1" ht="14" x14ac:dyDescent="0.35">
      <c r="A576" s="145"/>
      <c r="B576" s="93"/>
      <c r="C576" s="93"/>
      <c r="D576" s="93"/>
      <c r="E576" s="95"/>
      <c r="F576" s="95"/>
      <c r="G576" s="95"/>
      <c r="H576" s="93"/>
      <c r="I576" s="93"/>
      <c r="J576" s="93"/>
    </row>
    <row r="577" spans="1:10" s="65" customFormat="1" ht="14" x14ac:dyDescent="0.35">
      <c r="A577" s="145"/>
      <c r="B577" s="93"/>
      <c r="C577" s="93"/>
      <c r="D577" s="93"/>
      <c r="E577" s="95"/>
      <c r="F577" s="95"/>
      <c r="G577" s="95"/>
      <c r="H577" s="93"/>
      <c r="I577" s="93"/>
      <c r="J577" s="93"/>
    </row>
    <row r="578" spans="1:10" s="65" customFormat="1" ht="14" x14ac:dyDescent="0.35">
      <c r="A578" s="145"/>
      <c r="B578" s="93"/>
      <c r="C578" s="93"/>
      <c r="D578" s="93"/>
      <c r="E578" s="95"/>
      <c r="F578" s="95"/>
      <c r="G578" s="95"/>
      <c r="H578" s="93"/>
      <c r="I578" s="93"/>
      <c r="J578" s="93"/>
    </row>
    <row r="579" spans="1:10" s="65" customFormat="1" ht="14" x14ac:dyDescent="0.35">
      <c r="A579" s="145"/>
      <c r="B579" s="93"/>
      <c r="C579" s="93"/>
      <c r="D579" s="93"/>
      <c r="E579" s="95"/>
      <c r="F579" s="95"/>
      <c r="G579" s="95"/>
      <c r="H579" s="93"/>
      <c r="I579" s="93"/>
      <c r="J579" s="93"/>
    </row>
    <row r="580" spans="1:10" s="65" customFormat="1" ht="14" x14ac:dyDescent="0.35">
      <c r="A580" s="145"/>
      <c r="B580" s="93"/>
      <c r="C580" s="93"/>
      <c r="D580" s="93"/>
      <c r="E580" s="95"/>
      <c r="F580" s="95"/>
      <c r="G580" s="95"/>
      <c r="H580" s="93"/>
      <c r="I580" s="93"/>
      <c r="J580" s="93"/>
    </row>
    <row r="581" spans="1:10" s="65" customFormat="1" ht="14" x14ac:dyDescent="0.35">
      <c r="A581" s="145"/>
      <c r="B581" s="93"/>
      <c r="C581" s="93"/>
      <c r="D581" s="93"/>
      <c r="E581" s="95"/>
      <c r="F581" s="95"/>
      <c r="G581" s="95"/>
      <c r="H581" s="93"/>
      <c r="I581" s="93"/>
      <c r="J581" s="93"/>
    </row>
    <row r="582" spans="1:10" s="65" customFormat="1" ht="14" x14ac:dyDescent="0.35">
      <c r="A582" s="145"/>
      <c r="B582" s="93"/>
      <c r="C582" s="93"/>
      <c r="D582" s="93"/>
      <c r="E582" s="95"/>
      <c r="F582" s="95"/>
      <c r="G582" s="95"/>
      <c r="H582" s="93"/>
      <c r="I582" s="93"/>
      <c r="J582" s="93"/>
    </row>
    <row r="583" spans="1:10" s="65" customFormat="1" ht="14" x14ac:dyDescent="0.35">
      <c r="A583" s="145"/>
      <c r="B583" s="93"/>
      <c r="C583" s="93"/>
      <c r="D583" s="93"/>
      <c r="E583" s="95"/>
      <c r="F583" s="95"/>
      <c r="G583" s="95"/>
      <c r="H583" s="93"/>
      <c r="I583" s="93"/>
      <c r="J583" s="93"/>
    </row>
    <row r="584" spans="1:10" s="65" customFormat="1" ht="14" x14ac:dyDescent="0.35">
      <c r="A584" s="145"/>
      <c r="B584" s="93"/>
      <c r="C584" s="93"/>
      <c r="D584" s="93"/>
      <c r="E584" s="95"/>
      <c r="F584" s="95"/>
      <c r="G584" s="95"/>
      <c r="H584" s="93"/>
      <c r="I584" s="93"/>
      <c r="J584" s="93"/>
    </row>
    <row r="585" spans="1:10" s="65" customFormat="1" ht="14" x14ac:dyDescent="0.35">
      <c r="A585" s="145"/>
      <c r="B585" s="93"/>
      <c r="C585" s="93"/>
      <c r="D585" s="93"/>
      <c r="E585" s="95"/>
      <c r="F585" s="95"/>
      <c r="G585" s="95"/>
      <c r="H585" s="93"/>
      <c r="I585" s="93"/>
      <c r="J585" s="93"/>
    </row>
    <row r="586" spans="1:10" s="65" customFormat="1" ht="14" x14ac:dyDescent="0.35">
      <c r="A586" s="145"/>
      <c r="B586" s="93"/>
      <c r="C586" s="93"/>
      <c r="D586" s="93"/>
      <c r="E586" s="95"/>
      <c r="F586" s="95"/>
      <c r="G586" s="95"/>
      <c r="H586" s="93"/>
      <c r="I586" s="93"/>
      <c r="J586" s="93"/>
    </row>
    <row r="587" spans="1:10" s="65" customFormat="1" ht="14" x14ac:dyDescent="0.35">
      <c r="A587" s="145"/>
      <c r="B587" s="93"/>
      <c r="C587" s="93"/>
      <c r="D587" s="93"/>
      <c r="E587" s="95"/>
      <c r="F587" s="95"/>
      <c r="G587" s="95"/>
      <c r="H587" s="93"/>
      <c r="I587" s="93"/>
      <c r="J587" s="93"/>
    </row>
    <row r="588" spans="1:10" s="65" customFormat="1" ht="14" x14ac:dyDescent="0.35">
      <c r="A588" s="145"/>
      <c r="B588" s="93"/>
      <c r="C588" s="93"/>
      <c r="D588" s="93"/>
      <c r="E588" s="95"/>
      <c r="F588" s="95"/>
      <c r="G588" s="95"/>
      <c r="H588" s="93"/>
      <c r="I588" s="93"/>
      <c r="J588" s="93"/>
    </row>
    <row r="589" spans="1:10" s="65" customFormat="1" ht="14" x14ac:dyDescent="0.35">
      <c r="A589" s="145"/>
      <c r="B589" s="93"/>
      <c r="C589" s="93"/>
      <c r="D589" s="93"/>
      <c r="E589" s="95"/>
      <c r="F589" s="95"/>
      <c r="G589" s="95"/>
      <c r="H589" s="93"/>
      <c r="I589" s="93"/>
      <c r="J589" s="93"/>
    </row>
    <row r="590" spans="1:10" s="65" customFormat="1" ht="14" x14ac:dyDescent="0.35">
      <c r="A590" s="145"/>
      <c r="B590" s="93"/>
      <c r="C590" s="93"/>
      <c r="D590" s="93"/>
      <c r="E590" s="95"/>
      <c r="F590" s="95"/>
      <c r="G590" s="95"/>
      <c r="H590" s="93"/>
      <c r="I590" s="93"/>
      <c r="J590" s="93"/>
    </row>
    <row r="591" spans="1:10" s="65" customFormat="1" ht="14" x14ac:dyDescent="0.35">
      <c r="A591" s="145"/>
      <c r="B591" s="93"/>
      <c r="C591" s="93"/>
      <c r="D591" s="93"/>
      <c r="E591" s="95"/>
      <c r="F591" s="95"/>
      <c r="G591" s="95"/>
      <c r="H591" s="93"/>
      <c r="I591" s="93"/>
      <c r="J591" s="93"/>
    </row>
    <row r="592" spans="1:10" s="65" customFormat="1" ht="14" x14ac:dyDescent="0.35">
      <c r="A592" s="145"/>
      <c r="B592" s="93"/>
      <c r="C592" s="93"/>
      <c r="D592" s="93"/>
      <c r="E592" s="95"/>
      <c r="F592" s="95"/>
      <c r="G592" s="95"/>
      <c r="H592" s="93"/>
      <c r="I592" s="93"/>
      <c r="J592" s="93"/>
    </row>
    <row r="593" spans="1:10" s="65" customFormat="1" ht="14" x14ac:dyDescent="0.35">
      <c r="A593" s="145"/>
      <c r="B593" s="93"/>
      <c r="C593" s="93"/>
      <c r="D593" s="93"/>
      <c r="E593" s="95"/>
      <c r="F593" s="95"/>
      <c r="G593" s="95"/>
      <c r="H593" s="93"/>
      <c r="I593" s="93"/>
      <c r="J593" s="93"/>
    </row>
    <row r="594" spans="1:10" s="65" customFormat="1" ht="14" x14ac:dyDescent="0.35">
      <c r="A594" s="145"/>
      <c r="B594" s="93"/>
      <c r="C594" s="93"/>
      <c r="D594" s="93"/>
      <c r="E594" s="95"/>
      <c r="F594" s="95"/>
      <c r="G594" s="95"/>
      <c r="H594" s="93"/>
      <c r="I594" s="93"/>
      <c r="J594" s="93"/>
    </row>
    <row r="595" spans="1:10" s="65" customFormat="1" ht="14" x14ac:dyDescent="0.35">
      <c r="A595" s="145"/>
      <c r="B595" s="93"/>
      <c r="C595" s="93"/>
      <c r="D595" s="93"/>
      <c r="E595" s="95"/>
      <c r="F595" s="95"/>
      <c r="G595" s="95"/>
      <c r="H595" s="93"/>
      <c r="I595" s="93"/>
      <c r="J595" s="93"/>
    </row>
    <row r="596" spans="1:10" s="65" customFormat="1" ht="14" x14ac:dyDescent="0.35">
      <c r="A596" s="145"/>
      <c r="B596" s="93"/>
      <c r="C596" s="93"/>
      <c r="D596" s="93"/>
      <c r="E596" s="95"/>
      <c r="F596" s="95"/>
      <c r="G596" s="95"/>
      <c r="H596" s="93"/>
      <c r="I596" s="93"/>
      <c r="J596" s="93"/>
    </row>
    <row r="597" spans="1:10" s="65" customFormat="1" ht="14" x14ac:dyDescent="0.35">
      <c r="A597" s="145"/>
      <c r="B597" s="93"/>
      <c r="C597" s="93"/>
      <c r="D597" s="93"/>
      <c r="E597" s="95"/>
      <c r="F597" s="95"/>
      <c r="G597" s="95"/>
      <c r="H597" s="93"/>
      <c r="I597" s="93"/>
      <c r="J597" s="93"/>
    </row>
    <row r="598" spans="1:10" s="65" customFormat="1" ht="14" x14ac:dyDescent="0.35">
      <c r="A598" s="145"/>
      <c r="B598" s="93"/>
      <c r="C598" s="93"/>
      <c r="D598" s="93"/>
      <c r="E598" s="95"/>
      <c r="F598" s="95"/>
      <c r="G598" s="95"/>
      <c r="H598" s="93"/>
      <c r="I598" s="93"/>
      <c r="J598" s="93"/>
    </row>
    <row r="599" spans="1:10" s="65" customFormat="1" ht="14" x14ac:dyDescent="0.35">
      <c r="A599" s="145"/>
      <c r="B599" s="93"/>
      <c r="C599" s="93"/>
      <c r="D599" s="93"/>
      <c r="E599" s="95"/>
      <c r="F599" s="95"/>
      <c r="G599" s="95"/>
      <c r="H599" s="93"/>
      <c r="I599" s="93"/>
      <c r="J599" s="93"/>
    </row>
    <row r="600" spans="1:10" s="65" customFormat="1" ht="14" x14ac:dyDescent="0.35">
      <c r="A600" s="145"/>
      <c r="B600" s="93"/>
      <c r="C600" s="93"/>
      <c r="D600" s="93"/>
      <c r="E600" s="95"/>
      <c r="F600" s="95"/>
      <c r="G600" s="95"/>
      <c r="H600" s="93"/>
      <c r="I600" s="93"/>
      <c r="J600" s="93"/>
    </row>
    <row r="601" spans="1:10" s="65" customFormat="1" ht="14" x14ac:dyDescent="0.35">
      <c r="A601" s="145"/>
      <c r="B601" s="93"/>
      <c r="C601" s="93"/>
      <c r="D601" s="93"/>
      <c r="E601" s="95"/>
      <c r="F601" s="95"/>
      <c r="G601" s="95"/>
      <c r="H601" s="93"/>
      <c r="I601" s="93"/>
      <c r="J601" s="93"/>
    </row>
    <row r="602" spans="1:10" s="65" customFormat="1" ht="14" x14ac:dyDescent="0.35">
      <c r="A602" s="145"/>
      <c r="B602" s="93"/>
      <c r="C602" s="93"/>
      <c r="D602" s="93"/>
      <c r="E602" s="95"/>
      <c r="F602" s="95"/>
      <c r="G602" s="95"/>
      <c r="H602" s="93"/>
      <c r="I602" s="93"/>
      <c r="J602" s="93"/>
    </row>
    <row r="603" spans="1:10" s="65" customFormat="1" ht="14" x14ac:dyDescent="0.35">
      <c r="A603" s="145"/>
      <c r="B603" s="93"/>
      <c r="C603" s="93"/>
      <c r="D603" s="93"/>
      <c r="E603" s="95"/>
      <c r="F603" s="95"/>
      <c r="G603" s="95"/>
      <c r="H603" s="93"/>
      <c r="I603" s="93"/>
      <c r="J603" s="93"/>
    </row>
    <row r="604" spans="1:10" s="65" customFormat="1" ht="14" x14ac:dyDescent="0.35">
      <c r="A604" s="145"/>
      <c r="B604" s="93"/>
      <c r="C604" s="93"/>
      <c r="D604" s="93"/>
      <c r="E604" s="95"/>
      <c r="F604" s="95"/>
      <c r="G604" s="95"/>
      <c r="H604" s="93"/>
      <c r="I604" s="93"/>
      <c r="J604" s="93"/>
    </row>
    <row r="605" spans="1:10" s="65" customFormat="1" ht="14" x14ac:dyDescent="0.35">
      <c r="A605" s="145"/>
      <c r="B605" s="93"/>
      <c r="C605" s="93"/>
      <c r="D605" s="93"/>
      <c r="E605" s="95"/>
      <c r="F605" s="95"/>
      <c r="G605" s="95"/>
      <c r="H605" s="93"/>
      <c r="I605" s="93"/>
      <c r="J605" s="93"/>
    </row>
    <row r="606" spans="1:10" s="65" customFormat="1" ht="14" x14ac:dyDescent="0.35">
      <c r="A606" s="145"/>
      <c r="B606" s="93"/>
      <c r="C606" s="93"/>
      <c r="D606" s="93"/>
      <c r="E606" s="95"/>
      <c r="F606" s="95"/>
      <c r="G606" s="95"/>
      <c r="H606" s="93"/>
      <c r="I606" s="93"/>
      <c r="J606" s="93"/>
    </row>
    <row r="607" spans="1:10" s="65" customFormat="1" ht="14" x14ac:dyDescent="0.35">
      <c r="A607" s="145"/>
      <c r="B607" s="93"/>
      <c r="C607" s="93"/>
      <c r="D607" s="93"/>
      <c r="E607" s="95"/>
      <c r="F607" s="95"/>
      <c r="G607" s="95"/>
      <c r="H607" s="93"/>
      <c r="I607" s="93"/>
      <c r="J607" s="93"/>
    </row>
    <row r="608" spans="1:10" s="65" customFormat="1" ht="14" x14ac:dyDescent="0.35">
      <c r="A608" s="145"/>
      <c r="B608" s="93"/>
      <c r="C608" s="93"/>
      <c r="D608" s="93"/>
      <c r="E608" s="95"/>
      <c r="F608" s="95"/>
      <c r="G608" s="95"/>
      <c r="H608" s="93"/>
      <c r="I608" s="93"/>
      <c r="J608" s="93"/>
    </row>
    <row r="609" spans="1:10" s="65" customFormat="1" ht="14" x14ac:dyDescent="0.35">
      <c r="A609" s="145"/>
      <c r="B609" s="93"/>
      <c r="C609" s="93"/>
      <c r="D609" s="93"/>
      <c r="E609" s="95"/>
      <c r="F609" s="95"/>
      <c r="G609" s="95"/>
      <c r="H609" s="93"/>
      <c r="I609" s="93"/>
      <c r="J609" s="93"/>
    </row>
    <row r="610" spans="1:10" s="65" customFormat="1" ht="14" x14ac:dyDescent="0.35">
      <c r="A610" s="145"/>
      <c r="B610" s="93"/>
      <c r="C610" s="93"/>
      <c r="D610" s="93"/>
      <c r="E610" s="95"/>
      <c r="F610" s="95"/>
      <c r="G610" s="95"/>
      <c r="H610" s="93"/>
      <c r="I610" s="93"/>
      <c r="J610" s="93"/>
    </row>
    <row r="611" spans="1:10" s="65" customFormat="1" ht="14" x14ac:dyDescent="0.35">
      <c r="A611" s="145"/>
      <c r="B611" s="93"/>
      <c r="C611" s="93"/>
      <c r="D611" s="93"/>
      <c r="E611" s="95"/>
      <c r="F611" s="95"/>
      <c r="G611" s="95"/>
      <c r="H611" s="93"/>
      <c r="I611" s="93"/>
      <c r="J611" s="93"/>
    </row>
    <row r="612" spans="1:10" s="65" customFormat="1" ht="14" x14ac:dyDescent="0.35">
      <c r="A612" s="145"/>
      <c r="B612" s="93"/>
      <c r="C612" s="93"/>
      <c r="D612" s="93"/>
      <c r="E612" s="95"/>
      <c r="F612" s="95"/>
      <c r="G612" s="95"/>
      <c r="H612" s="93"/>
      <c r="I612" s="93"/>
      <c r="J612" s="93"/>
    </row>
    <row r="613" spans="1:10" s="65" customFormat="1" ht="14" x14ac:dyDescent="0.35">
      <c r="A613" s="145"/>
      <c r="B613" s="93"/>
      <c r="C613" s="93"/>
      <c r="D613" s="93"/>
      <c r="E613" s="95"/>
      <c r="F613" s="95"/>
      <c r="G613" s="95"/>
      <c r="H613" s="93"/>
      <c r="I613" s="93"/>
      <c r="J613" s="93"/>
    </row>
    <row r="614" spans="1:10" s="65" customFormat="1" ht="14" x14ac:dyDescent="0.35">
      <c r="A614" s="145"/>
      <c r="B614" s="93"/>
      <c r="C614" s="93"/>
      <c r="D614" s="93"/>
      <c r="E614" s="95"/>
      <c r="F614" s="95"/>
      <c r="G614" s="95"/>
      <c r="H614" s="93"/>
      <c r="I614" s="93"/>
      <c r="J614" s="93"/>
    </row>
    <row r="615" spans="1:10" s="65" customFormat="1" ht="14" x14ac:dyDescent="0.35">
      <c r="A615" s="145"/>
      <c r="B615" s="93"/>
      <c r="C615" s="93"/>
      <c r="D615" s="93"/>
      <c r="E615" s="95"/>
      <c r="F615" s="95"/>
      <c r="G615" s="95"/>
      <c r="H615" s="93"/>
      <c r="I615" s="93"/>
      <c r="J615" s="93"/>
    </row>
    <row r="616" spans="1:10" s="65" customFormat="1" ht="14" x14ac:dyDescent="0.35">
      <c r="A616" s="145"/>
      <c r="B616" s="93"/>
      <c r="C616" s="93"/>
      <c r="D616" s="93"/>
      <c r="E616" s="95"/>
      <c r="F616" s="95"/>
      <c r="G616" s="95"/>
      <c r="H616" s="93"/>
      <c r="I616" s="93"/>
      <c r="J616" s="93"/>
    </row>
    <row r="617" spans="1:10" s="65" customFormat="1" ht="14" x14ac:dyDescent="0.35">
      <c r="A617" s="145"/>
      <c r="B617" s="93"/>
      <c r="C617" s="93"/>
      <c r="D617" s="93"/>
      <c r="E617" s="95"/>
      <c r="F617" s="95"/>
      <c r="G617" s="95"/>
      <c r="H617" s="93"/>
      <c r="I617" s="93"/>
      <c r="J617" s="93"/>
    </row>
    <row r="618" spans="1:10" s="65" customFormat="1" ht="14" x14ac:dyDescent="0.35">
      <c r="A618" s="145"/>
      <c r="B618" s="93"/>
      <c r="C618" s="93"/>
      <c r="D618" s="93"/>
      <c r="E618" s="95"/>
      <c r="F618" s="95"/>
      <c r="G618" s="95"/>
      <c r="H618" s="93"/>
      <c r="I618" s="93"/>
      <c r="J618" s="93"/>
    </row>
    <row r="619" spans="1:10" s="65" customFormat="1" ht="14" x14ac:dyDescent="0.35">
      <c r="A619" s="145"/>
      <c r="B619" s="93"/>
      <c r="C619" s="93"/>
      <c r="D619" s="93"/>
      <c r="E619" s="95"/>
      <c r="F619" s="95"/>
      <c r="G619" s="95"/>
      <c r="H619" s="93"/>
      <c r="I619" s="93"/>
      <c r="J619" s="93"/>
    </row>
    <row r="620" spans="1:10" s="65" customFormat="1" ht="14" x14ac:dyDescent="0.35">
      <c r="A620" s="145"/>
      <c r="B620" s="93"/>
      <c r="C620" s="93"/>
      <c r="D620" s="93"/>
      <c r="E620" s="95"/>
      <c r="F620" s="95"/>
      <c r="G620" s="95"/>
      <c r="H620" s="93"/>
      <c r="I620" s="93"/>
      <c r="J620" s="93"/>
    </row>
    <row r="621" spans="1:10" s="65" customFormat="1" ht="14" x14ac:dyDescent="0.35">
      <c r="A621" s="145"/>
      <c r="B621" s="93"/>
      <c r="C621" s="93"/>
      <c r="D621" s="93"/>
      <c r="E621" s="95"/>
      <c r="F621" s="95"/>
      <c r="G621" s="95"/>
      <c r="H621" s="93"/>
      <c r="I621" s="93"/>
      <c r="J621" s="93"/>
    </row>
    <row r="622" spans="1:10" s="65" customFormat="1" ht="14" x14ac:dyDescent="0.35">
      <c r="A622" s="145"/>
      <c r="B622" s="93"/>
      <c r="C622" s="93"/>
      <c r="D622" s="93"/>
      <c r="E622" s="95"/>
      <c r="F622" s="95"/>
      <c r="G622" s="95"/>
      <c r="H622" s="93"/>
      <c r="I622" s="93"/>
      <c r="J622" s="93"/>
    </row>
    <row r="623" spans="1:10" s="65" customFormat="1" ht="14" x14ac:dyDescent="0.35">
      <c r="A623" s="145"/>
      <c r="B623" s="93"/>
      <c r="C623" s="93"/>
      <c r="D623" s="93"/>
      <c r="E623" s="95"/>
      <c r="F623" s="95"/>
      <c r="G623" s="95"/>
      <c r="H623" s="93"/>
      <c r="I623" s="93"/>
      <c r="J623" s="93"/>
    </row>
    <row r="624" spans="1:10" s="65" customFormat="1" ht="14" x14ac:dyDescent="0.35">
      <c r="A624" s="145"/>
      <c r="B624" s="93"/>
      <c r="C624" s="93"/>
      <c r="D624" s="93"/>
      <c r="E624" s="95"/>
      <c r="F624" s="95"/>
      <c r="G624" s="95"/>
      <c r="H624" s="93"/>
      <c r="I624" s="93"/>
      <c r="J624" s="93"/>
    </row>
    <row r="625" spans="1:10" s="65" customFormat="1" ht="14" x14ac:dyDescent="0.35">
      <c r="A625" s="145"/>
      <c r="B625" s="93"/>
      <c r="C625" s="93"/>
      <c r="D625" s="93"/>
      <c r="E625" s="95"/>
      <c r="F625" s="95"/>
      <c r="G625" s="95"/>
      <c r="H625" s="93"/>
      <c r="I625" s="93"/>
      <c r="J625" s="93"/>
    </row>
    <row r="626" spans="1:10" s="65" customFormat="1" ht="14" x14ac:dyDescent="0.35">
      <c r="A626" s="145"/>
      <c r="B626" s="93"/>
      <c r="C626" s="93"/>
      <c r="D626" s="93"/>
      <c r="E626" s="95"/>
      <c r="F626" s="95"/>
      <c r="G626" s="95"/>
      <c r="H626" s="93"/>
      <c r="I626" s="93"/>
      <c r="J626" s="93"/>
    </row>
    <row r="627" spans="1:10" s="65" customFormat="1" ht="14" x14ac:dyDescent="0.35">
      <c r="A627" s="145"/>
      <c r="B627" s="93"/>
      <c r="C627" s="93"/>
      <c r="D627" s="93"/>
      <c r="E627" s="95"/>
      <c r="F627" s="95"/>
      <c r="G627" s="95"/>
      <c r="H627" s="93"/>
      <c r="I627" s="93"/>
      <c r="J627" s="93"/>
    </row>
    <row r="628" spans="1:10" s="65" customFormat="1" ht="14" x14ac:dyDescent="0.35">
      <c r="A628" s="145"/>
      <c r="B628" s="93"/>
      <c r="C628" s="93"/>
      <c r="D628" s="93"/>
      <c r="E628" s="95"/>
      <c r="F628" s="95"/>
      <c r="G628" s="95"/>
      <c r="H628" s="93"/>
      <c r="I628" s="93"/>
      <c r="J628" s="93"/>
    </row>
    <row r="629" spans="1:10" s="65" customFormat="1" ht="14" x14ac:dyDescent="0.35">
      <c r="A629" s="145"/>
      <c r="B629" s="93"/>
      <c r="C629" s="93"/>
      <c r="D629" s="93"/>
      <c r="E629" s="95"/>
      <c r="F629" s="95"/>
      <c r="G629" s="95"/>
      <c r="H629" s="93"/>
      <c r="I629" s="93"/>
      <c r="J629" s="93"/>
    </row>
    <row r="630" spans="1:10" s="65" customFormat="1" ht="14" x14ac:dyDescent="0.35">
      <c r="A630" s="145"/>
      <c r="B630" s="93"/>
      <c r="C630" s="93"/>
      <c r="D630" s="93"/>
      <c r="E630" s="95"/>
      <c r="F630" s="95"/>
      <c r="G630" s="95"/>
      <c r="H630" s="93"/>
      <c r="I630" s="93"/>
      <c r="J630" s="93"/>
    </row>
    <row r="631" spans="1:10" s="65" customFormat="1" ht="14" x14ac:dyDescent="0.35">
      <c r="A631" s="145"/>
      <c r="B631" s="93"/>
      <c r="C631" s="93"/>
      <c r="D631" s="93"/>
      <c r="E631" s="95"/>
      <c r="F631" s="95"/>
      <c r="G631" s="95"/>
      <c r="H631" s="93"/>
      <c r="I631" s="93"/>
      <c r="J631" s="93"/>
    </row>
    <row r="632" spans="1:10" s="65" customFormat="1" ht="14" x14ac:dyDescent="0.35">
      <c r="A632" s="145"/>
      <c r="B632" s="93"/>
      <c r="C632" s="93"/>
      <c r="D632" s="93"/>
      <c r="E632" s="95"/>
      <c r="F632" s="95"/>
      <c r="G632" s="95"/>
      <c r="H632" s="93"/>
      <c r="I632" s="93"/>
      <c r="J632" s="93"/>
    </row>
    <row r="633" spans="1:10" s="65" customFormat="1" ht="14" x14ac:dyDescent="0.35">
      <c r="A633" s="145"/>
      <c r="B633" s="93"/>
      <c r="C633" s="93"/>
      <c r="D633" s="93"/>
      <c r="E633" s="95"/>
      <c r="F633" s="95"/>
      <c r="G633" s="95"/>
      <c r="H633" s="93"/>
      <c r="I633" s="93"/>
      <c r="J633" s="93"/>
    </row>
    <row r="634" spans="1:10" s="65" customFormat="1" ht="14" x14ac:dyDescent="0.35">
      <c r="A634" s="145"/>
      <c r="B634" s="93"/>
      <c r="C634" s="93"/>
      <c r="D634" s="93"/>
      <c r="E634" s="95"/>
      <c r="F634" s="95"/>
      <c r="G634" s="95"/>
      <c r="H634" s="93"/>
      <c r="I634" s="93"/>
      <c r="J634" s="93"/>
    </row>
    <row r="635" spans="1:10" s="65" customFormat="1" ht="14" x14ac:dyDescent="0.35">
      <c r="A635" s="145"/>
      <c r="B635" s="93"/>
      <c r="C635" s="93"/>
      <c r="D635" s="93"/>
      <c r="E635" s="95"/>
      <c r="F635" s="95"/>
      <c r="G635" s="95"/>
      <c r="H635" s="93"/>
      <c r="I635" s="93"/>
      <c r="J635" s="93"/>
    </row>
    <row r="636" spans="1:10" s="65" customFormat="1" ht="14" x14ac:dyDescent="0.35">
      <c r="A636" s="145"/>
      <c r="B636" s="93"/>
      <c r="C636" s="93"/>
      <c r="D636" s="93"/>
      <c r="E636" s="95"/>
      <c r="F636" s="95"/>
      <c r="G636" s="95"/>
      <c r="H636" s="93"/>
      <c r="I636" s="93"/>
      <c r="J636" s="93"/>
    </row>
    <row r="637" spans="1:10" s="65" customFormat="1" ht="14" x14ac:dyDescent="0.35">
      <c r="A637" s="145"/>
      <c r="B637" s="93"/>
      <c r="C637" s="93"/>
      <c r="D637" s="93"/>
      <c r="E637" s="95"/>
      <c r="F637" s="95"/>
      <c r="G637" s="95"/>
      <c r="H637" s="93"/>
      <c r="I637" s="93"/>
      <c r="J637" s="93"/>
    </row>
    <row r="638" spans="1:10" s="65" customFormat="1" ht="14" x14ac:dyDescent="0.35">
      <c r="A638" s="145"/>
      <c r="B638" s="93"/>
      <c r="C638" s="93"/>
      <c r="D638" s="93"/>
      <c r="E638" s="95"/>
      <c r="F638" s="95"/>
      <c r="G638" s="95"/>
      <c r="H638" s="93"/>
      <c r="I638" s="93"/>
      <c r="J638" s="93"/>
    </row>
    <row r="639" spans="1:10" s="65" customFormat="1" ht="14" x14ac:dyDescent="0.35">
      <c r="A639" s="145"/>
      <c r="B639" s="93"/>
      <c r="C639" s="93"/>
      <c r="D639" s="93"/>
      <c r="E639" s="95"/>
      <c r="F639" s="95"/>
      <c r="G639" s="95"/>
      <c r="H639" s="93"/>
      <c r="I639" s="93"/>
      <c r="J639" s="93"/>
    </row>
    <row r="640" spans="1:10" s="65" customFormat="1" ht="14" x14ac:dyDescent="0.35">
      <c r="A640" s="145"/>
      <c r="B640" s="93"/>
      <c r="C640" s="93"/>
      <c r="D640" s="93"/>
      <c r="E640" s="95"/>
      <c r="F640" s="95"/>
      <c r="G640" s="95"/>
      <c r="H640" s="93"/>
      <c r="I640" s="93"/>
      <c r="J640" s="93"/>
    </row>
    <row r="641" spans="1:10" s="65" customFormat="1" ht="14" x14ac:dyDescent="0.35">
      <c r="A641" s="145"/>
      <c r="B641" s="93"/>
      <c r="C641" s="93"/>
      <c r="D641" s="93"/>
      <c r="E641" s="95"/>
      <c r="F641" s="95"/>
      <c r="G641" s="95"/>
      <c r="H641" s="93"/>
      <c r="I641" s="93"/>
      <c r="J641" s="93"/>
    </row>
    <row r="642" spans="1:10" s="65" customFormat="1" ht="14" x14ac:dyDescent="0.35">
      <c r="A642" s="145"/>
      <c r="B642" s="93"/>
      <c r="C642" s="93"/>
      <c r="D642" s="93"/>
      <c r="E642" s="95"/>
      <c r="F642" s="95"/>
      <c r="G642" s="95"/>
      <c r="H642" s="93"/>
      <c r="I642" s="93"/>
      <c r="J642" s="93"/>
    </row>
    <row r="643" spans="1:10" s="65" customFormat="1" ht="14" x14ac:dyDescent="0.35">
      <c r="A643" s="145"/>
      <c r="B643" s="93"/>
      <c r="C643" s="93"/>
      <c r="D643" s="93"/>
      <c r="E643" s="95"/>
      <c r="F643" s="95"/>
      <c r="G643" s="95"/>
      <c r="H643" s="93"/>
      <c r="I643" s="93"/>
      <c r="J643" s="93"/>
    </row>
    <row r="644" spans="1:10" s="65" customFormat="1" ht="14" x14ac:dyDescent="0.35">
      <c r="A644" s="145"/>
      <c r="B644" s="93"/>
      <c r="C644" s="93"/>
      <c r="D644" s="93"/>
      <c r="E644" s="95"/>
      <c r="F644" s="95"/>
      <c r="G644" s="95"/>
      <c r="H644" s="93"/>
      <c r="I644" s="93"/>
      <c r="J644" s="93"/>
    </row>
    <row r="645" spans="1:10" s="65" customFormat="1" ht="14" x14ac:dyDescent="0.35">
      <c r="A645" s="145"/>
      <c r="B645" s="93"/>
      <c r="C645" s="93"/>
      <c r="D645" s="93"/>
      <c r="E645" s="95"/>
      <c r="F645" s="95"/>
      <c r="G645" s="95"/>
      <c r="H645" s="93"/>
      <c r="I645" s="93"/>
      <c r="J645" s="93"/>
    </row>
    <row r="646" spans="1:10" s="65" customFormat="1" ht="14" x14ac:dyDescent="0.35">
      <c r="A646" s="145"/>
      <c r="B646" s="93"/>
      <c r="C646" s="93"/>
      <c r="D646" s="93"/>
      <c r="E646" s="95"/>
      <c r="F646" s="95"/>
      <c r="G646" s="95"/>
      <c r="H646" s="93"/>
      <c r="I646" s="93"/>
      <c r="J646" s="93"/>
    </row>
    <row r="647" spans="1:10" s="65" customFormat="1" ht="14" x14ac:dyDescent="0.35">
      <c r="A647" s="145"/>
      <c r="B647" s="93"/>
      <c r="C647" s="93"/>
      <c r="D647" s="93"/>
      <c r="E647" s="95"/>
      <c r="F647" s="95"/>
      <c r="G647" s="95"/>
      <c r="H647" s="93"/>
      <c r="I647" s="93"/>
      <c r="J647" s="93"/>
    </row>
    <row r="648" spans="1:10" s="65" customFormat="1" ht="14" x14ac:dyDescent="0.35">
      <c r="A648" s="145"/>
      <c r="B648" s="93"/>
      <c r="C648" s="93"/>
      <c r="D648" s="93"/>
      <c r="E648" s="95"/>
      <c r="F648" s="95"/>
      <c r="G648" s="95"/>
      <c r="H648" s="93"/>
      <c r="I648" s="93"/>
      <c r="J648" s="93"/>
    </row>
    <row r="649" spans="1:10" s="65" customFormat="1" ht="14" x14ac:dyDescent="0.35">
      <c r="A649" s="145"/>
      <c r="B649" s="93"/>
      <c r="C649" s="93"/>
      <c r="D649" s="93"/>
      <c r="E649" s="95"/>
      <c r="F649" s="95"/>
      <c r="G649" s="95"/>
      <c r="H649" s="93"/>
      <c r="I649" s="93"/>
      <c r="J649" s="93"/>
    </row>
    <row r="650" spans="1:10" s="65" customFormat="1" ht="14" x14ac:dyDescent="0.35">
      <c r="A650" s="145"/>
      <c r="B650" s="93"/>
      <c r="C650" s="93"/>
      <c r="D650" s="93"/>
      <c r="E650" s="95"/>
      <c r="F650" s="95"/>
      <c r="G650" s="95"/>
      <c r="H650" s="93"/>
      <c r="I650" s="93"/>
      <c r="J650" s="93"/>
    </row>
    <row r="651" spans="1:10" s="65" customFormat="1" ht="14" x14ac:dyDescent="0.35">
      <c r="A651" s="145"/>
      <c r="B651" s="93"/>
      <c r="C651" s="93"/>
      <c r="D651" s="93"/>
      <c r="E651" s="95"/>
      <c r="F651" s="95"/>
      <c r="G651" s="95"/>
      <c r="H651" s="93"/>
      <c r="I651" s="93"/>
      <c r="J651" s="93"/>
    </row>
    <row r="652" spans="1:10" s="65" customFormat="1" ht="14" x14ac:dyDescent="0.35">
      <c r="A652" s="145"/>
      <c r="B652" s="93"/>
      <c r="C652" s="93"/>
      <c r="D652" s="93"/>
      <c r="E652" s="95"/>
      <c r="F652" s="95"/>
      <c r="G652" s="95"/>
      <c r="H652" s="93"/>
      <c r="I652" s="93"/>
      <c r="J652" s="93"/>
    </row>
    <row r="653" spans="1:10" s="65" customFormat="1" ht="14" x14ac:dyDescent="0.35">
      <c r="A653" s="145"/>
      <c r="B653" s="93"/>
      <c r="C653" s="93"/>
      <c r="D653" s="93"/>
      <c r="E653" s="95"/>
      <c r="F653" s="95"/>
      <c r="G653" s="95"/>
      <c r="H653" s="93"/>
      <c r="I653" s="93"/>
      <c r="J653" s="93"/>
    </row>
    <row r="654" spans="1:10" s="65" customFormat="1" ht="14" x14ac:dyDescent="0.35">
      <c r="A654" s="145"/>
      <c r="B654" s="93"/>
      <c r="C654" s="93"/>
      <c r="D654" s="93"/>
      <c r="E654" s="95"/>
      <c r="F654" s="95"/>
      <c r="G654" s="95"/>
      <c r="H654" s="93"/>
      <c r="I654" s="93"/>
      <c r="J654" s="93"/>
    </row>
    <row r="655" spans="1:10" s="65" customFormat="1" ht="14" x14ac:dyDescent="0.35">
      <c r="A655" s="145"/>
      <c r="B655" s="93"/>
      <c r="C655" s="93"/>
      <c r="D655" s="93"/>
      <c r="E655" s="95"/>
      <c r="F655" s="95"/>
      <c r="G655" s="95"/>
      <c r="H655" s="93"/>
      <c r="I655" s="93"/>
      <c r="J655" s="93"/>
    </row>
    <row r="656" spans="1:10" s="65" customFormat="1" ht="14" x14ac:dyDescent="0.35">
      <c r="A656" s="145"/>
      <c r="B656" s="93"/>
      <c r="C656" s="93"/>
      <c r="D656" s="93"/>
      <c r="E656" s="95"/>
      <c r="F656" s="95"/>
      <c r="G656" s="95"/>
      <c r="H656" s="93"/>
      <c r="I656" s="93"/>
      <c r="J656" s="93"/>
    </row>
    <row r="657" spans="1:10" s="65" customFormat="1" ht="14" x14ac:dyDescent="0.35">
      <c r="A657" s="145"/>
      <c r="B657" s="93"/>
      <c r="C657" s="93"/>
      <c r="D657" s="93"/>
      <c r="E657" s="95"/>
      <c r="F657" s="95"/>
      <c r="G657" s="95"/>
      <c r="H657" s="93"/>
      <c r="I657" s="93"/>
      <c r="J657" s="93"/>
    </row>
    <row r="658" spans="1:10" s="65" customFormat="1" ht="14" x14ac:dyDescent="0.35">
      <c r="A658" s="145"/>
      <c r="B658" s="93"/>
      <c r="C658" s="93"/>
      <c r="D658" s="93"/>
      <c r="E658" s="95"/>
      <c r="F658" s="95"/>
      <c r="G658" s="95"/>
      <c r="H658" s="93"/>
      <c r="I658" s="93"/>
      <c r="J658" s="93"/>
    </row>
    <row r="659" spans="1:10" s="65" customFormat="1" ht="14" x14ac:dyDescent="0.35">
      <c r="A659" s="145"/>
      <c r="B659" s="93"/>
      <c r="C659" s="93"/>
      <c r="D659" s="93"/>
      <c r="E659" s="95"/>
      <c r="F659" s="95"/>
      <c r="G659" s="95"/>
      <c r="H659" s="93"/>
      <c r="I659" s="93"/>
      <c r="J659" s="93"/>
    </row>
    <row r="660" spans="1:10" s="65" customFormat="1" ht="14" x14ac:dyDescent="0.35">
      <c r="A660" s="145"/>
      <c r="B660" s="93"/>
      <c r="C660" s="93"/>
      <c r="D660" s="93"/>
      <c r="E660" s="95"/>
      <c r="F660" s="95"/>
      <c r="G660" s="95"/>
      <c r="H660" s="93"/>
      <c r="I660" s="93"/>
      <c r="J660" s="93"/>
    </row>
    <row r="661" spans="1:10" s="65" customFormat="1" ht="14" x14ac:dyDescent="0.35">
      <c r="A661" s="145"/>
      <c r="B661" s="93"/>
      <c r="C661" s="93"/>
      <c r="D661" s="93"/>
      <c r="E661" s="95"/>
      <c r="F661" s="95"/>
      <c r="G661" s="95"/>
      <c r="H661" s="93"/>
      <c r="I661" s="93"/>
      <c r="J661" s="93"/>
    </row>
    <row r="662" spans="1:10" s="65" customFormat="1" ht="14" x14ac:dyDescent="0.35">
      <c r="A662" s="145"/>
      <c r="B662" s="93"/>
      <c r="C662" s="93"/>
      <c r="D662" s="93"/>
      <c r="E662" s="95"/>
      <c r="F662" s="95"/>
      <c r="G662" s="95"/>
      <c r="H662" s="93"/>
      <c r="I662" s="93"/>
      <c r="J662" s="93"/>
    </row>
    <row r="663" spans="1:10" s="65" customFormat="1" ht="14" x14ac:dyDescent="0.35">
      <c r="A663" s="145"/>
      <c r="B663" s="93"/>
      <c r="C663" s="93"/>
      <c r="D663" s="93"/>
      <c r="E663" s="95"/>
      <c r="F663" s="95"/>
      <c r="G663" s="95"/>
      <c r="H663" s="93"/>
      <c r="I663" s="93"/>
      <c r="J663" s="93"/>
    </row>
    <row r="664" spans="1:10" s="65" customFormat="1" ht="14" x14ac:dyDescent="0.35">
      <c r="A664" s="145"/>
      <c r="B664" s="93"/>
      <c r="C664" s="93"/>
      <c r="D664" s="93"/>
      <c r="E664" s="95"/>
      <c r="F664" s="95"/>
      <c r="G664" s="95"/>
      <c r="H664" s="93"/>
      <c r="I664" s="93"/>
      <c r="J664" s="93"/>
    </row>
    <row r="665" spans="1:10" s="65" customFormat="1" ht="14" x14ac:dyDescent="0.35">
      <c r="A665" s="145"/>
      <c r="B665" s="93"/>
      <c r="C665" s="93"/>
      <c r="D665" s="93"/>
      <c r="E665" s="95"/>
      <c r="F665" s="95"/>
      <c r="G665" s="95"/>
      <c r="H665" s="93"/>
      <c r="I665" s="93"/>
      <c r="J665" s="93"/>
    </row>
    <row r="666" spans="1:10" s="65" customFormat="1" ht="14" x14ac:dyDescent="0.35">
      <c r="A666" s="145"/>
      <c r="B666" s="93"/>
      <c r="C666" s="93"/>
      <c r="D666" s="93"/>
      <c r="E666" s="95"/>
      <c r="F666" s="95"/>
      <c r="G666" s="95"/>
      <c r="H666" s="93"/>
      <c r="I666" s="93"/>
      <c r="J666" s="93"/>
    </row>
    <row r="667" spans="1:10" s="65" customFormat="1" ht="14" x14ac:dyDescent="0.35">
      <c r="A667" s="145"/>
      <c r="B667" s="93"/>
      <c r="C667" s="93"/>
      <c r="D667" s="93"/>
      <c r="E667" s="95"/>
      <c r="F667" s="95"/>
      <c r="G667" s="95"/>
      <c r="H667" s="93"/>
      <c r="I667" s="93"/>
      <c r="J667" s="93"/>
    </row>
    <row r="668" spans="1:10" s="65" customFormat="1" ht="14" x14ac:dyDescent="0.35">
      <c r="A668" s="145"/>
      <c r="B668" s="93"/>
      <c r="C668" s="93"/>
      <c r="D668" s="93"/>
      <c r="E668" s="95"/>
      <c r="F668" s="95"/>
      <c r="G668" s="95"/>
      <c r="H668" s="93"/>
      <c r="I668" s="93"/>
      <c r="J668" s="93"/>
    </row>
    <row r="669" spans="1:10" s="65" customFormat="1" ht="14" x14ac:dyDescent="0.35">
      <c r="A669" s="145"/>
      <c r="B669" s="93"/>
      <c r="C669" s="93"/>
      <c r="D669" s="93"/>
      <c r="E669" s="95"/>
      <c r="F669" s="95"/>
      <c r="G669" s="95"/>
      <c r="H669" s="93"/>
      <c r="I669" s="93"/>
      <c r="J669" s="93"/>
    </row>
    <row r="670" spans="1:10" s="65" customFormat="1" ht="14" x14ac:dyDescent="0.35">
      <c r="A670" s="145"/>
      <c r="B670" s="93"/>
      <c r="C670" s="93"/>
      <c r="D670" s="93"/>
      <c r="E670" s="95"/>
      <c r="F670" s="95"/>
      <c r="G670" s="95"/>
      <c r="H670" s="93"/>
      <c r="I670" s="93"/>
      <c r="J670" s="93"/>
    </row>
    <row r="671" spans="1:10" s="65" customFormat="1" ht="14" x14ac:dyDescent="0.35">
      <c r="A671" s="145"/>
      <c r="B671" s="93"/>
      <c r="C671" s="93"/>
      <c r="D671" s="93"/>
      <c r="E671" s="95"/>
      <c r="F671" s="95"/>
      <c r="G671" s="95"/>
      <c r="H671" s="93"/>
      <c r="I671" s="93"/>
      <c r="J671" s="93"/>
    </row>
    <row r="672" spans="1:10" s="65" customFormat="1" ht="14" x14ac:dyDescent="0.35">
      <c r="A672" s="145"/>
      <c r="B672" s="93"/>
      <c r="C672" s="93"/>
      <c r="D672" s="93"/>
      <c r="E672" s="95"/>
      <c r="F672" s="95"/>
      <c r="G672" s="95"/>
      <c r="H672" s="93"/>
      <c r="I672" s="93"/>
      <c r="J672" s="93"/>
    </row>
    <row r="673" spans="1:10" s="65" customFormat="1" ht="14" x14ac:dyDescent="0.35">
      <c r="A673" s="145"/>
      <c r="B673" s="93"/>
      <c r="C673" s="93"/>
      <c r="D673" s="93"/>
      <c r="E673" s="95"/>
      <c r="F673" s="95"/>
      <c r="G673" s="95"/>
      <c r="H673" s="93"/>
      <c r="I673" s="93"/>
      <c r="J673" s="93"/>
    </row>
    <row r="674" spans="1:10" s="65" customFormat="1" ht="14" x14ac:dyDescent="0.35">
      <c r="A674" s="145"/>
      <c r="B674" s="93"/>
      <c r="C674" s="93"/>
      <c r="D674" s="93"/>
      <c r="E674" s="95"/>
      <c r="F674" s="95"/>
      <c r="G674" s="95"/>
      <c r="H674" s="93"/>
      <c r="I674" s="93"/>
      <c r="J674" s="93"/>
    </row>
    <row r="675" spans="1:10" s="65" customFormat="1" ht="14" x14ac:dyDescent="0.35">
      <c r="A675" s="145"/>
      <c r="B675" s="93"/>
      <c r="C675" s="93"/>
      <c r="D675" s="93"/>
      <c r="E675" s="95"/>
      <c r="F675" s="95"/>
      <c r="G675" s="95"/>
      <c r="H675" s="93"/>
      <c r="I675" s="93"/>
      <c r="J675" s="93"/>
    </row>
    <row r="676" spans="1:10" s="65" customFormat="1" ht="14" x14ac:dyDescent="0.35">
      <c r="A676" s="145"/>
      <c r="B676" s="93"/>
      <c r="C676" s="93"/>
      <c r="D676" s="93"/>
      <c r="E676" s="95"/>
      <c r="F676" s="95"/>
      <c r="G676" s="95"/>
      <c r="H676" s="93"/>
      <c r="I676" s="93"/>
      <c r="J676" s="93"/>
    </row>
    <row r="677" spans="1:10" s="65" customFormat="1" ht="14" x14ac:dyDescent="0.35">
      <c r="A677" s="145"/>
      <c r="B677" s="93"/>
      <c r="C677" s="93"/>
      <c r="D677" s="93"/>
      <c r="E677" s="95"/>
      <c r="F677" s="95"/>
      <c r="G677" s="95"/>
      <c r="H677" s="93"/>
      <c r="I677" s="93"/>
      <c r="J677" s="93"/>
    </row>
    <row r="678" spans="1:10" s="65" customFormat="1" ht="14" x14ac:dyDescent="0.35">
      <c r="A678" s="145"/>
      <c r="B678" s="93"/>
      <c r="C678" s="93"/>
      <c r="D678" s="93"/>
      <c r="E678" s="95"/>
      <c r="F678" s="95"/>
      <c r="G678" s="95"/>
      <c r="H678" s="93"/>
      <c r="I678" s="93"/>
      <c r="J678" s="93"/>
    </row>
    <row r="679" spans="1:10" s="65" customFormat="1" ht="14" x14ac:dyDescent="0.35">
      <c r="A679" s="145"/>
      <c r="B679" s="93"/>
      <c r="C679" s="93"/>
      <c r="D679" s="93"/>
      <c r="E679" s="95"/>
      <c r="F679" s="95"/>
      <c r="G679" s="95"/>
      <c r="H679" s="93"/>
      <c r="I679" s="93"/>
      <c r="J679" s="93"/>
    </row>
    <row r="680" spans="1:10" s="65" customFormat="1" ht="14" x14ac:dyDescent="0.35">
      <c r="A680" s="145"/>
      <c r="B680" s="93"/>
      <c r="C680" s="93"/>
      <c r="D680" s="93"/>
      <c r="E680" s="95"/>
      <c r="F680" s="95"/>
      <c r="G680" s="95"/>
      <c r="H680" s="93"/>
      <c r="I680" s="93"/>
      <c r="J680" s="93"/>
    </row>
    <row r="681" spans="1:10" s="65" customFormat="1" ht="14" x14ac:dyDescent="0.35">
      <c r="A681" s="145"/>
      <c r="B681" s="93"/>
      <c r="C681" s="93"/>
      <c r="D681" s="93"/>
      <c r="E681" s="95"/>
      <c r="F681" s="95"/>
      <c r="G681" s="95"/>
      <c r="H681" s="93"/>
      <c r="I681" s="93"/>
      <c r="J681" s="93"/>
    </row>
    <row r="682" spans="1:10" s="65" customFormat="1" ht="14" x14ac:dyDescent="0.35">
      <c r="A682" s="145"/>
      <c r="B682" s="93"/>
      <c r="C682" s="93"/>
      <c r="D682" s="93"/>
      <c r="E682" s="95"/>
      <c r="F682" s="95"/>
      <c r="G682" s="95"/>
      <c r="H682" s="93"/>
      <c r="I682" s="93"/>
      <c r="J682" s="93"/>
    </row>
    <row r="683" spans="1:10" s="65" customFormat="1" ht="14" x14ac:dyDescent="0.35">
      <c r="A683" s="145"/>
      <c r="B683" s="93"/>
      <c r="C683" s="93"/>
      <c r="D683" s="93"/>
      <c r="E683" s="95"/>
      <c r="F683" s="95"/>
      <c r="G683" s="95"/>
      <c r="H683" s="93"/>
      <c r="I683" s="93"/>
      <c r="J683" s="93"/>
    </row>
    <row r="684" spans="1:10" s="65" customFormat="1" ht="14" x14ac:dyDescent="0.35">
      <c r="A684" s="145"/>
      <c r="B684" s="93"/>
      <c r="C684" s="93"/>
      <c r="D684" s="93"/>
      <c r="E684" s="95"/>
      <c r="F684" s="95"/>
      <c r="G684" s="95"/>
      <c r="H684" s="93"/>
      <c r="I684" s="93"/>
      <c r="J684" s="93"/>
    </row>
    <row r="685" spans="1:10" s="65" customFormat="1" ht="14" x14ac:dyDescent="0.35">
      <c r="A685" s="145"/>
      <c r="B685" s="93"/>
      <c r="C685" s="93"/>
      <c r="D685" s="93"/>
      <c r="E685" s="95"/>
      <c r="F685" s="95"/>
      <c r="G685" s="95"/>
      <c r="H685" s="93"/>
      <c r="I685" s="93"/>
      <c r="J685" s="93"/>
    </row>
    <row r="686" spans="1:10" s="65" customFormat="1" ht="14" x14ac:dyDescent="0.35">
      <c r="A686" s="145"/>
      <c r="B686" s="93"/>
      <c r="C686" s="93"/>
      <c r="D686" s="93"/>
      <c r="E686" s="95"/>
      <c r="F686" s="95"/>
      <c r="G686" s="95"/>
      <c r="H686" s="93"/>
      <c r="I686" s="93"/>
      <c r="J686" s="93"/>
    </row>
    <row r="687" spans="1:10" s="65" customFormat="1" ht="14" x14ac:dyDescent="0.35">
      <c r="A687" s="145"/>
      <c r="B687" s="93"/>
      <c r="C687" s="93"/>
      <c r="D687" s="93"/>
      <c r="E687" s="95"/>
      <c r="F687" s="95"/>
      <c r="G687" s="95"/>
      <c r="H687" s="93"/>
      <c r="I687" s="93"/>
      <c r="J687" s="93"/>
    </row>
    <row r="688" spans="1:10" s="65" customFormat="1" ht="14" x14ac:dyDescent="0.35">
      <c r="A688" s="145"/>
      <c r="B688" s="93"/>
      <c r="C688" s="93"/>
      <c r="D688" s="93"/>
      <c r="E688" s="95"/>
      <c r="F688" s="95"/>
      <c r="G688" s="95"/>
      <c r="H688" s="93"/>
      <c r="I688" s="93"/>
      <c r="J688" s="93"/>
    </row>
    <row r="689" spans="1:10" s="65" customFormat="1" ht="14" x14ac:dyDescent="0.35">
      <c r="A689" s="145"/>
      <c r="B689" s="93"/>
      <c r="C689" s="93"/>
      <c r="D689" s="93"/>
      <c r="E689" s="95"/>
      <c r="F689" s="95"/>
      <c r="G689" s="95"/>
      <c r="H689" s="93"/>
      <c r="I689" s="93"/>
      <c r="J689" s="93"/>
    </row>
    <row r="690" spans="1:10" s="65" customFormat="1" ht="14" x14ac:dyDescent="0.35">
      <c r="A690" s="145"/>
      <c r="B690" s="93"/>
      <c r="C690" s="93"/>
      <c r="D690" s="93"/>
      <c r="E690" s="95"/>
      <c r="F690" s="95"/>
      <c r="G690" s="95"/>
      <c r="H690" s="93"/>
      <c r="I690" s="93"/>
      <c r="J690" s="93"/>
    </row>
    <row r="691" spans="1:10" s="65" customFormat="1" ht="14" x14ac:dyDescent="0.35">
      <c r="A691" s="145"/>
      <c r="B691" s="93"/>
      <c r="C691" s="93"/>
      <c r="D691" s="93"/>
      <c r="E691" s="95"/>
      <c r="F691" s="95"/>
      <c r="G691" s="95"/>
      <c r="H691" s="93"/>
      <c r="I691" s="93"/>
      <c r="J691" s="93"/>
    </row>
    <row r="692" spans="1:10" s="65" customFormat="1" ht="14" x14ac:dyDescent="0.35">
      <c r="A692" s="145"/>
      <c r="B692" s="93"/>
      <c r="C692" s="93"/>
      <c r="D692" s="93"/>
      <c r="E692" s="95"/>
      <c r="F692" s="95"/>
      <c r="G692" s="95"/>
      <c r="H692" s="93"/>
      <c r="I692" s="93"/>
      <c r="J692" s="93"/>
    </row>
    <row r="693" spans="1:10" s="65" customFormat="1" ht="14" x14ac:dyDescent="0.35">
      <c r="A693" s="145"/>
      <c r="B693" s="93"/>
      <c r="C693" s="93"/>
      <c r="D693" s="93"/>
      <c r="E693" s="95"/>
      <c r="F693" s="95"/>
      <c r="G693" s="95"/>
      <c r="H693" s="93"/>
      <c r="I693" s="93"/>
      <c r="J693" s="93"/>
    </row>
    <row r="694" spans="1:10" s="65" customFormat="1" ht="14" x14ac:dyDescent="0.35">
      <c r="A694" s="145"/>
      <c r="B694" s="93"/>
      <c r="C694" s="93"/>
      <c r="D694" s="93"/>
      <c r="E694" s="95"/>
      <c r="F694" s="95"/>
      <c r="G694" s="95"/>
      <c r="H694" s="93"/>
      <c r="I694" s="93"/>
      <c r="J694" s="93"/>
    </row>
    <row r="695" spans="1:10" s="65" customFormat="1" ht="14" x14ac:dyDescent="0.35">
      <c r="A695" s="145"/>
      <c r="B695" s="93"/>
      <c r="C695" s="93"/>
      <c r="D695" s="93"/>
      <c r="E695" s="95"/>
      <c r="F695" s="95"/>
      <c r="G695" s="95"/>
      <c r="H695" s="93"/>
      <c r="I695" s="93"/>
      <c r="J695" s="93"/>
    </row>
    <row r="696" spans="1:10" s="65" customFormat="1" ht="14" x14ac:dyDescent="0.35">
      <c r="A696" s="145"/>
      <c r="B696" s="93"/>
      <c r="C696" s="93"/>
      <c r="D696" s="93"/>
      <c r="E696" s="95"/>
      <c r="F696" s="95"/>
      <c r="G696" s="95"/>
      <c r="H696" s="93"/>
      <c r="I696" s="93"/>
      <c r="J696" s="93"/>
    </row>
    <row r="697" spans="1:10" s="65" customFormat="1" ht="14" x14ac:dyDescent="0.35">
      <c r="A697" s="145"/>
      <c r="B697" s="93"/>
      <c r="C697" s="93"/>
      <c r="D697" s="93"/>
      <c r="E697" s="95"/>
      <c r="F697" s="95"/>
      <c r="G697" s="95"/>
      <c r="H697" s="93"/>
      <c r="I697" s="93"/>
      <c r="J697" s="93"/>
    </row>
    <row r="698" spans="1:10" s="65" customFormat="1" ht="14" x14ac:dyDescent="0.35">
      <c r="A698" s="145"/>
      <c r="B698" s="93"/>
      <c r="C698" s="93"/>
      <c r="D698" s="93"/>
      <c r="E698" s="95"/>
      <c r="F698" s="95"/>
      <c r="G698" s="95"/>
      <c r="H698" s="93"/>
      <c r="I698" s="93"/>
      <c r="J698" s="93"/>
    </row>
    <row r="699" spans="1:10" s="65" customFormat="1" ht="14" x14ac:dyDescent="0.35">
      <c r="A699" s="145"/>
      <c r="B699" s="93"/>
      <c r="C699" s="93"/>
      <c r="D699" s="93"/>
      <c r="E699" s="95"/>
      <c r="F699" s="95"/>
      <c r="G699" s="95"/>
      <c r="H699" s="93"/>
      <c r="I699" s="93"/>
      <c r="J699" s="93"/>
    </row>
    <row r="700" spans="1:10" s="65" customFormat="1" ht="14" x14ac:dyDescent="0.35">
      <c r="A700" s="145"/>
      <c r="B700" s="93"/>
      <c r="C700" s="93"/>
      <c r="D700" s="93"/>
      <c r="E700" s="95"/>
      <c r="F700" s="95"/>
      <c r="G700" s="95"/>
      <c r="H700" s="93"/>
      <c r="I700" s="93"/>
      <c r="J700" s="93"/>
    </row>
    <row r="701" spans="1:10" s="65" customFormat="1" ht="14" x14ac:dyDescent="0.35">
      <c r="A701" s="145"/>
      <c r="B701" s="93"/>
      <c r="C701" s="93"/>
      <c r="D701" s="93"/>
      <c r="E701" s="95"/>
      <c r="F701" s="95"/>
      <c r="G701" s="95"/>
      <c r="H701" s="93"/>
      <c r="I701" s="93"/>
      <c r="J701" s="93"/>
    </row>
    <row r="702" spans="1:10" s="65" customFormat="1" ht="14" x14ac:dyDescent="0.35">
      <c r="A702" s="145"/>
      <c r="B702" s="93"/>
      <c r="C702" s="93"/>
      <c r="D702" s="93"/>
      <c r="E702" s="95"/>
      <c r="F702" s="95"/>
      <c r="G702" s="95"/>
      <c r="H702" s="93"/>
      <c r="I702" s="93"/>
      <c r="J702" s="93"/>
    </row>
    <row r="703" spans="1:10" s="65" customFormat="1" ht="14" x14ac:dyDescent="0.35">
      <c r="A703" s="145"/>
      <c r="B703" s="93"/>
      <c r="C703" s="93"/>
      <c r="D703" s="93"/>
      <c r="E703" s="95"/>
      <c r="F703" s="95"/>
      <c r="G703" s="95"/>
      <c r="H703" s="93"/>
      <c r="I703" s="93"/>
      <c r="J703" s="93"/>
    </row>
    <row r="704" spans="1:10" s="65" customFormat="1" ht="14" x14ac:dyDescent="0.35">
      <c r="A704" s="145"/>
      <c r="B704" s="93"/>
      <c r="C704" s="93"/>
      <c r="D704" s="93"/>
      <c r="E704" s="95"/>
      <c r="F704" s="95"/>
      <c r="G704" s="95"/>
      <c r="H704" s="93"/>
      <c r="I704" s="93"/>
      <c r="J704" s="93"/>
    </row>
    <row r="705" spans="1:10" s="65" customFormat="1" ht="14" x14ac:dyDescent="0.35">
      <c r="A705" s="145"/>
      <c r="B705" s="93"/>
      <c r="C705" s="93"/>
      <c r="D705" s="93"/>
      <c r="E705" s="95"/>
      <c r="F705" s="95"/>
      <c r="G705" s="95"/>
      <c r="H705" s="93"/>
      <c r="I705" s="93"/>
      <c r="J705" s="93"/>
    </row>
    <row r="706" spans="1:10" s="65" customFormat="1" ht="14" x14ac:dyDescent="0.35">
      <c r="A706" s="145"/>
      <c r="B706" s="93"/>
      <c r="C706" s="93"/>
      <c r="D706" s="93"/>
      <c r="E706" s="95"/>
      <c r="F706" s="95"/>
      <c r="G706" s="95"/>
      <c r="H706" s="93"/>
      <c r="I706" s="93"/>
      <c r="J706" s="93"/>
    </row>
    <row r="707" spans="1:10" s="65" customFormat="1" ht="14" x14ac:dyDescent="0.35">
      <c r="A707" s="145"/>
      <c r="B707" s="93"/>
      <c r="C707" s="93"/>
      <c r="D707" s="93"/>
      <c r="E707" s="95"/>
      <c r="F707" s="95"/>
      <c r="G707" s="95"/>
      <c r="H707" s="93"/>
      <c r="I707" s="93"/>
      <c r="J707" s="93"/>
    </row>
    <row r="708" spans="1:10" s="65" customFormat="1" ht="14" x14ac:dyDescent="0.35">
      <c r="A708" s="145"/>
      <c r="B708" s="93"/>
      <c r="C708" s="93"/>
      <c r="D708" s="93"/>
      <c r="E708" s="95"/>
      <c r="F708" s="95"/>
      <c r="G708" s="95"/>
      <c r="H708" s="93"/>
      <c r="I708" s="93"/>
      <c r="J708" s="93"/>
    </row>
    <row r="709" spans="1:10" s="65" customFormat="1" ht="14" x14ac:dyDescent="0.35">
      <c r="A709" s="145"/>
      <c r="B709" s="93"/>
      <c r="C709" s="93"/>
      <c r="D709" s="93"/>
      <c r="E709" s="95"/>
      <c r="F709" s="95"/>
      <c r="G709" s="95"/>
      <c r="H709" s="93"/>
      <c r="I709" s="93"/>
      <c r="J709" s="93"/>
    </row>
    <row r="710" spans="1:10" s="65" customFormat="1" ht="14" x14ac:dyDescent="0.35">
      <c r="A710" s="145"/>
      <c r="B710" s="93"/>
      <c r="C710" s="93"/>
      <c r="D710" s="93"/>
      <c r="E710" s="95"/>
      <c r="F710" s="95"/>
      <c r="G710" s="95"/>
      <c r="H710" s="93"/>
      <c r="I710" s="93"/>
      <c r="J710" s="93"/>
    </row>
    <row r="711" spans="1:10" s="65" customFormat="1" ht="14" x14ac:dyDescent="0.35">
      <c r="A711" s="145"/>
      <c r="B711" s="93"/>
      <c r="C711" s="93"/>
      <c r="D711" s="93"/>
      <c r="E711" s="95"/>
      <c r="F711" s="95"/>
      <c r="G711" s="95"/>
      <c r="H711" s="93"/>
      <c r="I711" s="93"/>
      <c r="J711" s="93"/>
    </row>
    <row r="712" spans="1:10" s="65" customFormat="1" ht="14" x14ac:dyDescent="0.35">
      <c r="A712" s="145"/>
      <c r="B712" s="93"/>
      <c r="C712" s="93"/>
      <c r="D712" s="93"/>
      <c r="E712" s="95"/>
      <c r="F712" s="95"/>
      <c r="G712" s="95"/>
      <c r="H712" s="93"/>
      <c r="I712" s="93"/>
      <c r="J712" s="93"/>
    </row>
    <row r="713" spans="1:10" s="65" customFormat="1" ht="14" x14ac:dyDescent="0.35">
      <c r="A713" s="145"/>
      <c r="B713" s="93"/>
      <c r="C713" s="93"/>
      <c r="D713" s="93"/>
      <c r="E713" s="95"/>
      <c r="F713" s="95"/>
      <c r="G713" s="95"/>
      <c r="H713" s="93"/>
      <c r="I713" s="93"/>
      <c r="J713" s="93"/>
    </row>
    <row r="714" spans="1:10" s="65" customFormat="1" ht="14" x14ac:dyDescent="0.35">
      <c r="A714" s="145"/>
      <c r="B714" s="93"/>
      <c r="C714" s="93"/>
      <c r="D714" s="93"/>
      <c r="E714" s="95"/>
      <c r="F714" s="95"/>
      <c r="G714" s="95"/>
      <c r="H714" s="93"/>
      <c r="I714" s="93"/>
      <c r="J714" s="93"/>
    </row>
    <row r="715" spans="1:10" s="65" customFormat="1" ht="14" x14ac:dyDescent="0.35">
      <c r="A715" s="145"/>
      <c r="B715" s="93"/>
      <c r="C715" s="93"/>
      <c r="D715" s="93"/>
      <c r="E715" s="95"/>
      <c r="F715" s="95"/>
      <c r="G715" s="95"/>
      <c r="H715" s="93"/>
      <c r="I715" s="93"/>
      <c r="J715" s="93"/>
    </row>
    <row r="716" spans="1:10" s="65" customFormat="1" ht="14" x14ac:dyDescent="0.35">
      <c r="A716" s="145"/>
      <c r="B716" s="93"/>
      <c r="C716" s="93"/>
      <c r="D716" s="93"/>
      <c r="E716" s="95"/>
      <c r="F716" s="95"/>
      <c r="G716" s="95"/>
      <c r="H716" s="93"/>
      <c r="I716" s="93"/>
      <c r="J716" s="93"/>
    </row>
    <row r="717" spans="1:10" s="65" customFormat="1" ht="14" x14ac:dyDescent="0.35">
      <c r="A717" s="145"/>
      <c r="B717" s="93"/>
      <c r="C717" s="93"/>
      <c r="D717" s="93"/>
      <c r="E717" s="95"/>
      <c r="F717" s="95"/>
      <c r="G717" s="95"/>
      <c r="H717" s="93"/>
      <c r="I717" s="93"/>
      <c r="J717" s="93"/>
    </row>
    <row r="718" spans="1:10" s="65" customFormat="1" ht="14" x14ac:dyDescent="0.35">
      <c r="A718" s="145"/>
      <c r="B718" s="93"/>
      <c r="C718" s="93"/>
      <c r="D718" s="93"/>
      <c r="E718" s="95"/>
      <c r="F718" s="95"/>
      <c r="G718" s="95"/>
      <c r="H718" s="93"/>
      <c r="I718" s="93"/>
      <c r="J718" s="93"/>
    </row>
    <row r="719" spans="1:10" s="65" customFormat="1" ht="14" x14ac:dyDescent="0.35">
      <c r="A719" s="145"/>
      <c r="B719" s="93"/>
      <c r="C719" s="93"/>
      <c r="D719" s="93"/>
      <c r="E719" s="95"/>
      <c r="F719" s="95"/>
      <c r="G719" s="95"/>
      <c r="H719" s="93"/>
      <c r="I719" s="93"/>
      <c r="J719" s="93"/>
    </row>
    <row r="720" spans="1:10" s="65" customFormat="1" ht="14" x14ac:dyDescent="0.35">
      <c r="A720" s="145"/>
      <c r="B720" s="93"/>
      <c r="C720" s="93"/>
      <c r="D720" s="93"/>
      <c r="E720" s="95"/>
      <c r="F720" s="95"/>
      <c r="G720" s="95"/>
      <c r="H720" s="93"/>
      <c r="I720" s="93"/>
      <c r="J720" s="93"/>
    </row>
    <row r="721" spans="1:10" s="65" customFormat="1" ht="14" x14ac:dyDescent="0.35">
      <c r="A721" s="145"/>
      <c r="B721" s="93"/>
      <c r="C721" s="93"/>
      <c r="D721" s="93"/>
      <c r="E721" s="95"/>
      <c r="F721" s="95"/>
      <c r="G721" s="95"/>
      <c r="H721" s="93"/>
      <c r="I721" s="93"/>
      <c r="J721" s="93"/>
    </row>
    <row r="722" spans="1:10" s="65" customFormat="1" ht="14" x14ac:dyDescent="0.35">
      <c r="A722" s="145"/>
      <c r="B722" s="93"/>
      <c r="C722" s="93"/>
      <c r="D722" s="93"/>
      <c r="E722" s="95"/>
      <c r="F722" s="95"/>
      <c r="G722" s="95"/>
      <c r="H722" s="93"/>
      <c r="I722" s="93"/>
      <c r="J722" s="93"/>
    </row>
    <row r="723" spans="1:10" s="65" customFormat="1" ht="14" x14ac:dyDescent="0.35">
      <c r="A723" s="145"/>
      <c r="B723" s="93"/>
      <c r="C723" s="93"/>
      <c r="D723" s="93"/>
      <c r="E723" s="95"/>
      <c r="F723" s="95"/>
      <c r="G723" s="95"/>
      <c r="H723" s="93"/>
      <c r="I723" s="93"/>
      <c r="J723" s="93"/>
    </row>
    <row r="724" spans="1:10" s="65" customFormat="1" ht="14" x14ac:dyDescent="0.35">
      <c r="A724" s="145"/>
      <c r="B724" s="93"/>
      <c r="C724" s="93"/>
      <c r="D724" s="93"/>
      <c r="E724" s="95"/>
      <c r="F724" s="95"/>
      <c r="G724" s="95"/>
      <c r="H724" s="93"/>
      <c r="I724" s="93"/>
      <c r="J724" s="93"/>
    </row>
    <row r="725" spans="1:10" s="65" customFormat="1" ht="14" x14ac:dyDescent="0.35">
      <c r="A725" s="145"/>
      <c r="B725" s="93"/>
      <c r="C725" s="93"/>
      <c r="D725" s="93"/>
      <c r="E725" s="95"/>
      <c r="F725" s="95"/>
      <c r="G725" s="95"/>
      <c r="H725" s="93"/>
      <c r="I725" s="93"/>
      <c r="J725" s="93"/>
    </row>
    <row r="726" spans="1:10" s="65" customFormat="1" ht="14" x14ac:dyDescent="0.35">
      <c r="A726" s="145"/>
      <c r="B726" s="93"/>
      <c r="C726" s="93"/>
      <c r="D726" s="93"/>
      <c r="E726" s="95"/>
      <c r="F726" s="95"/>
      <c r="G726" s="95"/>
      <c r="H726" s="93"/>
      <c r="I726" s="93"/>
      <c r="J726" s="93"/>
    </row>
    <row r="727" spans="1:10" s="65" customFormat="1" ht="14" x14ac:dyDescent="0.35">
      <c r="A727" s="145"/>
      <c r="B727" s="93"/>
      <c r="C727" s="93"/>
      <c r="D727" s="93"/>
      <c r="E727" s="95"/>
      <c r="F727" s="95"/>
      <c r="G727" s="95"/>
      <c r="H727" s="93"/>
      <c r="I727" s="93"/>
      <c r="J727" s="93"/>
    </row>
    <row r="728" spans="1:10" s="65" customFormat="1" ht="14" x14ac:dyDescent="0.35">
      <c r="A728" s="145"/>
      <c r="B728" s="93"/>
      <c r="C728" s="93"/>
      <c r="D728" s="93"/>
      <c r="E728" s="95"/>
      <c r="F728" s="95"/>
      <c r="G728" s="95"/>
      <c r="H728" s="93"/>
      <c r="I728" s="93"/>
      <c r="J728" s="93"/>
    </row>
    <row r="729" spans="1:10" s="65" customFormat="1" ht="14" x14ac:dyDescent="0.35">
      <c r="A729" s="145"/>
      <c r="B729" s="93"/>
      <c r="C729" s="93"/>
      <c r="D729" s="93"/>
      <c r="E729" s="95"/>
      <c r="F729" s="95"/>
      <c r="G729" s="95"/>
      <c r="H729" s="93"/>
      <c r="I729" s="93"/>
      <c r="J729" s="93"/>
    </row>
    <row r="730" spans="1:10" s="65" customFormat="1" ht="14" x14ac:dyDescent="0.35">
      <c r="A730" s="145"/>
      <c r="B730" s="93"/>
      <c r="C730" s="93"/>
      <c r="D730" s="93"/>
      <c r="E730" s="95"/>
      <c r="F730" s="95"/>
      <c r="G730" s="95"/>
      <c r="H730" s="93"/>
      <c r="I730" s="93"/>
      <c r="J730" s="93"/>
    </row>
    <row r="731" spans="1:10" s="65" customFormat="1" ht="14" x14ac:dyDescent="0.35">
      <c r="A731" s="145"/>
      <c r="B731" s="93"/>
      <c r="C731" s="93"/>
      <c r="D731" s="93"/>
      <c r="E731" s="95"/>
      <c r="F731" s="95"/>
      <c r="G731" s="95"/>
      <c r="H731" s="93"/>
      <c r="I731" s="93"/>
      <c r="J731" s="93"/>
    </row>
    <row r="732" spans="1:10" s="65" customFormat="1" ht="14" x14ac:dyDescent="0.35">
      <c r="A732" s="145"/>
      <c r="B732" s="93"/>
      <c r="C732" s="93"/>
      <c r="D732" s="93"/>
      <c r="E732" s="95"/>
      <c r="F732" s="95"/>
      <c r="G732" s="95"/>
      <c r="H732" s="93"/>
      <c r="I732" s="93"/>
      <c r="J732" s="93"/>
    </row>
    <row r="733" spans="1:10" s="65" customFormat="1" ht="14" x14ac:dyDescent="0.35">
      <c r="A733" s="145"/>
      <c r="B733" s="93"/>
      <c r="C733" s="93"/>
      <c r="D733" s="93"/>
      <c r="E733" s="95"/>
      <c r="F733" s="95"/>
      <c r="G733" s="95"/>
      <c r="H733" s="93"/>
      <c r="I733" s="93"/>
      <c r="J733" s="93"/>
    </row>
    <row r="734" spans="1:10" s="65" customFormat="1" ht="14" x14ac:dyDescent="0.35">
      <c r="A734" s="145"/>
      <c r="B734" s="93"/>
      <c r="C734" s="93"/>
      <c r="D734" s="93"/>
      <c r="E734" s="95"/>
      <c r="F734" s="95"/>
      <c r="G734" s="95"/>
      <c r="H734" s="93"/>
      <c r="I734" s="93"/>
      <c r="J734" s="93"/>
    </row>
    <row r="735" spans="1:10" s="65" customFormat="1" ht="14" x14ac:dyDescent="0.35">
      <c r="A735" s="145"/>
      <c r="B735" s="93"/>
      <c r="C735" s="93"/>
      <c r="D735" s="93"/>
      <c r="E735" s="95"/>
      <c r="F735" s="95"/>
      <c r="G735" s="95"/>
      <c r="H735" s="93"/>
      <c r="I735" s="93"/>
      <c r="J735" s="93"/>
    </row>
    <row r="736" spans="1:10" s="65" customFormat="1" ht="14" x14ac:dyDescent="0.35">
      <c r="A736" s="145"/>
      <c r="B736" s="93"/>
      <c r="C736" s="93"/>
      <c r="D736" s="93"/>
      <c r="E736" s="95"/>
      <c r="F736" s="95"/>
      <c r="G736" s="95"/>
      <c r="H736" s="93"/>
      <c r="I736" s="93"/>
      <c r="J736" s="93"/>
    </row>
    <row r="737" spans="1:10" s="65" customFormat="1" ht="14" x14ac:dyDescent="0.35">
      <c r="A737" s="145"/>
      <c r="B737" s="93"/>
      <c r="C737" s="93"/>
      <c r="D737" s="93"/>
      <c r="E737" s="95"/>
      <c r="F737" s="95"/>
      <c r="G737" s="95"/>
      <c r="H737" s="93"/>
      <c r="I737" s="93"/>
      <c r="J737" s="93"/>
    </row>
    <row r="738" spans="1:10" s="65" customFormat="1" ht="14" x14ac:dyDescent="0.35">
      <c r="A738" s="145"/>
      <c r="B738" s="93"/>
      <c r="C738" s="93"/>
      <c r="D738" s="93"/>
      <c r="E738" s="95"/>
      <c r="F738" s="95"/>
      <c r="G738" s="95"/>
      <c r="H738" s="93"/>
      <c r="I738" s="93"/>
      <c r="J738" s="93"/>
    </row>
    <row r="739" spans="1:10" s="65" customFormat="1" ht="14" x14ac:dyDescent="0.35">
      <c r="A739" s="145"/>
      <c r="B739" s="93"/>
      <c r="C739" s="93"/>
      <c r="D739" s="93"/>
      <c r="E739" s="95"/>
      <c r="F739" s="95"/>
      <c r="G739" s="95"/>
      <c r="H739" s="93"/>
      <c r="I739" s="93"/>
      <c r="J739" s="93"/>
    </row>
    <row r="740" spans="1:10" s="65" customFormat="1" ht="14" x14ac:dyDescent="0.35">
      <c r="A740" s="145"/>
      <c r="B740" s="93"/>
      <c r="C740" s="93"/>
      <c r="D740" s="93"/>
      <c r="E740" s="95"/>
      <c r="F740" s="95"/>
      <c r="G740" s="95"/>
      <c r="H740" s="93"/>
      <c r="I740" s="93"/>
      <c r="J740" s="93"/>
    </row>
    <row r="741" spans="1:10" s="65" customFormat="1" ht="14" x14ac:dyDescent="0.35">
      <c r="A741" s="145"/>
      <c r="B741" s="93"/>
      <c r="C741" s="93"/>
      <c r="D741" s="93"/>
      <c r="E741" s="95"/>
      <c r="F741" s="95"/>
      <c r="G741" s="95"/>
      <c r="H741" s="93"/>
      <c r="I741" s="93"/>
      <c r="J741" s="93"/>
    </row>
    <row r="742" spans="1:10" s="65" customFormat="1" ht="14" x14ac:dyDescent="0.35">
      <c r="A742" s="145"/>
      <c r="B742" s="93"/>
      <c r="C742" s="93"/>
      <c r="D742" s="93"/>
      <c r="E742" s="95"/>
      <c r="F742" s="95"/>
      <c r="G742" s="95"/>
      <c r="H742" s="93"/>
      <c r="I742" s="93"/>
      <c r="J742" s="93"/>
    </row>
    <row r="743" spans="1:10" s="65" customFormat="1" ht="14" x14ac:dyDescent="0.35">
      <c r="A743" s="145"/>
      <c r="B743" s="93"/>
      <c r="C743" s="93"/>
      <c r="D743" s="93"/>
      <c r="E743" s="95"/>
      <c r="F743" s="95"/>
      <c r="G743" s="95"/>
      <c r="H743" s="93"/>
      <c r="I743" s="93"/>
      <c r="J743" s="93"/>
    </row>
    <row r="744" spans="1:10" s="65" customFormat="1" ht="14" x14ac:dyDescent="0.35">
      <c r="A744" s="145"/>
      <c r="B744" s="93"/>
      <c r="C744" s="93"/>
      <c r="D744" s="93"/>
      <c r="E744" s="95"/>
      <c r="F744" s="95"/>
      <c r="G744" s="95"/>
      <c r="H744" s="93"/>
      <c r="I744" s="93"/>
      <c r="J744" s="93"/>
    </row>
    <row r="745" spans="1:10" s="65" customFormat="1" ht="14" x14ac:dyDescent="0.35">
      <c r="A745" s="145"/>
      <c r="B745" s="93"/>
      <c r="C745" s="93"/>
      <c r="D745" s="93"/>
      <c r="E745" s="95"/>
      <c r="F745" s="95"/>
      <c r="G745" s="95"/>
      <c r="H745" s="93"/>
      <c r="I745" s="93"/>
      <c r="J745" s="93"/>
    </row>
    <row r="746" spans="1:10" s="65" customFormat="1" ht="14" x14ac:dyDescent="0.35">
      <c r="A746" s="145"/>
      <c r="B746" s="93"/>
      <c r="C746" s="93"/>
      <c r="D746" s="93"/>
      <c r="E746" s="95"/>
      <c r="F746" s="95"/>
      <c r="G746" s="95"/>
      <c r="H746" s="93"/>
      <c r="I746" s="93"/>
      <c r="J746" s="93"/>
    </row>
    <row r="747" spans="1:10" s="65" customFormat="1" ht="14" x14ac:dyDescent="0.35">
      <c r="A747" s="145"/>
      <c r="B747" s="93"/>
      <c r="C747" s="93"/>
      <c r="D747" s="93"/>
      <c r="E747" s="95"/>
      <c r="F747" s="95"/>
      <c r="G747" s="95"/>
      <c r="H747" s="93"/>
      <c r="I747" s="93"/>
      <c r="J747" s="93"/>
    </row>
    <row r="748" spans="1:10" s="65" customFormat="1" ht="14" x14ac:dyDescent="0.35">
      <c r="A748" s="145"/>
      <c r="B748" s="93"/>
      <c r="C748" s="93"/>
      <c r="D748" s="93"/>
      <c r="E748" s="95"/>
      <c r="F748" s="95"/>
      <c r="G748" s="95"/>
      <c r="H748" s="93"/>
      <c r="I748" s="93"/>
      <c r="J748" s="93"/>
    </row>
    <row r="749" spans="1:10" s="65" customFormat="1" ht="14" x14ac:dyDescent="0.35">
      <c r="A749" s="145"/>
      <c r="B749" s="93"/>
      <c r="C749" s="93"/>
      <c r="D749" s="93"/>
      <c r="E749" s="95"/>
      <c r="F749" s="95"/>
      <c r="G749" s="95"/>
      <c r="H749" s="93"/>
      <c r="I749" s="93"/>
      <c r="J749" s="93"/>
    </row>
    <row r="750" spans="1:10" s="65" customFormat="1" ht="14" x14ac:dyDescent="0.35">
      <c r="A750" s="145"/>
      <c r="B750" s="93"/>
      <c r="C750" s="93"/>
      <c r="D750" s="93"/>
      <c r="E750" s="95"/>
      <c r="F750" s="95"/>
      <c r="G750" s="95"/>
      <c r="H750" s="93"/>
      <c r="I750" s="93"/>
      <c r="J750" s="93"/>
    </row>
    <row r="751" spans="1:10" s="65" customFormat="1" ht="14" x14ac:dyDescent="0.35">
      <c r="A751" s="145"/>
      <c r="B751" s="93"/>
      <c r="C751" s="93"/>
      <c r="D751" s="93"/>
      <c r="E751" s="95"/>
      <c r="F751" s="95"/>
      <c r="G751" s="95"/>
      <c r="H751" s="93"/>
      <c r="I751" s="93"/>
      <c r="J751" s="93"/>
    </row>
    <row r="752" spans="1:10" s="65" customFormat="1" ht="14" x14ac:dyDescent="0.35">
      <c r="A752" s="145"/>
      <c r="B752" s="93"/>
      <c r="C752" s="93"/>
      <c r="D752" s="93"/>
      <c r="E752" s="95"/>
      <c r="F752" s="95"/>
      <c r="G752" s="95"/>
      <c r="H752" s="93"/>
      <c r="I752" s="93"/>
      <c r="J752" s="93"/>
    </row>
    <row r="753" spans="1:10" s="65" customFormat="1" ht="14" x14ac:dyDescent="0.35">
      <c r="A753" s="145"/>
      <c r="B753" s="93"/>
      <c r="C753" s="93"/>
      <c r="D753" s="93"/>
      <c r="E753" s="95"/>
      <c r="F753" s="95"/>
      <c r="G753" s="95"/>
      <c r="H753" s="93"/>
      <c r="I753" s="93"/>
      <c r="J753" s="93"/>
    </row>
    <row r="754" spans="1:10" s="65" customFormat="1" ht="14" x14ac:dyDescent="0.35">
      <c r="A754" s="145"/>
      <c r="B754" s="93"/>
      <c r="C754" s="93"/>
      <c r="D754" s="93"/>
      <c r="E754" s="95"/>
      <c r="F754" s="95"/>
      <c r="G754" s="95"/>
      <c r="H754" s="93"/>
      <c r="I754" s="93"/>
      <c r="J754" s="93"/>
    </row>
    <row r="755" spans="1:10" s="65" customFormat="1" ht="14" x14ac:dyDescent="0.35">
      <c r="A755" s="145"/>
      <c r="B755" s="93"/>
      <c r="C755" s="93"/>
      <c r="D755" s="93"/>
      <c r="E755" s="95"/>
      <c r="F755" s="95"/>
      <c r="G755" s="95"/>
      <c r="H755" s="93"/>
      <c r="I755" s="93"/>
      <c r="J755" s="93"/>
    </row>
    <row r="756" spans="1:10" s="65" customFormat="1" ht="14" x14ac:dyDescent="0.35">
      <c r="A756" s="145"/>
      <c r="B756" s="93"/>
      <c r="C756" s="93"/>
      <c r="D756" s="93"/>
      <c r="E756" s="95"/>
      <c r="F756" s="95"/>
      <c r="G756" s="95"/>
      <c r="H756" s="93"/>
      <c r="I756" s="93"/>
      <c r="J756" s="93"/>
    </row>
    <row r="757" spans="1:10" s="65" customFormat="1" ht="14" x14ac:dyDescent="0.35">
      <c r="A757" s="145"/>
      <c r="B757" s="93"/>
      <c r="C757" s="93"/>
      <c r="D757" s="93"/>
      <c r="E757" s="95"/>
      <c r="F757" s="95"/>
      <c r="G757" s="95"/>
      <c r="H757" s="93"/>
      <c r="I757" s="93"/>
      <c r="J757" s="93"/>
    </row>
    <row r="758" spans="1:10" s="65" customFormat="1" ht="14" x14ac:dyDescent="0.35">
      <c r="A758" s="145"/>
      <c r="B758" s="93"/>
      <c r="C758" s="93"/>
      <c r="D758" s="93"/>
      <c r="E758" s="95"/>
      <c r="F758" s="95"/>
      <c r="G758" s="95"/>
      <c r="H758" s="93"/>
      <c r="I758" s="93"/>
      <c r="J758" s="93"/>
    </row>
    <row r="759" spans="1:10" s="65" customFormat="1" ht="14" x14ac:dyDescent="0.35">
      <c r="A759" s="145"/>
      <c r="B759" s="93"/>
      <c r="C759" s="93"/>
      <c r="D759" s="93"/>
      <c r="E759" s="95"/>
      <c r="F759" s="95"/>
      <c r="G759" s="95"/>
      <c r="H759" s="93"/>
      <c r="I759" s="93"/>
      <c r="J759" s="93"/>
    </row>
    <row r="760" spans="1:10" s="65" customFormat="1" ht="14" x14ac:dyDescent="0.35">
      <c r="A760" s="145"/>
      <c r="B760" s="93"/>
      <c r="C760" s="93"/>
      <c r="D760" s="93"/>
      <c r="E760" s="95"/>
      <c r="F760" s="95"/>
      <c r="G760" s="95"/>
      <c r="H760" s="93"/>
      <c r="I760" s="93"/>
      <c r="J760" s="93"/>
    </row>
    <row r="761" spans="1:10" s="65" customFormat="1" ht="14" x14ac:dyDescent="0.35">
      <c r="A761" s="145"/>
      <c r="B761" s="93"/>
      <c r="C761" s="93"/>
      <c r="D761" s="93"/>
      <c r="E761" s="95"/>
      <c r="F761" s="95"/>
      <c r="G761" s="95"/>
      <c r="H761" s="93"/>
      <c r="I761" s="93"/>
      <c r="J761" s="93"/>
    </row>
    <row r="762" spans="1:10" s="65" customFormat="1" ht="14" x14ac:dyDescent="0.35">
      <c r="A762" s="145"/>
      <c r="B762" s="93"/>
      <c r="C762" s="93"/>
      <c r="D762" s="93"/>
      <c r="E762" s="95"/>
      <c r="F762" s="95"/>
      <c r="G762" s="95"/>
      <c r="H762" s="93"/>
      <c r="I762" s="93"/>
      <c r="J762" s="93"/>
    </row>
    <row r="763" spans="1:10" s="65" customFormat="1" ht="14" x14ac:dyDescent="0.35">
      <c r="A763" s="145"/>
      <c r="B763" s="93"/>
      <c r="C763" s="93"/>
      <c r="D763" s="93"/>
      <c r="E763" s="95"/>
      <c r="F763" s="95"/>
      <c r="G763" s="95"/>
      <c r="H763" s="93"/>
      <c r="I763" s="93"/>
      <c r="J763" s="93"/>
    </row>
    <row r="764" spans="1:10" s="65" customFormat="1" ht="14" x14ac:dyDescent="0.35">
      <c r="A764" s="145"/>
      <c r="B764" s="93"/>
      <c r="C764" s="93"/>
      <c r="D764" s="93"/>
      <c r="E764" s="95"/>
      <c r="F764" s="95"/>
      <c r="G764" s="95"/>
      <c r="H764" s="93"/>
      <c r="I764" s="93"/>
      <c r="J764" s="93"/>
    </row>
    <row r="765" spans="1:10" s="65" customFormat="1" ht="14" x14ac:dyDescent="0.35">
      <c r="A765" s="145"/>
      <c r="B765" s="93"/>
      <c r="C765" s="93"/>
      <c r="D765" s="93"/>
      <c r="E765" s="95"/>
      <c r="F765" s="95"/>
      <c r="G765" s="95"/>
      <c r="H765" s="93"/>
      <c r="I765" s="93"/>
      <c r="J765" s="93"/>
    </row>
    <row r="766" spans="1:10" s="65" customFormat="1" ht="14" x14ac:dyDescent="0.35">
      <c r="A766" s="145"/>
      <c r="B766" s="93"/>
      <c r="C766" s="93"/>
      <c r="D766" s="93"/>
      <c r="E766" s="95"/>
      <c r="F766" s="95"/>
      <c r="G766" s="95"/>
      <c r="H766" s="93"/>
      <c r="I766" s="93"/>
      <c r="J766" s="93"/>
    </row>
    <row r="767" spans="1:10" s="65" customFormat="1" ht="14" x14ac:dyDescent="0.35">
      <c r="A767" s="145"/>
      <c r="B767" s="93"/>
      <c r="C767" s="93"/>
      <c r="D767" s="93"/>
      <c r="E767" s="95"/>
      <c r="F767" s="95"/>
      <c r="G767" s="95"/>
      <c r="H767" s="93"/>
      <c r="I767" s="93"/>
      <c r="J767" s="93"/>
    </row>
    <row r="768" spans="1:10" s="65" customFormat="1" ht="14" x14ac:dyDescent="0.35">
      <c r="A768" s="145"/>
      <c r="B768" s="93"/>
      <c r="C768" s="93"/>
      <c r="D768" s="93"/>
      <c r="E768" s="95"/>
      <c r="F768" s="95"/>
      <c r="G768" s="95"/>
      <c r="H768" s="93"/>
      <c r="I768" s="93"/>
      <c r="J768" s="93"/>
    </row>
    <row r="769" spans="1:10" s="65" customFormat="1" ht="14" x14ac:dyDescent="0.35">
      <c r="A769" s="145"/>
      <c r="B769" s="93"/>
      <c r="C769" s="93"/>
      <c r="D769" s="93"/>
      <c r="E769" s="95"/>
      <c r="F769" s="95"/>
      <c r="G769" s="95"/>
      <c r="H769" s="93"/>
      <c r="I769" s="93"/>
      <c r="J769" s="93"/>
    </row>
    <row r="770" spans="1:10" s="65" customFormat="1" ht="14" x14ac:dyDescent="0.35">
      <c r="A770" s="145"/>
      <c r="B770" s="93"/>
      <c r="C770" s="93"/>
      <c r="D770" s="93"/>
      <c r="E770" s="95"/>
      <c r="F770" s="95"/>
      <c r="G770" s="95"/>
      <c r="H770" s="93"/>
      <c r="I770" s="93"/>
      <c r="J770" s="93"/>
    </row>
    <row r="771" spans="1:10" s="65" customFormat="1" ht="14" x14ac:dyDescent="0.35">
      <c r="A771" s="145"/>
      <c r="B771" s="93"/>
      <c r="C771" s="93"/>
      <c r="D771" s="93"/>
      <c r="E771" s="95"/>
      <c r="F771" s="95"/>
      <c r="G771" s="95"/>
      <c r="H771" s="93"/>
      <c r="I771" s="93"/>
      <c r="J771" s="93"/>
    </row>
    <row r="772" spans="1:10" s="65" customFormat="1" ht="14" x14ac:dyDescent="0.35">
      <c r="A772" s="145"/>
      <c r="B772" s="93"/>
      <c r="C772" s="93"/>
      <c r="D772" s="93"/>
      <c r="E772" s="95"/>
      <c r="F772" s="95"/>
      <c r="G772" s="95"/>
      <c r="H772" s="93"/>
      <c r="I772" s="93"/>
      <c r="J772" s="93"/>
    </row>
    <row r="773" spans="1:10" s="65" customFormat="1" ht="14" x14ac:dyDescent="0.35">
      <c r="A773" s="145"/>
      <c r="B773" s="93"/>
      <c r="C773" s="93"/>
      <c r="D773" s="93"/>
      <c r="E773" s="95"/>
      <c r="F773" s="95"/>
      <c r="G773" s="95"/>
      <c r="H773" s="93"/>
      <c r="I773" s="93"/>
      <c r="J773" s="93"/>
    </row>
    <row r="774" spans="1:10" s="65" customFormat="1" ht="14" x14ac:dyDescent="0.35">
      <c r="A774" s="145"/>
      <c r="B774" s="93"/>
      <c r="C774" s="93"/>
      <c r="D774" s="93"/>
      <c r="E774" s="95"/>
      <c r="F774" s="95"/>
      <c r="G774" s="95"/>
      <c r="H774" s="93"/>
      <c r="I774" s="93"/>
      <c r="J774" s="93"/>
    </row>
    <row r="775" spans="1:10" s="65" customFormat="1" ht="14" x14ac:dyDescent="0.35">
      <c r="A775" s="145"/>
      <c r="B775" s="93"/>
      <c r="C775" s="93"/>
      <c r="D775" s="93"/>
      <c r="E775" s="95"/>
      <c r="F775" s="95"/>
      <c r="G775" s="95"/>
      <c r="H775" s="93"/>
      <c r="I775" s="93"/>
      <c r="J775" s="93"/>
    </row>
    <row r="776" spans="1:10" s="65" customFormat="1" ht="14" x14ac:dyDescent="0.35">
      <c r="A776" s="145"/>
      <c r="B776" s="93"/>
      <c r="C776" s="93"/>
      <c r="D776" s="93"/>
      <c r="E776" s="95"/>
      <c r="F776" s="95"/>
      <c r="G776" s="95"/>
      <c r="H776" s="93"/>
      <c r="I776" s="93"/>
      <c r="J776" s="93"/>
    </row>
    <row r="777" spans="1:10" s="65" customFormat="1" ht="14" x14ac:dyDescent="0.35">
      <c r="A777" s="145"/>
      <c r="B777" s="93"/>
      <c r="C777" s="93"/>
      <c r="D777" s="93"/>
      <c r="E777" s="95"/>
      <c r="F777" s="95"/>
      <c r="G777" s="95"/>
      <c r="H777" s="93"/>
      <c r="I777" s="93"/>
      <c r="J777" s="93"/>
    </row>
    <row r="778" spans="1:10" s="65" customFormat="1" ht="14" x14ac:dyDescent="0.35">
      <c r="A778" s="145"/>
      <c r="B778" s="93"/>
      <c r="C778" s="93"/>
      <c r="D778" s="93"/>
      <c r="E778" s="95"/>
      <c r="F778" s="95"/>
      <c r="G778" s="95"/>
      <c r="H778" s="93"/>
      <c r="I778" s="93"/>
      <c r="J778" s="93"/>
    </row>
    <row r="779" spans="1:10" s="65" customFormat="1" ht="14" x14ac:dyDescent="0.35">
      <c r="A779" s="145"/>
      <c r="B779" s="93"/>
      <c r="C779" s="93"/>
      <c r="D779" s="93"/>
      <c r="E779" s="95"/>
      <c r="F779" s="95"/>
      <c r="G779" s="95"/>
      <c r="H779" s="93"/>
      <c r="I779" s="93"/>
      <c r="J779" s="93"/>
    </row>
    <row r="780" spans="1:10" s="65" customFormat="1" ht="14" x14ac:dyDescent="0.35">
      <c r="A780" s="145"/>
      <c r="B780" s="93"/>
      <c r="C780" s="93"/>
      <c r="D780" s="93"/>
      <c r="E780" s="95"/>
      <c r="F780" s="95"/>
      <c r="G780" s="95"/>
      <c r="H780" s="93"/>
      <c r="I780" s="93"/>
      <c r="J780" s="93"/>
    </row>
    <row r="781" spans="1:10" s="65" customFormat="1" ht="14" x14ac:dyDescent="0.35">
      <c r="A781" s="145"/>
      <c r="B781" s="93"/>
      <c r="C781" s="93"/>
      <c r="D781" s="93"/>
      <c r="E781" s="95"/>
      <c r="F781" s="95"/>
      <c r="G781" s="95"/>
      <c r="H781" s="93"/>
      <c r="I781" s="93"/>
      <c r="J781" s="93"/>
    </row>
    <row r="782" spans="1:10" s="65" customFormat="1" ht="14" x14ac:dyDescent="0.35">
      <c r="A782" s="145"/>
      <c r="B782" s="93"/>
      <c r="C782" s="93"/>
      <c r="D782" s="93"/>
      <c r="E782" s="95"/>
      <c r="F782" s="95"/>
      <c r="G782" s="95"/>
      <c r="H782" s="93"/>
      <c r="I782" s="93"/>
      <c r="J782" s="93"/>
    </row>
    <row r="783" spans="1:10" s="65" customFormat="1" ht="14" x14ac:dyDescent="0.35">
      <c r="A783" s="145"/>
      <c r="B783" s="93"/>
      <c r="C783" s="93"/>
      <c r="D783" s="93"/>
      <c r="E783" s="95"/>
      <c r="F783" s="95"/>
      <c r="G783" s="95"/>
      <c r="H783" s="93"/>
      <c r="I783" s="93"/>
      <c r="J783" s="93"/>
    </row>
    <row r="784" spans="1:10" s="65" customFormat="1" ht="14" x14ac:dyDescent="0.35">
      <c r="A784" s="145"/>
      <c r="B784" s="93"/>
      <c r="C784" s="93"/>
      <c r="D784" s="93"/>
      <c r="E784" s="95"/>
      <c r="F784" s="95"/>
      <c r="G784" s="95"/>
      <c r="H784" s="93"/>
      <c r="I784" s="93"/>
      <c r="J784" s="93"/>
    </row>
    <row r="785" spans="1:10" s="65" customFormat="1" ht="14" x14ac:dyDescent="0.35">
      <c r="A785" s="145"/>
      <c r="B785" s="93"/>
      <c r="C785" s="93"/>
      <c r="D785" s="93"/>
      <c r="E785" s="95"/>
      <c r="F785" s="95"/>
      <c r="G785" s="95"/>
      <c r="H785" s="93"/>
      <c r="I785" s="93"/>
      <c r="J785" s="93"/>
    </row>
    <row r="786" spans="1:10" s="65" customFormat="1" ht="14" x14ac:dyDescent="0.35">
      <c r="A786" s="145"/>
      <c r="B786" s="93"/>
      <c r="C786" s="93"/>
      <c r="D786" s="93"/>
      <c r="E786" s="95"/>
      <c r="F786" s="95"/>
      <c r="G786" s="95"/>
      <c r="H786" s="93"/>
      <c r="I786" s="93"/>
      <c r="J786" s="93"/>
    </row>
    <row r="787" spans="1:10" s="65" customFormat="1" ht="14" x14ac:dyDescent="0.35">
      <c r="A787" s="145"/>
      <c r="B787" s="93"/>
      <c r="C787" s="93"/>
      <c r="D787" s="93"/>
      <c r="E787" s="95"/>
      <c r="F787" s="95"/>
      <c r="G787" s="95"/>
      <c r="H787" s="93"/>
      <c r="I787" s="93"/>
      <c r="J787" s="93"/>
    </row>
    <row r="788" spans="1:10" s="65" customFormat="1" ht="14" x14ac:dyDescent="0.35">
      <c r="A788" s="145"/>
      <c r="B788" s="93"/>
      <c r="C788" s="93"/>
      <c r="D788" s="93"/>
      <c r="E788" s="95"/>
      <c r="F788" s="95"/>
      <c r="G788" s="95"/>
      <c r="H788" s="93"/>
      <c r="I788" s="93"/>
      <c r="J788" s="93"/>
    </row>
    <row r="789" spans="1:10" s="65" customFormat="1" ht="14" x14ac:dyDescent="0.35">
      <c r="A789" s="145"/>
      <c r="B789" s="93"/>
      <c r="C789" s="93"/>
      <c r="D789" s="93"/>
      <c r="E789" s="95"/>
      <c r="F789" s="95"/>
      <c r="G789" s="95"/>
      <c r="H789" s="93"/>
      <c r="I789" s="93"/>
      <c r="J789" s="93"/>
    </row>
    <row r="790" spans="1:10" s="65" customFormat="1" ht="14" x14ac:dyDescent="0.35">
      <c r="A790" s="145"/>
      <c r="B790" s="93"/>
      <c r="C790" s="93"/>
      <c r="D790" s="93"/>
      <c r="E790" s="95"/>
      <c r="F790" s="95"/>
      <c r="G790" s="95"/>
      <c r="H790" s="93"/>
      <c r="I790" s="93"/>
      <c r="J790" s="93"/>
    </row>
    <row r="791" spans="1:10" s="65" customFormat="1" ht="14" x14ac:dyDescent="0.35">
      <c r="A791" s="145"/>
      <c r="B791" s="93"/>
      <c r="C791" s="93"/>
      <c r="D791" s="93"/>
      <c r="E791" s="95"/>
      <c r="F791" s="95"/>
      <c r="G791" s="95"/>
      <c r="H791" s="93"/>
      <c r="I791" s="93"/>
      <c r="J791" s="93"/>
    </row>
    <row r="792" spans="1:10" s="65" customFormat="1" ht="14" x14ac:dyDescent="0.35">
      <c r="A792" s="145"/>
      <c r="B792" s="93"/>
      <c r="C792" s="93"/>
      <c r="D792" s="93"/>
      <c r="E792" s="95"/>
      <c r="F792" s="95"/>
      <c r="G792" s="95"/>
      <c r="H792" s="93"/>
      <c r="I792" s="93"/>
      <c r="J792" s="93"/>
    </row>
    <row r="793" spans="1:10" s="65" customFormat="1" ht="14" x14ac:dyDescent="0.35">
      <c r="A793" s="145"/>
      <c r="B793" s="93"/>
      <c r="C793" s="93"/>
      <c r="D793" s="93"/>
      <c r="E793" s="95"/>
      <c r="F793" s="95"/>
      <c r="G793" s="95"/>
      <c r="H793" s="93"/>
      <c r="I793" s="93"/>
      <c r="J793" s="93"/>
    </row>
    <row r="794" spans="1:10" s="65" customFormat="1" ht="14" x14ac:dyDescent="0.35">
      <c r="A794" s="145"/>
      <c r="B794" s="93"/>
      <c r="C794" s="93"/>
      <c r="D794" s="93"/>
      <c r="E794" s="95"/>
      <c r="F794" s="95"/>
      <c r="G794" s="95"/>
      <c r="H794" s="93"/>
      <c r="I794" s="93"/>
      <c r="J794" s="93"/>
    </row>
    <row r="795" spans="1:10" s="65" customFormat="1" ht="14" x14ac:dyDescent="0.35">
      <c r="A795" s="145"/>
      <c r="B795" s="93"/>
      <c r="C795" s="93"/>
      <c r="D795" s="93"/>
      <c r="E795" s="95"/>
      <c r="F795" s="95"/>
      <c r="G795" s="95"/>
      <c r="H795" s="93"/>
      <c r="I795" s="93"/>
      <c r="J795" s="93"/>
    </row>
    <row r="796" spans="1:10" s="65" customFormat="1" ht="14" x14ac:dyDescent="0.35">
      <c r="A796" s="145"/>
      <c r="B796" s="93"/>
      <c r="C796" s="93"/>
      <c r="D796" s="93"/>
      <c r="E796" s="95"/>
      <c r="F796" s="95"/>
      <c r="G796" s="95"/>
      <c r="H796" s="93"/>
      <c r="I796" s="93"/>
      <c r="J796" s="93"/>
    </row>
    <row r="797" spans="1:10" s="65" customFormat="1" ht="14" x14ac:dyDescent="0.35">
      <c r="A797" s="145"/>
      <c r="B797" s="93"/>
      <c r="C797" s="93"/>
      <c r="D797" s="93"/>
      <c r="E797" s="95"/>
      <c r="F797" s="95"/>
      <c r="G797" s="95"/>
      <c r="H797" s="93"/>
      <c r="I797" s="93"/>
      <c r="J797" s="93"/>
    </row>
    <row r="798" spans="1:10" s="65" customFormat="1" ht="14" x14ac:dyDescent="0.35">
      <c r="A798" s="145"/>
      <c r="B798" s="93"/>
      <c r="C798" s="93"/>
      <c r="D798" s="93"/>
      <c r="E798" s="95"/>
      <c r="F798" s="95"/>
      <c r="G798" s="95"/>
      <c r="H798" s="93"/>
      <c r="I798" s="93"/>
      <c r="J798" s="93"/>
    </row>
    <row r="799" spans="1:10" s="65" customFormat="1" ht="14" x14ac:dyDescent="0.35">
      <c r="A799" s="145"/>
      <c r="B799" s="93"/>
      <c r="C799" s="93"/>
      <c r="D799" s="93"/>
      <c r="E799" s="95"/>
      <c r="F799" s="95"/>
      <c r="G799" s="95"/>
      <c r="H799" s="93"/>
      <c r="I799" s="93"/>
      <c r="J799" s="93"/>
    </row>
    <row r="800" spans="1:10" s="65" customFormat="1" ht="14" x14ac:dyDescent="0.35">
      <c r="A800" s="145"/>
      <c r="B800" s="93"/>
      <c r="C800" s="93"/>
      <c r="D800" s="93"/>
      <c r="E800" s="95"/>
      <c r="F800" s="95"/>
      <c r="G800" s="95"/>
      <c r="H800" s="93"/>
      <c r="I800" s="93"/>
      <c r="J800" s="93"/>
    </row>
    <row r="801" spans="1:10" s="65" customFormat="1" ht="14" x14ac:dyDescent="0.35">
      <c r="A801" s="145"/>
      <c r="B801" s="93"/>
      <c r="C801" s="93"/>
      <c r="D801" s="93"/>
      <c r="E801" s="95"/>
      <c r="F801" s="95"/>
      <c r="G801" s="95"/>
      <c r="H801" s="93"/>
      <c r="I801" s="93"/>
      <c r="J801" s="93"/>
    </row>
    <row r="802" spans="1:10" s="65" customFormat="1" ht="14" x14ac:dyDescent="0.35">
      <c r="A802" s="145"/>
      <c r="B802" s="93"/>
      <c r="C802" s="93"/>
      <c r="D802" s="93"/>
      <c r="E802" s="95"/>
      <c r="F802" s="95"/>
      <c r="G802" s="95"/>
      <c r="H802" s="93"/>
      <c r="I802" s="93"/>
      <c r="J802" s="93"/>
    </row>
    <row r="803" spans="1:10" s="65" customFormat="1" ht="14" x14ac:dyDescent="0.35">
      <c r="A803" s="145"/>
      <c r="B803" s="93"/>
      <c r="C803" s="93"/>
      <c r="D803" s="93"/>
      <c r="E803" s="95"/>
      <c r="F803" s="95"/>
      <c r="G803" s="95"/>
      <c r="H803" s="93"/>
      <c r="I803" s="93"/>
      <c r="J803" s="93"/>
    </row>
    <row r="804" spans="1:10" s="65" customFormat="1" ht="14" x14ac:dyDescent="0.35">
      <c r="A804" s="145"/>
      <c r="B804" s="93"/>
      <c r="C804" s="93"/>
      <c r="D804" s="93"/>
      <c r="E804" s="95"/>
      <c r="F804" s="95"/>
      <c r="G804" s="95"/>
      <c r="H804" s="93"/>
      <c r="I804" s="93"/>
      <c r="J804" s="93"/>
    </row>
    <row r="805" spans="1:10" s="65" customFormat="1" ht="14" x14ac:dyDescent="0.35">
      <c r="A805" s="145"/>
      <c r="B805" s="93"/>
      <c r="C805" s="93"/>
      <c r="D805" s="93"/>
      <c r="E805" s="95"/>
      <c r="F805" s="95"/>
      <c r="G805" s="95"/>
      <c r="H805" s="93"/>
      <c r="I805" s="93"/>
      <c r="J805" s="93"/>
    </row>
    <row r="806" spans="1:10" s="65" customFormat="1" ht="14" x14ac:dyDescent="0.35">
      <c r="A806" s="145"/>
      <c r="B806" s="93"/>
      <c r="C806" s="93"/>
      <c r="D806" s="93"/>
      <c r="E806" s="95"/>
      <c r="F806" s="95"/>
      <c r="G806" s="95"/>
      <c r="H806" s="93"/>
      <c r="I806" s="93"/>
      <c r="J806" s="93"/>
    </row>
    <row r="807" spans="1:10" s="65" customFormat="1" ht="14" x14ac:dyDescent="0.35">
      <c r="A807" s="145"/>
      <c r="B807" s="93"/>
      <c r="C807" s="93"/>
      <c r="D807" s="93"/>
      <c r="E807" s="95"/>
      <c r="F807" s="95"/>
      <c r="G807" s="95"/>
      <c r="H807" s="93"/>
      <c r="I807" s="93"/>
      <c r="J807" s="93"/>
    </row>
    <row r="808" spans="1:10" s="65" customFormat="1" ht="14" x14ac:dyDescent="0.35">
      <c r="A808" s="145"/>
      <c r="B808" s="93"/>
      <c r="C808" s="93"/>
      <c r="D808" s="93"/>
      <c r="E808" s="95"/>
      <c r="F808" s="95"/>
      <c r="G808" s="95"/>
      <c r="H808" s="93"/>
      <c r="I808" s="93"/>
      <c r="J808" s="93"/>
    </row>
    <row r="809" spans="1:10" s="65" customFormat="1" ht="14" x14ac:dyDescent="0.35">
      <c r="A809" s="145"/>
      <c r="B809" s="93"/>
      <c r="C809" s="93"/>
      <c r="D809" s="93"/>
      <c r="E809" s="95"/>
      <c r="F809" s="95"/>
      <c r="G809" s="95"/>
      <c r="H809" s="93"/>
      <c r="I809" s="93"/>
      <c r="J809" s="93"/>
    </row>
    <row r="810" spans="1:10" s="65" customFormat="1" ht="14" x14ac:dyDescent="0.35">
      <c r="A810" s="145"/>
      <c r="B810" s="93"/>
      <c r="C810" s="93"/>
      <c r="D810" s="93"/>
      <c r="E810" s="95"/>
      <c r="F810" s="95"/>
      <c r="G810" s="95"/>
      <c r="H810" s="93"/>
      <c r="I810" s="93"/>
      <c r="J810" s="93"/>
    </row>
    <row r="811" spans="1:10" s="65" customFormat="1" ht="14" x14ac:dyDescent="0.35">
      <c r="A811" s="145"/>
      <c r="B811" s="93"/>
      <c r="C811" s="93"/>
      <c r="D811" s="93"/>
      <c r="E811" s="95"/>
      <c r="F811" s="95"/>
      <c r="G811" s="95"/>
      <c r="H811" s="93"/>
      <c r="I811" s="93"/>
      <c r="J811" s="93"/>
    </row>
    <row r="812" spans="1:10" s="65" customFormat="1" ht="14" x14ac:dyDescent="0.35">
      <c r="A812" s="145"/>
      <c r="B812" s="93"/>
      <c r="C812" s="93"/>
      <c r="D812" s="93"/>
      <c r="E812" s="95"/>
      <c r="F812" s="95"/>
      <c r="G812" s="95"/>
      <c r="H812" s="93"/>
      <c r="I812" s="93"/>
      <c r="J812" s="93"/>
    </row>
    <row r="813" spans="1:10" s="65" customFormat="1" ht="14" x14ac:dyDescent="0.35">
      <c r="A813" s="145"/>
      <c r="B813" s="93"/>
      <c r="C813" s="93"/>
      <c r="D813" s="93"/>
      <c r="E813" s="95"/>
      <c r="F813" s="95"/>
      <c r="G813" s="95"/>
      <c r="H813" s="93"/>
      <c r="I813" s="93"/>
      <c r="J813" s="93"/>
    </row>
    <row r="814" spans="1:10" s="65" customFormat="1" ht="14" x14ac:dyDescent="0.35">
      <c r="A814" s="145"/>
      <c r="B814" s="93"/>
      <c r="C814" s="93"/>
      <c r="D814" s="93"/>
      <c r="E814" s="95"/>
      <c r="F814" s="95"/>
      <c r="G814" s="95"/>
      <c r="H814" s="93"/>
      <c r="I814" s="93"/>
      <c r="J814" s="93"/>
    </row>
    <row r="815" spans="1:10" s="65" customFormat="1" ht="14" x14ac:dyDescent="0.35">
      <c r="A815" s="145"/>
      <c r="B815" s="93"/>
      <c r="C815" s="93"/>
      <c r="D815" s="93"/>
      <c r="E815" s="95"/>
      <c r="F815" s="95"/>
      <c r="G815" s="95"/>
      <c r="H815" s="93"/>
      <c r="I815" s="93"/>
      <c r="J815" s="93"/>
    </row>
    <row r="816" spans="1:10" s="65" customFormat="1" ht="14" x14ac:dyDescent="0.35">
      <c r="A816" s="145"/>
      <c r="B816" s="93"/>
      <c r="C816" s="93"/>
      <c r="D816" s="93"/>
      <c r="E816" s="95"/>
      <c r="F816" s="95"/>
      <c r="G816" s="95"/>
      <c r="H816" s="93"/>
      <c r="I816" s="93"/>
      <c r="J816" s="93"/>
    </row>
    <row r="817" spans="1:10" s="65" customFormat="1" ht="14" x14ac:dyDescent="0.35">
      <c r="A817" s="145"/>
      <c r="B817" s="93"/>
      <c r="C817" s="93"/>
      <c r="D817" s="93"/>
      <c r="E817" s="95"/>
      <c r="F817" s="95"/>
      <c r="G817" s="95"/>
      <c r="H817" s="93"/>
      <c r="I817" s="93"/>
      <c r="J817" s="93"/>
    </row>
    <row r="818" spans="1:10" s="65" customFormat="1" ht="14" x14ac:dyDescent="0.35">
      <c r="A818" s="145"/>
      <c r="B818" s="93"/>
      <c r="C818" s="93"/>
      <c r="D818" s="93"/>
      <c r="E818" s="95"/>
      <c r="F818" s="95"/>
      <c r="G818" s="95"/>
      <c r="H818" s="93"/>
      <c r="I818" s="93"/>
      <c r="J818" s="93"/>
    </row>
    <row r="819" spans="1:10" s="65" customFormat="1" ht="14" x14ac:dyDescent="0.35">
      <c r="A819" s="145"/>
      <c r="B819" s="93"/>
      <c r="C819" s="93"/>
      <c r="D819" s="93"/>
      <c r="E819" s="95"/>
      <c r="F819" s="95"/>
      <c r="G819" s="95"/>
      <c r="H819" s="93"/>
      <c r="I819" s="93"/>
      <c r="J819" s="93"/>
    </row>
    <row r="820" spans="1:10" s="65" customFormat="1" ht="14" x14ac:dyDescent="0.35">
      <c r="A820" s="145"/>
      <c r="B820" s="93"/>
      <c r="C820" s="93"/>
      <c r="D820" s="93"/>
      <c r="E820" s="95"/>
      <c r="F820" s="95"/>
      <c r="G820" s="95"/>
      <c r="H820" s="93"/>
      <c r="I820" s="93"/>
      <c r="J820" s="93"/>
    </row>
    <row r="821" spans="1:10" s="65" customFormat="1" ht="14" x14ac:dyDescent="0.35">
      <c r="A821" s="145"/>
      <c r="B821" s="93"/>
      <c r="C821" s="93"/>
      <c r="D821" s="93"/>
      <c r="E821" s="95"/>
      <c r="F821" s="95"/>
      <c r="G821" s="95"/>
      <c r="H821" s="93"/>
      <c r="I821" s="93"/>
      <c r="J821" s="93"/>
    </row>
    <row r="822" spans="1:10" s="65" customFormat="1" ht="14" x14ac:dyDescent="0.35">
      <c r="A822" s="145"/>
      <c r="B822" s="93"/>
      <c r="C822" s="93"/>
      <c r="D822" s="93"/>
      <c r="E822" s="95"/>
      <c r="F822" s="95"/>
      <c r="G822" s="95"/>
      <c r="H822" s="93"/>
      <c r="I822" s="93"/>
      <c r="J822" s="93"/>
    </row>
    <row r="823" spans="1:10" s="65" customFormat="1" ht="14" x14ac:dyDescent="0.35">
      <c r="A823" s="145"/>
      <c r="B823" s="93"/>
      <c r="C823" s="93"/>
      <c r="D823" s="93"/>
      <c r="E823" s="95"/>
      <c r="F823" s="95"/>
      <c r="G823" s="95"/>
      <c r="H823" s="93"/>
      <c r="I823" s="93"/>
      <c r="J823" s="93"/>
    </row>
    <row r="824" spans="1:10" s="65" customFormat="1" ht="14" x14ac:dyDescent="0.35">
      <c r="A824" s="145"/>
      <c r="B824" s="93"/>
      <c r="C824" s="93"/>
      <c r="D824" s="93"/>
      <c r="E824" s="95"/>
      <c r="F824" s="95"/>
      <c r="G824" s="95"/>
      <c r="H824" s="93"/>
      <c r="I824" s="93"/>
      <c r="J824" s="93"/>
    </row>
    <row r="825" spans="1:10" s="65" customFormat="1" ht="14" x14ac:dyDescent="0.35">
      <c r="A825" s="145"/>
      <c r="B825" s="93"/>
      <c r="C825" s="93"/>
      <c r="D825" s="93"/>
      <c r="E825" s="95"/>
      <c r="F825" s="95"/>
      <c r="G825" s="95"/>
      <c r="H825" s="93"/>
      <c r="I825" s="93"/>
      <c r="J825" s="93"/>
    </row>
    <row r="826" spans="1:10" s="65" customFormat="1" ht="14" x14ac:dyDescent="0.35">
      <c r="A826" s="145"/>
      <c r="B826" s="93"/>
      <c r="C826" s="93"/>
      <c r="D826" s="93"/>
      <c r="E826" s="95"/>
      <c r="F826" s="95"/>
      <c r="G826" s="95"/>
      <c r="H826" s="93"/>
      <c r="I826" s="93"/>
      <c r="J826" s="93"/>
    </row>
    <row r="827" spans="1:10" s="65" customFormat="1" ht="14" x14ac:dyDescent="0.35">
      <c r="A827" s="145"/>
      <c r="B827" s="93"/>
      <c r="C827" s="93"/>
      <c r="D827" s="93"/>
      <c r="E827" s="95"/>
      <c r="F827" s="95"/>
      <c r="G827" s="95"/>
      <c r="H827" s="93"/>
      <c r="I827" s="93"/>
      <c r="J827" s="93"/>
    </row>
    <row r="828" spans="1:10" s="65" customFormat="1" ht="14" x14ac:dyDescent="0.35">
      <c r="A828" s="145"/>
      <c r="B828" s="93"/>
      <c r="C828" s="93"/>
      <c r="D828" s="93"/>
      <c r="E828" s="95"/>
      <c r="F828" s="95"/>
      <c r="G828" s="95"/>
      <c r="H828" s="93"/>
      <c r="I828" s="93"/>
      <c r="J828" s="93"/>
    </row>
    <row r="829" spans="1:10" s="65" customFormat="1" ht="14" x14ac:dyDescent="0.35">
      <c r="A829" s="145"/>
      <c r="B829" s="93"/>
      <c r="C829" s="93"/>
      <c r="D829" s="93"/>
      <c r="E829" s="95"/>
      <c r="F829" s="95"/>
      <c r="G829" s="95"/>
      <c r="H829" s="93"/>
      <c r="I829" s="93"/>
      <c r="J829" s="93"/>
    </row>
    <row r="830" spans="1:10" s="65" customFormat="1" ht="14" x14ac:dyDescent="0.35">
      <c r="A830" s="145"/>
      <c r="B830" s="93"/>
      <c r="C830" s="93"/>
      <c r="D830" s="93"/>
      <c r="E830" s="95"/>
      <c r="F830" s="95"/>
      <c r="G830" s="95"/>
      <c r="H830" s="93"/>
      <c r="I830" s="93"/>
      <c r="J830" s="93"/>
    </row>
    <row r="831" spans="1:10" s="65" customFormat="1" ht="14" x14ac:dyDescent="0.35">
      <c r="A831" s="145"/>
      <c r="B831" s="93"/>
      <c r="C831" s="93"/>
      <c r="D831" s="93"/>
      <c r="E831" s="95"/>
      <c r="F831" s="95"/>
      <c r="G831" s="95"/>
      <c r="H831" s="93"/>
      <c r="I831" s="93"/>
      <c r="J831" s="93"/>
    </row>
    <row r="832" spans="1:10" s="65" customFormat="1" ht="14" x14ac:dyDescent="0.35">
      <c r="A832" s="145"/>
      <c r="B832" s="93"/>
      <c r="C832" s="93"/>
      <c r="D832" s="93"/>
      <c r="E832" s="95"/>
      <c r="F832" s="95"/>
      <c r="G832" s="95"/>
      <c r="H832" s="93"/>
      <c r="I832" s="93"/>
      <c r="J832" s="93"/>
    </row>
    <row r="833" spans="1:10" s="65" customFormat="1" ht="14" x14ac:dyDescent="0.35">
      <c r="A833" s="145"/>
      <c r="B833" s="93"/>
      <c r="C833" s="93"/>
      <c r="D833" s="93"/>
      <c r="E833" s="95"/>
      <c r="F833" s="95"/>
      <c r="G833" s="95"/>
      <c r="H833" s="93"/>
      <c r="I833" s="93"/>
      <c r="J833" s="93"/>
    </row>
    <row r="834" spans="1:10" s="65" customFormat="1" ht="14" x14ac:dyDescent="0.35">
      <c r="A834" s="145"/>
      <c r="B834" s="93"/>
      <c r="C834" s="93"/>
      <c r="D834" s="93"/>
      <c r="E834" s="95"/>
      <c r="F834" s="95"/>
      <c r="G834" s="95"/>
      <c r="H834" s="93"/>
      <c r="I834" s="93"/>
      <c r="J834" s="93"/>
    </row>
    <row r="835" spans="1:10" s="65" customFormat="1" ht="14" x14ac:dyDescent="0.35">
      <c r="A835" s="145"/>
      <c r="B835" s="93"/>
      <c r="C835" s="93"/>
      <c r="D835" s="93"/>
      <c r="E835" s="95"/>
      <c r="F835" s="95"/>
      <c r="G835" s="95"/>
      <c r="H835" s="93"/>
      <c r="I835" s="93"/>
      <c r="J835" s="93"/>
    </row>
    <row r="836" spans="1:10" s="65" customFormat="1" ht="14" x14ac:dyDescent="0.35">
      <c r="A836" s="145"/>
      <c r="B836" s="93"/>
      <c r="C836" s="93"/>
      <c r="D836" s="93"/>
      <c r="E836" s="95"/>
      <c r="F836" s="95"/>
      <c r="G836" s="95"/>
      <c r="H836" s="93"/>
      <c r="I836" s="93"/>
      <c r="J836" s="93"/>
    </row>
    <row r="837" spans="1:10" s="65" customFormat="1" ht="14" x14ac:dyDescent="0.35">
      <c r="A837" s="145"/>
      <c r="B837" s="93"/>
      <c r="C837" s="93"/>
      <c r="D837" s="93"/>
      <c r="E837" s="95"/>
      <c r="F837" s="95"/>
      <c r="G837" s="95"/>
      <c r="H837" s="93"/>
      <c r="I837" s="93"/>
      <c r="J837" s="93"/>
    </row>
    <row r="838" spans="1:10" s="65" customFormat="1" ht="14" x14ac:dyDescent="0.35">
      <c r="A838" s="145"/>
      <c r="B838" s="93"/>
      <c r="C838" s="93"/>
      <c r="D838" s="93"/>
      <c r="E838" s="95"/>
      <c r="F838" s="95"/>
      <c r="G838" s="95"/>
      <c r="H838" s="93"/>
      <c r="I838" s="93"/>
      <c r="J838" s="93"/>
    </row>
    <row r="839" spans="1:10" s="65" customFormat="1" ht="14" x14ac:dyDescent="0.35">
      <c r="A839" s="145"/>
      <c r="B839" s="93"/>
      <c r="C839" s="93"/>
      <c r="D839" s="93"/>
      <c r="E839" s="95"/>
      <c r="F839" s="95"/>
      <c r="G839" s="95"/>
      <c r="H839" s="93"/>
      <c r="I839" s="93"/>
      <c r="J839" s="93"/>
    </row>
    <row r="840" spans="1:10" s="65" customFormat="1" ht="14" x14ac:dyDescent="0.35">
      <c r="A840" s="145"/>
      <c r="B840" s="93"/>
      <c r="C840" s="93"/>
      <c r="D840" s="93"/>
      <c r="E840" s="95"/>
      <c r="F840" s="95"/>
      <c r="G840" s="95"/>
      <c r="H840" s="93"/>
      <c r="I840" s="93"/>
      <c r="J840" s="93"/>
    </row>
    <row r="841" spans="1:10" s="65" customFormat="1" ht="14" x14ac:dyDescent="0.35">
      <c r="A841" s="145"/>
      <c r="B841" s="93"/>
      <c r="C841" s="93"/>
      <c r="D841" s="93"/>
      <c r="E841" s="95"/>
      <c r="F841" s="95"/>
      <c r="G841" s="95"/>
      <c r="H841" s="93"/>
      <c r="I841" s="93"/>
      <c r="J841" s="93"/>
    </row>
    <row r="842" spans="1:10" s="65" customFormat="1" ht="14" x14ac:dyDescent="0.35">
      <c r="A842" s="145"/>
      <c r="B842" s="93"/>
      <c r="C842" s="93"/>
      <c r="D842" s="93"/>
      <c r="E842" s="95"/>
      <c r="F842" s="95"/>
      <c r="G842" s="95"/>
      <c r="H842" s="93"/>
      <c r="I842" s="93"/>
      <c r="J842" s="93"/>
    </row>
    <row r="843" spans="1:10" s="65" customFormat="1" ht="14" x14ac:dyDescent="0.35">
      <c r="A843" s="145"/>
      <c r="B843" s="93"/>
      <c r="C843" s="93"/>
      <c r="D843" s="93"/>
      <c r="E843" s="95"/>
      <c r="F843" s="95"/>
      <c r="G843" s="95"/>
      <c r="H843" s="93"/>
      <c r="I843" s="93"/>
      <c r="J843" s="93"/>
    </row>
    <row r="844" spans="1:10" s="65" customFormat="1" ht="14" x14ac:dyDescent="0.35">
      <c r="A844" s="145"/>
      <c r="B844" s="93"/>
      <c r="C844" s="93"/>
      <c r="D844" s="93"/>
      <c r="E844" s="95"/>
      <c r="F844" s="95"/>
      <c r="G844" s="95"/>
      <c r="H844" s="93"/>
      <c r="I844" s="93"/>
      <c r="J844" s="93"/>
    </row>
    <row r="845" spans="1:10" s="65" customFormat="1" ht="14" x14ac:dyDescent="0.35">
      <c r="A845" s="145"/>
      <c r="B845" s="93"/>
      <c r="C845" s="93"/>
      <c r="D845" s="93"/>
      <c r="E845" s="95"/>
      <c r="F845" s="95"/>
      <c r="G845" s="95"/>
      <c r="H845" s="93"/>
      <c r="I845" s="93"/>
      <c r="J845" s="93"/>
    </row>
    <row r="846" spans="1:10" s="65" customFormat="1" ht="14" x14ac:dyDescent="0.35">
      <c r="A846" s="145"/>
      <c r="B846" s="93"/>
      <c r="C846" s="93"/>
      <c r="D846" s="93"/>
      <c r="E846" s="95"/>
      <c r="F846" s="95"/>
      <c r="G846" s="95"/>
      <c r="H846" s="93"/>
      <c r="I846" s="93"/>
      <c r="J846" s="93"/>
    </row>
    <row r="847" spans="1:10" s="65" customFormat="1" ht="14" x14ac:dyDescent="0.35">
      <c r="A847" s="145"/>
      <c r="B847" s="93"/>
      <c r="C847" s="93"/>
      <c r="D847" s="93"/>
      <c r="E847" s="95"/>
      <c r="F847" s="95"/>
      <c r="G847" s="95"/>
      <c r="H847" s="93"/>
      <c r="I847" s="93"/>
      <c r="J847" s="93"/>
    </row>
    <row r="848" spans="1:10" s="65" customFormat="1" ht="14" x14ac:dyDescent="0.35">
      <c r="A848" s="145"/>
      <c r="B848" s="93"/>
      <c r="C848" s="93"/>
      <c r="D848" s="93"/>
      <c r="E848" s="95"/>
      <c r="F848" s="95"/>
      <c r="G848" s="95"/>
      <c r="H848" s="93"/>
      <c r="I848" s="93"/>
      <c r="J848" s="93"/>
    </row>
    <row r="849" spans="1:10" s="65" customFormat="1" ht="14" x14ac:dyDescent="0.35">
      <c r="A849" s="145"/>
      <c r="B849" s="93"/>
      <c r="C849" s="93"/>
      <c r="D849" s="93"/>
      <c r="E849" s="95"/>
      <c r="F849" s="95"/>
      <c r="G849" s="95"/>
      <c r="H849" s="93"/>
      <c r="I849" s="93"/>
      <c r="J849" s="93"/>
    </row>
    <row r="850" spans="1:10" s="65" customFormat="1" ht="14" x14ac:dyDescent="0.35">
      <c r="A850" s="145"/>
      <c r="B850" s="93"/>
      <c r="C850" s="93"/>
      <c r="D850" s="93"/>
      <c r="E850" s="95"/>
      <c r="F850" s="95"/>
      <c r="G850" s="95"/>
      <c r="H850" s="93"/>
      <c r="I850" s="93"/>
      <c r="J850" s="93"/>
    </row>
    <row r="851" spans="1:10" s="65" customFormat="1" ht="14" x14ac:dyDescent="0.35">
      <c r="A851" s="145"/>
      <c r="B851" s="93"/>
      <c r="C851" s="93"/>
      <c r="D851" s="93"/>
      <c r="E851" s="95"/>
      <c r="F851" s="95"/>
      <c r="G851" s="95"/>
      <c r="H851" s="93"/>
      <c r="I851" s="93"/>
      <c r="J851" s="93"/>
    </row>
    <row r="852" spans="1:10" s="65" customFormat="1" ht="14" x14ac:dyDescent="0.35">
      <c r="A852" s="145"/>
      <c r="B852" s="93"/>
      <c r="C852" s="93"/>
      <c r="D852" s="93"/>
      <c r="E852" s="95"/>
      <c r="F852" s="95"/>
      <c r="G852" s="95"/>
      <c r="H852" s="93"/>
      <c r="I852" s="93"/>
      <c r="J852" s="93"/>
    </row>
    <row r="853" spans="1:10" s="65" customFormat="1" ht="14" x14ac:dyDescent="0.35">
      <c r="A853" s="145"/>
      <c r="B853" s="93"/>
      <c r="C853" s="93"/>
      <c r="D853" s="93"/>
      <c r="E853" s="95"/>
      <c r="F853" s="95"/>
      <c r="G853" s="95"/>
      <c r="H853" s="93"/>
      <c r="I853" s="93"/>
      <c r="J853" s="93"/>
    </row>
    <row r="854" spans="1:10" s="65" customFormat="1" ht="14" x14ac:dyDescent="0.35">
      <c r="A854" s="145"/>
      <c r="B854" s="93"/>
      <c r="C854" s="93"/>
      <c r="D854" s="93"/>
      <c r="E854" s="95"/>
      <c r="F854" s="95"/>
      <c r="G854" s="95"/>
      <c r="H854" s="93"/>
      <c r="I854" s="93"/>
      <c r="J854" s="93"/>
    </row>
    <row r="855" spans="1:10" s="65" customFormat="1" ht="14" x14ac:dyDescent="0.35">
      <c r="A855" s="145"/>
      <c r="B855" s="93"/>
      <c r="C855" s="93"/>
      <c r="D855" s="93"/>
      <c r="E855" s="95"/>
      <c r="F855" s="95"/>
      <c r="G855" s="95"/>
      <c r="H855" s="93"/>
      <c r="I855" s="93"/>
      <c r="J855" s="93"/>
    </row>
    <row r="856" spans="1:10" s="65" customFormat="1" ht="14" x14ac:dyDescent="0.35">
      <c r="A856" s="145"/>
      <c r="B856" s="93"/>
      <c r="C856" s="93"/>
      <c r="D856" s="93"/>
      <c r="E856" s="95"/>
      <c r="F856" s="95"/>
      <c r="G856" s="95"/>
      <c r="H856" s="93"/>
      <c r="I856" s="93"/>
      <c r="J856" s="93"/>
    </row>
    <row r="857" spans="1:10" s="65" customFormat="1" ht="14" x14ac:dyDescent="0.35">
      <c r="A857" s="145"/>
      <c r="B857" s="93"/>
      <c r="C857" s="93"/>
      <c r="D857" s="93"/>
      <c r="E857" s="95"/>
      <c r="F857" s="95"/>
      <c r="G857" s="95"/>
      <c r="H857" s="93"/>
      <c r="I857" s="93"/>
      <c r="J857" s="93"/>
    </row>
    <row r="858" spans="1:10" s="65" customFormat="1" ht="14" x14ac:dyDescent="0.35">
      <c r="A858" s="145"/>
      <c r="B858" s="93"/>
      <c r="C858" s="93"/>
      <c r="D858" s="93"/>
      <c r="E858" s="95"/>
      <c r="F858" s="95"/>
      <c r="G858" s="95"/>
      <c r="H858" s="93"/>
      <c r="I858" s="93"/>
      <c r="J858" s="93"/>
    </row>
    <row r="859" spans="1:10" s="65" customFormat="1" ht="14" x14ac:dyDescent="0.35">
      <c r="A859" s="145"/>
      <c r="B859" s="93"/>
      <c r="C859" s="93"/>
      <c r="D859" s="93"/>
      <c r="E859" s="95"/>
      <c r="F859" s="95"/>
      <c r="G859" s="95"/>
      <c r="H859" s="93"/>
      <c r="I859" s="93"/>
      <c r="J859" s="93"/>
    </row>
    <row r="860" spans="1:10" s="65" customFormat="1" ht="14" x14ac:dyDescent="0.35">
      <c r="A860" s="145"/>
      <c r="B860" s="93"/>
      <c r="C860" s="93"/>
      <c r="D860" s="93"/>
      <c r="E860" s="95"/>
      <c r="F860" s="95"/>
      <c r="G860" s="95"/>
      <c r="H860" s="93"/>
      <c r="I860" s="93"/>
      <c r="J860" s="93"/>
    </row>
    <row r="861" spans="1:10" s="65" customFormat="1" ht="14" x14ac:dyDescent="0.35">
      <c r="A861" s="145"/>
      <c r="B861" s="93"/>
      <c r="C861" s="93"/>
      <c r="D861" s="93"/>
      <c r="E861" s="95"/>
      <c r="F861" s="95"/>
      <c r="G861" s="95"/>
      <c r="H861" s="93"/>
      <c r="I861" s="93"/>
      <c r="J861" s="93"/>
    </row>
    <row r="862" spans="1:10" s="65" customFormat="1" ht="14" x14ac:dyDescent="0.35">
      <c r="A862" s="145"/>
      <c r="B862" s="93"/>
      <c r="C862" s="93"/>
      <c r="D862" s="93"/>
      <c r="E862" s="95"/>
      <c r="F862" s="95"/>
      <c r="G862" s="95"/>
      <c r="H862" s="93"/>
      <c r="I862" s="93"/>
      <c r="J862" s="93"/>
    </row>
    <row r="863" spans="1:10" s="65" customFormat="1" ht="14" x14ac:dyDescent="0.35">
      <c r="A863" s="145"/>
      <c r="B863" s="93"/>
      <c r="C863" s="93"/>
      <c r="D863" s="93"/>
      <c r="E863" s="95"/>
      <c r="F863" s="95"/>
      <c r="G863" s="95"/>
      <c r="H863" s="93"/>
      <c r="I863" s="93"/>
      <c r="J863" s="93"/>
    </row>
    <row r="864" spans="1:10" s="65" customFormat="1" ht="14" x14ac:dyDescent="0.35">
      <c r="A864" s="145"/>
      <c r="B864" s="93"/>
      <c r="C864" s="93"/>
      <c r="D864" s="93"/>
      <c r="E864" s="95"/>
      <c r="F864" s="95"/>
      <c r="G864" s="95"/>
      <c r="H864" s="93"/>
      <c r="I864" s="93"/>
      <c r="J864" s="93"/>
    </row>
    <row r="865" spans="1:10" s="65" customFormat="1" ht="14" x14ac:dyDescent="0.35">
      <c r="A865" s="145"/>
      <c r="B865" s="93"/>
      <c r="C865" s="93"/>
      <c r="D865" s="93"/>
      <c r="E865" s="95"/>
      <c r="F865" s="95"/>
      <c r="G865" s="95"/>
      <c r="H865" s="93"/>
      <c r="I865" s="93"/>
      <c r="J865" s="93"/>
    </row>
    <row r="866" spans="1:10" s="65" customFormat="1" ht="14" x14ac:dyDescent="0.35">
      <c r="A866" s="145"/>
      <c r="B866" s="93"/>
      <c r="C866" s="93"/>
      <c r="D866" s="93"/>
      <c r="E866" s="95"/>
      <c r="F866" s="95"/>
      <c r="G866" s="95"/>
      <c r="H866" s="93"/>
      <c r="I866" s="93"/>
      <c r="J866" s="93"/>
    </row>
    <row r="867" spans="1:10" s="65" customFormat="1" ht="14" x14ac:dyDescent="0.35">
      <c r="A867" s="145"/>
      <c r="B867" s="93"/>
      <c r="C867" s="93"/>
      <c r="D867" s="93"/>
      <c r="E867" s="95"/>
      <c r="F867" s="95"/>
      <c r="G867" s="95"/>
      <c r="H867" s="93"/>
      <c r="I867" s="93"/>
      <c r="J867" s="93"/>
    </row>
    <row r="868" spans="1:10" s="65" customFormat="1" ht="14" x14ac:dyDescent="0.35">
      <c r="A868" s="145"/>
      <c r="B868" s="93"/>
      <c r="C868" s="93"/>
      <c r="D868" s="93"/>
      <c r="E868" s="95"/>
      <c r="F868" s="95"/>
      <c r="G868" s="95"/>
      <c r="H868" s="93"/>
      <c r="I868" s="93"/>
      <c r="J868" s="93"/>
    </row>
    <row r="869" spans="1:10" s="65" customFormat="1" ht="14" x14ac:dyDescent="0.35">
      <c r="A869" s="145"/>
      <c r="B869" s="93"/>
      <c r="C869" s="93"/>
      <c r="D869" s="93"/>
      <c r="E869" s="95"/>
      <c r="F869" s="95"/>
      <c r="G869" s="95"/>
      <c r="H869" s="93"/>
      <c r="I869" s="93"/>
      <c r="J869" s="93"/>
    </row>
    <row r="870" spans="1:10" s="65" customFormat="1" ht="14" x14ac:dyDescent="0.35">
      <c r="A870" s="145"/>
      <c r="B870" s="93"/>
      <c r="C870" s="93"/>
      <c r="D870" s="93"/>
      <c r="E870" s="95"/>
      <c r="F870" s="95"/>
      <c r="G870" s="95"/>
      <c r="H870" s="93"/>
      <c r="I870" s="93"/>
      <c r="J870" s="93"/>
    </row>
    <row r="871" spans="1:10" s="65" customFormat="1" ht="14" x14ac:dyDescent="0.35">
      <c r="A871" s="145"/>
      <c r="B871" s="93"/>
      <c r="C871" s="93"/>
      <c r="D871" s="93"/>
      <c r="E871" s="95"/>
      <c r="F871" s="95"/>
      <c r="G871" s="95"/>
      <c r="H871" s="93"/>
      <c r="I871" s="93"/>
      <c r="J871" s="93"/>
    </row>
    <row r="872" spans="1:10" s="65" customFormat="1" ht="14" x14ac:dyDescent="0.35">
      <c r="A872" s="145"/>
      <c r="B872" s="93"/>
      <c r="C872" s="93"/>
      <c r="D872" s="93"/>
      <c r="E872" s="95"/>
      <c r="F872" s="95"/>
      <c r="G872" s="95"/>
      <c r="H872" s="93"/>
      <c r="I872" s="93"/>
      <c r="J872" s="93"/>
    </row>
    <row r="873" spans="1:10" s="65" customFormat="1" ht="14" x14ac:dyDescent="0.35">
      <c r="A873" s="145"/>
      <c r="B873" s="93"/>
      <c r="C873" s="93"/>
      <c r="D873" s="93"/>
      <c r="E873" s="95"/>
      <c r="F873" s="95"/>
      <c r="G873" s="95"/>
      <c r="H873" s="93"/>
      <c r="I873" s="93"/>
      <c r="J873" s="93"/>
    </row>
    <row r="874" spans="1:10" s="65" customFormat="1" ht="14" x14ac:dyDescent="0.35">
      <c r="A874" s="145"/>
      <c r="B874" s="93"/>
      <c r="C874" s="93"/>
      <c r="D874" s="93"/>
      <c r="E874" s="95"/>
      <c r="F874" s="95"/>
      <c r="G874" s="95"/>
      <c r="H874" s="93"/>
      <c r="I874" s="93"/>
      <c r="J874" s="93"/>
    </row>
    <row r="875" spans="1:10" s="65" customFormat="1" ht="14" x14ac:dyDescent="0.35">
      <c r="A875" s="145"/>
      <c r="B875" s="93"/>
      <c r="C875" s="93"/>
      <c r="D875" s="93"/>
      <c r="E875" s="95"/>
      <c r="F875" s="95"/>
      <c r="G875" s="95"/>
      <c r="H875" s="93"/>
      <c r="I875" s="93"/>
      <c r="J875" s="93"/>
    </row>
    <row r="876" spans="1:10" s="65" customFormat="1" ht="14" x14ac:dyDescent="0.35">
      <c r="A876" s="145"/>
      <c r="B876" s="93"/>
      <c r="C876" s="93"/>
      <c r="D876" s="93"/>
      <c r="E876" s="95"/>
      <c r="F876" s="95"/>
      <c r="G876" s="95"/>
      <c r="H876" s="93"/>
      <c r="I876" s="93"/>
      <c r="J876" s="93"/>
    </row>
    <row r="877" spans="1:10" s="65" customFormat="1" ht="14" x14ac:dyDescent="0.35">
      <c r="A877" s="145"/>
      <c r="B877" s="93"/>
      <c r="C877" s="93"/>
      <c r="D877" s="93"/>
      <c r="E877" s="95"/>
      <c r="F877" s="95"/>
      <c r="G877" s="95"/>
      <c r="H877" s="93"/>
      <c r="I877" s="93"/>
      <c r="J877" s="93"/>
    </row>
    <row r="878" spans="1:10" s="65" customFormat="1" ht="14" x14ac:dyDescent="0.35">
      <c r="A878" s="145"/>
      <c r="B878" s="93"/>
      <c r="C878" s="93"/>
      <c r="D878" s="93"/>
      <c r="E878" s="95"/>
      <c r="F878" s="95"/>
      <c r="G878" s="95"/>
      <c r="H878" s="93"/>
      <c r="I878" s="93"/>
      <c r="J878" s="93"/>
    </row>
    <row r="879" spans="1:10" s="65" customFormat="1" ht="14" x14ac:dyDescent="0.35">
      <c r="A879" s="145"/>
      <c r="B879" s="93"/>
      <c r="C879" s="93"/>
      <c r="D879" s="93"/>
      <c r="E879" s="95"/>
      <c r="F879" s="95"/>
      <c r="G879" s="95"/>
      <c r="H879" s="93"/>
      <c r="I879" s="93"/>
      <c r="J879" s="93"/>
    </row>
    <row r="880" spans="1:10" s="65" customFormat="1" ht="14" x14ac:dyDescent="0.35">
      <c r="A880" s="145"/>
      <c r="B880" s="93"/>
      <c r="C880" s="93"/>
      <c r="D880" s="93"/>
      <c r="E880" s="95"/>
      <c r="F880" s="95"/>
      <c r="G880" s="95"/>
      <c r="H880" s="93"/>
      <c r="I880" s="93"/>
      <c r="J880" s="93"/>
    </row>
    <row r="881" spans="1:10" s="65" customFormat="1" ht="14" x14ac:dyDescent="0.35">
      <c r="A881" s="145"/>
      <c r="B881" s="93"/>
      <c r="C881" s="93"/>
      <c r="D881" s="93"/>
      <c r="E881" s="95"/>
      <c r="F881" s="95"/>
      <c r="G881" s="95"/>
      <c r="H881" s="93"/>
      <c r="I881" s="93"/>
      <c r="J881" s="93"/>
    </row>
    <row r="882" spans="1:10" s="65" customFormat="1" ht="14" x14ac:dyDescent="0.35">
      <c r="A882" s="145"/>
      <c r="B882" s="93"/>
      <c r="C882" s="93"/>
      <c r="D882" s="93"/>
      <c r="E882" s="95"/>
      <c r="F882" s="95"/>
      <c r="G882" s="95"/>
      <c r="H882" s="93"/>
      <c r="I882" s="93"/>
      <c r="J882" s="93"/>
    </row>
    <row r="883" spans="1:10" s="65" customFormat="1" ht="14" x14ac:dyDescent="0.35">
      <c r="A883" s="145"/>
      <c r="B883" s="93"/>
      <c r="C883" s="93"/>
      <c r="D883" s="93"/>
      <c r="E883" s="95"/>
      <c r="F883" s="95"/>
      <c r="G883" s="95"/>
      <c r="H883" s="93"/>
      <c r="I883" s="93"/>
      <c r="J883" s="93"/>
    </row>
    <row r="884" spans="1:10" s="65" customFormat="1" ht="14" x14ac:dyDescent="0.35">
      <c r="A884" s="145"/>
      <c r="B884" s="93"/>
      <c r="C884" s="93"/>
      <c r="D884" s="93"/>
      <c r="E884" s="95"/>
      <c r="F884" s="95"/>
      <c r="G884" s="95"/>
      <c r="H884" s="93"/>
      <c r="I884" s="93"/>
      <c r="J884" s="93"/>
    </row>
    <row r="885" spans="1:10" s="65" customFormat="1" ht="14" x14ac:dyDescent="0.35">
      <c r="A885" s="145"/>
      <c r="B885" s="93"/>
      <c r="C885" s="93"/>
      <c r="D885" s="93"/>
      <c r="E885" s="95"/>
      <c r="F885" s="95"/>
      <c r="G885" s="95"/>
      <c r="H885" s="93"/>
      <c r="I885" s="93"/>
      <c r="J885" s="93"/>
    </row>
    <row r="886" spans="1:10" s="65" customFormat="1" ht="14" x14ac:dyDescent="0.35">
      <c r="A886" s="145"/>
      <c r="B886" s="93"/>
      <c r="C886" s="93"/>
      <c r="D886" s="93"/>
      <c r="E886" s="95"/>
      <c r="F886" s="95"/>
      <c r="G886" s="95"/>
      <c r="H886" s="93"/>
      <c r="I886" s="93"/>
      <c r="J886" s="93"/>
    </row>
    <row r="887" spans="1:10" s="65" customFormat="1" ht="14" x14ac:dyDescent="0.35">
      <c r="A887" s="145"/>
      <c r="B887" s="93"/>
      <c r="C887" s="93"/>
      <c r="D887" s="93"/>
      <c r="E887" s="95"/>
      <c r="F887" s="95"/>
      <c r="G887" s="95"/>
      <c r="H887" s="93"/>
      <c r="I887" s="93"/>
      <c r="J887" s="93"/>
    </row>
    <row r="888" spans="1:10" s="65" customFormat="1" ht="14" x14ac:dyDescent="0.35">
      <c r="A888" s="145"/>
      <c r="B888" s="93"/>
      <c r="C888" s="93"/>
      <c r="D888" s="93"/>
      <c r="E888" s="95"/>
      <c r="F888" s="95"/>
      <c r="G888" s="95"/>
      <c r="H888" s="93"/>
      <c r="I888" s="93"/>
      <c r="J888" s="93"/>
    </row>
    <row r="889" spans="1:10" s="65" customFormat="1" ht="14" x14ac:dyDescent="0.35">
      <c r="A889" s="145"/>
      <c r="B889" s="93"/>
      <c r="C889" s="93"/>
      <c r="D889" s="93"/>
      <c r="E889" s="95"/>
      <c r="F889" s="95"/>
      <c r="G889" s="95"/>
      <c r="H889" s="93"/>
      <c r="I889" s="93"/>
      <c r="J889" s="93"/>
    </row>
    <row r="890" spans="1:10" s="65" customFormat="1" ht="14" x14ac:dyDescent="0.35">
      <c r="A890" s="145"/>
      <c r="B890" s="93"/>
      <c r="C890" s="93"/>
      <c r="D890" s="93"/>
      <c r="E890" s="95"/>
      <c r="F890" s="95"/>
      <c r="G890" s="95"/>
      <c r="H890" s="93"/>
      <c r="I890" s="93"/>
      <c r="J890" s="93"/>
    </row>
    <row r="891" spans="1:10" s="65" customFormat="1" ht="14" x14ac:dyDescent="0.35">
      <c r="A891" s="145"/>
      <c r="B891" s="93"/>
      <c r="C891" s="93"/>
      <c r="D891" s="93"/>
      <c r="E891" s="95"/>
      <c r="F891" s="95"/>
      <c r="G891" s="95"/>
      <c r="H891" s="93"/>
      <c r="I891" s="93"/>
      <c r="J891" s="93"/>
    </row>
    <row r="892" spans="1:10" s="65" customFormat="1" ht="14" x14ac:dyDescent="0.35">
      <c r="A892" s="145"/>
      <c r="B892" s="93"/>
      <c r="C892" s="93"/>
      <c r="D892" s="93"/>
      <c r="E892" s="95"/>
      <c r="F892" s="95"/>
      <c r="G892" s="95"/>
      <c r="H892" s="93"/>
      <c r="I892" s="93"/>
      <c r="J892" s="93"/>
    </row>
    <row r="893" spans="1:10" s="65" customFormat="1" ht="14" x14ac:dyDescent="0.35">
      <c r="A893" s="145"/>
      <c r="B893" s="93"/>
      <c r="C893" s="93"/>
      <c r="D893" s="93"/>
      <c r="E893" s="95"/>
      <c r="F893" s="95"/>
      <c r="G893" s="95"/>
      <c r="H893" s="93"/>
      <c r="I893" s="93"/>
      <c r="J893" s="93"/>
    </row>
    <row r="894" spans="1:10" s="65" customFormat="1" ht="14" x14ac:dyDescent="0.35">
      <c r="A894" s="145"/>
      <c r="B894" s="93"/>
      <c r="C894" s="93"/>
      <c r="D894" s="93"/>
      <c r="E894" s="95"/>
      <c r="F894" s="95"/>
      <c r="G894" s="95"/>
      <c r="H894" s="93"/>
      <c r="I894" s="93"/>
      <c r="J894" s="93"/>
    </row>
    <row r="895" spans="1:10" s="65" customFormat="1" ht="14" x14ac:dyDescent="0.35">
      <c r="A895" s="145"/>
      <c r="B895" s="93"/>
      <c r="C895" s="93"/>
      <c r="D895" s="93"/>
      <c r="E895" s="95"/>
      <c r="F895" s="95"/>
      <c r="G895" s="95"/>
      <c r="H895" s="93"/>
      <c r="I895" s="93"/>
      <c r="J895" s="93"/>
    </row>
    <row r="896" spans="1:10" s="65" customFormat="1" ht="14" x14ac:dyDescent="0.35">
      <c r="A896" s="145"/>
      <c r="B896" s="93"/>
      <c r="C896" s="93"/>
      <c r="D896" s="93"/>
      <c r="E896" s="95"/>
      <c r="F896" s="95"/>
      <c r="G896" s="95"/>
      <c r="H896" s="93"/>
      <c r="I896" s="93"/>
      <c r="J896" s="93"/>
    </row>
    <row r="897" spans="1:10" s="65" customFormat="1" ht="14" x14ac:dyDescent="0.35">
      <c r="A897" s="145"/>
      <c r="B897" s="93"/>
      <c r="C897" s="93"/>
      <c r="D897" s="93"/>
      <c r="E897" s="95"/>
      <c r="F897" s="95"/>
      <c r="G897" s="95"/>
      <c r="H897" s="93"/>
      <c r="I897" s="93"/>
      <c r="J897" s="93"/>
    </row>
    <row r="898" spans="1:10" s="65" customFormat="1" ht="14" x14ac:dyDescent="0.35">
      <c r="A898" s="145"/>
      <c r="B898" s="93"/>
      <c r="C898" s="93"/>
      <c r="D898" s="93"/>
      <c r="E898" s="95"/>
      <c r="F898" s="95"/>
      <c r="G898" s="95"/>
      <c r="H898" s="93"/>
      <c r="I898" s="93"/>
      <c r="J898" s="93"/>
    </row>
    <row r="899" spans="1:10" s="65" customFormat="1" ht="14" x14ac:dyDescent="0.35">
      <c r="A899" s="145"/>
      <c r="B899" s="93"/>
      <c r="C899" s="93"/>
      <c r="D899" s="93"/>
      <c r="E899" s="95"/>
      <c r="F899" s="95"/>
      <c r="G899" s="95"/>
      <c r="H899" s="93"/>
      <c r="I899" s="93"/>
      <c r="J899" s="93"/>
    </row>
    <row r="900" spans="1:10" s="65" customFormat="1" ht="14" x14ac:dyDescent="0.35">
      <c r="A900" s="145"/>
      <c r="B900" s="93"/>
      <c r="C900" s="93"/>
      <c r="D900" s="93"/>
      <c r="E900" s="95"/>
      <c r="F900" s="95"/>
      <c r="G900" s="95"/>
      <c r="H900" s="93"/>
      <c r="I900" s="93"/>
      <c r="J900" s="93"/>
    </row>
    <row r="901" spans="1:10" s="65" customFormat="1" ht="14" x14ac:dyDescent="0.35">
      <c r="A901" s="145"/>
      <c r="B901" s="93"/>
      <c r="C901" s="93"/>
      <c r="D901" s="93"/>
      <c r="E901" s="95"/>
      <c r="F901" s="95"/>
      <c r="G901" s="95"/>
      <c r="H901" s="93"/>
      <c r="I901" s="93"/>
      <c r="J901" s="93"/>
    </row>
    <row r="902" spans="1:10" s="65" customFormat="1" ht="14" x14ac:dyDescent="0.35">
      <c r="A902" s="145"/>
      <c r="B902" s="93"/>
      <c r="C902" s="93"/>
      <c r="D902" s="93"/>
      <c r="E902" s="95"/>
      <c r="F902" s="95"/>
      <c r="G902" s="95"/>
      <c r="H902" s="93"/>
      <c r="I902" s="93"/>
      <c r="J902" s="93"/>
    </row>
    <row r="903" spans="1:10" s="65" customFormat="1" ht="14" x14ac:dyDescent="0.35">
      <c r="A903" s="145"/>
      <c r="B903" s="93"/>
      <c r="C903" s="93"/>
      <c r="D903" s="93"/>
      <c r="E903" s="95"/>
      <c r="F903" s="95"/>
      <c r="G903" s="95"/>
      <c r="H903" s="93"/>
      <c r="I903" s="93"/>
      <c r="J903" s="93"/>
    </row>
    <row r="904" spans="1:10" s="65" customFormat="1" ht="14" x14ac:dyDescent="0.35">
      <c r="A904" s="145"/>
      <c r="B904" s="93"/>
      <c r="C904" s="93"/>
      <c r="D904" s="93"/>
      <c r="E904" s="95"/>
      <c r="F904" s="95"/>
      <c r="G904" s="95"/>
      <c r="H904" s="93"/>
      <c r="I904" s="93"/>
      <c r="J904" s="93"/>
    </row>
    <row r="905" spans="1:10" s="65" customFormat="1" ht="14" x14ac:dyDescent="0.35">
      <c r="A905" s="145"/>
      <c r="B905" s="93"/>
      <c r="C905" s="93"/>
      <c r="D905" s="93"/>
      <c r="E905" s="95"/>
      <c r="F905" s="95"/>
      <c r="G905" s="95"/>
      <c r="H905" s="93"/>
      <c r="I905" s="93"/>
      <c r="J905" s="93"/>
    </row>
    <row r="906" spans="1:10" s="65" customFormat="1" ht="14" x14ac:dyDescent="0.35">
      <c r="A906" s="145"/>
      <c r="B906" s="93"/>
      <c r="C906" s="93"/>
      <c r="D906" s="93"/>
      <c r="E906" s="95"/>
      <c r="F906" s="95"/>
      <c r="G906" s="95"/>
      <c r="H906" s="93"/>
      <c r="I906" s="93"/>
      <c r="J906" s="93"/>
    </row>
    <row r="907" spans="1:10" s="65" customFormat="1" ht="14" x14ac:dyDescent="0.35">
      <c r="A907" s="145"/>
      <c r="B907" s="93"/>
      <c r="C907" s="93"/>
      <c r="D907" s="93"/>
      <c r="E907" s="95"/>
      <c r="F907" s="95"/>
      <c r="G907" s="95"/>
      <c r="H907" s="93"/>
      <c r="I907" s="93"/>
      <c r="J907" s="93"/>
    </row>
    <row r="908" spans="1:10" s="65" customFormat="1" ht="14" x14ac:dyDescent="0.35">
      <c r="A908" s="145"/>
      <c r="B908" s="93"/>
      <c r="C908" s="93"/>
      <c r="D908" s="93"/>
      <c r="E908" s="95"/>
      <c r="F908" s="95"/>
      <c r="G908" s="95"/>
      <c r="H908" s="93"/>
      <c r="I908" s="93"/>
      <c r="J908" s="93"/>
    </row>
    <row r="909" spans="1:10" s="65" customFormat="1" ht="14" x14ac:dyDescent="0.35">
      <c r="A909" s="145"/>
      <c r="B909" s="93"/>
      <c r="C909" s="93"/>
      <c r="D909" s="93"/>
      <c r="E909" s="95"/>
      <c r="F909" s="95"/>
      <c r="G909" s="95"/>
      <c r="H909" s="93"/>
      <c r="I909" s="93"/>
      <c r="J909" s="93"/>
    </row>
    <row r="910" spans="1:10" s="65" customFormat="1" ht="14" x14ac:dyDescent="0.35">
      <c r="A910" s="145"/>
      <c r="B910" s="93"/>
      <c r="C910" s="93"/>
      <c r="D910" s="93"/>
      <c r="E910" s="95"/>
      <c r="F910" s="95"/>
      <c r="G910" s="95"/>
      <c r="H910" s="93"/>
      <c r="I910" s="93"/>
      <c r="J910" s="93"/>
    </row>
    <row r="911" spans="1:10" s="65" customFormat="1" ht="14" x14ac:dyDescent="0.35">
      <c r="A911" s="145"/>
      <c r="B911" s="93"/>
      <c r="C911" s="93"/>
      <c r="D911" s="93"/>
      <c r="E911" s="95"/>
      <c r="F911" s="95"/>
      <c r="G911" s="95"/>
      <c r="H911" s="93"/>
      <c r="I911" s="93"/>
      <c r="J911" s="93"/>
    </row>
    <row r="912" spans="1:10" s="65" customFormat="1" ht="14" x14ac:dyDescent="0.35">
      <c r="A912" s="145"/>
      <c r="B912" s="93"/>
      <c r="C912" s="93"/>
      <c r="D912" s="93"/>
      <c r="E912" s="95"/>
      <c r="F912" s="95"/>
      <c r="G912" s="95"/>
      <c r="H912" s="93"/>
      <c r="I912" s="93"/>
      <c r="J912" s="93"/>
    </row>
    <row r="913" spans="1:10" s="65" customFormat="1" ht="14" x14ac:dyDescent="0.35">
      <c r="A913" s="145"/>
      <c r="B913" s="93"/>
      <c r="C913" s="93"/>
      <c r="D913" s="93"/>
      <c r="E913" s="95"/>
      <c r="F913" s="95"/>
      <c r="G913" s="95"/>
      <c r="H913" s="93"/>
      <c r="I913" s="93"/>
      <c r="J913" s="93"/>
    </row>
    <row r="914" spans="1:10" s="65" customFormat="1" ht="14" x14ac:dyDescent="0.35">
      <c r="A914" s="145"/>
      <c r="B914" s="93"/>
      <c r="C914" s="93"/>
      <c r="D914" s="93"/>
      <c r="E914" s="95"/>
      <c r="F914" s="95"/>
      <c r="G914" s="95"/>
      <c r="H914" s="93"/>
      <c r="I914" s="93"/>
      <c r="J914" s="93"/>
    </row>
    <row r="915" spans="1:10" s="65" customFormat="1" ht="14" x14ac:dyDescent="0.35">
      <c r="A915" s="145"/>
      <c r="B915" s="93"/>
      <c r="C915" s="93"/>
      <c r="D915" s="93"/>
      <c r="E915" s="95"/>
      <c r="F915" s="95"/>
      <c r="G915" s="95"/>
      <c r="H915" s="93"/>
      <c r="I915" s="93"/>
      <c r="J915" s="93"/>
    </row>
    <row r="916" spans="1:10" s="65" customFormat="1" ht="14" x14ac:dyDescent="0.35">
      <c r="A916" s="145"/>
      <c r="B916" s="93"/>
      <c r="C916" s="93"/>
      <c r="D916" s="93"/>
      <c r="E916" s="95"/>
      <c r="F916" s="95"/>
      <c r="G916" s="95"/>
      <c r="H916" s="93"/>
      <c r="I916" s="93"/>
      <c r="J916" s="93"/>
    </row>
    <row r="917" spans="1:10" s="65" customFormat="1" ht="14" x14ac:dyDescent="0.35">
      <c r="A917" s="145"/>
      <c r="B917" s="93"/>
      <c r="C917" s="93"/>
      <c r="D917" s="93"/>
      <c r="E917" s="95"/>
      <c r="F917" s="95"/>
      <c r="G917" s="95"/>
      <c r="H917" s="93"/>
      <c r="I917" s="93"/>
      <c r="J917" s="93"/>
    </row>
    <row r="918" spans="1:10" s="65" customFormat="1" ht="14" x14ac:dyDescent="0.35">
      <c r="A918" s="145"/>
      <c r="B918" s="93"/>
      <c r="C918" s="93"/>
      <c r="D918" s="93"/>
      <c r="E918" s="95"/>
      <c r="F918" s="95"/>
      <c r="G918" s="95"/>
      <c r="H918" s="93"/>
      <c r="I918" s="93"/>
      <c r="J918" s="93"/>
    </row>
    <row r="919" spans="1:10" s="65" customFormat="1" ht="14" x14ac:dyDescent="0.35">
      <c r="A919" s="145"/>
      <c r="B919" s="93"/>
      <c r="C919" s="93"/>
      <c r="D919" s="93"/>
      <c r="E919" s="95"/>
      <c r="F919" s="95"/>
      <c r="G919" s="95"/>
      <c r="H919" s="93"/>
      <c r="I919" s="93"/>
      <c r="J919" s="93"/>
    </row>
    <row r="920" spans="1:10" s="65" customFormat="1" ht="14" x14ac:dyDescent="0.35">
      <c r="A920" s="145"/>
      <c r="B920" s="93"/>
      <c r="C920" s="93"/>
      <c r="D920" s="93"/>
      <c r="E920" s="95"/>
      <c r="F920" s="95"/>
      <c r="G920" s="95"/>
      <c r="H920" s="93"/>
      <c r="I920" s="93"/>
      <c r="J920" s="93"/>
    </row>
    <row r="921" spans="1:10" s="65" customFormat="1" ht="14" x14ac:dyDescent="0.35">
      <c r="A921" s="145"/>
      <c r="B921" s="93"/>
      <c r="C921" s="93"/>
      <c r="D921" s="93"/>
      <c r="E921" s="95"/>
      <c r="F921" s="95"/>
      <c r="G921" s="95"/>
      <c r="H921" s="93"/>
      <c r="I921" s="93"/>
      <c r="J921" s="93"/>
    </row>
    <row r="922" spans="1:10" s="65" customFormat="1" ht="14" x14ac:dyDescent="0.35">
      <c r="A922" s="145"/>
      <c r="B922" s="93"/>
      <c r="C922" s="93"/>
      <c r="D922" s="93"/>
      <c r="E922" s="95"/>
      <c r="F922" s="95"/>
      <c r="G922" s="95"/>
      <c r="H922" s="93"/>
      <c r="I922" s="93"/>
      <c r="J922" s="93"/>
    </row>
    <row r="923" spans="1:10" s="65" customFormat="1" ht="14" x14ac:dyDescent="0.35">
      <c r="A923" s="145"/>
      <c r="B923" s="93"/>
      <c r="C923" s="93"/>
      <c r="D923" s="93"/>
      <c r="E923" s="95"/>
      <c r="F923" s="95"/>
      <c r="G923" s="95"/>
      <c r="H923" s="93"/>
      <c r="I923" s="93"/>
      <c r="J923" s="93"/>
    </row>
    <row r="924" spans="1:10" s="65" customFormat="1" ht="14" x14ac:dyDescent="0.35">
      <c r="A924" s="145"/>
      <c r="B924" s="93"/>
      <c r="C924" s="93"/>
      <c r="D924" s="93"/>
      <c r="E924" s="95"/>
      <c r="F924" s="95"/>
      <c r="G924" s="95"/>
      <c r="H924" s="93"/>
      <c r="I924" s="93"/>
      <c r="J924" s="93"/>
    </row>
    <row r="925" spans="1:10" s="65" customFormat="1" ht="14" x14ac:dyDescent="0.35">
      <c r="A925" s="145"/>
      <c r="B925" s="93"/>
      <c r="C925" s="93"/>
      <c r="D925" s="93"/>
      <c r="E925" s="95"/>
      <c r="F925" s="95"/>
      <c r="G925" s="95"/>
      <c r="H925" s="93"/>
      <c r="I925" s="93"/>
      <c r="J925" s="93"/>
    </row>
    <row r="926" spans="1:10" s="65" customFormat="1" ht="14" x14ac:dyDescent="0.35">
      <c r="A926" s="145"/>
      <c r="B926" s="93"/>
      <c r="C926" s="93"/>
      <c r="D926" s="93"/>
      <c r="E926" s="95"/>
      <c r="F926" s="95"/>
      <c r="G926" s="95"/>
      <c r="H926" s="93"/>
      <c r="I926" s="93"/>
      <c r="J926" s="93"/>
    </row>
    <row r="927" spans="1:10" s="65" customFormat="1" ht="14" x14ac:dyDescent="0.35">
      <c r="A927" s="145"/>
      <c r="B927" s="93"/>
      <c r="C927" s="93"/>
      <c r="D927" s="93"/>
      <c r="E927" s="95"/>
      <c r="F927" s="95"/>
      <c r="G927" s="95"/>
      <c r="H927" s="93"/>
      <c r="I927" s="93"/>
      <c r="J927" s="93"/>
    </row>
    <row r="928" spans="1:10" s="65" customFormat="1" ht="14" x14ac:dyDescent="0.35">
      <c r="A928" s="145"/>
      <c r="B928" s="93"/>
      <c r="C928" s="93"/>
      <c r="D928" s="93"/>
      <c r="E928" s="95"/>
      <c r="F928" s="95"/>
      <c r="G928" s="95"/>
      <c r="H928" s="93"/>
      <c r="I928" s="93"/>
      <c r="J928" s="93"/>
    </row>
    <row r="929" spans="1:10" s="65" customFormat="1" ht="14" x14ac:dyDescent="0.35">
      <c r="A929" s="145"/>
      <c r="B929" s="93"/>
      <c r="C929" s="93"/>
      <c r="D929" s="93"/>
      <c r="E929" s="95"/>
      <c r="F929" s="95"/>
      <c r="G929" s="95"/>
      <c r="H929" s="93"/>
      <c r="I929" s="93"/>
      <c r="J929" s="93"/>
    </row>
    <row r="930" spans="1:10" s="65" customFormat="1" ht="14" x14ac:dyDescent="0.35">
      <c r="A930" s="145"/>
      <c r="B930" s="93"/>
      <c r="C930" s="93"/>
      <c r="D930" s="93"/>
      <c r="E930" s="95"/>
      <c r="F930" s="95"/>
      <c r="G930" s="95"/>
      <c r="H930" s="93"/>
      <c r="I930" s="93"/>
      <c r="J930" s="93"/>
    </row>
    <row r="931" spans="1:10" s="65" customFormat="1" ht="14" x14ac:dyDescent="0.35">
      <c r="A931" s="145"/>
      <c r="B931" s="93"/>
      <c r="C931" s="93"/>
      <c r="D931" s="93"/>
      <c r="E931" s="95"/>
      <c r="F931" s="95"/>
      <c r="G931" s="95"/>
      <c r="H931" s="93"/>
      <c r="I931" s="93"/>
      <c r="J931" s="93"/>
    </row>
    <row r="932" spans="1:10" s="65" customFormat="1" ht="14" x14ac:dyDescent="0.35">
      <c r="A932" s="145"/>
      <c r="B932" s="93"/>
      <c r="C932" s="93"/>
      <c r="D932" s="93"/>
      <c r="E932" s="95"/>
      <c r="F932" s="95"/>
      <c r="G932" s="95"/>
      <c r="H932" s="93"/>
      <c r="I932" s="93"/>
      <c r="J932" s="93"/>
    </row>
    <row r="933" spans="1:10" s="65" customFormat="1" ht="14" x14ac:dyDescent="0.35">
      <c r="A933" s="145"/>
      <c r="B933" s="93"/>
      <c r="C933" s="93"/>
      <c r="D933" s="93"/>
      <c r="E933" s="95"/>
      <c r="F933" s="95"/>
      <c r="G933" s="95"/>
      <c r="H933" s="93"/>
      <c r="I933" s="93"/>
      <c r="J933" s="93"/>
    </row>
    <row r="934" spans="1:10" s="65" customFormat="1" ht="14" x14ac:dyDescent="0.35">
      <c r="A934" s="145"/>
      <c r="B934" s="93"/>
      <c r="C934" s="93"/>
      <c r="D934" s="93"/>
      <c r="E934" s="95"/>
      <c r="F934" s="95"/>
      <c r="G934" s="95"/>
      <c r="H934" s="93"/>
      <c r="I934" s="93"/>
      <c r="J934" s="93"/>
    </row>
    <row r="935" spans="1:10" s="65" customFormat="1" ht="14" x14ac:dyDescent="0.35">
      <c r="A935" s="145"/>
      <c r="B935" s="93"/>
      <c r="C935" s="93"/>
      <c r="D935" s="93"/>
      <c r="E935" s="95"/>
      <c r="F935" s="95"/>
      <c r="G935" s="95"/>
      <c r="H935" s="93"/>
      <c r="I935" s="93"/>
      <c r="J935" s="93"/>
    </row>
    <row r="936" spans="1:10" s="65" customFormat="1" ht="14" x14ac:dyDescent="0.35">
      <c r="A936" s="145"/>
      <c r="B936" s="93"/>
      <c r="C936" s="93"/>
      <c r="D936" s="93"/>
      <c r="E936" s="95"/>
      <c r="F936" s="95"/>
      <c r="G936" s="95"/>
      <c r="H936" s="93"/>
      <c r="I936" s="93"/>
      <c r="J936" s="93"/>
    </row>
    <row r="937" spans="1:10" s="65" customFormat="1" ht="14" x14ac:dyDescent="0.35">
      <c r="A937" s="145"/>
      <c r="B937" s="93"/>
      <c r="C937" s="93"/>
      <c r="D937" s="93"/>
      <c r="E937" s="95"/>
      <c r="F937" s="95"/>
      <c r="G937" s="95"/>
      <c r="H937" s="93"/>
      <c r="I937" s="93"/>
      <c r="J937" s="93"/>
    </row>
    <row r="938" spans="1:10" s="65" customFormat="1" ht="14" x14ac:dyDescent="0.35">
      <c r="A938" s="145"/>
      <c r="B938" s="93"/>
      <c r="C938" s="93"/>
      <c r="D938" s="93"/>
      <c r="E938" s="95"/>
      <c r="F938" s="95"/>
      <c r="G938" s="95"/>
      <c r="H938" s="93"/>
      <c r="I938" s="93"/>
      <c r="J938" s="93"/>
    </row>
    <row r="939" spans="1:10" s="65" customFormat="1" ht="14" x14ac:dyDescent="0.35">
      <c r="A939" s="145"/>
      <c r="B939" s="93"/>
      <c r="C939" s="93"/>
      <c r="D939" s="93"/>
      <c r="E939" s="95"/>
      <c r="F939" s="95"/>
      <c r="G939" s="95"/>
      <c r="H939" s="93"/>
      <c r="I939" s="93"/>
      <c r="J939" s="93"/>
    </row>
    <row r="940" spans="1:10" s="65" customFormat="1" ht="14" x14ac:dyDescent="0.35">
      <c r="A940" s="145"/>
      <c r="B940" s="93"/>
      <c r="C940" s="93"/>
      <c r="D940" s="93"/>
      <c r="E940" s="95"/>
      <c r="F940" s="95"/>
      <c r="G940" s="95"/>
      <c r="H940" s="93"/>
      <c r="I940" s="93"/>
      <c r="J940" s="93"/>
    </row>
    <row r="941" spans="1:10" s="65" customFormat="1" ht="14" x14ac:dyDescent="0.35">
      <c r="A941" s="145"/>
      <c r="B941" s="93"/>
      <c r="C941" s="93"/>
      <c r="D941" s="93"/>
      <c r="E941" s="95"/>
      <c r="F941" s="95"/>
      <c r="G941" s="95"/>
      <c r="H941" s="93"/>
      <c r="I941" s="93"/>
      <c r="J941" s="93"/>
    </row>
    <row r="942" spans="1:10" s="65" customFormat="1" ht="14" x14ac:dyDescent="0.35">
      <c r="A942" s="145"/>
      <c r="B942" s="93"/>
      <c r="C942" s="93"/>
      <c r="D942" s="93"/>
      <c r="E942" s="95"/>
      <c r="F942" s="95"/>
      <c r="G942" s="95"/>
      <c r="H942" s="93"/>
      <c r="I942" s="93"/>
      <c r="J942" s="93"/>
    </row>
    <row r="943" spans="1:10" s="65" customFormat="1" ht="14" x14ac:dyDescent="0.35">
      <c r="A943" s="145"/>
      <c r="B943" s="93"/>
      <c r="C943" s="93"/>
      <c r="D943" s="93"/>
      <c r="E943" s="95"/>
      <c r="F943" s="95"/>
      <c r="G943" s="95"/>
      <c r="H943" s="93"/>
      <c r="I943" s="93"/>
      <c r="J943" s="93"/>
    </row>
    <row r="944" spans="1:10" s="65" customFormat="1" ht="14" x14ac:dyDescent="0.35">
      <c r="A944" s="145"/>
      <c r="B944" s="93"/>
      <c r="C944" s="93"/>
      <c r="D944" s="93"/>
      <c r="E944" s="95"/>
      <c r="F944" s="95"/>
      <c r="G944" s="95"/>
      <c r="H944" s="93"/>
      <c r="I944" s="93"/>
      <c r="J944" s="93"/>
    </row>
    <row r="945" spans="1:10" s="65" customFormat="1" ht="14" x14ac:dyDescent="0.35">
      <c r="A945" s="145"/>
      <c r="B945" s="93"/>
      <c r="C945" s="93"/>
      <c r="D945" s="93"/>
      <c r="E945" s="95"/>
      <c r="F945" s="95"/>
      <c r="G945" s="95"/>
      <c r="H945" s="93"/>
      <c r="I945" s="93"/>
      <c r="J945" s="93"/>
    </row>
    <row r="946" spans="1:10" s="65" customFormat="1" ht="14" x14ac:dyDescent="0.35">
      <c r="A946" s="145"/>
      <c r="B946" s="93"/>
      <c r="C946" s="93"/>
      <c r="D946" s="93"/>
      <c r="E946" s="95"/>
      <c r="F946" s="95"/>
      <c r="G946" s="95"/>
      <c r="H946" s="93"/>
      <c r="I946" s="93"/>
      <c r="J946" s="93"/>
    </row>
    <row r="947" spans="1:10" s="65" customFormat="1" ht="14" x14ac:dyDescent="0.35">
      <c r="A947" s="145"/>
      <c r="B947" s="93"/>
      <c r="C947" s="93"/>
      <c r="D947" s="93"/>
      <c r="E947" s="95"/>
      <c r="F947" s="95"/>
      <c r="G947" s="95"/>
      <c r="H947" s="93"/>
      <c r="I947" s="93"/>
      <c r="J947" s="93"/>
    </row>
    <row r="948" spans="1:10" s="65" customFormat="1" ht="14" x14ac:dyDescent="0.35">
      <c r="A948" s="145"/>
      <c r="B948" s="93"/>
      <c r="C948" s="93"/>
      <c r="D948" s="93"/>
      <c r="E948" s="95"/>
      <c r="F948" s="95"/>
      <c r="G948" s="95"/>
      <c r="H948" s="93"/>
      <c r="I948" s="93"/>
      <c r="J948" s="93"/>
    </row>
    <row r="949" spans="1:10" s="65" customFormat="1" ht="14" x14ac:dyDescent="0.35">
      <c r="A949" s="145"/>
      <c r="B949" s="93"/>
      <c r="C949" s="93"/>
      <c r="D949" s="93"/>
      <c r="E949" s="95"/>
      <c r="F949" s="95"/>
      <c r="G949" s="95"/>
      <c r="H949" s="93"/>
      <c r="I949" s="93"/>
      <c r="J949" s="93"/>
    </row>
    <row r="950" spans="1:10" s="65" customFormat="1" ht="14" x14ac:dyDescent="0.35">
      <c r="A950" s="145"/>
      <c r="B950" s="93"/>
      <c r="C950" s="93"/>
      <c r="D950" s="93"/>
      <c r="E950" s="95"/>
      <c r="F950" s="95"/>
      <c r="G950" s="95"/>
      <c r="H950" s="93"/>
      <c r="I950" s="93"/>
      <c r="J950" s="93"/>
    </row>
    <row r="951" spans="1:10" s="65" customFormat="1" ht="14" x14ac:dyDescent="0.35">
      <c r="A951" s="145"/>
      <c r="B951" s="93"/>
      <c r="C951" s="93"/>
      <c r="D951" s="93"/>
      <c r="E951" s="95"/>
      <c r="F951" s="95"/>
      <c r="G951" s="95"/>
      <c r="H951" s="93"/>
      <c r="I951" s="93"/>
      <c r="J951" s="93"/>
    </row>
    <row r="952" spans="1:10" s="65" customFormat="1" ht="14" x14ac:dyDescent="0.35">
      <c r="A952" s="145"/>
      <c r="B952" s="93"/>
      <c r="C952" s="93"/>
      <c r="D952" s="93"/>
      <c r="E952" s="95"/>
      <c r="F952" s="95"/>
      <c r="G952" s="95"/>
      <c r="H952" s="93"/>
      <c r="I952" s="93"/>
      <c r="J952" s="93"/>
    </row>
    <row r="953" spans="1:10" s="65" customFormat="1" ht="14" x14ac:dyDescent="0.35">
      <c r="A953" s="145"/>
      <c r="B953" s="93"/>
      <c r="C953" s="93"/>
      <c r="D953" s="93"/>
      <c r="E953" s="95"/>
      <c r="F953" s="95"/>
      <c r="G953" s="95"/>
      <c r="H953" s="93"/>
      <c r="I953" s="93"/>
      <c r="J953" s="93"/>
    </row>
    <row r="954" spans="1:10" s="65" customFormat="1" ht="14" x14ac:dyDescent="0.35">
      <c r="A954" s="145"/>
      <c r="B954" s="93"/>
      <c r="C954" s="93"/>
      <c r="D954" s="93"/>
      <c r="E954" s="95"/>
      <c r="F954" s="95"/>
      <c r="G954" s="95"/>
      <c r="H954" s="93"/>
      <c r="I954" s="93"/>
      <c r="J954" s="93"/>
    </row>
    <row r="955" spans="1:10" s="65" customFormat="1" ht="14" x14ac:dyDescent="0.35">
      <c r="A955" s="145"/>
      <c r="B955" s="93"/>
      <c r="C955" s="93"/>
      <c r="D955" s="93"/>
      <c r="E955" s="95"/>
      <c r="F955" s="95"/>
      <c r="G955" s="95"/>
      <c r="H955" s="93"/>
      <c r="I955" s="93"/>
      <c r="J955" s="93"/>
    </row>
    <row r="956" spans="1:10" s="65" customFormat="1" ht="14" x14ac:dyDescent="0.35">
      <c r="A956" s="145"/>
      <c r="B956" s="93"/>
      <c r="C956" s="93"/>
      <c r="D956" s="93"/>
      <c r="E956" s="95"/>
      <c r="F956" s="95"/>
      <c r="G956" s="95"/>
      <c r="H956" s="93"/>
      <c r="I956" s="93"/>
      <c r="J956" s="93"/>
    </row>
    <row r="957" spans="1:10" s="65" customFormat="1" ht="14" x14ac:dyDescent="0.35">
      <c r="A957" s="145"/>
      <c r="B957" s="93"/>
      <c r="C957" s="93"/>
      <c r="D957" s="93"/>
      <c r="E957" s="95"/>
      <c r="F957" s="95"/>
      <c r="G957" s="95"/>
      <c r="H957" s="93"/>
      <c r="I957" s="93"/>
      <c r="J957" s="93"/>
    </row>
    <row r="958" spans="1:10" s="65" customFormat="1" ht="14" x14ac:dyDescent="0.35">
      <c r="A958" s="145"/>
      <c r="B958" s="93"/>
      <c r="C958" s="93"/>
      <c r="D958" s="93"/>
      <c r="E958" s="95"/>
      <c r="F958" s="95"/>
      <c r="G958" s="95"/>
      <c r="H958" s="93"/>
      <c r="I958" s="93"/>
      <c r="J958" s="93"/>
    </row>
    <row r="959" spans="1:10" s="65" customFormat="1" ht="14" x14ac:dyDescent="0.35">
      <c r="A959" s="145"/>
      <c r="B959" s="93"/>
      <c r="C959" s="93"/>
      <c r="D959" s="93"/>
      <c r="E959" s="95"/>
      <c r="F959" s="95"/>
      <c r="G959" s="95"/>
      <c r="H959" s="93"/>
      <c r="I959" s="93"/>
      <c r="J959" s="93"/>
    </row>
    <row r="960" spans="1:10" s="65" customFormat="1" ht="14" x14ac:dyDescent="0.35">
      <c r="A960" s="145"/>
      <c r="B960" s="93"/>
      <c r="C960" s="93"/>
      <c r="D960" s="93"/>
      <c r="E960" s="95"/>
      <c r="F960" s="95"/>
      <c r="G960" s="95"/>
      <c r="H960" s="93"/>
      <c r="I960" s="93"/>
      <c r="J960" s="93"/>
    </row>
    <row r="961" spans="1:10" s="65" customFormat="1" ht="14" x14ac:dyDescent="0.35">
      <c r="A961" s="145"/>
      <c r="B961" s="93"/>
      <c r="C961" s="93"/>
      <c r="D961" s="93"/>
      <c r="E961" s="95"/>
      <c r="F961" s="95"/>
      <c r="G961" s="95"/>
      <c r="H961" s="93"/>
      <c r="I961" s="93"/>
      <c r="J961" s="93"/>
    </row>
    <row r="962" spans="1:10" s="65" customFormat="1" ht="14" x14ac:dyDescent="0.35">
      <c r="A962" s="145"/>
      <c r="B962" s="93"/>
      <c r="C962" s="93"/>
      <c r="D962" s="93"/>
      <c r="E962" s="95"/>
      <c r="F962" s="95"/>
      <c r="G962" s="95"/>
      <c r="H962" s="93"/>
      <c r="I962" s="93"/>
      <c r="J962" s="93"/>
    </row>
    <row r="963" spans="1:10" s="65" customFormat="1" ht="14" x14ac:dyDescent="0.35">
      <c r="A963" s="145"/>
      <c r="B963" s="93"/>
      <c r="C963" s="93"/>
      <c r="D963" s="93"/>
      <c r="E963" s="95"/>
      <c r="F963" s="95"/>
      <c r="G963" s="95"/>
      <c r="H963" s="93"/>
      <c r="I963" s="93"/>
      <c r="J963" s="93"/>
    </row>
    <row r="964" spans="1:10" s="65" customFormat="1" ht="14" x14ac:dyDescent="0.35">
      <c r="A964" s="145"/>
      <c r="B964" s="93"/>
      <c r="C964" s="93"/>
      <c r="D964" s="93"/>
      <c r="E964" s="95"/>
      <c r="F964" s="95"/>
      <c r="G964" s="95"/>
      <c r="H964" s="93"/>
      <c r="I964" s="93"/>
      <c r="J964" s="93"/>
    </row>
    <row r="965" spans="1:10" s="65" customFormat="1" ht="14" x14ac:dyDescent="0.35">
      <c r="A965" s="145"/>
      <c r="B965" s="93"/>
      <c r="C965" s="93"/>
      <c r="D965" s="93"/>
      <c r="E965" s="95"/>
      <c r="F965" s="95"/>
      <c r="G965" s="95"/>
      <c r="H965" s="93"/>
      <c r="I965" s="93"/>
      <c r="J965" s="93"/>
    </row>
    <row r="966" spans="1:10" s="65" customFormat="1" ht="14" x14ac:dyDescent="0.35">
      <c r="A966" s="145"/>
      <c r="B966" s="93"/>
      <c r="C966" s="93"/>
      <c r="D966" s="93"/>
      <c r="E966" s="95"/>
      <c r="F966" s="95"/>
      <c r="G966" s="95"/>
      <c r="H966" s="93"/>
      <c r="I966" s="93"/>
      <c r="J966" s="93"/>
    </row>
    <row r="967" spans="1:10" s="65" customFormat="1" ht="14" x14ac:dyDescent="0.35">
      <c r="A967" s="145"/>
      <c r="B967" s="93"/>
      <c r="C967" s="93"/>
      <c r="D967" s="93"/>
      <c r="E967" s="95"/>
      <c r="F967" s="95"/>
      <c r="G967" s="95"/>
      <c r="H967" s="93"/>
      <c r="I967" s="93"/>
      <c r="J967" s="93"/>
    </row>
    <row r="968" spans="1:10" s="65" customFormat="1" ht="14" x14ac:dyDescent="0.35">
      <c r="A968" s="145"/>
      <c r="B968" s="93"/>
      <c r="C968" s="93"/>
      <c r="D968" s="93"/>
      <c r="E968" s="95"/>
      <c r="F968" s="95"/>
      <c r="G968" s="95"/>
      <c r="H968" s="93"/>
      <c r="I968" s="93"/>
      <c r="J968" s="93"/>
    </row>
    <row r="969" spans="1:10" s="65" customFormat="1" ht="14" x14ac:dyDescent="0.35">
      <c r="A969" s="145"/>
      <c r="B969" s="93"/>
      <c r="C969" s="93"/>
      <c r="D969" s="93"/>
      <c r="E969" s="95"/>
      <c r="F969" s="95"/>
      <c r="G969" s="95"/>
      <c r="H969" s="93"/>
      <c r="I969" s="93"/>
      <c r="J969" s="93"/>
    </row>
    <row r="970" spans="1:10" s="65" customFormat="1" ht="14" x14ac:dyDescent="0.35">
      <c r="A970" s="145"/>
      <c r="B970" s="93"/>
      <c r="C970" s="93"/>
      <c r="D970" s="93"/>
      <c r="E970" s="95"/>
      <c r="F970" s="95"/>
      <c r="G970" s="95"/>
      <c r="H970" s="93"/>
      <c r="I970" s="93"/>
      <c r="J970" s="93"/>
    </row>
    <row r="971" spans="1:10" s="65" customFormat="1" ht="14" x14ac:dyDescent="0.35">
      <c r="A971" s="145"/>
      <c r="B971" s="93"/>
      <c r="C971" s="93"/>
      <c r="D971" s="93"/>
      <c r="E971" s="95"/>
      <c r="F971" s="95"/>
      <c r="G971" s="95"/>
      <c r="H971" s="93"/>
      <c r="I971" s="93"/>
      <c r="J971" s="93"/>
    </row>
    <row r="972" spans="1:10" s="65" customFormat="1" ht="14" x14ac:dyDescent="0.35">
      <c r="A972" s="145"/>
      <c r="B972" s="93"/>
      <c r="C972" s="93"/>
      <c r="D972" s="93"/>
      <c r="E972" s="95"/>
      <c r="F972" s="95"/>
      <c r="G972" s="95"/>
      <c r="H972" s="93"/>
      <c r="I972" s="93"/>
      <c r="J972" s="93"/>
    </row>
    <row r="973" spans="1:10" s="65" customFormat="1" ht="14" x14ac:dyDescent="0.35">
      <c r="A973" s="145"/>
      <c r="B973" s="93"/>
      <c r="C973" s="93"/>
      <c r="D973" s="93"/>
      <c r="E973" s="95"/>
      <c r="F973" s="95"/>
      <c r="G973" s="95"/>
      <c r="H973" s="93"/>
      <c r="I973" s="93"/>
      <c r="J973" s="93"/>
    </row>
    <row r="974" spans="1:10" s="65" customFormat="1" ht="14" x14ac:dyDescent="0.35">
      <c r="A974" s="145"/>
      <c r="B974" s="93"/>
      <c r="C974" s="93"/>
      <c r="D974" s="93"/>
      <c r="E974" s="95"/>
      <c r="F974" s="95"/>
      <c r="G974" s="95"/>
      <c r="H974" s="93"/>
      <c r="I974" s="93"/>
      <c r="J974" s="93"/>
    </row>
    <row r="975" spans="1:10" s="65" customFormat="1" ht="14" x14ac:dyDescent="0.35">
      <c r="A975" s="145"/>
      <c r="B975" s="93"/>
      <c r="C975" s="93"/>
      <c r="D975" s="93"/>
      <c r="E975" s="95"/>
      <c r="F975" s="95"/>
      <c r="G975" s="95"/>
      <c r="H975" s="93"/>
      <c r="I975" s="93"/>
      <c r="J975" s="93"/>
    </row>
    <row r="976" spans="1:10" s="65" customFormat="1" ht="14" x14ac:dyDescent="0.35">
      <c r="A976" s="145"/>
      <c r="B976" s="93"/>
      <c r="C976" s="93"/>
      <c r="D976" s="93"/>
      <c r="E976" s="95"/>
      <c r="F976" s="95"/>
      <c r="G976" s="95"/>
      <c r="H976" s="93"/>
      <c r="I976" s="93"/>
      <c r="J976" s="93"/>
    </row>
    <row r="977" spans="1:10" s="65" customFormat="1" ht="14" x14ac:dyDescent="0.35">
      <c r="A977" s="145"/>
      <c r="B977" s="93"/>
      <c r="C977" s="93"/>
      <c r="D977" s="93"/>
      <c r="E977" s="95"/>
      <c r="F977" s="95"/>
      <c r="G977" s="95"/>
      <c r="H977" s="93"/>
      <c r="I977" s="93"/>
      <c r="J977" s="93"/>
    </row>
    <row r="978" spans="1:10" s="65" customFormat="1" ht="14" x14ac:dyDescent="0.35">
      <c r="A978" s="145"/>
      <c r="B978" s="93"/>
      <c r="C978" s="93"/>
      <c r="D978" s="93"/>
      <c r="E978" s="95"/>
      <c r="F978" s="95"/>
      <c r="G978" s="95"/>
      <c r="H978" s="93"/>
      <c r="I978" s="93"/>
      <c r="J978" s="93"/>
    </row>
    <row r="979" spans="1:10" s="65" customFormat="1" ht="14" x14ac:dyDescent="0.35">
      <c r="A979" s="145"/>
      <c r="B979" s="93"/>
      <c r="C979" s="93"/>
      <c r="D979" s="93"/>
      <c r="E979" s="95"/>
      <c r="F979" s="95"/>
      <c r="G979" s="95"/>
      <c r="H979" s="93"/>
      <c r="I979" s="93"/>
      <c r="J979" s="93"/>
    </row>
    <row r="980" spans="1:10" s="65" customFormat="1" ht="14" x14ac:dyDescent="0.35">
      <c r="A980" s="145"/>
      <c r="B980" s="93"/>
      <c r="C980" s="93"/>
      <c r="D980" s="93"/>
      <c r="E980" s="95"/>
      <c r="F980" s="95"/>
      <c r="G980" s="95"/>
      <c r="H980" s="93"/>
      <c r="I980" s="93"/>
      <c r="J980" s="93"/>
    </row>
    <row r="981" spans="1:10" s="65" customFormat="1" ht="14" x14ac:dyDescent="0.35">
      <c r="A981" s="145"/>
      <c r="B981" s="93"/>
      <c r="C981" s="93"/>
      <c r="D981" s="93"/>
      <c r="E981" s="95"/>
      <c r="F981" s="95"/>
      <c r="G981" s="95"/>
      <c r="H981" s="93"/>
      <c r="I981" s="93"/>
      <c r="J981" s="93"/>
    </row>
    <row r="982" spans="1:10" s="65" customFormat="1" ht="14" x14ac:dyDescent="0.35">
      <c r="A982" s="145"/>
      <c r="B982" s="93"/>
      <c r="C982" s="93"/>
      <c r="D982" s="93"/>
      <c r="E982" s="95"/>
      <c r="F982" s="95"/>
      <c r="G982" s="95"/>
      <c r="H982" s="93"/>
      <c r="I982" s="93"/>
      <c r="J982" s="93"/>
    </row>
    <row r="983" spans="1:10" s="65" customFormat="1" ht="14" x14ac:dyDescent="0.35">
      <c r="A983" s="145"/>
      <c r="B983" s="93"/>
      <c r="C983" s="93"/>
      <c r="D983" s="93"/>
      <c r="E983" s="95"/>
      <c r="F983" s="95"/>
      <c r="G983" s="95"/>
      <c r="H983" s="93"/>
      <c r="I983" s="93"/>
      <c r="J983" s="93"/>
    </row>
    <row r="984" spans="1:10" s="65" customFormat="1" ht="14" x14ac:dyDescent="0.35">
      <c r="A984" s="145"/>
      <c r="B984" s="93"/>
      <c r="C984" s="93"/>
      <c r="D984" s="93"/>
      <c r="E984" s="95"/>
      <c r="F984" s="95"/>
      <c r="G984" s="95"/>
      <c r="H984" s="93"/>
      <c r="I984" s="93"/>
      <c r="J984" s="93"/>
    </row>
    <row r="985" spans="1:10" s="65" customFormat="1" ht="14" x14ac:dyDescent="0.35">
      <c r="A985" s="145"/>
      <c r="B985" s="93"/>
      <c r="C985" s="93"/>
      <c r="D985" s="93"/>
      <c r="E985" s="95"/>
      <c r="F985" s="95"/>
      <c r="G985" s="95"/>
      <c r="H985" s="93"/>
      <c r="I985" s="93"/>
      <c r="J985" s="93"/>
    </row>
    <row r="986" spans="1:10" s="65" customFormat="1" ht="14" x14ac:dyDescent="0.35">
      <c r="A986" s="145"/>
      <c r="B986" s="93"/>
      <c r="C986" s="93"/>
      <c r="D986" s="93"/>
      <c r="E986" s="95"/>
      <c r="F986" s="95"/>
      <c r="G986" s="95"/>
      <c r="H986" s="93"/>
      <c r="I986" s="93"/>
      <c r="J986" s="93"/>
    </row>
    <row r="987" spans="1:10" s="65" customFormat="1" ht="14" x14ac:dyDescent="0.35">
      <c r="A987" s="145"/>
      <c r="B987" s="93"/>
      <c r="C987" s="93"/>
      <c r="D987" s="93"/>
      <c r="E987" s="95"/>
      <c r="F987" s="95"/>
      <c r="G987" s="95"/>
      <c r="H987" s="93"/>
      <c r="I987" s="93"/>
      <c r="J987" s="93"/>
    </row>
    <row r="988" spans="1:10" s="65" customFormat="1" ht="14" x14ac:dyDescent="0.35">
      <c r="A988" s="145"/>
      <c r="B988" s="93"/>
      <c r="C988" s="93"/>
      <c r="D988" s="93"/>
      <c r="E988" s="95"/>
      <c r="F988" s="95"/>
      <c r="G988" s="95"/>
      <c r="H988" s="93"/>
      <c r="I988" s="93"/>
      <c r="J988" s="93"/>
    </row>
    <row r="989" spans="1:10" s="65" customFormat="1" ht="14" x14ac:dyDescent="0.35">
      <c r="A989" s="145"/>
      <c r="B989" s="93"/>
      <c r="C989" s="93"/>
      <c r="D989" s="93"/>
      <c r="E989" s="95"/>
      <c r="F989" s="95"/>
      <c r="G989" s="95"/>
      <c r="H989" s="93"/>
      <c r="I989" s="93"/>
      <c r="J989" s="93"/>
    </row>
    <row r="990" spans="1:10" s="65" customFormat="1" ht="14" x14ac:dyDescent="0.35">
      <c r="A990" s="145"/>
      <c r="B990" s="93"/>
      <c r="C990" s="93"/>
      <c r="D990" s="93"/>
      <c r="E990" s="95"/>
      <c r="F990" s="95"/>
      <c r="G990" s="95"/>
      <c r="H990" s="93"/>
      <c r="I990" s="93"/>
      <c r="J990" s="93"/>
    </row>
    <row r="991" spans="1:10" s="65" customFormat="1" ht="14" x14ac:dyDescent="0.35">
      <c r="A991" s="145"/>
      <c r="B991" s="93"/>
      <c r="C991" s="93"/>
      <c r="D991" s="93"/>
      <c r="E991" s="95"/>
      <c r="F991" s="95"/>
      <c r="G991" s="95"/>
      <c r="H991" s="93"/>
      <c r="I991" s="93"/>
      <c r="J991" s="93"/>
    </row>
    <row r="992" spans="1:10" s="65" customFormat="1" ht="14" x14ac:dyDescent="0.35">
      <c r="A992" s="145"/>
      <c r="B992" s="93"/>
      <c r="C992" s="93"/>
      <c r="D992" s="93"/>
      <c r="E992" s="95"/>
      <c r="F992" s="95"/>
      <c r="G992" s="95"/>
      <c r="H992" s="93"/>
      <c r="I992" s="93"/>
      <c r="J992" s="93"/>
    </row>
    <row r="993" spans="1:10" s="65" customFormat="1" ht="14" x14ac:dyDescent="0.35">
      <c r="A993" s="145"/>
      <c r="B993" s="93"/>
      <c r="C993" s="93"/>
      <c r="D993" s="93"/>
      <c r="E993" s="95"/>
      <c r="F993" s="95"/>
      <c r="G993" s="95"/>
      <c r="H993" s="93"/>
      <c r="I993" s="93"/>
      <c r="J993" s="93"/>
    </row>
    <row r="994" spans="1:10" s="65" customFormat="1" ht="14" x14ac:dyDescent="0.35">
      <c r="A994" s="145"/>
      <c r="B994" s="93"/>
      <c r="C994" s="93"/>
      <c r="D994" s="93"/>
      <c r="E994" s="95"/>
      <c r="F994" s="95"/>
      <c r="G994" s="95"/>
      <c r="H994" s="93"/>
      <c r="I994" s="93"/>
      <c r="J994" s="93"/>
    </row>
    <row r="995" spans="1:10" s="65" customFormat="1" ht="14" x14ac:dyDescent="0.35">
      <c r="A995" s="145"/>
      <c r="B995" s="93"/>
      <c r="C995" s="93"/>
      <c r="D995" s="93"/>
      <c r="E995" s="95"/>
      <c r="F995" s="95"/>
      <c r="G995" s="95"/>
      <c r="H995" s="93"/>
      <c r="I995" s="93"/>
      <c r="J995" s="93"/>
    </row>
    <row r="996" spans="1:10" s="65" customFormat="1" ht="14" x14ac:dyDescent="0.35">
      <c r="A996" s="145"/>
      <c r="B996" s="93"/>
      <c r="C996" s="93"/>
      <c r="D996" s="93"/>
      <c r="E996" s="95"/>
      <c r="F996" s="95"/>
      <c r="G996" s="95"/>
      <c r="H996" s="93"/>
      <c r="I996" s="93"/>
      <c r="J996" s="93"/>
    </row>
    <row r="997" spans="1:10" s="65" customFormat="1" ht="14" x14ac:dyDescent="0.35">
      <c r="A997" s="145"/>
      <c r="B997" s="93"/>
      <c r="C997" s="93"/>
      <c r="D997" s="93"/>
      <c r="E997" s="95"/>
      <c r="F997" s="95"/>
      <c r="G997" s="95"/>
      <c r="H997" s="93"/>
      <c r="I997" s="93"/>
      <c r="J997" s="93"/>
    </row>
    <row r="998" spans="1:10" s="65" customFormat="1" ht="14" x14ac:dyDescent="0.35">
      <c r="A998" s="145"/>
      <c r="B998" s="93"/>
      <c r="C998" s="93"/>
      <c r="D998" s="93"/>
      <c r="E998" s="95"/>
      <c r="F998" s="95"/>
      <c r="G998" s="95"/>
      <c r="H998" s="93"/>
      <c r="I998" s="93"/>
      <c r="J998" s="93"/>
    </row>
    <row r="999" spans="1:10" s="65" customFormat="1" ht="14" x14ac:dyDescent="0.35">
      <c r="A999" s="145"/>
      <c r="B999" s="93"/>
      <c r="C999" s="93"/>
      <c r="D999" s="93"/>
      <c r="E999" s="95"/>
      <c r="F999" s="95"/>
      <c r="G999" s="95"/>
      <c r="H999" s="93"/>
      <c r="I999" s="93"/>
      <c r="J999" s="93"/>
    </row>
    <row r="1000" spans="1:10" s="65" customFormat="1" ht="14" x14ac:dyDescent="0.35">
      <c r="A1000" s="145"/>
      <c r="B1000" s="93"/>
      <c r="C1000" s="93"/>
      <c r="D1000" s="93"/>
      <c r="E1000" s="95"/>
      <c r="F1000" s="95"/>
      <c r="G1000" s="95"/>
      <c r="H1000" s="93"/>
      <c r="I1000" s="93"/>
      <c r="J1000" s="93"/>
    </row>
    <row r="1001" spans="1:10" s="65" customFormat="1" ht="14" x14ac:dyDescent="0.35">
      <c r="A1001" s="145"/>
      <c r="B1001" s="93"/>
      <c r="C1001" s="93"/>
      <c r="D1001" s="93"/>
      <c r="E1001" s="95"/>
      <c r="F1001" s="95"/>
      <c r="G1001" s="95"/>
      <c r="H1001" s="93"/>
      <c r="I1001" s="93"/>
      <c r="J1001" s="93"/>
    </row>
    <row r="1002" spans="1:10" s="65" customFormat="1" ht="14" x14ac:dyDescent="0.35">
      <c r="A1002" s="145"/>
      <c r="B1002" s="93"/>
      <c r="C1002" s="93"/>
      <c r="D1002" s="93"/>
      <c r="E1002" s="95"/>
      <c r="F1002" s="95"/>
      <c r="G1002" s="95"/>
      <c r="H1002" s="93"/>
      <c r="I1002" s="93"/>
      <c r="J1002" s="93"/>
    </row>
    <row r="1003" spans="1:10" s="65" customFormat="1" ht="14" x14ac:dyDescent="0.35">
      <c r="A1003" s="145"/>
      <c r="B1003" s="93"/>
      <c r="C1003" s="93"/>
      <c r="D1003" s="93"/>
      <c r="E1003" s="95"/>
      <c r="F1003" s="95"/>
      <c r="G1003" s="95"/>
      <c r="H1003" s="93"/>
      <c r="I1003" s="93"/>
      <c r="J1003" s="93"/>
    </row>
    <row r="1004" spans="1:10" s="65" customFormat="1" ht="14" x14ac:dyDescent="0.35">
      <c r="A1004" s="145"/>
      <c r="B1004" s="93"/>
      <c r="C1004" s="93"/>
      <c r="D1004" s="93"/>
      <c r="E1004" s="95"/>
      <c r="F1004" s="95"/>
      <c r="G1004" s="95"/>
      <c r="H1004" s="93"/>
      <c r="I1004" s="93"/>
      <c r="J1004" s="93"/>
    </row>
    <row r="1005" spans="1:10" s="65" customFormat="1" ht="14" x14ac:dyDescent="0.35">
      <c r="A1005" s="145"/>
      <c r="B1005" s="93"/>
      <c r="C1005" s="93"/>
      <c r="D1005" s="93"/>
      <c r="E1005" s="95"/>
      <c r="F1005" s="95"/>
      <c r="G1005" s="95"/>
      <c r="H1005" s="93"/>
      <c r="I1005" s="93"/>
      <c r="J1005" s="93"/>
    </row>
    <row r="1006" spans="1:10" s="65" customFormat="1" ht="14" x14ac:dyDescent="0.35">
      <c r="A1006" s="145"/>
      <c r="B1006" s="93"/>
      <c r="C1006" s="93"/>
      <c r="D1006" s="93"/>
      <c r="E1006" s="95"/>
      <c r="F1006" s="95"/>
      <c r="G1006" s="95"/>
      <c r="H1006" s="93"/>
      <c r="I1006" s="93"/>
      <c r="J1006" s="93"/>
    </row>
    <row r="1007" spans="1:10" s="65" customFormat="1" ht="14" x14ac:dyDescent="0.35">
      <c r="A1007" s="145"/>
      <c r="B1007" s="93"/>
      <c r="C1007" s="93"/>
      <c r="D1007" s="93"/>
      <c r="E1007" s="95"/>
      <c r="F1007" s="95"/>
      <c r="G1007" s="95"/>
      <c r="H1007" s="93"/>
      <c r="I1007" s="93"/>
      <c r="J1007" s="93"/>
    </row>
    <row r="1008" spans="1:10" s="65" customFormat="1" ht="14" x14ac:dyDescent="0.35">
      <c r="A1008" s="145"/>
      <c r="B1008" s="93"/>
      <c r="C1008" s="93"/>
      <c r="D1008" s="93"/>
      <c r="E1008" s="95"/>
      <c r="F1008" s="95"/>
      <c r="G1008" s="95"/>
      <c r="H1008" s="93"/>
      <c r="I1008" s="93"/>
      <c r="J1008" s="93"/>
    </row>
    <row r="1009" spans="1:10" s="65" customFormat="1" ht="14" x14ac:dyDescent="0.35">
      <c r="A1009" s="145"/>
      <c r="B1009" s="93"/>
      <c r="C1009" s="93"/>
      <c r="D1009" s="93"/>
      <c r="E1009" s="95"/>
      <c r="F1009" s="95"/>
      <c r="G1009" s="95"/>
      <c r="H1009" s="93"/>
      <c r="I1009" s="93"/>
      <c r="J1009" s="93"/>
    </row>
    <row r="1010" spans="1:10" s="65" customFormat="1" ht="14" x14ac:dyDescent="0.35">
      <c r="A1010" s="145"/>
      <c r="B1010" s="93"/>
      <c r="C1010" s="93"/>
      <c r="D1010" s="93"/>
      <c r="E1010" s="95"/>
      <c r="F1010" s="95"/>
      <c r="G1010" s="95"/>
      <c r="H1010" s="93"/>
      <c r="I1010" s="93"/>
      <c r="J1010" s="93"/>
    </row>
    <row r="1011" spans="1:10" s="65" customFormat="1" ht="14" x14ac:dyDescent="0.35">
      <c r="A1011" s="145"/>
      <c r="B1011" s="93"/>
      <c r="C1011" s="93"/>
      <c r="D1011" s="93"/>
      <c r="E1011" s="95"/>
      <c r="F1011" s="95"/>
      <c r="G1011" s="95"/>
      <c r="H1011" s="93"/>
      <c r="I1011" s="93"/>
      <c r="J1011" s="93"/>
    </row>
    <row r="1012" spans="1:10" s="65" customFormat="1" ht="14" x14ac:dyDescent="0.35">
      <c r="A1012" s="145"/>
      <c r="B1012" s="93"/>
      <c r="C1012" s="93"/>
      <c r="D1012" s="93"/>
      <c r="E1012" s="95"/>
      <c r="F1012" s="95"/>
      <c r="G1012" s="95"/>
      <c r="H1012" s="93"/>
      <c r="I1012" s="93"/>
      <c r="J1012" s="93"/>
    </row>
    <row r="1013" spans="1:10" s="65" customFormat="1" ht="14" x14ac:dyDescent="0.35">
      <c r="A1013" s="145"/>
      <c r="B1013" s="93"/>
      <c r="C1013" s="93"/>
      <c r="D1013" s="93"/>
      <c r="E1013" s="95"/>
      <c r="F1013" s="95"/>
      <c r="G1013" s="95"/>
      <c r="H1013" s="93"/>
      <c r="I1013" s="93"/>
      <c r="J1013" s="93"/>
    </row>
    <row r="1014" spans="1:10" s="65" customFormat="1" ht="14" x14ac:dyDescent="0.35">
      <c r="A1014" s="145"/>
      <c r="B1014" s="93"/>
      <c r="C1014" s="93"/>
      <c r="D1014" s="93"/>
      <c r="E1014" s="95"/>
      <c r="F1014" s="95"/>
      <c r="G1014" s="95"/>
      <c r="H1014" s="93"/>
      <c r="I1014" s="93"/>
      <c r="J1014" s="93"/>
    </row>
    <row r="1015" spans="1:10" s="65" customFormat="1" ht="14" x14ac:dyDescent="0.35">
      <c r="A1015" s="145"/>
      <c r="B1015" s="93"/>
      <c r="C1015" s="93"/>
      <c r="D1015" s="93"/>
      <c r="E1015" s="95"/>
      <c r="F1015" s="95"/>
      <c r="G1015" s="95"/>
      <c r="H1015" s="93"/>
      <c r="I1015" s="93"/>
      <c r="J1015" s="93"/>
    </row>
    <row r="1016" spans="1:10" s="65" customFormat="1" ht="14" x14ac:dyDescent="0.35">
      <c r="A1016" s="145"/>
      <c r="B1016" s="93"/>
      <c r="C1016" s="93"/>
      <c r="D1016" s="93"/>
      <c r="E1016" s="95"/>
      <c r="F1016" s="95"/>
      <c r="G1016" s="95"/>
      <c r="H1016" s="93"/>
      <c r="I1016" s="93"/>
      <c r="J1016" s="93"/>
    </row>
    <row r="1017" spans="1:10" s="65" customFormat="1" ht="14" x14ac:dyDescent="0.35">
      <c r="A1017" s="145"/>
      <c r="B1017" s="93"/>
      <c r="C1017" s="93"/>
      <c r="D1017" s="93"/>
      <c r="E1017" s="95"/>
      <c r="F1017" s="95"/>
      <c r="G1017" s="95"/>
      <c r="H1017" s="93"/>
      <c r="I1017" s="93"/>
      <c r="J1017" s="93"/>
    </row>
    <row r="1018" spans="1:10" s="65" customFormat="1" ht="14" x14ac:dyDescent="0.35">
      <c r="A1018" s="145"/>
      <c r="B1018" s="93"/>
      <c r="C1018" s="93"/>
      <c r="D1018" s="93"/>
      <c r="E1018" s="95"/>
      <c r="F1018" s="95"/>
      <c r="G1018" s="95"/>
      <c r="H1018" s="93"/>
      <c r="I1018" s="93"/>
      <c r="J1018" s="93"/>
    </row>
    <row r="1019" spans="1:10" s="65" customFormat="1" ht="14" x14ac:dyDescent="0.35">
      <c r="A1019" s="145"/>
      <c r="B1019" s="93"/>
      <c r="C1019" s="93"/>
      <c r="D1019" s="93"/>
      <c r="E1019" s="95"/>
      <c r="F1019" s="95"/>
      <c r="G1019" s="95"/>
      <c r="H1019" s="93"/>
      <c r="I1019" s="93"/>
      <c r="J1019" s="93"/>
    </row>
    <row r="1020" spans="1:10" s="65" customFormat="1" ht="14" x14ac:dyDescent="0.35">
      <c r="A1020" s="145"/>
      <c r="B1020" s="93"/>
      <c r="C1020" s="93"/>
      <c r="D1020" s="93"/>
      <c r="E1020" s="95"/>
      <c r="F1020" s="95"/>
      <c r="G1020" s="95"/>
      <c r="H1020" s="93"/>
      <c r="I1020" s="93"/>
      <c r="J1020" s="93"/>
    </row>
    <row r="1021" spans="1:10" s="65" customFormat="1" ht="14" x14ac:dyDescent="0.35">
      <c r="A1021" s="145"/>
      <c r="B1021" s="93"/>
      <c r="C1021" s="93"/>
      <c r="D1021" s="93"/>
      <c r="E1021" s="95"/>
      <c r="F1021" s="95"/>
      <c r="G1021" s="95"/>
      <c r="H1021" s="93"/>
      <c r="I1021" s="93"/>
      <c r="J1021" s="93"/>
    </row>
    <row r="1022" spans="1:10" s="65" customFormat="1" ht="14" x14ac:dyDescent="0.35">
      <c r="A1022" s="145"/>
      <c r="B1022" s="93"/>
      <c r="C1022" s="93"/>
      <c r="D1022" s="93"/>
      <c r="E1022" s="95"/>
      <c r="F1022" s="95"/>
      <c r="G1022" s="95"/>
      <c r="H1022" s="93"/>
      <c r="I1022" s="93"/>
      <c r="J1022" s="93"/>
    </row>
    <row r="1023" spans="1:10" s="65" customFormat="1" ht="14" x14ac:dyDescent="0.35">
      <c r="A1023" s="145"/>
      <c r="B1023" s="93"/>
      <c r="C1023" s="93"/>
      <c r="D1023" s="93"/>
      <c r="E1023" s="95"/>
      <c r="F1023" s="95"/>
      <c r="G1023" s="95"/>
      <c r="H1023" s="93"/>
      <c r="I1023" s="93"/>
      <c r="J1023" s="93"/>
    </row>
    <row r="1024" spans="1:10" s="65" customFormat="1" ht="14" x14ac:dyDescent="0.35">
      <c r="A1024" s="145"/>
      <c r="B1024" s="93"/>
      <c r="C1024" s="93"/>
      <c r="D1024" s="93"/>
      <c r="E1024" s="95"/>
      <c r="F1024" s="95"/>
      <c r="G1024" s="95"/>
      <c r="H1024" s="93"/>
      <c r="I1024" s="93"/>
      <c r="J1024" s="93"/>
    </row>
    <row r="1025" spans="1:10" s="65" customFormat="1" ht="14" x14ac:dyDescent="0.35">
      <c r="A1025" s="145"/>
      <c r="B1025" s="93"/>
      <c r="C1025" s="93"/>
      <c r="D1025" s="93"/>
      <c r="E1025" s="95"/>
      <c r="F1025" s="95"/>
      <c r="G1025" s="95"/>
      <c r="H1025" s="93"/>
      <c r="I1025" s="93"/>
      <c r="J1025" s="93"/>
    </row>
    <row r="1026" spans="1:10" s="65" customFormat="1" ht="14" x14ac:dyDescent="0.35">
      <c r="A1026" s="145"/>
      <c r="B1026" s="93"/>
      <c r="C1026" s="93"/>
      <c r="D1026" s="93"/>
      <c r="E1026" s="95"/>
      <c r="F1026" s="95"/>
      <c r="G1026" s="95"/>
      <c r="H1026" s="93"/>
      <c r="I1026" s="93"/>
      <c r="J1026" s="93"/>
    </row>
    <row r="1027" spans="1:10" s="65" customFormat="1" ht="14" x14ac:dyDescent="0.35">
      <c r="A1027" s="145"/>
      <c r="B1027" s="93"/>
      <c r="C1027" s="93"/>
      <c r="D1027" s="93"/>
      <c r="E1027" s="95"/>
      <c r="F1027" s="95"/>
      <c r="G1027" s="95"/>
      <c r="H1027" s="93"/>
      <c r="I1027" s="93"/>
      <c r="J1027" s="93"/>
    </row>
    <row r="1028" spans="1:10" s="65" customFormat="1" ht="14" x14ac:dyDescent="0.35">
      <c r="A1028" s="145"/>
      <c r="B1028" s="93"/>
      <c r="C1028" s="93"/>
      <c r="D1028" s="93"/>
      <c r="E1028" s="95"/>
      <c r="F1028" s="95"/>
      <c r="G1028" s="95"/>
      <c r="H1028" s="93"/>
      <c r="I1028" s="93"/>
      <c r="J1028" s="93"/>
    </row>
    <row r="1029" spans="1:10" s="65" customFormat="1" ht="14" x14ac:dyDescent="0.35">
      <c r="A1029" s="145"/>
      <c r="B1029" s="93"/>
      <c r="C1029" s="93"/>
      <c r="D1029" s="93"/>
      <c r="E1029" s="95"/>
      <c r="F1029" s="95"/>
      <c r="G1029" s="95"/>
      <c r="H1029" s="93"/>
      <c r="I1029" s="93"/>
      <c r="J1029" s="93"/>
    </row>
    <row r="1030" spans="1:10" s="65" customFormat="1" ht="14" x14ac:dyDescent="0.35">
      <c r="A1030" s="145"/>
      <c r="B1030" s="93"/>
      <c r="C1030" s="93"/>
      <c r="D1030" s="93"/>
      <c r="E1030" s="95"/>
      <c r="F1030" s="95"/>
      <c r="G1030" s="95"/>
      <c r="H1030" s="93"/>
      <c r="I1030" s="93"/>
      <c r="J1030" s="93"/>
    </row>
    <row r="1031" spans="1:10" s="65" customFormat="1" ht="14" x14ac:dyDescent="0.35">
      <c r="A1031" s="145"/>
      <c r="B1031" s="93"/>
      <c r="C1031" s="93"/>
      <c r="D1031" s="93"/>
      <c r="E1031" s="95"/>
      <c r="F1031" s="95"/>
      <c r="G1031" s="95"/>
      <c r="H1031" s="93"/>
      <c r="I1031" s="93"/>
      <c r="J1031" s="93"/>
    </row>
    <row r="1032" spans="1:10" s="65" customFormat="1" ht="14" x14ac:dyDescent="0.35">
      <c r="A1032" s="145"/>
      <c r="B1032" s="93"/>
      <c r="C1032" s="93"/>
      <c r="D1032" s="93"/>
      <c r="E1032" s="95"/>
      <c r="F1032" s="95"/>
      <c r="G1032" s="95"/>
      <c r="H1032" s="93"/>
      <c r="I1032" s="93"/>
      <c r="J1032" s="93"/>
    </row>
    <row r="1033" spans="1:10" s="65" customFormat="1" ht="14" x14ac:dyDescent="0.35">
      <c r="A1033" s="145"/>
      <c r="B1033" s="93"/>
      <c r="C1033" s="93"/>
      <c r="D1033" s="93"/>
      <c r="E1033" s="95"/>
      <c r="F1033" s="95"/>
      <c r="G1033" s="95"/>
      <c r="H1033" s="93"/>
      <c r="I1033" s="93"/>
      <c r="J1033" s="93"/>
    </row>
    <row r="1034" spans="1:10" s="65" customFormat="1" ht="14" x14ac:dyDescent="0.35">
      <c r="A1034" s="145"/>
      <c r="B1034" s="93"/>
      <c r="C1034" s="93"/>
      <c r="D1034" s="93"/>
      <c r="E1034" s="95"/>
      <c r="F1034" s="95"/>
      <c r="G1034" s="95"/>
      <c r="H1034" s="93"/>
      <c r="I1034" s="93"/>
      <c r="J1034" s="93"/>
    </row>
    <row r="1035" spans="1:10" s="65" customFormat="1" ht="14" x14ac:dyDescent="0.35">
      <c r="A1035" s="145"/>
      <c r="B1035" s="93"/>
      <c r="C1035" s="93"/>
      <c r="D1035" s="93"/>
      <c r="E1035" s="95"/>
      <c r="F1035" s="95"/>
      <c r="G1035" s="95"/>
      <c r="H1035" s="93"/>
      <c r="I1035" s="93"/>
      <c r="J1035" s="93"/>
    </row>
    <row r="1036" spans="1:10" s="65" customFormat="1" ht="14" x14ac:dyDescent="0.35">
      <c r="A1036" s="145"/>
      <c r="B1036" s="93"/>
      <c r="C1036" s="93"/>
      <c r="D1036" s="93"/>
      <c r="E1036" s="95"/>
      <c r="F1036" s="95"/>
      <c r="G1036" s="95"/>
      <c r="H1036" s="93"/>
      <c r="I1036" s="93"/>
      <c r="J1036" s="93"/>
    </row>
    <row r="1037" spans="1:10" s="65" customFormat="1" ht="14" x14ac:dyDescent="0.35">
      <c r="A1037" s="145"/>
      <c r="B1037" s="93"/>
      <c r="C1037" s="93"/>
      <c r="D1037" s="93"/>
      <c r="E1037" s="95"/>
      <c r="F1037" s="95"/>
      <c r="G1037" s="95"/>
      <c r="H1037" s="93"/>
      <c r="I1037" s="93"/>
      <c r="J1037" s="93"/>
    </row>
    <row r="1038" spans="1:10" s="65" customFormat="1" ht="14" x14ac:dyDescent="0.35">
      <c r="A1038" s="145"/>
      <c r="B1038" s="93"/>
      <c r="C1038" s="93"/>
      <c r="D1038" s="93"/>
      <c r="E1038" s="95"/>
      <c r="F1038" s="95"/>
      <c r="G1038" s="95"/>
      <c r="H1038" s="93"/>
      <c r="I1038" s="93"/>
      <c r="J1038" s="93"/>
    </row>
    <row r="1039" spans="1:10" s="65" customFormat="1" ht="14" x14ac:dyDescent="0.35">
      <c r="A1039" s="145"/>
      <c r="B1039" s="93"/>
      <c r="C1039" s="93"/>
      <c r="D1039" s="93"/>
      <c r="E1039" s="95"/>
      <c r="F1039" s="95"/>
      <c r="G1039" s="95"/>
      <c r="H1039" s="93"/>
      <c r="I1039" s="93"/>
      <c r="J1039" s="93"/>
    </row>
    <row r="1040" spans="1:10" s="65" customFormat="1" ht="14" x14ac:dyDescent="0.35">
      <c r="A1040" s="145"/>
      <c r="B1040" s="93"/>
      <c r="C1040" s="93"/>
      <c r="D1040" s="93"/>
      <c r="E1040" s="95"/>
      <c r="F1040" s="95"/>
      <c r="G1040" s="95"/>
      <c r="H1040" s="93"/>
      <c r="I1040" s="93"/>
      <c r="J1040" s="93"/>
    </row>
    <row r="1041" spans="1:10" s="65" customFormat="1" ht="14" x14ac:dyDescent="0.35">
      <c r="A1041" s="145"/>
      <c r="B1041" s="93"/>
      <c r="C1041" s="93"/>
      <c r="D1041" s="93"/>
      <c r="E1041" s="95"/>
      <c r="F1041" s="95"/>
      <c r="G1041" s="95"/>
      <c r="H1041" s="93"/>
      <c r="I1041" s="93"/>
      <c r="J1041" s="93"/>
    </row>
    <row r="1042" spans="1:10" s="65" customFormat="1" ht="14" x14ac:dyDescent="0.35">
      <c r="A1042" s="145"/>
      <c r="B1042" s="93"/>
      <c r="C1042" s="93"/>
      <c r="D1042" s="93"/>
      <c r="E1042" s="95"/>
      <c r="F1042" s="95"/>
      <c r="G1042" s="95"/>
      <c r="H1042" s="93"/>
      <c r="I1042" s="93"/>
      <c r="J1042" s="93"/>
    </row>
    <row r="1043" spans="1:10" s="65" customFormat="1" ht="14" x14ac:dyDescent="0.35">
      <c r="A1043" s="145"/>
      <c r="B1043" s="93"/>
      <c r="C1043" s="93"/>
      <c r="D1043" s="93"/>
      <c r="E1043" s="95"/>
      <c r="F1043" s="95"/>
      <c r="G1043" s="95"/>
      <c r="H1043" s="93"/>
      <c r="I1043" s="93"/>
      <c r="J1043" s="93"/>
    </row>
    <row r="1044" spans="1:10" s="65" customFormat="1" ht="14" x14ac:dyDescent="0.35">
      <c r="A1044" s="145"/>
      <c r="B1044" s="93"/>
      <c r="C1044" s="93"/>
      <c r="D1044" s="93"/>
      <c r="E1044" s="95"/>
      <c r="F1044" s="95"/>
      <c r="G1044" s="95"/>
      <c r="H1044" s="93"/>
      <c r="I1044" s="93"/>
      <c r="J1044" s="93"/>
    </row>
    <row r="1045" spans="1:10" s="65" customFormat="1" ht="14" x14ac:dyDescent="0.35">
      <c r="A1045" s="145"/>
      <c r="B1045" s="93"/>
      <c r="C1045" s="93"/>
      <c r="D1045" s="93"/>
      <c r="E1045" s="95"/>
      <c r="F1045" s="95"/>
      <c r="G1045" s="95"/>
      <c r="H1045" s="93"/>
      <c r="I1045" s="93"/>
      <c r="J1045" s="93"/>
    </row>
    <row r="1046" spans="1:10" s="65" customFormat="1" ht="14" x14ac:dyDescent="0.35">
      <c r="A1046" s="145"/>
      <c r="B1046" s="93"/>
      <c r="C1046" s="93"/>
      <c r="D1046" s="93"/>
      <c r="E1046" s="95"/>
      <c r="F1046" s="95"/>
      <c r="G1046" s="95"/>
      <c r="H1046" s="93"/>
      <c r="I1046" s="93"/>
      <c r="J1046" s="93"/>
    </row>
    <row r="1047" spans="1:10" s="65" customFormat="1" ht="14" x14ac:dyDescent="0.35">
      <c r="A1047" s="145"/>
      <c r="B1047" s="93"/>
      <c r="C1047" s="93"/>
      <c r="D1047" s="93"/>
      <c r="E1047" s="95"/>
      <c r="F1047" s="95"/>
      <c r="G1047" s="95"/>
      <c r="H1047" s="93"/>
      <c r="I1047" s="93"/>
      <c r="J1047" s="93"/>
    </row>
    <row r="1048" spans="1:10" s="65" customFormat="1" ht="14" x14ac:dyDescent="0.35">
      <c r="A1048" s="145"/>
      <c r="B1048" s="93"/>
      <c r="C1048" s="93"/>
      <c r="D1048" s="93"/>
      <c r="E1048" s="95"/>
      <c r="F1048" s="95"/>
      <c r="G1048" s="95"/>
      <c r="H1048" s="93"/>
      <c r="I1048" s="93"/>
      <c r="J1048" s="93"/>
    </row>
    <row r="1049" spans="1:10" s="65" customFormat="1" ht="14" x14ac:dyDescent="0.35">
      <c r="A1049" s="145"/>
      <c r="B1049" s="93"/>
      <c r="C1049" s="93"/>
      <c r="D1049" s="93"/>
      <c r="E1049" s="95"/>
      <c r="F1049" s="95"/>
      <c r="G1049" s="95"/>
      <c r="H1049" s="93"/>
      <c r="I1049" s="93"/>
      <c r="J1049" s="93"/>
    </row>
    <row r="1050" spans="1:10" s="65" customFormat="1" ht="14" x14ac:dyDescent="0.35">
      <c r="A1050" s="145"/>
      <c r="B1050" s="93"/>
      <c r="C1050" s="93"/>
      <c r="D1050" s="93"/>
      <c r="E1050" s="95"/>
      <c r="F1050" s="95"/>
      <c r="G1050" s="95"/>
      <c r="H1050" s="93"/>
      <c r="I1050" s="93"/>
      <c r="J1050" s="93"/>
    </row>
    <row r="1051" spans="1:10" s="65" customFormat="1" ht="14" x14ac:dyDescent="0.35">
      <c r="A1051" s="145"/>
      <c r="B1051" s="93"/>
      <c r="C1051" s="93"/>
      <c r="D1051" s="93"/>
      <c r="E1051" s="95"/>
      <c r="F1051" s="95"/>
      <c r="G1051" s="95"/>
      <c r="H1051" s="93"/>
      <c r="I1051" s="93"/>
      <c r="J1051" s="93"/>
    </row>
    <row r="1052" spans="1:10" s="65" customFormat="1" ht="14" x14ac:dyDescent="0.35">
      <c r="A1052" s="145"/>
      <c r="B1052" s="93"/>
      <c r="C1052" s="93"/>
      <c r="D1052" s="93"/>
      <c r="E1052" s="95"/>
      <c r="F1052" s="95"/>
      <c r="G1052" s="95"/>
      <c r="H1052" s="93"/>
      <c r="I1052" s="93"/>
      <c r="J1052" s="93"/>
    </row>
    <row r="1053" spans="1:10" s="65" customFormat="1" ht="14" x14ac:dyDescent="0.35">
      <c r="A1053" s="145"/>
      <c r="B1053" s="93"/>
      <c r="C1053" s="93"/>
      <c r="D1053" s="93"/>
      <c r="E1053" s="95"/>
      <c r="F1053" s="95"/>
      <c r="G1053" s="95"/>
      <c r="H1053" s="93"/>
      <c r="I1053" s="93"/>
      <c r="J1053" s="93"/>
    </row>
    <row r="1054" spans="1:10" s="65" customFormat="1" ht="14" x14ac:dyDescent="0.35">
      <c r="A1054" s="145"/>
      <c r="B1054" s="93"/>
      <c r="C1054" s="93"/>
      <c r="D1054" s="93"/>
      <c r="E1054" s="95"/>
      <c r="F1054" s="95"/>
      <c r="G1054" s="95"/>
      <c r="H1054" s="93"/>
      <c r="I1054" s="93"/>
      <c r="J1054" s="93"/>
    </row>
    <row r="1055" spans="1:10" s="65" customFormat="1" ht="14" x14ac:dyDescent="0.35">
      <c r="A1055" s="145"/>
      <c r="B1055" s="93"/>
      <c r="C1055" s="93"/>
      <c r="D1055" s="93"/>
      <c r="E1055" s="95"/>
      <c r="F1055" s="95"/>
      <c r="G1055" s="95"/>
      <c r="H1055" s="93"/>
      <c r="I1055" s="93"/>
      <c r="J1055" s="93"/>
    </row>
    <row r="1056" spans="1:10" s="65" customFormat="1" ht="14" x14ac:dyDescent="0.35">
      <c r="A1056" s="145"/>
      <c r="B1056" s="93"/>
      <c r="C1056" s="93"/>
      <c r="D1056" s="93"/>
      <c r="E1056" s="95"/>
      <c r="F1056" s="95"/>
      <c r="G1056" s="95"/>
      <c r="H1056" s="93"/>
      <c r="I1056" s="93"/>
      <c r="J1056" s="93"/>
    </row>
    <row r="1057" spans="1:10" s="65" customFormat="1" ht="14" x14ac:dyDescent="0.35">
      <c r="A1057" s="145"/>
      <c r="B1057" s="93"/>
      <c r="C1057" s="93"/>
      <c r="D1057" s="93"/>
      <c r="E1057" s="95"/>
      <c r="F1057" s="95"/>
      <c r="G1057" s="95"/>
      <c r="H1057" s="93"/>
      <c r="I1057" s="93"/>
      <c r="J1057" s="93"/>
    </row>
    <row r="1058" spans="1:10" s="65" customFormat="1" ht="14" x14ac:dyDescent="0.35">
      <c r="A1058" s="145"/>
      <c r="B1058" s="93"/>
      <c r="C1058" s="93"/>
      <c r="D1058" s="93"/>
      <c r="E1058" s="95"/>
      <c r="F1058" s="95"/>
      <c r="G1058" s="95"/>
      <c r="H1058" s="93"/>
      <c r="I1058" s="93"/>
      <c r="J1058" s="93"/>
    </row>
    <row r="1059" spans="1:10" s="65" customFormat="1" ht="14" x14ac:dyDescent="0.35">
      <c r="A1059" s="145"/>
      <c r="B1059" s="93"/>
      <c r="C1059" s="93"/>
      <c r="D1059" s="93"/>
      <c r="E1059" s="95"/>
      <c r="F1059" s="95"/>
      <c r="G1059" s="95"/>
      <c r="H1059" s="93"/>
      <c r="I1059" s="93"/>
      <c r="J1059" s="93"/>
    </row>
    <row r="1060" spans="1:10" s="65" customFormat="1" ht="14" x14ac:dyDescent="0.35">
      <c r="A1060" s="145"/>
      <c r="B1060" s="93"/>
      <c r="C1060" s="93"/>
      <c r="D1060" s="93"/>
      <c r="E1060" s="95"/>
      <c r="F1060" s="95"/>
      <c r="G1060" s="95"/>
      <c r="H1060" s="93"/>
      <c r="I1060" s="93"/>
      <c r="J1060" s="93"/>
    </row>
    <row r="1061" spans="1:10" s="65" customFormat="1" ht="14" x14ac:dyDescent="0.35">
      <c r="A1061" s="145"/>
      <c r="B1061" s="93"/>
      <c r="C1061" s="93"/>
      <c r="D1061" s="93"/>
      <c r="E1061" s="95"/>
      <c r="F1061" s="95"/>
      <c r="G1061" s="95"/>
      <c r="H1061" s="93"/>
      <c r="I1061" s="93"/>
      <c r="J1061" s="93"/>
    </row>
    <row r="1062" spans="1:10" s="65" customFormat="1" ht="14" x14ac:dyDescent="0.35">
      <c r="A1062" s="145"/>
      <c r="B1062" s="93"/>
      <c r="C1062" s="93"/>
      <c r="D1062" s="93"/>
      <c r="E1062" s="95"/>
      <c r="F1062" s="95"/>
      <c r="G1062" s="95"/>
      <c r="H1062" s="93"/>
      <c r="I1062" s="93"/>
      <c r="J1062" s="93"/>
    </row>
    <row r="1063" spans="1:10" s="65" customFormat="1" ht="14" x14ac:dyDescent="0.35">
      <c r="A1063" s="145"/>
      <c r="B1063" s="93"/>
      <c r="C1063" s="93"/>
      <c r="D1063" s="93"/>
      <c r="E1063" s="95"/>
      <c r="F1063" s="95"/>
      <c r="G1063" s="95"/>
      <c r="H1063" s="93"/>
      <c r="I1063" s="93"/>
      <c r="J1063" s="93"/>
    </row>
    <row r="1064" spans="1:10" s="65" customFormat="1" ht="14" x14ac:dyDescent="0.35">
      <c r="A1064" s="145"/>
      <c r="B1064" s="93"/>
      <c r="C1064" s="93"/>
      <c r="D1064" s="93"/>
      <c r="E1064" s="95"/>
      <c r="F1064" s="95"/>
      <c r="G1064" s="95"/>
      <c r="H1064" s="93"/>
      <c r="I1064" s="93"/>
      <c r="J1064" s="93"/>
    </row>
    <row r="1065" spans="1:10" s="65" customFormat="1" ht="14" x14ac:dyDescent="0.35">
      <c r="A1065" s="145"/>
      <c r="B1065" s="93"/>
      <c r="C1065" s="93"/>
      <c r="D1065" s="93"/>
      <c r="E1065" s="95"/>
      <c r="F1065" s="95"/>
      <c r="G1065" s="95"/>
      <c r="H1065" s="93"/>
      <c r="I1065" s="93"/>
      <c r="J1065" s="93"/>
    </row>
    <row r="1066" spans="1:10" s="65" customFormat="1" ht="14" x14ac:dyDescent="0.35">
      <c r="A1066" s="145"/>
      <c r="B1066" s="93"/>
      <c r="C1066" s="93"/>
      <c r="D1066" s="93"/>
      <c r="E1066" s="95"/>
      <c r="F1066" s="95"/>
      <c r="G1066" s="95"/>
      <c r="H1066" s="93"/>
      <c r="I1066" s="93"/>
      <c r="J1066" s="93"/>
    </row>
    <row r="1067" spans="1:10" s="65" customFormat="1" ht="14" x14ac:dyDescent="0.35">
      <c r="A1067" s="145"/>
      <c r="B1067" s="93"/>
      <c r="C1067" s="93"/>
      <c r="D1067" s="93"/>
      <c r="E1067" s="95"/>
      <c r="F1067" s="95"/>
      <c r="G1067" s="95"/>
      <c r="H1067" s="93"/>
      <c r="I1067" s="93"/>
      <c r="J1067" s="93"/>
    </row>
    <row r="1068" spans="1:10" s="65" customFormat="1" ht="14" x14ac:dyDescent="0.35">
      <c r="A1068" s="145"/>
      <c r="B1068" s="93"/>
      <c r="C1068" s="93"/>
      <c r="D1068" s="93"/>
      <c r="E1068" s="95"/>
      <c r="F1068" s="95"/>
      <c r="G1068" s="95"/>
      <c r="H1068" s="93"/>
      <c r="I1068" s="93"/>
      <c r="J1068" s="93"/>
    </row>
    <row r="1069" spans="1:10" s="65" customFormat="1" ht="14" x14ac:dyDescent="0.35">
      <c r="A1069" s="145"/>
      <c r="B1069" s="93"/>
      <c r="C1069" s="93"/>
      <c r="D1069" s="93"/>
      <c r="E1069" s="95"/>
      <c r="F1069" s="95"/>
      <c r="G1069" s="95"/>
      <c r="H1069" s="93"/>
      <c r="I1069" s="93"/>
      <c r="J1069" s="93"/>
    </row>
    <row r="1070" spans="1:10" s="65" customFormat="1" ht="14" x14ac:dyDescent="0.35">
      <c r="A1070" s="145"/>
      <c r="B1070" s="93"/>
      <c r="C1070" s="93"/>
      <c r="D1070" s="93"/>
      <c r="E1070" s="95"/>
      <c r="F1070" s="95"/>
      <c r="G1070" s="95"/>
      <c r="H1070" s="93"/>
      <c r="I1070" s="93"/>
      <c r="J1070" s="93"/>
    </row>
    <row r="1071" spans="1:10" s="65" customFormat="1" ht="14" x14ac:dyDescent="0.35">
      <c r="A1071" s="145"/>
      <c r="B1071" s="93"/>
      <c r="C1071" s="93"/>
      <c r="D1071" s="93"/>
      <c r="E1071" s="95"/>
      <c r="F1071" s="95"/>
      <c r="G1071" s="95"/>
      <c r="H1071" s="93"/>
      <c r="I1071" s="93"/>
      <c r="J1071" s="93"/>
    </row>
    <row r="1072" spans="1:10" s="65" customFormat="1" ht="14" x14ac:dyDescent="0.35">
      <c r="A1072" s="145"/>
      <c r="B1072" s="93"/>
      <c r="C1072" s="93"/>
      <c r="D1072" s="93"/>
      <c r="E1072" s="95"/>
      <c r="F1072" s="95"/>
      <c r="G1072" s="95"/>
      <c r="H1072" s="93"/>
      <c r="I1072" s="93"/>
      <c r="J1072" s="93"/>
    </row>
    <row r="1073" spans="1:10" s="65" customFormat="1" ht="14" x14ac:dyDescent="0.35">
      <c r="A1073" s="145"/>
      <c r="B1073" s="93"/>
      <c r="C1073" s="93"/>
      <c r="D1073" s="93"/>
      <c r="E1073" s="95"/>
      <c r="F1073" s="95"/>
      <c r="G1073" s="95"/>
      <c r="H1073" s="93"/>
      <c r="I1073" s="93"/>
      <c r="J1073" s="93"/>
    </row>
    <row r="1074" spans="1:10" s="65" customFormat="1" ht="14" x14ac:dyDescent="0.35">
      <c r="A1074" s="145"/>
      <c r="B1074" s="93"/>
      <c r="C1074" s="93"/>
      <c r="D1074" s="93"/>
      <c r="E1074" s="95"/>
      <c r="F1074" s="95"/>
      <c r="G1074" s="95"/>
      <c r="H1074" s="93"/>
      <c r="I1074" s="93"/>
      <c r="J1074" s="93"/>
    </row>
    <row r="1075" spans="1:10" s="65" customFormat="1" ht="14" x14ac:dyDescent="0.35">
      <c r="A1075" s="145"/>
      <c r="B1075" s="93"/>
      <c r="C1075" s="93"/>
      <c r="D1075" s="93"/>
      <c r="E1075" s="95"/>
      <c r="F1075" s="95"/>
      <c r="G1075" s="95"/>
      <c r="H1075" s="93"/>
      <c r="I1075" s="93"/>
      <c r="J1075" s="93"/>
    </row>
    <row r="1076" spans="1:10" s="65" customFormat="1" ht="14" x14ac:dyDescent="0.35">
      <c r="A1076" s="145"/>
      <c r="B1076" s="93"/>
      <c r="C1076" s="93"/>
      <c r="D1076" s="93"/>
      <c r="E1076" s="95"/>
      <c r="F1076" s="95"/>
      <c r="G1076" s="95"/>
      <c r="H1076" s="93"/>
      <c r="I1076" s="93"/>
      <c r="J1076" s="93"/>
    </row>
    <row r="1077" spans="1:10" s="65" customFormat="1" ht="14" x14ac:dyDescent="0.35">
      <c r="A1077" s="145"/>
      <c r="B1077" s="93"/>
      <c r="C1077" s="93"/>
      <c r="D1077" s="93"/>
      <c r="E1077" s="95"/>
      <c r="F1077" s="95"/>
      <c r="G1077" s="95"/>
      <c r="H1077" s="93"/>
      <c r="I1077" s="93"/>
      <c r="J1077" s="93"/>
    </row>
    <row r="1078" spans="1:10" s="65" customFormat="1" ht="14" x14ac:dyDescent="0.35">
      <c r="A1078" s="145"/>
      <c r="B1078" s="93"/>
      <c r="C1078" s="93"/>
      <c r="D1078" s="93"/>
      <c r="E1078" s="95"/>
      <c r="F1078" s="95"/>
      <c r="G1078" s="95"/>
      <c r="H1078" s="93"/>
      <c r="I1078" s="93"/>
      <c r="J1078" s="93"/>
    </row>
    <row r="1079" spans="1:10" s="65" customFormat="1" ht="14" x14ac:dyDescent="0.35">
      <c r="A1079" s="145"/>
      <c r="B1079" s="93"/>
      <c r="C1079" s="93"/>
      <c r="D1079" s="93"/>
      <c r="E1079" s="95"/>
      <c r="F1079" s="95"/>
      <c r="G1079" s="95"/>
      <c r="H1079" s="93"/>
      <c r="I1079" s="93"/>
      <c r="J1079" s="93"/>
    </row>
    <row r="1080" spans="1:10" s="65" customFormat="1" ht="14" x14ac:dyDescent="0.35">
      <c r="A1080" s="145"/>
      <c r="B1080" s="93"/>
      <c r="C1080" s="93"/>
      <c r="D1080" s="93"/>
      <c r="E1080" s="95"/>
      <c r="F1080" s="95"/>
      <c r="G1080" s="95"/>
      <c r="H1080" s="93"/>
      <c r="I1080" s="93"/>
      <c r="J1080" s="93"/>
    </row>
    <row r="1081" spans="1:10" s="65" customFormat="1" ht="14" x14ac:dyDescent="0.35">
      <c r="A1081" s="145"/>
      <c r="B1081" s="93"/>
      <c r="C1081" s="93"/>
      <c r="D1081" s="93"/>
      <c r="E1081" s="95"/>
      <c r="F1081" s="95"/>
      <c r="G1081" s="95"/>
      <c r="H1081" s="93"/>
      <c r="I1081" s="93"/>
      <c r="J1081" s="93"/>
    </row>
    <row r="1082" spans="1:10" s="65" customFormat="1" ht="14" x14ac:dyDescent="0.35">
      <c r="A1082" s="145"/>
      <c r="B1082" s="93"/>
      <c r="C1082" s="93"/>
      <c r="D1082" s="93"/>
      <c r="E1082" s="95"/>
      <c r="F1082" s="95"/>
      <c r="G1082" s="95"/>
      <c r="H1082" s="93"/>
      <c r="I1082" s="93"/>
      <c r="J1082" s="93"/>
    </row>
    <row r="1083" spans="1:10" s="65" customFormat="1" ht="14" x14ac:dyDescent="0.35">
      <c r="A1083" s="145"/>
      <c r="B1083" s="93"/>
      <c r="C1083" s="93"/>
      <c r="D1083" s="93"/>
      <c r="E1083" s="95"/>
      <c r="F1083" s="95"/>
      <c r="G1083" s="95"/>
      <c r="H1083" s="93"/>
      <c r="I1083" s="93"/>
      <c r="J1083" s="93"/>
    </row>
    <row r="1084" spans="1:10" s="65" customFormat="1" ht="14" x14ac:dyDescent="0.35">
      <c r="A1084" s="145"/>
      <c r="B1084" s="93"/>
      <c r="C1084" s="93"/>
      <c r="D1084" s="93"/>
      <c r="E1084" s="95"/>
      <c r="F1084" s="95"/>
      <c r="G1084" s="95"/>
      <c r="H1084" s="93"/>
      <c r="I1084" s="93"/>
      <c r="J1084" s="93"/>
    </row>
    <row r="1085" spans="1:10" s="65" customFormat="1" ht="14" x14ac:dyDescent="0.35">
      <c r="A1085" s="145"/>
      <c r="B1085" s="93"/>
      <c r="C1085" s="93"/>
      <c r="D1085" s="93"/>
      <c r="E1085" s="95"/>
      <c r="F1085" s="95"/>
      <c r="G1085" s="95"/>
      <c r="H1085" s="93"/>
      <c r="I1085" s="93"/>
      <c r="J1085" s="93"/>
    </row>
    <row r="1086" spans="1:10" s="65" customFormat="1" ht="14" x14ac:dyDescent="0.35">
      <c r="A1086" s="145"/>
      <c r="B1086" s="93"/>
      <c r="C1086" s="93"/>
      <c r="D1086" s="93"/>
      <c r="E1086" s="95"/>
      <c r="F1086" s="95"/>
      <c r="G1086" s="95"/>
      <c r="H1086" s="93"/>
      <c r="I1086" s="93"/>
      <c r="J1086" s="93"/>
    </row>
    <row r="1087" spans="1:10" s="65" customFormat="1" ht="14" x14ac:dyDescent="0.35">
      <c r="A1087" s="145"/>
      <c r="B1087" s="93"/>
      <c r="C1087" s="93"/>
      <c r="D1087" s="93"/>
      <c r="E1087" s="95"/>
      <c r="F1087" s="95"/>
      <c r="G1087" s="95"/>
      <c r="H1087" s="93"/>
      <c r="I1087" s="93"/>
      <c r="J1087" s="93"/>
    </row>
    <row r="1088" spans="1:10" s="65" customFormat="1" ht="14" x14ac:dyDescent="0.35">
      <c r="A1088" s="145"/>
      <c r="B1088" s="93"/>
      <c r="C1088" s="93"/>
      <c r="D1088" s="93"/>
      <c r="E1088" s="95"/>
      <c r="F1088" s="95"/>
      <c r="G1088" s="95"/>
      <c r="H1088" s="93"/>
      <c r="I1088" s="93"/>
      <c r="J1088" s="93"/>
    </row>
    <row r="1089" spans="1:10" s="65" customFormat="1" ht="14" x14ac:dyDescent="0.35">
      <c r="A1089" s="145"/>
      <c r="B1089" s="93"/>
      <c r="C1089" s="93"/>
      <c r="D1089" s="93"/>
      <c r="E1089" s="95"/>
      <c r="F1089" s="95"/>
      <c r="G1089" s="95"/>
      <c r="H1089" s="93"/>
      <c r="I1089" s="93"/>
      <c r="J1089" s="93"/>
    </row>
    <row r="1090" spans="1:10" s="65" customFormat="1" ht="14" x14ac:dyDescent="0.35">
      <c r="A1090" s="145"/>
      <c r="B1090" s="93"/>
      <c r="C1090" s="93"/>
      <c r="D1090" s="93"/>
      <c r="E1090" s="95"/>
      <c r="F1090" s="95"/>
      <c r="G1090" s="95"/>
      <c r="H1090" s="93"/>
      <c r="I1090" s="93"/>
      <c r="J1090" s="93"/>
    </row>
    <row r="1091" spans="1:10" s="65" customFormat="1" ht="14" x14ac:dyDescent="0.35">
      <c r="A1091" s="145"/>
      <c r="B1091" s="93"/>
      <c r="C1091" s="93"/>
      <c r="D1091" s="93"/>
      <c r="E1091" s="95"/>
      <c r="F1091" s="95"/>
      <c r="G1091" s="95"/>
      <c r="H1091" s="93"/>
      <c r="I1091" s="93"/>
      <c r="J1091" s="93"/>
    </row>
    <row r="1092" spans="1:10" s="65" customFormat="1" ht="14" x14ac:dyDescent="0.35">
      <c r="A1092" s="145"/>
      <c r="B1092" s="93"/>
      <c r="C1092" s="93"/>
      <c r="D1092" s="93"/>
      <c r="E1092" s="95"/>
      <c r="F1092" s="95"/>
      <c r="G1092" s="95"/>
      <c r="H1092" s="93"/>
      <c r="I1092" s="93"/>
      <c r="J1092" s="93"/>
    </row>
    <row r="1093" spans="1:10" s="65" customFormat="1" ht="14" x14ac:dyDescent="0.35">
      <c r="A1093" s="145"/>
      <c r="B1093" s="93"/>
      <c r="C1093" s="93"/>
      <c r="D1093" s="93"/>
      <c r="E1093" s="95"/>
      <c r="F1093" s="95"/>
      <c r="G1093" s="95"/>
      <c r="H1093" s="93"/>
      <c r="I1093" s="93"/>
      <c r="J1093" s="93"/>
    </row>
    <row r="1094" spans="1:10" s="65" customFormat="1" ht="14" x14ac:dyDescent="0.35">
      <c r="A1094" s="145"/>
      <c r="B1094" s="93"/>
      <c r="C1094" s="93"/>
      <c r="D1094" s="93"/>
      <c r="E1094" s="95"/>
      <c r="F1094" s="95"/>
      <c r="G1094" s="95"/>
      <c r="H1094" s="93"/>
      <c r="I1094" s="93"/>
      <c r="J1094" s="93"/>
    </row>
    <row r="1095" spans="1:10" s="65" customFormat="1" ht="14" x14ac:dyDescent="0.35">
      <c r="A1095" s="145"/>
      <c r="B1095" s="93"/>
      <c r="C1095" s="93"/>
      <c r="D1095" s="93"/>
      <c r="E1095" s="95"/>
      <c r="F1095" s="95"/>
      <c r="G1095" s="95"/>
      <c r="H1095" s="93"/>
      <c r="I1095" s="93"/>
      <c r="J1095" s="93"/>
    </row>
    <row r="1096" spans="1:10" s="65" customFormat="1" ht="14" x14ac:dyDescent="0.35">
      <c r="A1096" s="145"/>
      <c r="B1096" s="93"/>
      <c r="C1096" s="93"/>
      <c r="D1096" s="93"/>
      <c r="E1096" s="95"/>
      <c r="F1096" s="95"/>
      <c r="G1096" s="95"/>
      <c r="H1096" s="93"/>
      <c r="I1096" s="93"/>
      <c r="J1096" s="93"/>
    </row>
    <row r="1097" spans="1:10" s="65" customFormat="1" ht="14" x14ac:dyDescent="0.35">
      <c r="A1097" s="145"/>
      <c r="B1097" s="93"/>
      <c r="C1097" s="93"/>
      <c r="D1097" s="93"/>
      <c r="E1097" s="95"/>
      <c r="F1097" s="95"/>
      <c r="G1097" s="95"/>
      <c r="H1097" s="93"/>
      <c r="I1097" s="93"/>
      <c r="J1097" s="93"/>
    </row>
    <row r="1098" spans="1:10" s="65" customFormat="1" ht="14" x14ac:dyDescent="0.35">
      <c r="A1098" s="145"/>
      <c r="B1098" s="93"/>
      <c r="C1098" s="93"/>
      <c r="D1098" s="93"/>
      <c r="E1098" s="95"/>
      <c r="F1098" s="95"/>
      <c r="G1098" s="95"/>
      <c r="H1098" s="93"/>
      <c r="I1098" s="93"/>
      <c r="J1098" s="93"/>
    </row>
    <row r="1099" spans="1:10" s="65" customFormat="1" ht="14" x14ac:dyDescent="0.35">
      <c r="A1099" s="145"/>
      <c r="B1099" s="93"/>
      <c r="C1099" s="93"/>
      <c r="D1099" s="93"/>
      <c r="E1099" s="95"/>
      <c r="F1099" s="95"/>
      <c r="G1099" s="95"/>
      <c r="H1099" s="93"/>
      <c r="I1099" s="93"/>
      <c r="J1099" s="93"/>
    </row>
    <row r="1100" spans="1:10" s="65" customFormat="1" ht="14" x14ac:dyDescent="0.35">
      <c r="A1100" s="145"/>
      <c r="B1100" s="93"/>
      <c r="C1100" s="93"/>
      <c r="D1100" s="93"/>
      <c r="E1100" s="95"/>
      <c r="F1100" s="95"/>
      <c r="G1100" s="95"/>
      <c r="H1100" s="93"/>
      <c r="I1100" s="93"/>
      <c r="J1100" s="93"/>
    </row>
    <row r="1101" spans="1:10" s="65" customFormat="1" ht="14" x14ac:dyDescent="0.35">
      <c r="A1101" s="145"/>
      <c r="B1101" s="93"/>
      <c r="C1101" s="93"/>
      <c r="D1101" s="93"/>
      <c r="E1101" s="95"/>
      <c r="F1101" s="95"/>
      <c r="G1101" s="95"/>
      <c r="H1101" s="93"/>
      <c r="I1101" s="93"/>
      <c r="J1101" s="93"/>
    </row>
    <row r="1102" spans="1:10" s="65" customFormat="1" ht="14" x14ac:dyDescent="0.35">
      <c r="A1102" s="145"/>
      <c r="B1102" s="93"/>
      <c r="C1102" s="93"/>
      <c r="D1102" s="93"/>
      <c r="E1102" s="95"/>
      <c r="F1102" s="95"/>
      <c r="G1102" s="95"/>
      <c r="H1102" s="93"/>
      <c r="I1102" s="93"/>
      <c r="J1102" s="93"/>
    </row>
    <row r="1103" spans="1:10" s="65" customFormat="1" ht="14" x14ac:dyDescent="0.35">
      <c r="A1103" s="145"/>
      <c r="B1103" s="93"/>
      <c r="C1103" s="93"/>
      <c r="D1103" s="93"/>
      <c r="E1103" s="95"/>
      <c r="F1103" s="95"/>
      <c r="G1103" s="95"/>
      <c r="H1103" s="93"/>
      <c r="I1103" s="93"/>
      <c r="J1103" s="93"/>
    </row>
    <row r="1104" spans="1:10" s="65" customFormat="1" ht="14" x14ac:dyDescent="0.35">
      <c r="A1104" s="145"/>
      <c r="B1104" s="93"/>
      <c r="C1104" s="93"/>
      <c r="D1104" s="93"/>
      <c r="E1104" s="95"/>
      <c r="F1104" s="95"/>
      <c r="G1104" s="95"/>
      <c r="H1104" s="93"/>
      <c r="I1104" s="93"/>
      <c r="J1104" s="93"/>
    </row>
    <row r="1105" spans="1:10" s="65" customFormat="1" ht="14" x14ac:dyDescent="0.35">
      <c r="A1105" s="145"/>
      <c r="B1105" s="93"/>
      <c r="C1105" s="93"/>
      <c r="D1105" s="93"/>
      <c r="E1105" s="95"/>
      <c r="F1105" s="95"/>
      <c r="G1105" s="95"/>
      <c r="H1105" s="93"/>
      <c r="I1105" s="93"/>
      <c r="J1105" s="93"/>
    </row>
    <row r="1106" spans="1:10" s="65" customFormat="1" ht="14" x14ac:dyDescent="0.35">
      <c r="A1106" s="145"/>
      <c r="B1106" s="93"/>
      <c r="C1106" s="93"/>
      <c r="D1106" s="93"/>
      <c r="E1106" s="95"/>
      <c r="F1106" s="95"/>
      <c r="G1106" s="95"/>
      <c r="H1106" s="93"/>
      <c r="I1106" s="93"/>
      <c r="J1106" s="93"/>
    </row>
    <row r="1107" spans="1:10" s="65" customFormat="1" ht="14" x14ac:dyDescent="0.35">
      <c r="A1107" s="145"/>
      <c r="B1107" s="93"/>
      <c r="C1107" s="93"/>
      <c r="D1107" s="93"/>
      <c r="E1107" s="95"/>
      <c r="F1107" s="95"/>
      <c r="G1107" s="95"/>
      <c r="H1107" s="93"/>
      <c r="I1107" s="93"/>
      <c r="J1107" s="93"/>
    </row>
    <row r="1108" spans="1:10" s="65" customFormat="1" ht="14" x14ac:dyDescent="0.35">
      <c r="A1108" s="145"/>
      <c r="B1108" s="93"/>
      <c r="C1108" s="93"/>
      <c r="D1108" s="93"/>
      <c r="E1108" s="95"/>
      <c r="F1108" s="95"/>
      <c r="G1108" s="95"/>
      <c r="H1108" s="93"/>
      <c r="I1108" s="93"/>
      <c r="J1108" s="93"/>
    </row>
    <row r="1109" spans="1:10" s="65" customFormat="1" ht="14" x14ac:dyDescent="0.35">
      <c r="A1109" s="145"/>
      <c r="B1109" s="93"/>
      <c r="C1109" s="93"/>
      <c r="D1109" s="93"/>
      <c r="E1109" s="95"/>
      <c r="F1109" s="95"/>
      <c r="G1109" s="95"/>
      <c r="H1109" s="93"/>
      <c r="I1109" s="93"/>
      <c r="J1109" s="93"/>
    </row>
    <row r="1110" spans="1:10" s="65" customFormat="1" ht="14" x14ac:dyDescent="0.35">
      <c r="A1110" s="145"/>
      <c r="B1110" s="93"/>
      <c r="C1110" s="93"/>
      <c r="D1110" s="93"/>
      <c r="E1110" s="95"/>
      <c r="F1110" s="95"/>
      <c r="G1110" s="95"/>
      <c r="H1110" s="93"/>
      <c r="I1110" s="93"/>
      <c r="J1110" s="93"/>
    </row>
    <row r="1111" spans="1:10" s="65" customFormat="1" ht="14" x14ac:dyDescent="0.35">
      <c r="A1111" s="145"/>
      <c r="B1111" s="93"/>
      <c r="C1111" s="93"/>
      <c r="D1111" s="93"/>
      <c r="E1111" s="95"/>
      <c r="F1111" s="95"/>
      <c r="G1111" s="95"/>
      <c r="H1111" s="93"/>
      <c r="I1111" s="93"/>
      <c r="J1111" s="93"/>
    </row>
    <row r="1112" spans="1:10" s="65" customFormat="1" ht="14" x14ac:dyDescent="0.35">
      <c r="A1112" s="145"/>
      <c r="B1112" s="93"/>
      <c r="C1112" s="93"/>
      <c r="D1112" s="93"/>
      <c r="E1112" s="95"/>
      <c r="F1112" s="95"/>
      <c r="G1112" s="95"/>
      <c r="H1112" s="93"/>
      <c r="I1112" s="93"/>
      <c r="J1112" s="93"/>
    </row>
    <row r="1113" spans="1:10" s="65" customFormat="1" ht="14" x14ac:dyDescent="0.35">
      <c r="A1113" s="145"/>
      <c r="B1113" s="93"/>
      <c r="C1113" s="93"/>
      <c r="D1113" s="93"/>
      <c r="E1113" s="95"/>
      <c r="F1113" s="95"/>
      <c r="G1113" s="95"/>
      <c r="H1113" s="93"/>
      <c r="I1113" s="93"/>
      <c r="J1113" s="93"/>
    </row>
    <row r="1114" spans="1:10" s="65" customFormat="1" ht="14" x14ac:dyDescent="0.35">
      <c r="A1114" s="145"/>
      <c r="B1114" s="93"/>
      <c r="C1114" s="93"/>
      <c r="D1114" s="93"/>
      <c r="E1114" s="95"/>
      <c r="F1114" s="95"/>
      <c r="G1114" s="95"/>
      <c r="H1114" s="93"/>
      <c r="I1114" s="93"/>
      <c r="J1114" s="93"/>
    </row>
    <row r="1115" spans="1:10" s="65" customFormat="1" ht="14" x14ac:dyDescent="0.35">
      <c r="A1115" s="145"/>
      <c r="B1115" s="93"/>
      <c r="C1115" s="93"/>
      <c r="D1115" s="93"/>
      <c r="E1115" s="95"/>
      <c r="F1115" s="95"/>
      <c r="G1115" s="95"/>
      <c r="H1115" s="93"/>
      <c r="I1115" s="93"/>
      <c r="J1115" s="93"/>
    </row>
    <row r="1116" spans="1:10" s="65" customFormat="1" ht="14" x14ac:dyDescent="0.35">
      <c r="A1116" s="145"/>
      <c r="B1116" s="93"/>
      <c r="C1116" s="93"/>
      <c r="D1116" s="93"/>
      <c r="E1116" s="95"/>
      <c r="F1116" s="95"/>
      <c r="G1116" s="95"/>
      <c r="H1116" s="93"/>
      <c r="I1116" s="93"/>
      <c r="J1116" s="93"/>
    </row>
    <row r="1117" spans="1:10" s="65" customFormat="1" ht="14" x14ac:dyDescent="0.35">
      <c r="A1117" s="145"/>
      <c r="B1117" s="93"/>
      <c r="C1117" s="93"/>
      <c r="D1117" s="93"/>
      <c r="E1117" s="95"/>
      <c r="F1117" s="95"/>
      <c r="G1117" s="95"/>
      <c r="H1117" s="93"/>
      <c r="I1117" s="93"/>
      <c r="J1117" s="93"/>
    </row>
    <row r="1118" spans="1:10" s="65" customFormat="1" ht="14" x14ac:dyDescent="0.35">
      <c r="A1118" s="145"/>
      <c r="B1118" s="93"/>
      <c r="C1118" s="93"/>
      <c r="D1118" s="93"/>
      <c r="E1118" s="95"/>
      <c r="F1118" s="95"/>
      <c r="G1118" s="95"/>
      <c r="H1118" s="93"/>
      <c r="I1118" s="93"/>
      <c r="J1118" s="93"/>
    </row>
    <row r="1119" spans="1:10" s="65" customFormat="1" ht="14" x14ac:dyDescent="0.35">
      <c r="A1119" s="145"/>
      <c r="B1119" s="93"/>
      <c r="C1119" s="93"/>
      <c r="D1119" s="93"/>
      <c r="E1119" s="95"/>
      <c r="F1119" s="95"/>
      <c r="G1119" s="95"/>
      <c r="H1119" s="93"/>
      <c r="I1119" s="93"/>
      <c r="J1119" s="93"/>
    </row>
    <row r="1120" spans="1:10" s="65" customFormat="1" ht="14" x14ac:dyDescent="0.35">
      <c r="A1120" s="145"/>
      <c r="B1120" s="93"/>
      <c r="C1120" s="93"/>
      <c r="D1120" s="93"/>
      <c r="E1120" s="95"/>
      <c r="F1120" s="95"/>
      <c r="G1120" s="95"/>
      <c r="H1120" s="93"/>
      <c r="I1120" s="93"/>
      <c r="J1120" s="93"/>
    </row>
    <row r="1121" spans="1:10" s="65" customFormat="1" ht="14" x14ac:dyDescent="0.35">
      <c r="A1121" s="145"/>
      <c r="B1121" s="93"/>
      <c r="C1121" s="93"/>
      <c r="D1121" s="93"/>
      <c r="E1121" s="95"/>
      <c r="F1121" s="95"/>
      <c r="G1121" s="95"/>
      <c r="H1121" s="93"/>
      <c r="I1121" s="93"/>
      <c r="J1121" s="93"/>
    </row>
    <row r="1122" spans="1:10" s="65" customFormat="1" ht="14" x14ac:dyDescent="0.35">
      <c r="A1122" s="145"/>
      <c r="B1122" s="93"/>
      <c r="C1122" s="93"/>
      <c r="D1122" s="93"/>
      <c r="E1122" s="95"/>
      <c r="F1122" s="95"/>
      <c r="G1122" s="95"/>
      <c r="H1122" s="93"/>
      <c r="I1122" s="93"/>
      <c r="J1122" s="93"/>
    </row>
    <row r="1123" spans="1:10" s="65" customFormat="1" ht="14" x14ac:dyDescent="0.35">
      <c r="A1123" s="145"/>
      <c r="B1123" s="93"/>
      <c r="C1123" s="93"/>
      <c r="D1123" s="93"/>
      <c r="E1123" s="95"/>
      <c r="F1123" s="95"/>
      <c r="G1123" s="95"/>
      <c r="H1123" s="93"/>
      <c r="I1123" s="93"/>
      <c r="J1123" s="93"/>
    </row>
    <row r="1124" spans="1:10" s="65" customFormat="1" ht="14" x14ac:dyDescent="0.35">
      <c r="A1124" s="145"/>
      <c r="B1124" s="93"/>
      <c r="C1124" s="93"/>
      <c r="D1124" s="93"/>
      <c r="E1124" s="95"/>
      <c r="F1124" s="95"/>
      <c r="G1124" s="95"/>
      <c r="H1124" s="93"/>
      <c r="I1124" s="93"/>
      <c r="J1124" s="93"/>
    </row>
    <row r="1125" spans="1:10" s="65" customFormat="1" ht="14" x14ac:dyDescent="0.35">
      <c r="A1125" s="145"/>
      <c r="B1125" s="93"/>
      <c r="C1125" s="93"/>
      <c r="D1125" s="93"/>
      <c r="E1125" s="95"/>
      <c r="F1125" s="95"/>
      <c r="G1125" s="95"/>
      <c r="H1125" s="93"/>
      <c r="I1125" s="93"/>
      <c r="J1125" s="93"/>
    </row>
    <row r="1126" spans="1:10" s="65" customFormat="1" ht="14" x14ac:dyDescent="0.35">
      <c r="A1126" s="145"/>
      <c r="B1126" s="93"/>
      <c r="C1126" s="93"/>
      <c r="D1126" s="93"/>
      <c r="E1126" s="95"/>
      <c r="F1126" s="95"/>
      <c r="G1126" s="95"/>
      <c r="H1126" s="93"/>
      <c r="I1126" s="93"/>
      <c r="J1126" s="93"/>
    </row>
    <row r="1127" spans="1:10" s="65" customFormat="1" ht="14" x14ac:dyDescent="0.35">
      <c r="A1127" s="145"/>
      <c r="B1127" s="93"/>
      <c r="C1127" s="93"/>
      <c r="D1127" s="93"/>
      <c r="E1127" s="95"/>
      <c r="F1127" s="95"/>
      <c r="G1127" s="95"/>
      <c r="H1127" s="93"/>
      <c r="I1127" s="93"/>
      <c r="J1127" s="93"/>
    </row>
    <row r="1128" spans="1:10" s="65" customFormat="1" ht="14" x14ac:dyDescent="0.35">
      <c r="A1128" s="145"/>
      <c r="B1128" s="93"/>
      <c r="C1128" s="93"/>
      <c r="D1128" s="93"/>
      <c r="E1128" s="95"/>
      <c r="F1128" s="95"/>
      <c r="G1128" s="95"/>
      <c r="H1128" s="93"/>
      <c r="I1128" s="93"/>
      <c r="J1128" s="93"/>
    </row>
    <row r="1129" spans="1:10" s="65" customFormat="1" ht="14" x14ac:dyDescent="0.35">
      <c r="A1129" s="145"/>
      <c r="B1129" s="93"/>
      <c r="C1129" s="93"/>
      <c r="D1129" s="93"/>
      <c r="E1129" s="95"/>
      <c r="F1129" s="95"/>
      <c r="G1129" s="95"/>
      <c r="H1129" s="93"/>
      <c r="I1129" s="93"/>
      <c r="J1129" s="93"/>
    </row>
    <row r="1130" spans="1:10" s="65" customFormat="1" ht="14" x14ac:dyDescent="0.35">
      <c r="A1130" s="145"/>
      <c r="B1130" s="93"/>
      <c r="C1130" s="93"/>
      <c r="D1130" s="93"/>
      <c r="E1130" s="95"/>
      <c r="F1130" s="95"/>
      <c r="G1130" s="95"/>
      <c r="H1130" s="93"/>
      <c r="I1130" s="93"/>
      <c r="J1130" s="93"/>
    </row>
    <row r="1131" spans="1:10" s="65" customFormat="1" ht="14" x14ac:dyDescent="0.35">
      <c r="A1131" s="145"/>
      <c r="B1131" s="93"/>
      <c r="C1131" s="93"/>
      <c r="D1131" s="93"/>
      <c r="E1131" s="95"/>
      <c r="F1131" s="95"/>
      <c r="G1131" s="95"/>
      <c r="H1131" s="93"/>
      <c r="I1131" s="93"/>
      <c r="J1131" s="93"/>
    </row>
    <row r="1132" spans="1:10" s="65" customFormat="1" ht="14" x14ac:dyDescent="0.35">
      <c r="A1132" s="145"/>
      <c r="B1132" s="93"/>
      <c r="C1132" s="93"/>
      <c r="D1132" s="93"/>
      <c r="E1132" s="95"/>
      <c r="F1132" s="95"/>
      <c r="G1132" s="95"/>
      <c r="H1132" s="93"/>
      <c r="I1132" s="93"/>
      <c r="J1132" s="93"/>
    </row>
    <row r="1133" spans="1:10" s="65" customFormat="1" ht="14" x14ac:dyDescent="0.35">
      <c r="A1133" s="145"/>
      <c r="B1133" s="93"/>
      <c r="C1133" s="93"/>
      <c r="D1133" s="93"/>
      <c r="E1133" s="95"/>
      <c r="F1133" s="95"/>
      <c r="G1133" s="95"/>
      <c r="H1133" s="93"/>
      <c r="I1133" s="93"/>
      <c r="J1133" s="93"/>
    </row>
    <row r="1134" spans="1:10" s="65" customFormat="1" ht="14" x14ac:dyDescent="0.35">
      <c r="A1134" s="145"/>
      <c r="B1134" s="93"/>
      <c r="C1134" s="93"/>
      <c r="D1134" s="93"/>
      <c r="E1134" s="95"/>
      <c r="F1134" s="95"/>
      <c r="G1134" s="95"/>
      <c r="H1134" s="93"/>
      <c r="I1134" s="93"/>
      <c r="J1134" s="93"/>
    </row>
    <row r="1135" spans="1:10" s="65" customFormat="1" ht="14" x14ac:dyDescent="0.35">
      <c r="A1135" s="145"/>
      <c r="B1135" s="93"/>
      <c r="C1135" s="93"/>
      <c r="D1135" s="93"/>
      <c r="E1135" s="95"/>
      <c r="F1135" s="95"/>
      <c r="G1135" s="95"/>
      <c r="H1135" s="93"/>
      <c r="I1135" s="93"/>
      <c r="J1135" s="93"/>
    </row>
    <row r="1136" spans="1:10" s="65" customFormat="1" ht="14" x14ac:dyDescent="0.35">
      <c r="A1136" s="145"/>
      <c r="B1136" s="93"/>
      <c r="C1136" s="93"/>
      <c r="D1136" s="93"/>
      <c r="E1136" s="95"/>
      <c r="F1136" s="95"/>
      <c r="G1136" s="95"/>
      <c r="H1136" s="93"/>
      <c r="I1136" s="93"/>
      <c r="J1136" s="93"/>
    </row>
    <row r="1137" spans="1:10" s="65" customFormat="1" ht="14" x14ac:dyDescent="0.35">
      <c r="A1137" s="145"/>
      <c r="B1137" s="93"/>
      <c r="C1137" s="93"/>
      <c r="D1137" s="93"/>
      <c r="E1137" s="95"/>
      <c r="F1137" s="95"/>
      <c r="G1137" s="95"/>
      <c r="H1137" s="93"/>
      <c r="I1137" s="93"/>
      <c r="J1137" s="93"/>
    </row>
    <row r="1138" spans="1:10" s="65" customFormat="1" ht="14" x14ac:dyDescent="0.35">
      <c r="A1138" s="145"/>
      <c r="B1138" s="93"/>
      <c r="C1138" s="93"/>
      <c r="D1138" s="93"/>
      <c r="E1138" s="95"/>
      <c r="F1138" s="95"/>
      <c r="G1138" s="95"/>
      <c r="H1138" s="93"/>
      <c r="I1138" s="93"/>
      <c r="J1138" s="93"/>
    </row>
    <row r="1139" spans="1:10" s="65" customFormat="1" ht="14" x14ac:dyDescent="0.35">
      <c r="A1139" s="145"/>
      <c r="B1139" s="93"/>
      <c r="C1139" s="93"/>
      <c r="D1139" s="93"/>
      <c r="E1139" s="95"/>
      <c r="F1139" s="95"/>
      <c r="G1139" s="95"/>
      <c r="H1139" s="93"/>
      <c r="I1139" s="93"/>
      <c r="J1139" s="93"/>
    </row>
    <row r="1140" spans="1:10" s="65" customFormat="1" ht="14" x14ac:dyDescent="0.35">
      <c r="A1140" s="145"/>
      <c r="B1140" s="93"/>
      <c r="C1140" s="93"/>
      <c r="D1140" s="93"/>
      <c r="E1140" s="95"/>
      <c r="F1140" s="95"/>
      <c r="G1140" s="95"/>
      <c r="H1140" s="93"/>
      <c r="I1140" s="93"/>
      <c r="J1140" s="93"/>
    </row>
    <row r="1141" spans="1:10" s="65" customFormat="1" ht="14" x14ac:dyDescent="0.35">
      <c r="A1141" s="145"/>
      <c r="B1141" s="93"/>
      <c r="C1141" s="93"/>
      <c r="D1141" s="93"/>
      <c r="E1141" s="95"/>
      <c r="F1141" s="95"/>
      <c r="G1141" s="95"/>
      <c r="H1141" s="93"/>
      <c r="I1141" s="93"/>
      <c r="J1141" s="93"/>
    </row>
    <row r="1142" spans="1:10" s="65" customFormat="1" ht="14" x14ac:dyDescent="0.35">
      <c r="A1142" s="145"/>
      <c r="B1142" s="93"/>
      <c r="C1142" s="93"/>
      <c r="D1142" s="93"/>
      <c r="E1142" s="95"/>
      <c r="F1142" s="95"/>
      <c r="G1142" s="95"/>
      <c r="H1142" s="93"/>
      <c r="I1142" s="93"/>
      <c r="J1142" s="93"/>
    </row>
    <row r="1143" spans="1:10" s="65" customFormat="1" ht="14" x14ac:dyDescent="0.35">
      <c r="A1143" s="145"/>
      <c r="B1143" s="93"/>
      <c r="C1143" s="93"/>
      <c r="D1143" s="93"/>
      <c r="E1143" s="95"/>
      <c r="F1143" s="95"/>
      <c r="G1143" s="95"/>
      <c r="H1143" s="93"/>
      <c r="I1143" s="93"/>
      <c r="J1143" s="93"/>
    </row>
    <row r="1144" spans="1:10" s="65" customFormat="1" ht="14" x14ac:dyDescent="0.35">
      <c r="A1144" s="145"/>
      <c r="B1144" s="93"/>
      <c r="C1144" s="93"/>
      <c r="D1144" s="93"/>
      <c r="E1144" s="95"/>
      <c r="F1144" s="95"/>
      <c r="G1144" s="95"/>
      <c r="H1144" s="93"/>
      <c r="I1144" s="93"/>
      <c r="J1144" s="93"/>
    </row>
    <row r="1145" spans="1:10" s="65" customFormat="1" ht="14" x14ac:dyDescent="0.35">
      <c r="A1145" s="145"/>
      <c r="B1145" s="93"/>
      <c r="C1145" s="93"/>
      <c r="D1145" s="93"/>
      <c r="E1145" s="95"/>
      <c r="F1145" s="95"/>
      <c r="G1145" s="95"/>
      <c r="H1145" s="93"/>
      <c r="I1145" s="93"/>
      <c r="J1145" s="93"/>
    </row>
    <row r="1146" spans="1:10" s="65" customFormat="1" ht="14" x14ac:dyDescent="0.35">
      <c r="A1146" s="145"/>
      <c r="B1146" s="93"/>
      <c r="C1146" s="93"/>
      <c r="D1146" s="93"/>
      <c r="E1146" s="95"/>
      <c r="F1146" s="95"/>
      <c r="G1146" s="95"/>
      <c r="H1146" s="93"/>
      <c r="I1146" s="93"/>
      <c r="J1146" s="93"/>
    </row>
    <row r="1147" spans="1:10" s="65" customFormat="1" ht="14" x14ac:dyDescent="0.35">
      <c r="A1147" s="145"/>
      <c r="B1147" s="93"/>
      <c r="C1147" s="93"/>
      <c r="D1147" s="93"/>
      <c r="E1147" s="95"/>
      <c r="F1147" s="95"/>
      <c r="G1147" s="95"/>
      <c r="H1147" s="93"/>
      <c r="I1147" s="93"/>
      <c r="J1147" s="93"/>
    </row>
    <row r="1148" spans="1:10" s="65" customFormat="1" ht="14" x14ac:dyDescent="0.35">
      <c r="A1148" s="145"/>
      <c r="B1148" s="93"/>
      <c r="C1148" s="93"/>
      <c r="D1148" s="93"/>
      <c r="E1148" s="95"/>
      <c r="F1148" s="95"/>
      <c r="G1148" s="95"/>
      <c r="H1148" s="93"/>
      <c r="I1148" s="93"/>
      <c r="J1148" s="93"/>
    </row>
    <row r="1149" spans="1:10" s="65" customFormat="1" ht="14" x14ac:dyDescent="0.35">
      <c r="A1149" s="145"/>
      <c r="B1149" s="93"/>
      <c r="C1149" s="93"/>
      <c r="D1149" s="93"/>
      <c r="E1149" s="95"/>
      <c r="F1149" s="95"/>
      <c r="G1149" s="95"/>
      <c r="H1149" s="93"/>
      <c r="I1149" s="93"/>
      <c r="J1149" s="93"/>
    </row>
    <row r="1150" spans="1:10" s="65" customFormat="1" ht="14" x14ac:dyDescent="0.35">
      <c r="A1150" s="145"/>
      <c r="B1150" s="93"/>
      <c r="C1150" s="93"/>
      <c r="D1150" s="93"/>
      <c r="E1150" s="95"/>
      <c r="F1150" s="95"/>
      <c r="G1150" s="95"/>
      <c r="H1150" s="93"/>
      <c r="I1150" s="93"/>
      <c r="J1150" s="93"/>
    </row>
    <row r="1151" spans="1:10" s="65" customFormat="1" ht="14" x14ac:dyDescent="0.35">
      <c r="A1151" s="145"/>
      <c r="B1151" s="93"/>
      <c r="C1151" s="93"/>
      <c r="D1151" s="93"/>
      <c r="E1151" s="95"/>
      <c r="F1151" s="95"/>
      <c r="G1151" s="95"/>
      <c r="H1151" s="93"/>
      <c r="I1151" s="93"/>
      <c r="J1151" s="93"/>
    </row>
    <row r="1152" spans="1:10" s="65" customFormat="1" ht="14" x14ac:dyDescent="0.35">
      <c r="A1152" s="145"/>
      <c r="B1152" s="93"/>
      <c r="C1152" s="93"/>
      <c r="D1152" s="93"/>
      <c r="E1152" s="95"/>
      <c r="F1152" s="95"/>
      <c r="G1152" s="95"/>
      <c r="H1152" s="93"/>
      <c r="I1152" s="93"/>
      <c r="J1152" s="93"/>
    </row>
    <row r="1153" spans="1:10" s="65" customFormat="1" ht="14" x14ac:dyDescent="0.35">
      <c r="A1153" s="145"/>
      <c r="B1153" s="93"/>
      <c r="C1153" s="93"/>
      <c r="D1153" s="93"/>
      <c r="E1153" s="95"/>
      <c r="F1153" s="95"/>
      <c r="G1153" s="95"/>
      <c r="H1153" s="93"/>
      <c r="I1153" s="93"/>
      <c r="J1153" s="93"/>
    </row>
    <row r="1154" spans="1:10" s="65" customFormat="1" ht="14" x14ac:dyDescent="0.35">
      <c r="A1154" s="145"/>
      <c r="B1154" s="93"/>
      <c r="C1154" s="93"/>
      <c r="D1154" s="93"/>
      <c r="E1154" s="95"/>
      <c r="F1154" s="95"/>
      <c r="G1154" s="95"/>
      <c r="H1154" s="93"/>
      <c r="I1154" s="93"/>
      <c r="J1154" s="93"/>
    </row>
    <row r="1155" spans="1:10" s="65" customFormat="1" ht="14" x14ac:dyDescent="0.35">
      <c r="A1155" s="145"/>
      <c r="B1155" s="93"/>
      <c r="C1155" s="93"/>
      <c r="D1155" s="93"/>
      <c r="E1155" s="95"/>
      <c r="F1155" s="95"/>
      <c r="G1155" s="95"/>
      <c r="H1155" s="93"/>
      <c r="I1155" s="93"/>
      <c r="J1155" s="93"/>
    </row>
    <row r="1156" spans="1:10" s="65" customFormat="1" ht="14" x14ac:dyDescent="0.35">
      <c r="A1156" s="145"/>
      <c r="B1156" s="93"/>
      <c r="C1156" s="93"/>
      <c r="D1156" s="93"/>
      <c r="E1156" s="95"/>
      <c r="F1156" s="95"/>
      <c r="G1156" s="95"/>
      <c r="H1156" s="93"/>
      <c r="I1156" s="93"/>
      <c r="J1156" s="93"/>
    </row>
    <row r="1157" spans="1:10" s="65" customFormat="1" ht="14" x14ac:dyDescent="0.35">
      <c r="A1157" s="145"/>
      <c r="B1157" s="93"/>
      <c r="C1157" s="93"/>
      <c r="D1157" s="93"/>
      <c r="E1157" s="95"/>
      <c r="F1157" s="95"/>
      <c r="G1157" s="95"/>
      <c r="H1157" s="93"/>
      <c r="I1157" s="93"/>
      <c r="J1157" s="93"/>
    </row>
    <row r="1158" spans="1:10" s="65" customFormat="1" ht="14" x14ac:dyDescent="0.35">
      <c r="A1158" s="145"/>
      <c r="B1158" s="93"/>
      <c r="C1158" s="93"/>
      <c r="D1158" s="93"/>
      <c r="E1158" s="95"/>
      <c r="F1158" s="95"/>
      <c r="G1158" s="95"/>
      <c r="H1158" s="93"/>
      <c r="I1158" s="93"/>
      <c r="J1158" s="93"/>
    </row>
    <row r="1159" spans="1:10" s="65" customFormat="1" ht="14" x14ac:dyDescent="0.35">
      <c r="A1159" s="145"/>
      <c r="B1159" s="93"/>
      <c r="C1159" s="93"/>
      <c r="D1159" s="93"/>
      <c r="E1159" s="95"/>
      <c r="F1159" s="95"/>
      <c r="G1159" s="95"/>
      <c r="H1159" s="93"/>
      <c r="I1159" s="93"/>
      <c r="J1159" s="93"/>
    </row>
    <row r="1160" spans="1:10" s="65" customFormat="1" ht="14" x14ac:dyDescent="0.35">
      <c r="A1160" s="145"/>
      <c r="B1160" s="93"/>
      <c r="C1160" s="93"/>
      <c r="D1160" s="93"/>
      <c r="E1160" s="95"/>
      <c r="F1160" s="95"/>
      <c r="G1160" s="95"/>
      <c r="H1160" s="93"/>
      <c r="I1160" s="93"/>
      <c r="J1160" s="93"/>
    </row>
    <row r="1161" spans="1:10" s="65" customFormat="1" ht="14" x14ac:dyDescent="0.35">
      <c r="A1161" s="145"/>
      <c r="B1161" s="93"/>
      <c r="C1161" s="93"/>
      <c r="D1161" s="93"/>
      <c r="E1161" s="95"/>
      <c r="F1161" s="95"/>
      <c r="G1161" s="95"/>
      <c r="H1161" s="93"/>
      <c r="I1161" s="93"/>
      <c r="J1161" s="93"/>
    </row>
    <row r="1162" spans="1:10" s="65" customFormat="1" ht="14" x14ac:dyDescent="0.35">
      <c r="A1162" s="145"/>
      <c r="B1162" s="93"/>
      <c r="C1162" s="93"/>
      <c r="D1162" s="93"/>
      <c r="E1162" s="95"/>
      <c r="F1162" s="95"/>
      <c r="G1162" s="95"/>
      <c r="H1162" s="93"/>
      <c r="I1162" s="93"/>
      <c r="J1162" s="93"/>
    </row>
    <row r="1163" spans="1:10" s="65" customFormat="1" ht="14" x14ac:dyDescent="0.35">
      <c r="A1163" s="145"/>
      <c r="B1163" s="93"/>
      <c r="C1163" s="93"/>
      <c r="D1163" s="93"/>
      <c r="E1163" s="95"/>
      <c r="F1163" s="95"/>
      <c r="G1163" s="95"/>
      <c r="H1163" s="93"/>
      <c r="I1163" s="93"/>
      <c r="J1163" s="93"/>
    </row>
    <row r="1164" spans="1:10" s="65" customFormat="1" ht="14" x14ac:dyDescent="0.35">
      <c r="A1164" s="145"/>
      <c r="B1164" s="93"/>
      <c r="C1164" s="93"/>
      <c r="D1164" s="93"/>
      <c r="E1164" s="95"/>
      <c r="F1164" s="95"/>
      <c r="G1164" s="95"/>
      <c r="H1164" s="93"/>
      <c r="I1164" s="93"/>
      <c r="J1164" s="93"/>
    </row>
    <row r="1165" spans="1:10" s="65" customFormat="1" ht="14" x14ac:dyDescent="0.35">
      <c r="A1165" s="145"/>
      <c r="B1165" s="93"/>
      <c r="C1165" s="93"/>
      <c r="D1165" s="93"/>
      <c r="E1165" s="95"/>
      <c r="F1165" s="95"/>
      <c r="G1165" s="95"/>
      <c r="H1165" s="93"/>
      <c r="I1165" s="93"/>
      <c r="J1165" s="93"/>
    </row>
    <row r="1166" spans="1:10" s="65" customFormat="1" ht="14" x14ac:dyDescent="0.35">
      <c r="A1166" s="145"/>
      <c r="B1166" s="93"/>
      <c r="C1166" s="93"/>
      <c r="D1166" s="93"/>
      <c r="E1166" s="95"/>
      <c r="F1166" s="95"/>
      <c r="G1166" s="95"/>
      <c r="H1166" s="93"/>
      <c r="I1166" s="93"/>
      <c r="J1166" s="93"/>
    </row>
    <row r="1167" spans="1:10" s="65" customFormat="1" ht="14" x14ac:dyDescent="0.35">
      <c r="A1167" s="145"/>
      <c r="B1167" s="93"/>
      <c r="C1167" s="93"/>
      <c r="D1167" s="93"/>
      <c r="E1167" s="95"/>
      <c r="F1167" s="95"/>
      <c r="G1167" s="95"/>
      <c r="H1167" s="93"/>
      <c r="I1167" s="93"/>
      <c r="J1167" s="93"/>
    </row>
    <row r="1168" spans="1:10" s="65" customFormat="1" ht="14" x14ac:dyDescent="0.35">
      <c r="A1168" s="145"/>
      <c r="B1168" s="93"/>
      <c r="C1168" s="93"/>
      <c r="D1168" s="93"/>
      <c r="E1168" s="95"/>
      <c r="F1168" s="95"/>
      <c r="G1168" s="95"/>
      <c r="H1168" s="93"/>
      <c r="I1168" s="93"/>
      <c r="J1168" s="93"/>
    </row>
    <row r="1169" spans="1:10" s="65" customFormat="1" ht="14" x14ac:dyDescent="0.35">
      <c r="A1169" s="145"/>
      <c r="B1169" s="93"/>
      <c r="C1169" s="93"/>
      <c r="D1169" s="93"/>
      <c r="E1169" s="95"/>
      <c r="F1169" s="95"/>
      <c r="G1169" s="95"/>
      <c r="H1169" s="93"/>
      <c r="I1169" s="93"/>
      <c r="J1169" s="93"/>
    </row>
    <row r="1170" spans="1:10" s="65" customFormat="1" ht="14" x14ac:dyDescent="0.35">
      <c r="A1170" s="145"/>
      <c r="B1170" s="93"/>
      <c r="C1170" s="93"/>
      <c r="D1170" s="93"/>
      <c r="E1170" s="95"/>
      <c r="F1170" s="95"/>
      <c r="G1170" s="95"/>
      <c r="H1170" s="93"/>
      <c r="I1170" s="93"/>
      <c r="J1170" s="93"/>
    </row>
    <row r="1171" spans="1:10" s="65" customFormat="1" ht="14" x14ac:dyDescent="0.35">
      <c r="A1171" s="145"/>
      <c r="B1171" s="93"/>
      <c r="C1171" s="93"/>
      <c r="D1171" s="93"/>
      <c r="E1171" s="95"/>
      <c r="F1171" s="95"/>
      <c r="G1171" s="95"/>
      <c r="H1171" s="93"/>
      <c r="I1171" s="93"/>
      <c r="J1171" s="93"/>
    </row>
    <row r="1172" spans="1:10" s="65" customFormat="1" ht="14" x14ac:dyDescent="0.35">
      <c r="A1172" s="145"/>
      <c r="B1172" s="93"/>
      <c r="C1172" s="93"/>
      <c r="D1172" s="93"/>
      <c r="E1172" s="95"/>
      <c r="F1172" s="95"/>
      <c r="G1172" s="95"/>
      <c r="H1172" s="93"/>
      <c r="I1172" s="93"/>
      <c r="J1172" s="93"/>
    </row>
    <row r="1173" spans="1:10" s="65" customFormat="1" ht="14" x14ac:dyDescent="0.35">
      <c r="A1173" s="145"/>
      <c r="B1173" s="93"/>
      <c r="C1173" s="93"/>
      <c r="D1173" s="93"/>
      <c r="E1173" s="95"/>
      <c r="F1173" s="95"/>
      <c r="G1173" s="95"/>
      <c r="H1173" s="93"/>
      <c r="I1173" s="93"/>
      <c r="J1173" s="93"/>
    </row>
    <row r="1174" spans="1:10" s="65" customFormat="1" ht="14" x14ac:dyDescent="0.35">
      <c r="A1174" s="145"/>
      <c r="B1174" s="93"/>
      <c r="C1174" s="93"/>
      <c r="D1174" s="93"/>
      <c r="E1174" s="95"/>
      <c r="F1174" s="95"/>
      <c r="G1174" s="95"/>
      <c r="H1174" s="93"/>
      <c r="I1174" s="93"/>
      <c r="J1174" s="93"/>
    </row>
    <row r="1175" spans="1:10" s="65" customFormat="1" ht="14" x14ac:dyDescent="0.35">
      <c r="A1175" s="145"/>
      <c r="B1175" s="93"/>
      <c r="C1175" s="93"/>
      <c r="D1175" s="93"/>
      <c r="E1175" s="95"/>
      <c r="F1175" s="95"/>
      <c r="G1175" s="95"/>
      <c r="H1175" s="93"/>
      <c r="I1175" s="93"/>
      <c r="J1175" s="93"/>
    </row>
    <row r="1176" spans="1:10" s="65" customFormat="1" ht="14" x14ac:dyDescent="0.35">
      <c r="A1176" s="145"/>
      <c r="B1176" s="93"/>
      <c r="C1176" s="93"/>
      <c r="D1176" s="93"/>
      <c r="E1176" s="95"/>
      <c r="F1176" s="95"/>
      <c r="G1176" s="95"/>
      <c r="H1176" s="93"/>
      <c r="I1176" s="93"/>
      <c r="J1176" s="93"/>
    </row>
    <row r="1177" spans="1:10" s="65" customFormat="1" ht="14" x14ac:dyDescent="0.35">
      <c r="A1177" s="145"/>
      <c r="B1177" s="93"/>
      <c r="C1177" s="93"/>
      <c r="D1177" s="93"/>
      <c r="E1177" s="95"/>
      <c r="F1177" s="95"/>
      <c r="G1177" s="95"/>
      <c r="H1177" s="93"/>
      <c r="I1177" s="93"/>
      <c r="J1177" s="93"/>
    </row>
    <row r="1178" spans="1:10" s="65" customFormat="1" ht="14" x14ac:dyDescent="0.35">
      <c r="A1178" s="145"/>
      <c r="B1178" s="93"/>
      <c r="C1178" s="93"/>
      <c r="D1178" s="93"/>
      <c r="E1178" s="95"/>
      <c r="F1178" s="95"/>
      <c r="G1178" s="95"/>
      <c r="H1178" s="93"/>
      <c r="I1178" s="93"/>
      <c r="J1178" s="93"/>
    </row>
    <row r="1179" spans="1:10" s="65" customFormat="1" ht="14" x14ac:dyDescent="0.35">
      <c r="A1179" s="145"/>
      <c r="B1179" s="93"/>
      <c r="C1179" s="93"/>
      <c r="D1179" s="93"/>
      <c r="E1179" s="95"/>
      <c r="F1179" s="95"/>
      <c r="G1179" s="95"/>
      <c r="H1179" s="93"/>
      <c r="I1179" s="93"/>
      <c r="J1179" s="93"/>
    </row>
    <row r="1180" spans="1:10" s="65" customFormat="1" ht="14" x14ac:dyDescent="0.35">
      <c r="A1180" s="145"/>
      <c r="B1180" s="93"/>
      <c r="C1180" s="93"/>
      <c r="D1180" s="93"/>
      <c r="E1180" s="95"/>
      <c r="F1180" s="95"/>
      <c r="G1180" s="95"/>
      <c r="H1180" s="93"/>
      <c r="I1180" s="93"/>
      <c r="J1180" s="93"/>
    </row>
    <row r="1181" spans="1:10" s="65" customFormat="1" ht="14" x14ac:dyDescent="0.35">
      <c r="A1181" s="145"/>
      <c r="B1181" s="93"/>
      <c r="C1181" s="93"/>
      <c r="D1181" s="93"/>
      <c r="E1181" s="95"/>
      <c r="F1181" s="95"/>
      <c r="G1181" s="95"/>
      <c r="H1181" s="93"/>
      <c r="I1181" s="93"/>
      <c r="J1181" s="93"/>
    </row>
    <row r="1182" spans="1:10" s="65" customFormat="1" ht="14" x14ac:dyDescent="0.35">
      <c r="A1182" s="145"/>
      <c r="B1182" s="93"/>
      <c r="C1182" s="93"/>
      <c r="D1182" s="93"/>
      <c r="E1182" s="95"/>
      <c r="F1182" s="95"/>
      <c r="G1182" s="95"/>
      <c r="H1182" s="93"/>
      <c r="I1182" s="93"/>
      <c r="J1182" s="93"/>
    </row>
    <row r="1183" spans="1:10" s="65" customFormat="1" ht="14" x14ac:dyDescent="0.35">
      <c r="A1183" s="145"/>
      <c r="B1183" s="93"/>
      <c r="C1183" s="93"/>
      <c r="D1183" s="93"/>
      <c r="E1183" s="95"/>
      <c r="F1183" s="95"/>
      <c r="G1183" s="95"/>
      <c r="H1183" s="93"/>
      <c r="I1183" s="93"/>
      <c r="J1183" s="93"/>
    </row>
    <row r="1184" spans="1:10" s="65" customFormat="1" ht="14" x14ac:dyDescent="0.35">
      <c r="A1184" s="145"/>
      <c r="B1184" s="93"/>
      <c r="C1184" s="93"/>
      <c r="D1184" s="93"/>
      <c r="E1184" s="95"/>
      <c r="F1184" s="95"/>
      <c r="G1184" s="95"/>
      <c r="H1184" s="93"/>
      <c r="I1184" s="93"/>
      <c r="J1184" s="93"/>
    </row>
    <row r="1185" spans="1:10" s="65" customFormat="1" ht="14" x14ac:dyDescent="0.35">
      <c r="A1185" s="145"/>
      <c r="B1185" s="93"/>
      <c r="C1185" s="93"/>
      <c r="D1185" s="93"/>
      <c r="E1185" s="95"/>
      <c r="F1185" s="95"/>
      <c r="G1185" s="95"/>
      <c r="H1185" s="93"/>
      <c r="I1185" s="93"/>
      <c r="J1185" s="93"/>
    </row>
    <row r="1186" spans="1:10" s="65" customFormat="1" ht="14" x14ac:dyDescent="0.35">
      <c r="A1186" s="145"/>
      <c r="B1186" s="93"/>
      <c r="C1186" s="93"/>
      <c r="D1186" s="93"/>
      <c r="E1186" s="95"/>
      <c r="F1186" s="95"/>
      <c r="G1186" s="95"/>
      <c r="H1186" s="93"/>
      <c r="I1186" s="93"/>
      <c r="J1186" s="93"/>
    </row>
    <row r="1187" spans="1:10" s="65" customFormat="1" ht="14" x14ac:dyDescent="0.35">
      <c r="A1187" s="145"/>
      <c r="B1187" s="93"/>
      <c r="C1187" s="93"/>
      <c r="D1187" s="93"/>
      <c r="E1187" s="95"/>
      <c r="F1187" s="95"/>
      <c r="G1187" s="95"/>
      <c r="H1187" s="93"/>
      <c r="I1187" s="93"/>
      <c r="J1187" s="93"/>
    </row>
    <row r="1188" spans="1:10" s="65" customFormat="1" ht="14" x14ac:dyDescent="0.35">
      <c r="A1188" s="145"/>
      <c r="B1188" s="93"/>
      <c r="C1188" s="93"/>
      <c r="D1188" s="93"/>
      <c r="E1188" s="95"/>
      <c r="F1188" s="95"/>
      <c r="G1188" s="95"/>
      <c r="H1188" s="93"/>
      <c r="I1188" s="93"/>
      <c r="J1188" s="93"/>
    </row>
    <row r="1189" spans="1:10" s="65" customFormat="1" ht="14" x14ac:dyDescent="0.35">
      <c r="A1189" s="145"/>
      <c r="B1189" s="93"/>
      <c r="C1189" s="93"/>
      <c r="D1189" s="93"/>
      <c r="E1189" s="95"/>
      <c r="F1189" s="95"/>
      <c r="G1189" s="95"/>
      <c r="H1189" s="93"/>
      <c r="I1189" s="93"/>
      <c r="J1189" s="93"/>
    </row>
    <row r="1190" spans="1:10" s="65" customFormat="1" ht="14" x14ac:dyDescent="0.35">
      <c r="A1190" s="145"/>
      <c r="B1190" s="93"/>
      <c r="C1190" s="93"/>
      <c r="D1190" s="93"/>
      <c r="E1190" s="95"/>
      <c r="F1190" s="95"/>
      <c r="G1190" s="95"/>
      <c r="H1190" s="93"/>
      <c r="I1190" s="93"/>
      <c r="J1190" s="93"/>
    </row>
    <row r="1191" spans="1:10" s="65" customFormat="1" ht="14" x14ac:dyDescent="0.35">
      <c r="A1191" s="145"/>
      <c r="B1191" s="93"/>
      <c r="C1191" s="93"/>
      <c r="D1191" s="93"/>
      <c r="E1191" s="95"/>
      <c r="F1191" s="95"/>
      <c r="G1191" s="95"/>
      <c r="H1191" s="93"/>
      <c r="I1191" s="93"/>
      <c r="J1191" s="93"/>
    </row>
    <row r="1192" spans="1:10" s="65" customFormat="1" ht="14" x14ac:dyDescent="0.35">
      <c r="A1192" s="145"/>
      <c r="B1192" s="93"/>
      <c r="C1192" s="93"/>
      <c r="D1192" s="93"/>
      <c r="E1192" s="95"/>
      <c r="F1192" s="95"/>
      <c r="G1192" s="95"/>
      <c r="H1192" s="93"/>
      <c r="I1192" s="93"/>
      <c r="J1192" s="93"/>
    </row>
    <row r="1193" spans="1:10" s="65" customFormat="1" ht="14" x14ac:dyDescent="0.35">
      <c r="A1193" s="145"/>
      <c r="B1193" s="93"/>
      <c r="C1193" s="93"/>
      <c r="D1193" s="93"/>
      <c r="E1193" s="95"/>
      <c r="F1193" s="95"/>
      <c r="G1193" s="95"/>
      <c r="H1193" s="93"/>
      <c r="I1193" s="93"/>
      <c r="J1193" s="93"/>
    </row>
    <row r="1194" spans="1:10" s="65" customFormat="1" ht="14" x14ac:dyDescent="0.35">
      <c r="A1194" s="145"/>
      <c r="B1194" s="93"/>
      <c r="C1194" s="93"/>
      <c r="D1194" s="93"/>
      <c r="E1194" s="95"/>
      <c r="F1194" s="95"/>
      <c r="G1194" s="95"/>
      <c r="H1194" s="93"/>
      <c r="I1194" s="93"/>
      <c r="J1194" s="93"/>
    </row>
    <row r="1195" spans="1:10" s="65" customFormat="1" ht="14" x14ac:dyDescent="0.35">
      <c r="A1195" s="145"/>
      <c r="B1195" s="93"/>
      <c r="C1195" s="93"/>
      <c r="D1195" s="93"/>
      <c r="E1195" s="95"/>
      <c r="F1195" s="95"/>
      <c r="G1195" s="95"/>
      <c r="H1195" s="93"/>
      <c r="I1195" s="93"/>
      <c r="J1195" s="93"/>
    </row>
    <row r="1196" spans="1:10" s="65" customFormat="1" ht="14" x14ac:dyDescent="0.35">
      <c r="A1196" s="145"/>
      <c r="B1196" s="93"/>
      <c r="C1196" s="93"/>
      <c r="D1196" s="93"/>
      <c r="E1196" s="95"/>
      <c r="F1196" s="95"/>
      <c r="G1196" s="95"/>
      <c r="H1196" s="93"/>
      <c r="I1196" s="93"/>
      <c r="J1196" s="93"/>
    </row>
    <row r="1197" spans="1:10" s="65" customFormat="1" ht="14" x14ac:dyDescent="0.35">
      <c r="A1197" s="145"/>
      <c r="B1197" s="93"/>
      <c r="C1197" s="93"/>
      <c r="D1197" s="93"/>
      <c r="E1197" s="95"/>
      <c r="F1197" s="95"/>
      <c r="G1197" s="95"/>
      <c r="H1197" s="93"/>
      <c r="I1197" s="93"/>
      <c r="J1197" s="93"/>
    </row>
    <row r="1198" spans="1:10" s="65" customFormat="1" ht="14" x14ac:dyDescent="0.35">
      <c r="A1198" s="145"/>
      <c r="B1198" s="93"/>
      <c r="C1198" s="93"/>
      <c r="D1198" s="93"/>
      <c r="E1198" s="95"/>
      <c r="F1198" s="95"/>
      <c r="G1198" s="95"/>
      <c r="H1198" s="93"/>
      <c r="I1198" s="93"/>
      <c r="J1198" s="93"/>
    </row>
    <row r="1199" spans="1:10" s="65" customFormat="1" ht="14" x14ac:dyDescent="0.35">
      <c r="A1199" s="145"/>
      <c r="B1199" s="93"/>
      <c r="C1199" s="93"/>
      <c r="D1199" s="93"/>
      <c r="E1199" s="95"/>
      <c r="F1199" s="95"/>
      <c r="G1199" s="95"/>
      <c r="H1199" s="93"/>
      <c r="I1199" s="93"/>
      <c r="J1199" s="93"/>
    </row>
    <row r="1200" spans="1:10" s="65" customFormat="1" ht="14" x14ac:dyDescent="0.35">
      <c r="A1200" s="145"/>
      <c r="B1200" s="93"/>
      <c r="C1200" s="93"/>
      <c r="D1200" s="93"/>
      <c r="E1200" s="95"/>
      <c r="F1200" s="95"/>
      <c r="G1200" s="95"/>
      <c r="H1200" s="93"/>
      <c r="I1200" s="93"/>
      <c r="J1200" s="93"/>
    </row>
    <row r="1201" spans="1:10" s="65" customFormat="1" ht="14" x14ac:dyDescent="0.35">
      <c r="A1201" s="145"/>
      <c r="B1201" s="93"/>
      <c r="C1201" s="93"/>
      <c r="D1201" s="93"/>
      <c r="E1201" s="95"/>
      <c r="F1201" s="95"/>
      <c r="G1201" s="95"/>
      <c r="H1201" s="93"/>
      <c r="I1201" s="93"/>
      <c r="J1201" s="93"/>
    </row>
    <row r="1202" spans="1:10" s="65" customFormat="1" ht="14" x14ac:dyDescent="0.35">
      <c r="A1202" s="145"/>
      <c r="B1202" s="93"/>
      <c r="C1202" s="93"/>
      <c r="D1202" s="93"/>
      <c r="E1202" s="95"/>
      <c r="F1202" s="95"/>
      <c r="G1202" s="95"/>
      <c r="H1202" s="93"/>
      <c r="I1202" s="93"/>
      <c r="J1202" s="93"/>
    </row>
    <row r="1203" spans="1:10" s="65" customFormat="1" ht="14" x14ac:dyDescent="0.35">
      <c r="A1203" s="145"/>
      <c r="B1203" s="93"/>
      <c r="C1203" s="93"/>
      <c r="D1203" s="93"/>
      <c r="E1203" s="95"/>
      <c r="F1203" s="95"/>
      <c r="G1203" s="95"/>
      <c r="H1203" s="93"/>
      <c r="I1203" s="93"/>
      <c r="J1203" s="93"/>
    </row>
    <row r="1204" spans="1:10" s="65" customFormat="1" ht="14" x14ac:dyDescent="0.35">
      <c r="A1204" s="145"/>
      <c r="B1204" s="93"/>
      <c r="C1204" s="93"/>
      <c r="D1204" s="93"/>
      <c r="E1204" s="95"/>
      <c r="F1204" s="95"/>
      <c r="G1204" s="95"/>
      <c r="H1204" s="93"/>
      <c r="I1204" s="93"/>
      <c r="J1204" s="93"/>
    </row>
    <row r="1205" spans="1:10" s="65" customFormat="1" ht="14" x14ac:dyDescent="0.35">
      <c r="A1205" s="145"/>
      <c r="B1205" s="93"/>
      <c r="C1205" s="93"/>
      <c r="D1205" s="93"/>
      <c r="E1205" s="95"/>
      <c r="F1205" s="95"/>
      <c r="G1205" s="95"/>
      <c r="H1205" s="93"/>
      <c r="I1205" s="93"/>
      <c r="J1205" s="93"/>
    </row>
    <row r="1206" spans="1:10" s="65" customFormat="1" ht="14" x14ac:dyDescent="0.35">
      <c r="A1206" s="145"/>
      <c r="B1206" s="93"/>
      <c r="C1206" s="93"/>
      <c r="D1206" s="93"/>
      <c r="E1206" s="95"/>
      <c r="F1206" s="95"/>
      <c r="G1206" s="95"/>
      <c r="H1206" s="93"/>
      <c r="I1206" s="93"/>
      <c r="J1206" s="93"/>
    </row>
    <row r="1207" spans="1:10" s="65" customFormat="1" ht="14" x14ac:dyDescent="0.35">
      <c r="A1207" s="145"/>
      <c r="B1207" s="93"/>
      <c r="C1207" s="93"/>
      <c r="D1207" s="93"/>
      <c r="E1207" s="95"/>
      <c r="F1207" s="95"/>
      <c r="G1207" s="95"/>
      <c r="H1207" s="93"/>
      <c r="I1207" s="93"/>
      <c r="J1207" s="93"/>
    </row>
    <row r="1208" spans="1:10" s="65" customFormat="1" ht="14" x14ac:dyDescent="0.35">
      <c r="A1208" s="145"/>
      <c r="B1208" s="93"/>
      <c r="C1208" s="93"/>
      <c r="D1208" s="93"/>
      <c r="E1208" s="95"/>
      <c r="F1208" s="95"/>
      <c r="G1208" s="95"/>
      <c r="H1208" s="93"/>
      <c r="I1208" s="93"/>
      <c r="J1208" s="93"/>
    </row>
    <row r="1209" spans="1:10" s="65" customFormat="1" ht="14" x14ac:dyDescent="0.35">
      <c r="A1209" s="145"/>
      <c r="B1209" s="93"/>
      <c r="C1209" s="93"/>
      <c r="D1209" s="93"/>
      <c r="E1209" s="95"/>
      <c r="F1209" s="95"/>
      <c r="G1209" s="95"/>
      <c r="H1209" s="93"/>
      <c r="I1209" s="93"/>
      <c r="J1209" s="93"/>
    </row>
    <row r="1210" spans="1:10" s="65" customFormat="1" ht="14" x14ac:dyDescent="0.35">
      <c r="A1210" s="145"/>
      <c r="B1210" s="93"/>
      <c r="C1210" s="93"/>
      <c r="D1210" s="93"/>
      <c r="E1210" s="95"/>
      <c r="F1210" s="95"/>
      <c r="G1210" s="95"/>
      <c r="H1210" s="93"/>
      <c r="I1210" s="93"/>
      <c r="J1210" s="93"/>
    </row>
    <row r="1211" spans="1:10" s="65" customFormat="1" ht="14" x14ac:dyDescent="0.35">
      <c r="A1211" s="145"/>
      <c r="B1211" s="93"/>
      <c r="C1211" s="93"/>
      <c r="D1211" s="93"/>
      <c r="E1211" s="95"/>
      <c r="F1211" s="95"/>
      <c r="G1211" s="95"/>
      <c r="H1211" s="93"/>
      <c r="I1211" s="93"/>
      <c r="J1211" s="93"/>
    </row>
    <row r="1212" spans="1:10" s="65" customFormat="1" ht="14" x14ac:dyDescent="0.35">
      <c r="A1212" s="145"/>
      <c r="B1212" s="93"/>
      <c r="C1212" s="93"/>
      <c r="D1212" s="93"/>
      <c r="E1212" s="95"/>
      <c r="F1212" s="95"/>
      <c r="G1212" s="95"/>
      <c r="H1212" s="93"/>
      <c r="I1212" s="93"/>
      <c r="J1212" s="93"/>
    </row>
    <row r="1213" spans="1:10" s="65" customFormat="1" ht="14" x14ac:dyDescent="0.35">
      <c r="A1213" s="145"/>
      <c r="B1213" s="93"/>
      <c r="C1213" s="93"/>
      <c r="D1213" s="93"/>
      <c r="E1213" s="95"/>
      <c r="F1213" s="95"/>
      <c r="G1213" s="95"/>
      <c r="H1213" s="93"/>
      <c r="I1213" s="93"/>
      <c r="J1213" s="93"/>
    </row>
    <row r="1214" spans="1:10" s="65" customFormat="1" ht="14" x14ac:dyDescent="0.35">
      <c r="A1214" s="145"/>
      <c r="B1214" s="93"/>
      <c r="C1214" s="93"/>
      <c r="D1214" s="93"/>
      <c r="E1214" s="95"/>
      <c r="F1214" s="95"/>
      <c r="G1214" s="95"/>
      <c r="H1214" s="93"/>
      <c r="I1214" s="93"/>
      <c r="J1214" s="93"/>
    </row>
    <row r="1215" spans="1:10" s="65" customFormat="1" ht="14" x14ac:dyDescent="0.35">
      <c r="A1215" s="145"/>
      <c r="B1215" s="93"/>
      <c r="C1215" s="93"/>
      <c r="D1215" s="93"/>
      <c r="E1215" s="95"/>
      <c r="F1215" s="95"/>
      <c r="G1215" s="95"/>
      <c r="H1215" s="93"/>
      <c r="I1215" s="93"/>
      <c r="J1215" s="93"/>
    </row>
    <row r="1216" spans="1:10" s="65" customFormat="1" ht="14" x14ac:dyDescent="0.35">
      <c r="A1216" s="145"/>
      <c r="B1216" s="93"/>
      <c r="C1216" s="93"/>
      <c r="D1216" s="93"/>
      <c r="E1216" s="95"/>
      <c r="F1216" s="95"/>
      <c r="G1216" s="95"/>
      <c r="H1216" s="93"/>
      <c r="I1216" s="93"/>
      <c r="J1216" s="93"/>
    </row>
    <row r="1217" spans="1:10" s="65" customFormat="1" ht="14" x14ac:dyDescent="0.35">
      <c r="A1217" s="145"/>
      <c r="B1217" s="93"/>
      <c r="C1217" s="93"/>
      <c r="D1217" s="93"/>
      <c r="E1217" s="95"/>
      <c r="F1217" s="95"/>
      <c r="G1217" s="95"/>
      <c r="H1217" s="93"/>
      <c r="I1217" s="93"/>
      <c r="J1217" s="93"/>
    </row>
    <row r="1218" spans="1:10" s="65" customFormat="1" ht="14" x14ac:dyDescent="0.35">
      <c r="A1218" s="145"/>
      <c r="B1218" s="93"/>
      <c r="C1218" s="93"/>
      <c r="D1218" s="93"/>
      <c r="E1218" s="95"/>
      <c r="F1218" s="95"/>
      <c r="G1218" s="95"/>
      <c r="H1218" s="93"/>
      <c r="I1218" s="93"/>
      <c r="J1218" s="93"/>
    </row>
    <row r="1219" spans="1:10" s="65" customFormat="1" ht="14" x14ac:dyDescent="0.35">
      <c r="A1219" s="145"/>
      <c r="B1219" s="93"/>
      <c r="C1219" s="93"/>
      <c r="D1219" s="93"/>
      <c r="E1219" s="95"/>
      <c r="F1219" s="95"/>
      <c r="G1219" s="95"/>
      <c r="H1219" s="93"/>
      <c r="I1219" s="93"/>
      <c r="J1219" s="93"/>
    </row>
    <row r="1220" spans="1:10" s="65" customFormat="1" ht="14" x14ac:dyDescent="0.35">
      <c r="A1220" s="145"/>
      <c r="B1220" s="93"/>
      <c r="C1220" s="93"/>
      <c r="D1220" s="93"/>
      <c r="E1220" s="95"/>
      <c r="F1220" s="95"/>
      <c r="G1220" s="95"/>
      <c r="H1220" s="93"/>
      <c r="I1220" s="93"/>
      <c r="J1220" s="93"/>
    </row>
    <row r="1221" spans="1:10" s="65" customFormat="1" ht="14" x14ac:dyDescent="0.35">
      <c r="A1221" s="145"/>
      <c r="B1221" s="93"/>
      <c r="C1221" s="93"/>
      <c r="D1221" s="93"/>
      <c r="E1221" s="95"/>
      <c r="F1221" s="95"/>
      <c r="G1221" s="95"/>
      <c r="H1221" s="93"/>
      <c r="I1221" s="93"/>
      <c r="J1221" s="93"/>
    </row>
    <row r="1222" spans="1:10" s="65" customFormat="1" ht="14" x14ac:dyDescent="0.35">
      <c r="A1222" s="145"/>
      <c r="B1222" s="93"/>
      <c r="C1222" s="93"/>
      <c r="D1222" s="93"/>
      <c r="E1222" s="95"/>
      <c r="F1222" s="95"/>
      <c r="G1222" s="95"/>
      <c r="H1222" s="93"/>
      <c r="I1222" s="93"/>
      <c r="J1222" s="93"/>
    </row>
    <row r="1223" spans="1:10" s="65" customFormat="1" ht="14" x14ac:dyDescent="0.35">
      <c r="A1223" s="145"/>
      <c r="B1223" s="93"/>
      <c r="C1223" s="93"/>
      <c r="D1223" s="93"/>
      <c r="E1223" s="95"/>
      <c r="F1223" s="95"/>
      <c r="G1223" s="95"/>
      <c r="H1223" s="93"/>
      <c r="I1223" s="93"/>
      <c r="J1223" s="93"/>
    </row>
    <row r="1224" spans="1:10" s="65" customFormat="1" ht="14" x14ac:dyDescent="0.35">
      <c r="A1224" s="145"/>
      <c r="B1224" s="93"/>
      <c r="C1224" s="93"/>
      <c r="D1224" s="93"/>
      <c r="E1224" s="95"/>
      <c r="F1224" s="95"/>
      <c r="G1224" s="95"/>
      <c r="H1224" s="93"/>
      <c r="I1224" s="93"/>
      <c r="J1224" s="93"/>
    </row>
    <row r="1225" spans="1:10" s="65" customFormat="1" ht="14" x14ac:dyDescent="0.35">
      <c r="A1225" s="145"/>
      <c r="B1225" s="93"/>
      <c r="C1225" s="93"/>
      <c r="D1225" s="93"/>
      <c r="E1225" s="95"/>
      <c r="F1225" s="95"/>
      <c r="G1225" s="95"/>
      <c r="H1225" s="93"/>
      <c r="I1225" s="93"/>
      <c r="J1225" s="93"/>
    </row>
    <row r="1226" spans="1:10" s="65" customFormat="1" ht="14" x14ac:dyDescent="0.35">
      <c r="A1226" s="145"/>
      <c r="B1226" s="93"/>
      <c r="C1226" s="93"/>
      <c r="D1226" s="93"/>
      <c r="E1226" s="95"/>
      <c r="F1226" s="95"/>
      <c r="G1226" s="95"/>
      <c r="H1226" s="93"/>
      <c r="I1226" s="93"/>
      <c r="J1226" s="93"/>
    </row>
    <row r="1227" spans="1:10" s="65" customFormat="1" ht="14" x14ac:dyDescent="0.35">
      <c r="A1227" s="145"/>
      <c r="B1227" s="93"/>
      <c r="C1227" s="93"/>
      <c r="D1227" s="93"/>
      <c r="E1227" s="95"/>
      <c r="F1227" s="95"/>
      <c r="G1227" s="95"/>
      <c r="H1227" s="93"/>
      <c r="I1227" s="93"/>
      <c r="J1227" s="93"/>
    </row>
    <row r="1228" spans="1:10" s="65" customFormat="1" ht="14" x14ac:dyDescent="0.35">
      <c r="A1228" s="145"/>
      <c r="B1228" s="93"/>
      <c r="C1228" s="93"/>
      <c r="D1228" s="93"/>
      <c r="E1228" s="95"/>
      <c r="F1228" s="95"/>
      <c r="G1228" s="95"/>
      <c r="H1228" s="93"/>
      <c r="I1228" s="93"/>
      <c r="J1228" s="93"/>
    </row>
    <row r="1229" spans="1:10" s="65" customFormat="1" ht="14" x14ac:dyDescent="0.35">
      <c r="A1229" s="145"/>
      <c r="B1229" s="93"/>
      <c r="C1229" s="93"/>
      <c r="D1229" s="93"/>
      <c r="E1229" s="95"/>
      <c r="F1229" s="95"/>
      <c r="G1229" s="95"/>
      <c r="H1229" s="93"/>
      <c r="I1229" s="93"/>
      <c r="J1229" s="93"/>
    </row>
    <row r="1230" spans="1:10" s="65" customFormat="1" ht="14" x14ac:dyDescent="0.35">
      <c r="A1230" s="145"/>
      <c r="B1230" s="93"/>
      <c r="C1230" s="93"/>
      <c r="D1230" s="93"/>
      <c r="E1230" s="95"/>
      <c r="F1230" s="95"/>
      <c r="G1230" s="95"/>
      <c r="H1230" s="93"/>
      <c r="I1230" s="93"/>
      <c r="J1230" s="93"/>
    </row>
    <row r="1231" spans="1:10" s="65" customFormat="1" ht="14" x14ac:dyDescent="0.35">
      <c r="A1231" s="145"/>
      <c r="B1231" s="93"/>
      <c r="C1231" s="93"/>
      <c r="D1231" s="93"/>
      <c r="E1231" s="95"/>
      <c r="F1231" s="95"/>
      <c r="G1231" s="95"/>
      <c r="H1231" s="93"/>
      <c r="I1231" s="93"/>
      <c r="J1231" s="93"/>
    </row>
    <row r="1232" spans="1:10" s="65" customFormat="1" ht="14" x14ac:dyDescent="0.35">
      <c r="A1232" s="145"/>
      <c r="B1232" s="93"/>
      <c r="C1232" s="93"/>
      <c r="D1232" s="93"/>
      <c r="E1232" s="95"/>
      <c r="F1232" s="95"/>
      <c r="G1232" s="95"/>
      <c r="H1232" s="93"/>
      <c r="I1232" s="93"/>
      <c r="J1232" s="93"/>
    </row>
    <row r="1233" spans="1:10" s="65" customFormat="1" ht="14" x14ac:dyDescent="0.35">
      <c r="A1233" s="145"/>
      <c r="B1233" s="93"/>
      <c r="C1233" s="93"/>
      <c r="D1233" s="93"/>
      <c r="E1233" s="95"/>
      <c r="F1233" s="95"/>
      <c r="G1233" s="95"/>
      <c r="H1233" s="93"/>
      <c r="I1233" s="93"/>
      <c r="J1233" s="93"/>
    </row>
    <row r="1234" spans="1:10" s="65" customFormat="1" ht="14" x14ac:dyDescent="0.35">
      <c r="A1234" s="145"/>
      <c r="B1234" s="93"/>
      <c r="C1234" s="93"/>
      <c r="D1234" s="93"/>
      <c r="E1234" s="95"/>
      <c r="F1234" s="95"/>
      <c r="G1234" s="95"/>
      <c r="H1234" s="93"/>
      <c r="I1234" s="93"/>
      <c r="J1234" s="93"/>
    </row>
    <row r="1235" spans="1:10" s="65" customFormat="1" ht="14" x14ac:dyDescent="0.35">
      <c r="A1235" s="145"/>
      <c r="B1235" s="93"/>
      <c r="C1235" s="93"/>
      <c r="D1235" s="93"/>
      <c r="E1235" s="95"/>
      <c r="F1235" s="95"/>
      <c r="G1235" s="95"/>
      <c r="H1235" s="93"/>
      <c r="I1235" s="93"/>
      <c r="J1235" s="93"/>
    </row>
    <row r="1236" spans="1:10" s="65" customFormat="1" ht="14" x14ac:dyDescent="0.35">
      <c r="A1236" s="145"/>
      <c r="B1236" s="93"/>
      <c r="C1236" s="93"/>
      <c r="D1236" s="93"/>
      <c r="E1236" s="95"/>
      <c r="F1236" s="95"/>
      <c r="G1236" s="95"/>
      <c r="H1236" s="93"/>
      <c r="I1236" s="93"/>
      <c r="J1236" s="93"/>
    </row>
    <row r="1237" spans="1:10" s="65" customFormat="1" ht="14" x14ac:dyDescent="0.35">
      <c r="A1237" s="145"/>
      <c r="B1237" s="93"/>
      <c r="C1237" s="93"/>
      <c r="D1237" s="93"/>
      <c r="E1237" s="95"/>
      <c r="F1237" s="95"/>
      <c r="G1237" s="95"/>
      <c r="H1237" s="93"/>
      <c r="I1237" s="93"/>
      <c r="J1237" s="93"/>
    </row>
    <row r="1238" spans="1:10" s="65" customFormat="1" ht="14" x14ac:dyDescent="0.35">
      <c r="A1238" s="145"/>
      <c r="B1238" s="93"/>
      <c r="C1238" s="93"/>
      <c r="D1238" s="93"/>
      <c r="E1238" s="95"/>
      <c r="F1238" s="95"/>
      <c r="G1238" s="95"/>
      <c r="H1238" s="93"/>
      <c r="I1238" s="93"/>
      <c r="J1238" s="93"/>
    </row>
    <row r="1239" spans="1:10" s="65" customFormat="1" ht="14" x14ac:dyDescent="0.35">
      <c r="A1239" s="145"/>
      <c r="B1239" s="93"/>
      <c r="C1239" s="93"/>
      <c r="D1239" s="93"/>
      <c r="E1239" s="95"/>
      <c r="F1239" s="95"/>
      <c r="G1239" s="95"/>
      <c r="H1239" s="93"/>
      <c r="I1239" s="93"/>
      <c r="J1239" s="93"/>
    </row>
    <row r="1240" spans="1:10" s="65" customFormat="1" ht="14" x14ac:dyDescent="0.35">
      <c r="A1240" s="145"/>
      <c r="B1240" s="93"/>
      <c r="C1240" s="93"/>
      <c r="D1240" s="93"/>
      <c r="E1240" s="95"/>
      <c r="F1240" s="95"/>
      <c r="G1240" s="95"/>
      <c r="H1240" s="93"/>
      <c r="I1240" s="93"/>
      <c r="J1240" s="93"/>
    </row>
    <row r="1241" spans="1:10" s="65" customFormat="1" ht="14" x14ac:dyDescent="0.35">
      <c r="A1241" s="145"/>
      <c r="B1241" s="93"/>
      <c r="C1241" s="93"/>
      <c r="D1241" s="93"/>
      <c r="E1241" s="95"/>
      <c r="F1241" s="95"/>
      <c r="G1241" s="95"/>
      <c r="H1241" s="93"/>
      <c r="I1241" s="93"/>
      <c r="J1241" s="93"/>
    </row>
    <row r="1242" spans="1:10" s="65" customFormat="1" ht="14" x14ac:dyDescent="0.35">
      <c r="A1242" s="145"/>
      <c r="B1242" s="93"/>
      <c r="C1242" s="93"/>
      <c r="D1242" s="93"/>
      <c r="E1242" s="95"/>
      <c r="F1242" s="95"/>
      <c r="G1242" s="95"/>
      <c r="H1242" s="93"/>
      <c r="I1242" s="93"/>
      <c r="J1242" s="93"/>
    </row>
    <row r="1243" spans="1:10" s="65" customFormat="1" ht="14" x14ac:dyDescent="0.35">
      <c r="A1243" s="145"/>
      <c r="B1243" s="93"/>
      <c r="C1243" s="93"/>
      <c r="D1243" s="93"/>
      <c r="E1243" s="95"/>
      <c r="F1243" s="95"/>
      <c r="G1243" s="95"/>
      <c r="H1243" s="93"/>
      <c r="I1243" s="93"/>
      <c r="J1243" s="93"/>
    </row>
    <row r="1244" spans="1:10" s="65" customFormat="1" ht="14" x14ac:dyDescent="0.35">
      <c r="A1244" s="145"/>
      <c r="B1244" s="93"/>
      <c r="C1244" s="93"/>
      <c r="D1244" s="93"/>
      <c r="E1244" s="95"/>
      <c r="F1244" s="95"/>
      <c r="G1244" s="95"/>
      <c r="H1244" s="93"/>
      <c r="I1244" s="93"/>
      <c r="J1244" s="93"/>
    </row>
    <row r="1245" spans="1:10" s="65" customFormat="1" ht="14" x14ac:dyDescent="0.35">
      <c r="A1245" s="145"/>
      <c r="B1245" s="93"/>
      <c r="C1245" s="93"/>
      <c r="D1245" s="93"/>
      <c r="E1245" s="95"/>
      <c r="F1245" s="95"/>
      <c r="G1245" s="95"/>
      <c r="H1245" s="93"/>
      <c r="I1245" s="93"/>
      <c r="J1245" s="93"/>
    </row>
    <row r="1246" spans="1:10" s="65" customFormat="1" ht="14" x14ac:dyDescent="0.35">
      <c r="A1246" s="145"/>
      <c r="B1246" s="93"/>
      <c r="C1246" s="93"/>
      <c r="D1246" s="93"/>
      <c r="E1246" s="95"/>
      <c r="F1246" s="95"/>
      <c r="G1246" s="95"/>
      <c r="H1246" s="93"/>
      <c r="I1246" s="93"/>
      <c r="J1246" s="93"/>
    </row>
    <row r="1247" spans="1:10" s="65" customFormat="1" ht="14" x14ac:dyDescent="0.35">
      <c r="A1247" s="145"/>
      <c r="B1247" s="93"/>
      <c r="C1247" s="93"/>
      <c r="D1247" s="93"/>
      <c r="E1247" s="95"/>
      <c r="F1247" s="95"/>
      <c r="G1247" s="95"/>
      <c r="H1247" s="93"/>
      <c r="I1247" s="93"/>
      <c r="J1247" s="93"/>
    </row>
    <row r="1248" spans="1:10" s="65" customFormat="1" ht="14" x14ac:dyDescent="0.35">
      <c r="A1248" s="145"/>
      <c r="B1248" s="93"/>
      <c r="C1248" s="93"/>
      <c r="D1248" s="93"/>
      <c r="E1248" s="95"/>
      <c r="F1248" s="95"/>
      <c r="G1248" s="95"/>
      <c r="H1248" s="93"/>
      <c r="I1248" s="93"/>
      <c r="J1248" s="93"/>
    </row>
    <row r="1249" spans="1:10" s="65" customFormat="1" ht="14" x14ac:dyDescent="0.35">
      <c r="A1249" s="145"/>
      <c r="B1249" s="93"/>
      <c r="C1249" s="93"/>
      <c r="D1249" s="93"/>
      <c r="E1249" s="95"/>
      <c r="F1249" s="95"/>
      <c r="G1249" s="95"/>
      <c r="H1249" s="93"/>
      <c r="I1249" s="93"/>
      <c r="J1249" s="93"/>
    </row>
    <row r="1250" spans="1:10" s="65" customFormat="1" ht="14" x14ac:dyDescent="0.35">
      <c r="A1250" s="145"/>
      <c r="B1250" s="93"/>
      <c r="C1250" s="93"/>
      <c r="D1250" s="93"/>
      <c r="E1250" s="95"/>
      <c r="F1250" s="95"/>
      <c r="G1250" s="95"/>
      <c r="H1250" s="93"/>
      <c r="I1250" s="93"/>
      <c r="J1250" s="93"/>
    </row>
    <row r="1251" spans="1:10" s="65" customFormat="1" ht="14" x14ac:dyDescent="0.35">
      <c r="A1251" s="145"/>
      <c r="B1251" s="93"/>
      <c r="C1251" s="93"/>
      <c r="D1251" s="93"/>
      <c r="E1251" s="95"/>
      <c r="F1251" s="95"/>
      <c r="G1251" s="95"/>
      <c r="H1251" s="93"/>
      <c r="I1251" s="93"/>
      <c r="J1251" s="93"/>
    </row>
    <row r="1252" spans="1:10" s="65" customFormat="1" ht="14" x14ac:dyDescent="0.35">
      <c r="A1252" s="145"/>
      <c r="B1252" s="93"/>
      <c r="C1252" s="93"/>
      <c r="D1252" s="93"/>
      <c r="E1252" s="95"/>
      <c r="F1252" s="95"/>
      <c r="G1252" s="95"/>
      <c r="H1252" s="93"/>
      <c r="I1252" s="93"/>
      <c r="J1252" s="93"/>
    </row>
    <row r="1253" spans="1:10" s="65" customFormat="1" ht="14" x14ac:dyDescent="0.35">
      <c r="A1253" s="145"/>
      <c r="B1253" s="93"/>
      <c r="C1253" s="93"/>
      <c r="D1253" s="93"/>
      <c r="E1253" s="95"/>
      <c r="F1253" s="95"/>
      <c r="G1253" s="95"/>
      <c r="H1253" s="93"/>
      <c r="I1253" s="93"/>
      <c r="J1253" s="93"/>
    </row>
    <row r="1254" spans="1:10" s="65" customFormat="1" ht="14" x14ac:dyDescent="0.35">
      <c r="A1254" s="145"/>
      <c r="B1254" s="93"/>
      <c r="C1254" s="93"/>
      <c r="D1254" s="93"/>
      <c r="E1254" s="95"/>
      <c r="F1254" s="95"/>
      <c r="G1254" s="95"/>
      <c r="H1254" s="93"/>
      <c r="I1254" s="93"/>
      <c r="J1254" s="93"/>
    </row>
    <row r="1255" spans="1:10" s="65" customFormat="1" ht="14" x14ac:dyDescent="0.35">
      <c r="A1255" s="145"/>
      <c r="B1255" s="93"/>
      <c r="C1255" s="93"/>
      <c r="D1255" s="93"/>
      <c r="E1255" s="95"/>
      <c r="F1255" s="95"/>
      <c r="G1255" s="95"/>
      <c r="H1255" s="93"/>
      <c r="I1255" s="93"/>
      <c r="J1255" s="93"/>
    </row>
    <row r="1256" spans="1:10" s="65" customFormat="1" ht="14" x14ac:dyDescent="0.35">
      <c r="A1256" s="145"/>
      <c r="B1256" s="93"/>
      <c r="C1256" s="93"/>
      <c r="D1256" s="93"/>
      <c r="E1256" s="95"/>
      <c r="F1256" s="95"/>
      <c r="G1256" s="95"/>
      <c r="H1256" s="93"/>
      <c r="I1256" s="93"/>
      <c r="J1256" s="93"/>
    </row>
    <row r="1257" spans="1:10" s="65" customFormat="1" ht="14" x14ac:dyDescent="0.35">
      <c r="A1257" s="145"/>
      <c r="B1257" s="93"/>
      <c r="C1257" s="93"/>
      <c r="D1257" s="93"/>
      <c r="E1257" s="95"/>
      <c r="F1257" s="95"/>
      <c r="G1257" s="95"/>
      <c r="H1257" s="93"/>
      <c r="I1257" s="93"/>
      <c r="J1257" s="93"/>
    </row>
    <row r="1258" spans="1:10" s="65" customFormat="1" ht="14" x14ac:dyDescent="0.35">
      <c r="A1258" s="145"/>
      <c r="B1258" s="93"/>
      <c r="C1258" s="93"/>
      <c r="D1258" s="93"/>
      <c r="E1258" s="95"/>
      <c r="F1258" s="95"/>
      <c r="G1258" s="95"/>
      <c r="H1258" s="93"/>
      <c r="I1258" s="93"/>
      <c r="J1258" s="93"/>
    </row>
    <row r="1259" spans="1:10" s="65" customFormat="1" ht="14" x14ac:dyDescent="0.35">
      <c r="A1259" s="145"/>
      <c r="B1259" s="93"/>
      <c r="C1259" s="93"/>
      <c r="D1259" s="93"/>
      <c r="E1259" s="95"/>
      <c r="F1259" s="95"/>
      <c r="G1259" s="95"/>
      <c r="H1259" s="93"/>
      <c r="I1259" s="93"/>
      <c r="J1259" s="93"/>
    </row>
    <row r="1260" spans="1:10" s="65" customFormat="1" ht="14" x14ac:dyDescent="0.35">
      <c r="A1260" s="145"/>
      <c r="B1260" s="93"/>
      <c r="C1260" s="93"/>
      <c r="D1260" s="93"/>
      <c r="E1260" s="95"/>
      <c r="F1260" s="95"/>
      <c r="G1260" s="95"/>
      <c r="H1260" s="93"/>
      <c r="I1260" s="93"/>
      <c r="J1260" s="93"/>
    </row>
    <row r="1261" spans="1:10" s="65" customFormat="1" ht="14" x14ac:dyDescent="0.35">
      <c r="A1261" s="145"/>
      <c r="B1261" s="93"/>
      <c r="C1261" s="93"/>
      <c r="D1261" s="93"/>
      <c r="E1261" s="95"/>
      <c r="F1261" s="95"/>
      <c r="G1261" s="95"/>
      <c r="H1261" s="93"/>
      <c r="I1261" s="93"/>
      <c r="J1261" s="93"/>
    </row>
    <row r="1262" spans="1:10" s="65" customFormat="1" ht="14" x14ac:dyDescent="0.35">
      <c r="A1262" s="145"/>
      <c r="B1262" s="93"/>
      <c r="C1262" s="93"/>
      <c r="D1262" s="93"/>
      <c r="E1262" s="95"/>
      <c r="F1262" s="95"/>
      <c r="G1262" s="95"/>
      <c r="H1262" s="93"/>
      <c r="I1262" s="93"/>
      <c r="J1262" s="93"/>
    </row>
    <row r="1263" spans="1:10" s="65" customFormat="1" ht="14" x14ac:dyDescent="0.35">
      <c r="A1263" s="145"/>
      <c r="B1263" s="93"/>
      <c r="C1263" s="93"/>
      <c r="D1263" s="93"/>
      <c r="E1263" s="95"/>
      <c r="F1263" s="95"/>
      <c r="G1263" s="95"/>
      <c r="H1263" s="93"/>
      <c r="I1263" s="93"/>
      <c r="J1263" s="93"/>
    </row>
    <row r="1264" spans="1:10" s="65" customFormat="1" ht="14" x14ac:dyDescent="0.35">
      <c r="A1264" s="145"/>
      <c r="B1264" s="93"/>
      <c r="C1264" s="93"/>
      <c r="D1264" s="93"/>
      <c r="E1264" s="95"/>
      <c r="F1264" s="95"/>
      <c r="G1264" s="95"/>
      <c r="H1264" s="93"/>
      <c r="I1264" s="93"/>
      <c r="J1264" s="93"/>
    </row>
    <row r="1265" spans="1:10" s="65" customFormat="1" ht="14" x14ac:dyDescent="0.35">
      <c r="A1265" s="145"/>
      <c r="E1265" s="102"/>
      <c r="F1265" s="102"/>
      <c r="G1265" s="102"/>
      <c r="I1265" s="93"/>
      <c r="J1265" s="93"/>
    </row>
    <row r="1266" spans="1:10" s="65" customFormat="1" ht="14" x14ac:dyDescent="0.35">
      <c r="A1266" s="145"/>
      <c r="E1266" s="102"/>
      <c r="F1266" s="102"/>
      <c r="G1266" s="102"/>
      <c r="I1266" s="93"/>
      <c r="J1266" s="93"/>
    </row>
    <row r="1267" spans="1:10" s="65" customFormat="1" ht="14" x14ac:dyDescent="0.35">
      <c r="A1267" s="145"/>
      <c r="E1267" s="102"/>
      <c r="F1267" s="102"/>
      <c r="G1267" s="102"/>
      <c r="I1267" s="93"/>
      <c r="J1267" s="93"/>
    </row>
    <row r="1268" spans="1:10" s="65" customFormat="1" ht="14" x14ac:dyDescent="0.35">
      <c r="A1268" s="145"/>
      <c r="E1268" s="102"/>
      <c r="F1268" s="102"/>
      <c r="G1268" s="102"/>
      <c r="I1268" s="93"/>
      <c r="J1268" s="93"/>
    </row>
    <row r="1269" spans="1:10" s="65" customFormat="1" ht="14" x14ac:dyDescent="0.35">
      <c r="A1269" s="145"/>
      <c r="E1269" s="102"/>
      <c r="F1269" s="102"/>
      <c r="G1269" s="102"/>
      <c r="I1269" s="93"/>
      <c r="J1269" s="93"/>
    </row>
    <row r="1270" spans="1:10" s="65" customFormat="1" ht="14" x14ac:dyDescent="0.35">
      <c r="A1270" s="145"/>
      <c r="E1270" s="102"/>
      <c r="F1270" s="102"/>
      <c r="G1270" s="102"/>
      <c r="I1270" s="93"/>
      <c r="J1270" s="93"/>
    </row>
    <row r="1271" spans="1:10" s="65" customFormat="1" ht="14" x14ac:dyDescent="0.35">
      <c r="A1271" s="145"/>
      <c r="E1271" s="102"/>
      <c r="F1271" s="102"/>
      <c r="G1271" s="102"/>
      <c r="I1271" s="93"/>
      <c r="J1271" s="93"/>
    </row>
    <row r="1272" spans="1:10" s="65" customFormat="1" ht="14" x14ac:dyDescent="0.35">
      <c r="A1272" s="145"/>
      <c r="E1272" s="102"/>
      <c r="F1272" s="102"/>
      <c r="G1272" s="102"/>
      <c r="I1272" s="93"/>
      <c r="J1272" s="93"/>
    </row>
    <row r="1273" spans="1:10" s="65" customFormat="1" ht="14" x14ac:dyDescent="0.35">
      <c r="A1273" s="145"/>
      <c r="E1273" s="102"/>
      <c r="F1273" s="102"/>
      <c r="G1273" s="102"/>
      <c r="I1273" s="93"/>
      <c r="J1273" s="93"/>
    </row>
    <row r="1274" spans="1:10" s="65" customFormat="1" ht="14" x14ac:dyDescent="0.35">
      <c r="A1274" s="145"/>
      <c r="E1274" s="102"/>
      <c r="F1274" s="102"/>
      <c r="G1274" s="102"/>
      <c r="I1274" s="93"/>
      <c r="J1274" s="93"/>
    </row>
    <row r="1275" spans="1:10" s="65" customFormat="1" ht="14" x14ac:dyDescent="0.35">
      <c r="A1275" s="145"/>
      <c r="E1275" s="102"/>
      <c r="F1275" s="102"/>
      <c r="G1275" s="102"/>
      <c r="I1275" s="93"/>
      <c r="J1275" s="93"/>
    </row>
    <row r="1276" spans="1:10" s="65" customFormat="1" ht="14" x14ac:dyDescent="0.35">
      <c r="A1276" s="145"/>
      <c r="E1276" s="102"/>
      <c r="F1276" s="102"/>
      <c r="G1276" s="102"/>
      <c r="I1276" s="93"/>
      <c r="J1276" s="93"/>
    </row>
    <row r="1277" spans="1:10" s="65" customFormat="1" ht="14" x14ac:dyDescent="0.35">
      <c r="A1277" s="145"/>
      <c r="E1277" s="102"/>
      <c r="F1277" s="102"/>
      <c r="G1277" s="102"/>
      <c r="I1277" s="93"/>
      <c r="J1277" s="93"/>
    </row>
    <row r="1278" spans="1:10" s="65" customFormat="1" ht="14" x14ac:dyDescent="0.35">
      <c r="A1278" s="145"/>
      <c r="E1278" s="102"/>
      <c r="F1278" s="102"/>
      <c r="G1278" s="102"/>
      <c r="I1278" s="93"/>
      <c r="J1278" s="93"/>
    </row>
    <row r="1279" spans="1:10" s="65" customFormat="1" ht="14" x14ac:dyDescent="0.35">
      <c r="A1279" s="145"/>
      <c r="E1279" s="102"/>
      <c r="F1279" s="102"/>
      <c r="G1279" s="102"/>
      <c r="I1279" s="93"/>
      <c r="J1279" s="93"/>
    </row>
    <row r="1280" spans="1:10" s="65" customFormat="1" ht="14" x14ac:dyDescent="0.35">
      <c r="A1280" s="145"/>
      <c r="E1280" s="102"/>
      <c r="F1280" s="102"/>
      <c r="G1280" s="102"/>
      <c r="I1280" s="93"/>
      <c r="J1280" s="93"/>
    </row>
    <row r="1281" spans="1:10" s="65" customFormat="1" ht="14" x14ac:dyDescent="0.35">
      <c r="A1281" s="145"/>
      <c r="E1281" s="102"/>
      <c r="F1281" s="102"/>
      <c r="G1281" s="102"/>
      <c r="I1281" s="93"/>
      <c r="J1281" s="93"/>
    </row>
    <row r="1282" spans="1:10" s="65" customFormat="1" ht="14" x14ac:dyDescent="0.35">
      <c r="A1282" s="145"/>
      <c r="E1282" s="102"/>
      <c r="F1282" s="102"/>
      <c r="G1282" s="102"/>
      <c r="I1282" s="93"/>
      <c r="J1282" s="93"/>
    </row>
    <row r="1283" spans="1:10" s="65" customFormat="1" ht="14" x14ac:dyDescent="0.35">
      <c r="A1283" s="145"/>
      <c r="E1283" s="102"/>
      <c r="F1283" s="102"/>
      <c r="G1283" s="102"/>
      <c r="I1283" s="93"/>
      <c r="J1283" s="93"/>
    </row>
    <row r="1284" spans="1:10" s="65" customFormat="1" ht="14" x14ac:dyDescent="0.35">
      <c r="A1284" s="145"/>
      <c r="E1284" s="102"/>
      <c r="F1284" s="102"/>
      <c r="G1284" s="102"/>
      <c r="I1284" s="93"/>
      <c r="J1284" s="93"/>
    </row>
    <row r="1285" spans="1:10" s="65" customFormat="1" ht="14" x14ac:dyDescent="0.35">
      <c r="A1285" s="145"/>
      <c r="E1285" s="102"/>
      <c r="F1285" s="102"/>
      <c r="G1285" s="102"/>
      <c r="I1285" s="93"/>
      <c r="J1285" s="93"/>
    </row>
    <row r="1286" spans="1:10" s="65" customFormat="1" ht="14" x14ac:dyDescent="0.35">
      <c r="A1286" s="145"/>
      <c r="E1286" s="102"/>
      <c r="F1286" s="102"/>
      <c r="G1286" s="102"/>
      <c r="I1286" s="93"/>
      <c r="J1286" s="93"/>
    </row>
    <row r="1287" spans="1:10" s="65" customFormat="1" ht="14" x14ac:dyDescent="0.35">
      <c r="A1287" s="145"/>
      <c r="E1287" s="102"/>
      <c r="F1287" s="102"/>
      <c r="G1287" s="102"/>
      <c r="I1287" s="93"/>
      <c r="J1287" s="93"/>
    </row>
    <row r="1288" spans="1:10" s="65" customFormat="1" ht="14" x14ac:dyDescent="0.35">
      <c r="A1288" s="145"/>
      <c r="E1288" s="102"/>
      <c r="F1288" s="102"/>
      <c r="G1288" s="102"/>
      <c r="I1288" s="93"/>
      <c r="J1288" s="93"/>
    </row>
    <row r="1289" spans="1:10" s="65" customFormat="1" ht="14" x14ac:dyDescent="0.35">
      <c r="A1289" s="145"/>
      <c r="E1289" s="102"/>
      <c r="F1289" s="102"/>
      <c r="G1289" s="102"/>
      <c r="I1289" s="93"/>
      <c r="J1289" s="93"/>
    </row>
    <row r="1290" spans="1:10" s="65" customFormat="1" ht="14" x14ac:dyDescent="0.35">
      <c r="A1290" s="145"/>
      <c r="E1290" s="102"/>
      <c r="F1290" s="102"/>
      <c r="G1290" s="102"/>
      <c r="I1290" s="93"/>
      <c r="J1290" s="93"/>
    </row>
    <row r="1291" spans="1:10" s="65" customFormat="1" ht="14" x14ac:dyDescent="0.35">
      <c r="A1291" s="145"/>
      <c r="E1291" s="102"/>
      <c r="F1291" s="102"/>
      <c r="G1291" s="102"/>
      <c r="I1291" s="93"/>
      <c r="J1291" s="93"/>
    </row>
    <row r="1292" spans="1:10" s="65" customFormat="1" ht="14" x14ac:dyDescent="0.35">
      <c r="A1292" s="145"/>
      <c r="E1292" s="102"/>
      <c r="F1292" s="102"/>
      <c r="G1292" s="102"/>
      <c r="I1292" s="93"/>
      <c r="J1292" s="93"/>
    </row>
    <row r="1293" spans="1:10" s="65" customFormat="1" ht="14" x14ac:dyDescent="0.35">
      <c r="A1293" s="145"/>
      <c r="E1293" s="102"/>
      <c r="F1293" s="102"/>
      <c r="G1293" s="102"/>
      <c r="I1293" s="93"/>
      <c r="J1293" s="93"/>
    </row>
    <row r="1294" spans="1:10" s="65" customFormat="1" ht="14" x14ac:dyDescent="0.35">
      <c r="A1294" s="145"/>
      <c r="E1294" s="102"/>
      <c r="F1294" s="102"/>
      <c r="G1294" s="102"/>
      <c r="I1294" s="93"/>
      <c r="J1294" s="93"/>
    </row>
    <row r="1295" spans="1:10" s="65" customFormat="1" ht="14" x14ac:dyDescent="0.35">
      <c r="A1295" s="145"/>
      <c r="E1295" s="102"/>
      <c r="F1295" s="102"/>
      <c r="G1295" s="102"/>
      <c r="I1295" s="93"/>
      <c r="J1295" s="93"/>
    </row>
    <row r="1296" spans="1:10" s="65" customFormat="1" ht="14" x14ac:dyDescent="0.35">
      <c r="A1296" s="145"/>
      <c r="E1296" s="102"/>
      <c r="F1296" s="102"/>
      <c r="G1296" s="102"/>
      <c r="I1296" s="93"/>
      <c r="J1296" s="93"/>
    </row>
    <row r="1297" spans="1:10" s="65" customFormat="1" ht="14" x14ac:dyDescent="0.35">
      <c r="A1297" s="145"/>
      <c r="E1297" s="102"/>
      <c r="F1297" s="102"/>
      <c r="G1297" s="102"/>
      <c r="I1297" s="93"/>
      <c r="J1297" s="93"/>
    </row>
    <row r="1298" spans="1:10" s="65" customFormat="1" ht="14" x14ac:dyDescent="0.35">
      <c r="A1298" s="145"/>
      <c r="E1298" s="102"/>
      <c r="F1298" s="102"/>
      <c r="G1298" s="102"/>
      <c r="I1298" s="93"/>
      <c r="J1298" s="93"/>
    </row>
    <row r="1299" spans="1:10" s="65" customFormat="1" ht="14" x14ac:dyDescent="0.35">
      <c r="A1299" s="145"/>
      <c r="E1299" s="102"/>
      <c r="F1299" s="102"/>
      <c r="G1299" s="102"/>
      <c r="I1299" s="93"/>
      <c r="J1299" s="93"/>
    </row>
    <row r="1300" spans="1:10" s="65" customFormat="1" ht="14" x14ac:dyDescent="0.35">
      <c r="A1300" s="145"/>
      <c r="E1300" s="102"/>
      <c r="F1300" s="102"/>
      <c r="G1300" s="102"/>
      <c r="I1300" s="93"/>
      <c r="J1300" s="93"/>
    </row>
    <row r="1301" spans="1:10" s="65" customFormat="1" ht="14" x14ac:dyDescent="0.35">
      <c r="A1301" s="145"/>
      <c r="E1301" s="102"/>
      <c r="F1301" s="102"/>
      <c r="G1301" s="102"/>
      <c r="I1301" s="93"/>
      <c r="J1301" s="93"/>
    </row>
    <row r="1302" spans="1:10" s="65" customFormat="1" ht="14" x14ac:dyDescent="0.35">
      <c r="A1302" s="145"/>
      <c r="E1302" s="102"/>
      <c r="F1302" s="102"/>
      <c r="G1302" s="102"/>
      <c r="I1302" s="93"/>
      <c r="J1302" s="93"/>
    </row>
    <row r="1303" spans="1:10" s="65" customFormat="1" ht="14" x14ac:dyDescent="0.35">
      <c r="A1303" s="145"/>
      <c r="E1303" s="102"/>
      <c r="F1303" s="102"/>
      <c r="G1303" s="102"/>
      <c r="I1303" s="93"/>
      <c r="J1303" s="93"/>
    </row>
    <row r="1304" spans="1:10" s="65" customFormat="1" ht="14" x14ac:dyDescent="0.35">
      <c r="A1304" s="145"/>
      <c r="E1304" s="102"/>
      <c r="F1304" s="102"/>
      <c r="G1304" s="102"/>
      <c r="I1304" s="93"/>
      <c r="J1304" s="93"/>
    </row>
    <row r="1305" spans="1:10" s="65" customFormat="1" ht="14" x14ac:dyDescent="0.35">
      <c r="A1305" s="145"/>
      <c r="E1305" s="102"/>
      <c r="F1305" s="102"/>
      <c r="G1305" s="102"/>
      <c r="I1305" s="93"/>
      <c r="J1305" s="93"/>
    </row>
    <row r="1306" spans="1:10" s="65" customFormat="1" ht="14" x14ac:dyDescent="0.35">
      <c r="A1306" s="145"/>
      <c r="E1306" s="102"/>
      <c r="F1306" s="102"/>
      <c r="G1306" s="102"/>
      <c r="I1306" s="93"/>
      <c r="J1306" s="93"/>
    </row>
    <row r="1307" spans="1:10" s="65" customFormat="1" ht="14" x14ac:dyDescent="0.35">
      <c r="A1307" s="145"/>
      <c r="E1307" s="102"/>
      <c r="F1307" s="102"/>
      <c r="G1307" s="102"/>
      <c r="I1307" s="93"/>
      <c r="J1307" s="93"/>
    </row>
    <row r="1308" spans="1:10" s="65" customFormat="1" ht="14" x14ac:dyDescent="0.35">
      <c r="A1308" s="145"/>
      <c r="E1308" s="102"/>
      <c r="F1308" s="102"/>
      <c r="G1308" s="102"/>
      <c r="I1308" s="93"/>
      <c r="J1308" s="93"/>
    </row>
    <row r="1309" spans="1:10" s="65" customFormat="1" ht="14" x14ac:dyDescent="0.35">
      <c r="A1309" s="145"/>
      <c r="E1309" s="102"/>
      <c r="F1309" s="102"/>
      <c r="G1309" s="102"/>
      <c r="I1309" s="93"/>
      <c r="J1309" s="93"/>
    </row>
    <row r="1310" spans="1:10" s="65" customFormat="1" ht="14" x14ac:dyDescent="0.35">
      <c r="A1310" s="145"/>
      <c r="E1310" s="102"/>
      <c r="F1310" s="102"/>
      <c r="G1310" s="102"/>
      <c r="I1310" s="93"/>
      <c r="J1310" s="93"/>
    </row>
    <row r="1311" spans="1:10" s="65" customFormat="1" ht="14" x14ac:dyDescent="0.35">
      <c r="A1311" s="145"/>
      <c r="E1311" s="102"/>
      <c r="F1311" s="102"/>
      <c r="G1311" s="102"/>
      <c r="I1311" s="93"/>
      <c r="J1311" s="93"/>
    </row>
    <row r="1312" spans="1:10" s="65" customFormat="1" ht="14" x14ac:dyDescent="0.35">
      <c r="A1312" s="145"/>
      <c r="E1312" s="102"/>
      <c r="F1312" s="102"/>
      <c r="G1312" s="102"/>
      <c r="I1312" s="93"/>
      <c r="J1312" s="93"/>
    </row>
    <row r="1313" spans="1:10" s="65" customFormat="1" ht="14" x14ac:dyDescent="0.35">
      <c r="A1313" s="145"/>
      <c r="E1313" s="102"/>
      <c r="F1313" s="102"/>
      <c r="G1313" s="102"/>
      <c r="I1313" s="93"/>
      <c r="J1313" s="93"/>
    </row>
    <row r="1314" spans="1:10" s="65" customFormat="1" ht="14" x14ac:dyDescent="0.35">
      <c r="A1314" s="145"/>
      <c r="E1314" s="102"/>
      <c r="F1314" s="102"/>
      <c r="G1314" s="102"/>
      <c r="I1314" s="93"/>
      <c r="J1314" s="93"/>
    </row>
    <row r="1315" spans="1:10" s="65" customFormat="1" ht="14" x14ac:dyDescent="0.35">
      <c r="A1315" s="145"/>
      <c r="E1315" s="102"/>
      <c r="F1315" s="102"/>
      <c r="G1315" s="102"/>
      <c r="I1315" s="93"/>
      <c r="J1315" s="93"/>
    </row>
    <row r="1316" spans="1:10" s="65" customFormat="1" ht="14" x14ac:dyDescent="0.35">
      <c r="A1316" s="145"/>
      <c r="E1316" s="102"/>
      <c r="F1316" s="102"/>
      <c r="G1316" s="102"/>
      <c r="I1316" s="93"/>
      <c r="J1316" s="93"/>
    </row>
    <row r="1317" spans="1:10" s="65" customFormat="1" ht="14" x14ac:dyDescent="0.35">
      <c r="A1317" s="145"/>
      <c r="E1317" s="102"/>
      <c r="F1317" s="102"/>
      <c r="G1317" s="102"/>
      <c r="I1317" s="93"/>
      <c r="J1317" s="93"/>
    </row>
    <row r="1318" spans="1:10" s="65" customFormat="1" ht="14" x14ac:dyDescent="0.35">
      <c r="A1318" s="145"/>
      <c r="E1318" s="102"/>
      <c r="F1318" s="102"/>
      <c r="G1318" s="102"/>
      <c r="I1318" s="93"/>
      <c r="J1318" s="93"/>
    </row>
    <row r="1319" spans="1:10" s="65" customFormat="1" ht="14" x14ac:dyDescent="0.35">
      <c r="A1319" s="145"/>
      <c r="E1319" s="102"/>
      <c r="F1319" s="102"/>
      <c r="G1319" s="102"/>
      <c r="I1319" s="93"/>
      <c r="J1319" s="93"/>
    </row>
    <row r="1320" spans="1:10" s="65" customFormat="1" ht="14" x14ac:dyDescent="0.35">
      <c r="A1320" s="145"/>
      <c r="E1320" s="102"/>
      <c r="F1320" s="102"/>
      <c r="G1320" s="102"/>
      <c r="I1320" s="93"/>
      <c r="J1320" s="93"/>
    </row>
    <row r="1321" spans="1:10" s="65" customFormat="1" ht="14" x14ac:dyDescent="0.35">
      <c r="A1321" s="145"/>
      <c r="E1321" s="102"/>
      <c r="F1321" s="102"/>
      <c r="G1321" s="102"/>
      <c r="I1321" s="93"/>
      <c r="J1321" s="93"/>
    </row>
    <row r="1322" spans="1:10" s="65" customFormat="1" ht="14" x14ac:dyDescent="0.35">
      <c r="A1322" s="145"/>
      <c r="E1322" s="102"/>
      <c r="F1322" s="102"/>
      <c r="G1322" s="102"/>
      <c r="I1322" s="93"/>
      <c r="J1322" s="93"/>
    </row>
    <row r="1323" spans="1:10" s="65" customFormat="1" ht="14" x14ac:dyDescent="0.35">
      <c r="A1323" s="145"/>
      <c r="E1323" s="102"/>
      <c r="F1323" s="102"/>
      <c r="G1323" s="102"/>
      <c r="I1323" s="93"/>
      <c r="J1323" s="93"/>
    </row>
    <row r="1324" spans="1:10" s="65" customFormat="1" ht="14" x14ac:dyDescent="0.35">
      <c r="A1324" s="145"/>
      <c r="E1324" s="102"/>
      <c r="F1324" s="102"/>
      <c r="G1324" s="102"/>
      <c r="I1324" s="93"/>
      <c r="J1324" s="93"/>
    </row>
    <row r="1325" spans="1:10" s="65" customFormat="1" ht="14" x14ac:dyDescent="0.35">
      <c r="A1325" s="145"/>
      <c r="E1325" s="102"/>
      <c r="F1325" s="102"/>
      <c r="G1325" s="102"/>
      <c r="I1325" s="93"/>
      <c r="J1325" s="93"/>
    </row>
    <row r="1326" spans="1:10" s="65" customFormat="1" ht="14" x14ac:dyDescent="0.35">
      <c r="A1326" s="145"/>
      <c r="E1326" s="102"/>
      <c r="F1326" s="102"/>
      <c r="G1326" s="102"/>
      <c r="I1326" s="93"/>
      <c r="J1326" s="93"/>
    </row>
    <row r="1327" spans="1:10" s="65" customFormat="1" ht="14" x14ac:dyDescent="0.35">
      <c r="A1327" s="145"/>
      <c r="E1327" s="102"/>
      <c r="F1327" s="102"/>
      <c r="G1327" s="102"/>
      <c r="I1327" s="93"/>
      <c r="J1327" s="93"/>
    </row>
    <row r="1328" spans="1:10" s="65" customFormat="1" ht="14" x14ac:dyDescent="0.35">
      <c r="A1328" s="145"/>
      <c r="E1328" s="102"/>
      <c r="F1328" s="102"/>
      <c r="G1328" s="102"/>
      <c r="I1328" s="93"/>
      <c r="J1328" s="93"/>
    </row>
    <row r="1329" spans="1:10" s="65" customFormat="1" ht="14" x14ac:dyDescent="0.35">
      <c r="A1329" s="145"/>
      <c r="E1329" s="102"/>
      <c r="F1329" s="102"/>
      <c r="G1329" s="102"/>
      <c r="I1329" s="93"/>
      <c r="J1329" s="93"/>
    </row>
    <row r="1330" spans="1:10" s="65" customFormat="1" ht="14" x14ac:dyDescent="0.35">
      <c r="A1330" s="145"/>
      <c r="E1330" s="102"/>
      <c r="F1330" s="102"/>
      <c r="G1330" s="102"/>
      <c r="I1330" s="93"/>
      <c r="J1330" s="93"/>
    </row>
    <row r="1331" spans="1:10" s="65" customFormat="1" ht="14" x14ac:dyDescent="0.35">
      <c r="A1331" s="145"/>
      <c r="E1331" s="102"/>
      <c r="F1331" s="102"/>
      <c r="G1331" s="102"/>
      <c r="I1331" s="93"/>
      <c r="J1331" s="93"/>
    </row>
    <row r="1332" spans="1:10" s="65" customFormat="1" ht="14" x14ac:dyDescent="0.35">
      <c r="A1332" s="145"/>
      <c r="E1332" s="102"/>
      <c r="F1332" s="102"/>
      <c r="G1332" s="102"/>
      <c r="I1332" s="93"/>
      <c r="J1332" s="93"/>
    </row>
    <row r="1333" spans="1:10" s="65" customFormat="1" ht="14" x14ac:dyDescent="0.35">
      <c r="A1333" s="145"/>
      <c r="E1333" s="102"/>
      <c r="F1333" s="102"/>
      <c r="G1333" s="102"/>
      <c r="I1333" s="93"/>
      <c r="J1333" s="93"/>
    </row>
    <row r="1334" spans="1:10" s="65" customFormat="1" ht="14" x14ac:dyDescent="0.35">
      <c r="A1334" s="145"/>
      <c r="E1334" s="102"/>
      <c r="F1334" s="102"/>
      <c r="G1334" s="102"/>
      <c r="I1334" s="93"/>
      <c r="J1334" s="93"/>
    </row>
    <row r="1335" spans="1:10" s="65" customFormat="1" ht="14" x14ac:dyDescent="0.35">
      <c r="A1335" s="145"/>
      <c r="E1335" s="102"/>
      <c r="F1335" s="102"/>
      <c r="G1335" s="102"/>
      <c r="I1335" s="93"/>
      <c r="J1335" s="93"/>
    </row>
    <row r="1336" spans="1:10" s="65" customFormat="1" ht="14" x14ac:dyDescent="0.35">
      <c r="A1336" s="145"/>
      <c r="E1336" s="102"/>
      <c r="F1336" s="102"/>
      <c r="G1336" s="102"/>
      <c r="I1336" s="93"/>
      <c r="J1336" s="93"/>
    </row>
    <row r="1337" spans="1:10" s="65" customFormat="1" ht="14" x14ac:dyDescent="0.35">
      <c r="A1337" s="145"/>
      <c r="E1337" s="102"/>
      <c r="F1337" s="102"/>
      <c r="G1337" s="102"/>
      <c r="I1337" s="93"/>
      <c r="J1337" s="93"/>
    </row>
    <row r="1338" spans="1:10" s="65" customFormat="1" ht="14" x14ac:dyDescent="0.35">
      <c r="A1338" s="145"/>
      <c r="E1338" s="102"/>
      <c r="F1338" s="102"/>
      <c r="G1338" s="102"/>
      <c r="I1338" s="93"/>
      <c r="J1338" s="93"/>
    </row>
    <row r="1339" spans="1:10" s="65" customFormat="1" ht="14" x14ac:dyDescent="0.35">
      <c r="A1339" s="145"/>
      <c r="E1339" s="102"/>
      <c r="F1339" s="102"/>
      <c r="G1339" s="102"/>
      <c r="I1339" s="93"/>
      <c r="J1339" s="93"/>
    </row>
    <row r="1340" spans="1:10" s="65" customFormat="1" ht="14" x14ac:dyDescent="0.35">
      <c r="A1340" s="145"/>
      <c r="E1340" s="102"/>
      <c r="F1340" s="102"/>
      <c r="G1340" s="102"/>
      <c r="I1340" s="93"/>
      <c r="J1340" s="93"/>
    </row>
    <row r="1341" spans="1:10" s="65" customFormat="1" ht="14" x14ac:dyDescent="0.35">
      <c r="A1341" s="145"/>
      <c r="E1341" s="102"/>
      <c r="F1341" s="102"/>
      <c r="G1341" s="102"/>
      <c r="I1341" s="93"/>
      <c r="J1341" s="93"/>
    </row>
    <row r="1342" spans="1:10" s="65" customFormat="1" ht="14" x14ac:dyDescent="0.35">
      <c r="A1342" s="145"/>
      <c r="E1342" s="102"/>
      <c r="F1342" s="102"/>
      <c r="G1342" s="102"/>
      <c r="I1342" s="93"/>
      <c r="J1342" s="93"/>
    </row>
    <row r="1343" spans="1:10" s="65" customFormat="1" ht="14" x14ac:dyDescent="0.35">
      <c r="A1343" s="145"/>
      <c r="E1343" s="102"/>
      <c r="F1343" s="102"/>
      <c r="G1343" s="102"/>
      <c r="I1343" s="93"/>
      <c r="J1343" s="93"/>
    </row>
    <row r="1344" spans="1:10" s="65" customFormat="1" ht="14" x14ac:dyDescent="0.35">
      <c r="A1344" s="145"/>
      <c r="E1344" s="102"/>
      <c r="F1344" s="102"/>
      <c r="G1344" s="102"/>
      <c r="I1344" s="93"/>
      <c r="J1344" s="93"/>
    </row>
    <row r="1345" spans="1:10" s="65" customFormat="1" ht="14" x14ac:dyDescent="0.35">
      <c r="A1345" s="145"/>
      <c r="E1345" s="102"/>
      <c r="F1345" s="102"/>
      <c r="G1345" s="102"/>
      <c r="I1345" s="93"/>
      <c r="J1345" s="93"/>
    </row>
    <row r="1346" spans="1:10" s="65" customFormat="1" ht="14" x14ac:dyDescent="0.35">
      <c r="A1346" s="145"/>
      <c r="E1346" s="102"/>
      <c r="F1346" s="102"/>
      <c r="G1346" s="102"/>
      <c r="I1346" s="93"/>
      <c r="J1346" s="93"/>
    </row>
    <row r="1347" spans="1:10" s="65" customFormat="1" ht="14" x14ac:dyDescent="0.35">
      <c r="A1347" s="145"/>
      <c r="E1347" s="102"/>
      <c r="F1347" s="102"/>
      <c r="G1347" s="102"/>
      <c r="I1347" s="93"/>
      <c r="J1347" s="93"/>
    </row>
    <row r="1348" spans="1:10" s="65" customFormat="1" ht="14" x14ac:dyDescent="0.35">
      <c r="A1348" s="145"/>
      <c r="E1348" s="102"/>
      <c r="F1348" s="102"/>
      <c r="G1348" s="102"/>
      <c r="I1348" s="93"/>
      <c r="J1348" s="93"/>
    </row>
    <row r="1349" spans="1:10" s="65" customFormat="1" ht="14" x14ac:dyDescent="0.35">
      <c r="A1349" s="145"/>
      <c r="E1349" s="102"/>
      <c r="F1349" s="102"/>
      <c r="G1349" s="102"/>
      <c r="I1349" s="93"/>
      <c r="J1349" s="93"/>
    </row>
    <row r="1350" spans="1:10" s="65" customFormat="1" ht="14" x14ac:dyDescent="0.35">
      <c r="A1350" s="145"/>
      <c r="E1350" s="102"/>
      <c r="F1350" s="102"/>
      <c r="G1350" s="102"/>
      <c r="I1350" s="93"/>
      <c r="J1350" s="93"/>
    </row>
    <row r="1351" spans="1:10" s="65" customFormat="1" ht="14" x14ac:dyDescent="0.35">
      <c r="A1351" s="145"/>
      <c r="E1351" s="102"/>
      <c r="F1351" s="102"/>
      <c r="G1351" s="102"/>
      <c r="I1351" s="93"/>
      <c r="J1351" s="93"/>
    </row>
    <row r="1352" spans="1:10" s="65" customFormat="1" ht="14" x14ac:dyDescent="0.35">
      <c r="A1352" s="145"/>
      <c r="E1352" s="102"/>
      <c r="F1352" s="102"/>
      <c r="G1352" s="102"/>
      <c r="I1352" s="93"/>
      <c r="J1352" s="93"/>
    </row>
    <row r="1353" spans="1:10" s="65" customFormat="1" ht="14" x14ac:dyDescent="0.35">
      <c r="A1353" s="145"/>
      <c r="E1353" s="102"/>
      <c r="F1353" s="102"/>
      <c r="G1353" s="102"/>
      <c r="I1353" s="93"/>
      <c r="J1353" s="93"/>
    </row>
    <row r="1354" spans="1:10" s="65" customFormat="1" ht="14" x14ac:dyDescent="0.35">
      <c r="A1354" s="145"/>
      <c r="E1354" s="102"/>
      <c r="F1354" s="102"/>
      <c r="G1354" s="102"/>
      <c r="I1354" s="93"/>
      <c r="J1354" s="93"/>
    </row>
    <row r="1355" spans="1:10" s="65" customFormat="1" ht="14" x14ac:dyDescent="0.35">
      <c r="A1355" s="145"/>
      <c r="E1355" s="102"/>
      <c r="F1355" s="102"/>
      <c r="G1355" s="102"/>
      <c r="I1355" s="93"/>
      <c r="J1355" s="93"/>
    </row>
    <row r="1356" spans="1:10" s="65" customFormat="1" ht="14" x14ac:dyDescent="0.35">
      <c r="A1356" s="145"/>
      <c r="E1356" s="102"/>
      <c r="F1356" s="102"/>
      <c r="G1356" s="102"/>
      <c r="I1356" s="93"/>
      <c r="J1356" s="93"/>
    </row>
    <row r="1357" spans="1:10" s="65" customFormat="1" ht="14" x14ac:dyDescent="0.35">
      <c r="A1357" s="145"/>
      <c r="E1357" s="102"/>
      <c r="F1357" s="102"/>
      <c r="G1357" s="102"/>
      <c r="I1357" s="93"/>
      <c r="J1357" s="93"/>
    </row>
    <row r="1358" spans="1:10" s="65" customFormat="1" ht="14" x14ac:dyDescent="0.35">
      <c r="A1358" s="145"/>
      <c r="E1358" s="102"/>
      <c r="F1358" s="102"/>
      <c r="G1358" s="102"/>
      <c r="I1358" s="93"/>
      <c r="J1358" s="93"/>
    </row>
    <row r="1359" spans="1:10" s="65" customFormat="1" ht="14" x14ac:dyDescent="0.35">
      <c r="A1359" s="145"/>
      <c r="E1359" s="102"/>
      <c r="F1359" s="102"/>
      <c r="G1359" s="102"/>
      <c r="I1359" s="93"/>
      <c r="J1359" s="93"/>
    </row>
    <row r="1360" spans="1:10" s="65" customFormat="1" ht="14" x14ac:dyDescent="0.35">
      <c r="A1360" s="145"/>
      <c r="E1360" s="102"/>
      <c r="F1360" s="102"/>
      <c r="G1360" s="102"/>
      <c r="I1360" s="93"/>
      <c r="J1360" s="93"/>
    </row>
    <row r="1361" spans="1:10" s="65" customFormat="1" ht="14" x14ac:dyDescent="0.35">
      <c r="A1361" s="145"/>
      <c r="E1361" s="102"/>
      <c r="F1361" s="102"/>
      <c r="G1361" s="102"/>
      <c r="I1361" s="93"/>
      <c r="J1361" s="93"/>
    </row>
    <row r="1362" spans="1:10" s="65" customFormat="1" ht="14" x14ac:dyDescent="0.35">
      <c r="A1362" s="145"/>
      <c r="E1362" s="102"/>
      <c r="F1362" s="102"/>
      <c r="G1362" s="102"/>
      <c r="I1362" s="93"/>
      <c r="J1362" s="93"/>
    </row>
    <row r="1363" spans="1:10" s="65" customFormat="1" ht="14" x14ac:dyDescent="0.35">
      <c r="A1363" s="145"/>
      <c r="E1363" s="102"/>
      <c r="F1363" s="102"/>
      <c r="G1363" s="102"/>
      <c r="I1363" s="93"/>
      <c r="J1363" s="93"/>
    </row>
    <row r="1364" spans="1:10" s="65" customFormat="1" ht="14" x14ac:dyDescent="0.35">
      <c r="A1364" s="145"/>
      <c r="E1364" s="102"/>
      <c r="F1364" s="102"/>
      <c r="G1364" s="102"/>
      <c r="I1364" s="93"/>
      <c r="J1364" s="93"/>
    </row>
    <row r="1365" spans="1:10" s="65" customFormat="1" ht="14" x14ac:dyDescent="0.35">
      <c r="A1365" s="145"/>
      <c r="E1365" s="102"/>
      <c r="F1365" s="102"/>
      <c r="G1365" s="102"/>
      <c r="I1365" s="93"/>
      <c r="J1365" s="93"/>
    </row>
    <row r="1366" spans="1:10" s="65" customFormat="1" ht="14" x14ac:dyDescent="0.35">
      <c r="A1366" s="145"/>
      <c r="E1366" s="102"/>
      <c r="F1366" s="102"/>
      <c r="G1366" s="102"/>
      <c r="I1366" s="93"/>
      <c r="J1366" s="93"/>
    </row>
    <row r="1367" spans="1:10" s="65" customFormat="1" ht="14" x14ac:dyDescent="0.35">
      <c r="A1367" s="145"/>
      <c r="E1367" s="102"/>
      <c r="F1367" s="102"/>
      <c r="G1367" s="102"/>
      <c r="I1367" s="93"/>
      <c r="J1367" s="93"/>
    </row>
    <row r="1368" spans="1:10" s="65" customFormat="1" ht="14" x14ac:dyDescent="0.35">
      <c r="A1368" s="145"/>
      <c r="E1368" s="102"/>
      <c r="F1368" s="102"/>
      <c r="G1368" s="102"/>
      <c r="I1368" s="93"/>
      <c r="J1368" s="93"/>
    </row>
    <row r="1369" spans="1:10" s="65" customFormat="1" ht="14" x14ac:dyDescent="0.35">
      <c r="A1369" s="145"/>
      <c r="E1369" s="102"/>
      <c r="F1369" s="102"/>
      <c r="G1369" s="102"/>
      <c r="I1369" s="93"/>
      <c r="J1369" s="93"/>
    </row>
    <row r="1370" spans="1:10" s="65" customFormat="1" ht="14" x14ac:dyDescent="0.35">
      <c r="A1370" s="145"/>
      <c r="E1370" s="102"/>
      <c r="F1370" s="102"/>
      <c r="G1370" s="102"/>
      <c r="I1370" s="93"/>
      <c r="J1370" s="93"/>
    </row>
    <row r="1371" spans="1:10" s="65" customFormat="1" ht="14" x14ac:dyDescent="0.35">
      <c r="A1371" s="145"/>
      <c r="E1371" s="102"/>
      <c r="F1371" s="102"/>
      <c r="G1371" s="102"/>
      <c r="I1371" s="93"/>
      <c r="J1371" s="93"/>
    </row>
    <row r="1372" spans="1:10" s="65" customFormat="1" ht="14" x14ac:dyDescent="0.35">
      <c r="A1372" s="145"/>
      <c r="E1372" s="102"/>
      <c r="F1372" s="102"/>
      <c r="G1372" s="102"/>
      <c r="I1372" s="93"/>
      <c r="J1372" s="93"/>
    </row>
    <row r="1373" spans="1:10" s="65" customFormat="1" ht="14" x14ac:dyDescent="0.35">
      <c r="A1373" s="145"/>
      <c r="E1373" s="102"/>
      <c r="F1373" s="102"/>
      <c r="G1373" s="102"/>
      <c r="I1373" s="93"/>
      <c r="J1373" s="93"/>
    </row>
    <row r="1374" spans="1:10" s="65" customFormat="1" ht="14" x14ac:dyDescent="0.35">
      <c r="A1374" s="145"/>
      <c r="E1374" s="102"/>
      <c r="F1374" s="102"/>
      <c r="G1374" s="102"/>
      <c r="I1374" s="93"/>
      <c r="J1374" s="93"/>
    </row>
    <row r="1375" spans="1:10" s="65" customFormat="1" ht="14" x14ac:dyDescent="0.35">
      <c r="A1375" s="145"/>
      <c r="E1375" s="102"/>
      <c r="F1375" s="102"/>
      <c r="G1375" s="102"/>
      <c r="I1375" s="93"/>
      <c r="J1375" s="93"/>
    </row>
    <row r="1376" spans="1:10" s="65" customFormat="1" ht="14" x14ac:dyDescent="0.35">
      <c r="A1376" s="145"/>
      <c r="E1376" s="102"/>
      <c r="F1376" s="102"/>
      <c r="G1376" s="102"/>
      <c r="I1376" s="93"/>
      <c r="J1376" s="93"/>
    </row>
    <row r="1377" spans="1:10" s="65" customFormat="1" ht="14" x14ac:dyDescent="0.35">
      <c r="A1377" s="145"/>
      <c r="E1377" s="102"/>
      <c r="F1377" s="102"/>
      <c r="G1377" s="102"/>
      <c r="I1377" s="93"/>
      <c r="J1377" s="93"/>
    </row>
    <row r="1378" spans="1:10" s="65" customFormat="1" ht="14" x14ac:dyDescent="0.35">
      <c r="A1378" s="145"/>
      <c r="E1378" s="102"/>
      <c r="F1378" s="102"/>
      <c r="G1378" s="102"/>
      <c r="I1378" s="93"/>
      <c r="J1378" s="93"/>
    </row>
    <row r="1379" spans="1:10" s="65" customFormat="1" ht="14" x14ac:dyDescent="0.35">
      <c r="A1379" s="145"/>
      <c r="E1379" s="102"/>
      <c r="F1379" s="102"/>
      <c r="G1379" s="102"/>
      <c r="I1379" s="93"/>
      <c r="J1379" s="93"/>
    </row>
    <row r="1380" spans="1:10" s="65" customFormat="1" ht="14" x14ac:dyDescent="0.35">
      <c r="A1380" s="145"/>
      <c r="E1380" s="102"/>
      <c r="F1380" s="102"/>
      <c r="G1380" s="102"/>
      <c r="I1380" s="93"/>
      <c r="J1380" s="93"/>
    </row>
    <row r="1381" spans="1:10" s="65" customFormat="1" ht="14" x14ac:dyDescent="0.35">
      <c r="A1381" s="145"/>
      <c r="E1381" s="102"/>
      <c r="F1381" s="102"/>
      <c r="G1381" s="102"/>
      <c r="I1381" s="93"/>
      <c r="J1381" s="93"/>
    </row>
    <row r="1382" spans="1:10" s="65" customFormat="1" ht="14" x14ac:dyDescent="0.35">
      <c r="A1382" s="145"/>
      <c r="E1382" s="102"/>
      <c r="F1382" s="102"/>
      <c r="G1382" s="102"/>
      <c r="I1382" s="93"/>
      <c r="J1382" s="93"/>
    </row>
    <row r="1383" spans="1:10" s="65" customFormat="1" ht="14" x14ac:dyDescent="0.35">
      <c r="A1383" s="145"/>
      <c r="E1383" s="102"/>
      <c r="F1383" s="102"/>
      <c r="G1383" s="102"/>
      <c r="I1383" s="93"/>
      <c r="J1383" s="93"/>
    </row>
    <row r="1384" spans="1:10" s="65" customFormat="1" ht="14" x14ac:dyDescent="0.35">
      <c r="A1384" s="145"/>
      <c r="E1384" s="102"/>
      <c r="F1384" s="102"/>
      <c r="G1384" s="102"/>
      <c r="I1384" s="93"/>
      <c r="J1384" s="93"/>
    </row>
    <row r="1385" spans="1:10" s="65" customFormat="1" ht="14" x14ac:dyDescent="0.35">
      <c r="A1385" s="145"/>
      <c r="E1385" s="102"/>
      <c r="F1385" s="102"/>
      <c r="G1385" s="102"/>
      <c r="I1385" s="93"/>
      <c r="J1385" s="93"/>
    </row>
    <row r="1386" spans="1:10" s="65" customFormat="1" ht="14" x14ac:dyDescent="0.35">
      <c r="A1386" s="145"/>
      <c r="E1386" s="102"/>
      <c r="F1386" s="102"/>
      <c r="G1386" s="102"/>
      <c r="I1386" s="93"/>
      <c r="J1386" s="93"/>
    </row>
    <row r="1387" spans="1:10" s="65" customFormat="1" ht="14" x14ac:dyDescent="0.35">
      <c r="A1387" s="145"/>
      <c r="E1387" s="102"/>
      <c r="F1387" s="102"/>
      <c r="G1387" s="102"/>
      <c r="I1387" s="93"/>
      <c r="J1387" s="93"/>
    </row>
    <row r="1388" spans="1:10" s="65" customFormat="1" ht="14" x14ac:dyDescent="0.35">
      <c r="A1388" s="145"/>
      <c r="E1388" s="102"/>
      <c r="F1388" s="102"/>
      <c r="G1388" s="102"/>
      <c r="I1388" s="93"/>
      <c r="J1388" s="93"/>
    </row>
    <row r="1389" spans="1:10" s="65" customFormat="1" ht="14" x14ac:dyDescent="0.35">
      <c r="A1389" s="145"/>
      <c r="E1389" s="102"/>
      <c r="F1389" s="102"/>
      <c r="G1389" s="102"/>
      <c r="I1389" s="93"/>
      <c r="J1389" s="93"/>
    </row>
    <row r="1390" spans="1:10" s="65" customFormat="1" ht="14" x14ac:dyDescent="0.35">
      <c r="A1390" s="145"/>
      <c r="E1390" s="102"/>
      <c r="F1390" s="102"/>
      <c r="G1390" s="102"/>
      <c r="I1390" s="93"/>
      <c r="J1390" s="93"/>
    </row>
    <row r="1391" spans="1:10" s="65" customFormat="1" ht="14" x14ac:dyDescent="0.35">
      <c r="A1391" s="145"/>
      <c r="E1391" s="102"/>
      <c r="F1391" s="102"/>
      <c r="G1391" s="102"/>
      <c r="I1391" s="93"/>
      <c r="J1391" s="93"/>
    </row>
    <row r="1392" spans="1:10" s="65" customFormat="1" ht="14" x14ac:dyDescent="0.35">
      <c r="A1392" s="145"/>
      <c r="E1392" s="102"/>
      <c r="F1392" s="102"/>
      <c r="G1392" s="102"/>
      <c r="I1392" s="93"/>
      <c r="J1392" s="93"/>
    </row>
    <row r="1393" spans="1:10" s="65" customFormat="1" ht="14" x14ac:dyDescent="0.35">
      <c r="A1393" s="145"/>
      <c r="E1393" s="102"/>
      <c r="F1393" s="102"/>
      <c r="G1393" s="102"/>
      <c r="I1393" s="93"/>
      <c r="J1393" s="93"/>
    </row>
    <row r="1394" spans="1:10" s="65" customFormat="1" ht="14" x14ac:dyDescent="0.35">
      <c r="A1394" s="145"/>
      <c r="E1394" s="102"/>
      <c r="F1394" s="102"/>
      <c r="G1394" s="102"/>
      <c r="I1394" s="93"/>
      <c r="J1394" s="93"/>
    </row>
    <row r="1395" spans="1:10" s="65" customFormat="1" ht="14" x14ac:dyDescent="0.35">
      <c r="A1395" s="145"/>
      <c r="E1395" s="102"/>
      <c r="F1395" s="102"/>
      <c r="G1395" s="102"/>
      <c r="I1395" s="93"/>
      <c r="J1395" s="93"/>
    </row>
    <row r="1396" spans="1:10" s="65" customFormat="1" ht="14" x14ac:dyDescent="0.35">
      <c r="A1396" s="145"/>
      <c r="E1396" s="102"/>
      <c r="F1396" s="102"/>
      <c r="G1396" s="102"/>
      <c r="I1396" s="93"/>
      <c r="J1396" s="93"/>
    </row>
    <row r="1397" spans="1:10" s="65" customFormat="1" ht="14" x14ac:dyDescent="0.35">
      <c r="A1397" s="145"/>
      <c r="E1397" s="102"/>
      <c r="F1397" s="102"/>
      <c r="G1397" s="102"/>
      <c r="I1397" s="93"/>
      <c r="J1397" s="93"/>
    </row>
    <row r="1398" spans="1:10" s="65" customFormat="1" ht="14" x14ac:dyDescent="0.35">
      <c r="A1398" s="145"/>
      <c r="E1398" s="102"/>
      <c r="F1398" s="102"/>
      <c r="G1398" s="102"/>
      <c r="I1398" s="93"/>
      <c r="J1398" s="93"/>
    </row>
    <row r="1399" spans="1:10" s="65" customFormat="1" ht="14" x14ac:dyDescent="0.35">
      <c r="A1399" s="145"/>
      <c r="E1399" s="102"/>
      <c r="F1399" s="102"/>
      <c r="G1399" s="102"/>
      <c r="I1399" s="93"/>
      <c r="J1399" s="93"/>
    </row>
    <row r="1400" spans="1:10" s="65" customFormat="1" ht="14" x14ac:dyDescent="0.35">
      <c r="A1400" s="145"/>
      <c r="E1400" s="102"/>
      <c r="F1400" s="102"/>
      <c r="G1400" s="102"/>
      <c r="I1400" s="93"/>
      <c r="J1400" s="93"/>
    </row>
    <row r="1401" spans="1:10" s="65" customFormat="1" ht="14" x14ac:dyDescent="0.35">
      <c r="A1401" s="145"/>
      <c r="E1401" s="102"/>
      <c r="F1401" s="102"/>
      <c r="G1401" s="102"/>
      <c r="I1401" s="93"/>
      <c r="J1401" s="93"/>
    </row>
    <row r="1402" spans="1:10" s="65" customFormat="1" ht="14" x14ac:dyDescent="0.35">
      <c r="A1402" s="145"/>
      <c r="E1402" s="102"/>
      <c r="F1402" s="102"/>
      <c r="G1402" s="102"/>
      <c r="I1402" s="93"/>
      <c r="J1402" s="93"/>
    </row>
    <row r="1403" spans="1:10" s="65" customFormat="1" ht="14" x14ac:dyDescent="0.35">
      <c r="A1403" s="145"/>
      <c r="E1403" s="102"/>
      <c r="F1403" s="102"/>
      <c r="G1403" s="102"/>
      <c r="I1403" s="93"/>
      <c r="J1403" s="93"/>
    </row>
    <row r="1404" spans="1:10" s="65" customFormat="1" ht="14" x14ac:dyDescent="0.35">
      <c r="A1404" s="145"/>
      <c r="E1404" s="102"/>
      <c r="F1404" s="102"/>
      <c r="G1404" s="102"/>
      <c r="I1404" s="93"/>
      <c r="J1404" s="93"/>
    </row>
    <row r="1405" spans="1:10" s="65" customFormat="1" ht="14" x14ac:dyDescent="0.35">
      <c r="A1405" s="145"/>
      <c r="E1405" s="102"/>
      <c r="F1405" s="102"/>
      <c r="G1405" s="102"/>
      <c r="I1405" s="93"/>
      <c r="J1405" s="93"/>
    </row>
    <row r="1406" spans="1:10" s="65" customFormat="1" ht="14" x14ac:dyDescent="0.35">
      <c r="A1406" s="145"/>
      <c r="E1406" s="102"/>
      <c r="F1406" s="102"/>
      <c r="G1406" s="102"/>
      <c r="I1406" s="93"/>
      <c r="J1406" s="93"/>
    </row>
    <row r="1407" spans="1:10" s="65" customFormat="1" ht="14" x14ac:dyDescent="0.35">
      <c r="A1407" s="145"/>
      <c r="E1407" s="102"/>
      <c r="F1407" s="102"/>
      <c r="G1407" s="102"/>
      <c r="I1407" s="93"/>
      <c r="J1407" s="93"/>
    </row>
    <row r="1408" spans="1:10" s="65" customFormat="1" ht="14" x14ac:dyDescent="0.35">
      <c r="A1408" s="145"/>
      <c r="E1408" s="102"/>
      <c r="F1408" s="102"/>
      <c r="G1408" s="102"/>
      <c r="I1408" s="93"/>
      <c r="J1408" s="93"/>
    </row>
    <row r="1409" spans="1:10" s="65" customFormat="1" ht="14" x14ac:dyDescent="0.35">
      <c r="A1409" s="145"/>
      <c r="E1409" s="102"/>
      <c r="F1409" s="102"/>
      <c r="G1409" s="102"/>
      <c r="I1409" s="93"/>
      <c r="J1409" s="93"/>
    </row>
    <row r="1410" spans="1:10" s="65" customFormat="1" ht="14" x14ac:dyDescent="0.35">
      <c r="A1410" s="145"/>
      <c r="E1410" s="102"/>
      <c r="F1410" s="102"/>
      <c r="G1410" s="102"/>
      <c r="I1410" s="93"/>
      <c r="J1410" s="93"/>
    </row>
    <row r="1411" spans="1:10" s="65" customFormat="1" ht="14" x14ac:dyDescent="0.35">
      <c r="A1411" s="145"/>
      <c r="E1411" s="102"/>
      <c r="F1411" s="102"/>
      <c r="G1411" s="102"/>
      <c r="I1411" s="93"/>
      <c r="J1411" s="93"/>
    </row>
    <row r="1412" spans="1:10" s="65" customFormat="1" ht="14" x14ac:dyDescent="0.35">
      <c r="A1412" s="145"/>
      <c r="E1412" s="102"/>
      <c r="F1412" s="102"/>
      <c r="G1412" s="102"/>
      <c r="I1412" s="93"/>
      <c r="J1412" s="93"/>
    </row>
    <row r="1413" spans="1:10" s="65" customFormat="1" ht="14" x14ac:dyDescent="0.35">
      <c r="A1413" s="145"/>
      <c r="E1413" s="102"/>
      <c r="F1413" s="102"/>
      <c r="G1413" s="102"/>
      <c r="I1413" s="93"/>
      <c r="J1413" s="93"/>
    </row>
    <row r="1414" spans="1:10" s="65" customFormat="1" ht="14" x14ac:dyDescent="0.35">
      <c r="A1414" s="145"/>
      <c r="E1414" s="102"/>
      <c r="F1414" s="102"/>
      <c r="G1414" s="102"/>
      <c r="I1414" s="93"/>
      <c r="J1414" s="93"/>
    </row>
    <row r="1415" spans="1:10" s="65" customFormat="1" ht="14" x14ac:dyDescent="0.35">
      <c r="A1415" s="145"/>
      <c r="E1415" s="102"/>
      <c r="F1415" s="102"/>
      <c r="G1415" s="102"/>
      <c r="I1415" s="93"/>
      <c r="J1415" s="93"/>
    </row>
    <row r="1416" spans="1:10" s="65" customFormat="1" ht="14" x14ac:dyDescent="0.35">
      <c r="A1416" s="145"/>
      <c r="E1416" s="102"/>
      <c r="F1416" s="102"/>
      <c r="G1416" s="102"/>
      <c r="I1416" s="93"/>
      <c r="J1416" s="93"/>
    </row>
    <row r="1417" spans="1:10" s="65" customFormat="1" ht="14" x14ac:dyDescent="0.35">
      <c r="A1417" s="145"/>
      <c r="E1417" s="102"/>
      <c r="F1417" s="102"/>
      <c r="G1417" s="102"/>
      <c r="I1417" s="93"/>
      <c r="J1417" s="93"/>
    </row>
    <row r="1418" spans="1:10" s="65" customFormat="1" ht="14" x14ac:dyDescent="0.35">
      <c r="A1418" s="145"/>
      <c r="E1418" s="102"/>
      <c r="F1418" s="102"/>
      <c r="G1418" s="102"/>
      <c r="I1418" s="93"/>
      <c r="J1418" s="93"/>
    </row>
    <row r="1419" spans="1:10" s="65" customFormat="1" ht="14" x14ac:dyDescent="0.35">
      <c r="A1419" s="145"/>
      <c r="E1419" s="102"/>
      <c r="F1419" s="102"/>
      <c r="G1419" s="102"/>
      <c r="I1419" s="93"/>
      <c r="J1419" s="93"/>
    </row>
    <row r="1420" spans="1:10" s="65" customFormat="1" ht="14" x14ac:dyDescent="0.35">
      <c r="A1420" s="145"/>
      <c r="E1420" s="102"/>
      <c r="F1420" s="102"/>
      <c r="G1420" s="102"/>
      <c r="I1420" s="93"/>
      <c r="J1420" s="93"/>
    </row>
    <row r="1421" spans="1:10" s="65" customFormat="1" ht="14" x14ac:dyDescent="0.35">
      <c r="A1421" s="145"/>
      <c r="E1421" s="102"/>
      <c r="F1421" s="102"/>
      <c r="G1421" s="102"/>
      <c r="I1421" s="93"/>
      <c r="J1421" s="93"/>
    </row>
    <row r="1422" spans="1:10" s="65" customFormat="1" ht="14" x14ac:dyDescent="0.35">
      <c r="A1422" s="145"/>
      <c r="E1422" s="102"/>
      <c r="F1422" s="102"/>
      <c r="G1422" s="102"/>
      <c r="I1422" s="93"/>
      <c r="J1422" s="93"/>
    </row>
    <row r="1423" spans="1:10" s="65" customFormat="1" ht="14" x14ac:dyDescent="0.35">
      <c r="A1423" s="145"/>
      <c r="E1423" s="102"/>
      <c r="F1423" s="102"/>
      <c r="G1423" s="102"/>
      <c r="I1423" s="93"/>
      <c r="J1423" s="93"/>
    </row>
    <row r="1424" spans="1:10" s="65" customFormat="1" ht="14" x14ac:dyDescent="0.35">
      <c r="A1424" s="145"/>
      <c r="E1424" s="102"/>
      <c r="F1424" s="102"/>
      <c r="G1424" s="102"/>
      <c r="I1424" s="93"/>
      <c r="J1424" s="93"/>
    </row>
    <row r="1425" spans="1:10" s="65" customFormat="1" ht="14" x14ac:dyDescent="0.35">
      <c r="A1425" s="145"/>
      <c r="E1425" s="102"/>
      <c r="F1425" s="102"/>
      <c r="G1425" s="102"/>
      <c r="I1425" s="93"/>
      <c r="J1425" s="93"/>
    </row>
    <row r="1426" spans="1:10" s="65" customFormat="1" ht="14" x14ac:dyDescent="0.35">
      <c r="A1426" s="145"/>
      <c r="E1426" s="102"/>
      <c r="F1426" s="102"/>
      <c r="G1426" s="102"/>
      <c r="I1426" s="93"/>
      <c r="J1426" s="93"/>
    </row>
    <row r="1427" spans="1:10" s="65" customFormat="1" ht="14" x14ac:dyDescent="0.35">
      <c r="A1427" s="145"/>
      <c r="E1427" s="102"/>
      <c r="F1427" s="102"/>
      <c r="G1427" s="102"/>
      <c r="I1427" s="93"/>
      <c r="J1427" s="93"/>
    </row>
    <row r="1428" spans="1:10" s="65" customFormat="1" ht="14" x14ac:dyDescent="0.35">
      <c r="A1428" s="145"/>
      <c r="E1428" s="102"/>
      <c r="F1428" s="102"/>
      <c r="G1428" s="102"/>
      <c r="I1428" s="93"/>
      <c r="J1428" s="93"/>
    </row>
    <row r="1429" spans="1:10" s="65" customFormat="1" ht="14" x14ac:dyDescent="0.35">
      <c r="A1429" s="145"/>
      <c r="E1429" s="102"/>
      <c r="F1429" s="102"/>
      <c r="G1429" s="102"/>
      <c r="I1429" s="93"/>
      <c r="J1429" s="93"/>
    </row>
    <row r="1430" spans="1:10" s="65" customFormat="1" ht="14" x14ac:dyDescent="0.35">
      <c r="A1430" s="145"/>
      <c r="E1430" s="102"/>
      <c r="F1430" s="102"/>
      <c r="G1430" s="102"/>
      <c r="I1430" s="93"/>
      <c r="J1430" s="93"/>
    </row>
    <row r="1431" spans="1:10" s="65" customFormat="1" ht="14" x14ac:dyDescent="0.35">
      <c r="A1431" s="145"/>
      <c r="E1431" s="102"/>
      <c r="F1431" s="102"/>
      <c r="G1431" s="102"/>
      <c r="I1431" s="93"/>
      <c r="J1431" s="93"/>
    </row>
    <row r="1432" spans="1:10" s="65" customFormat="1" ht="14" x14ac:dyDescent="0.35">
      <c r="A1432" s="145"/>
      <c r="E1432" s="102"/>
      <c r="F1432" s="102"/>
      <c r="G1432" s="102"/>
      <c r="I1432" s="93"/>
      <c r="J1432" s="93"/>
    </row>
    <row r="1433" spans="1:10" s="65" customFormat="1" ht="14" x14ac:dyDescent="0.35">
      <c r="A1433" s="145"/>
      <c r="E1433" s="102"/>
      <c r="F1433" s="102"/>
      <c r="G1433" s="102"/>
      <c r="I1433" s="93"/>
      <c r="J1433" s="93"/>
    </row>
    <row r="1434" spans="1:10" s="65" customFormat="1" ht="14" x14ac:dyDescent="0.35">
      <c r="A1434" s="145"/>
      <c r="E1434" s="102"/>
      <c r="F1434" s="102"/>
      <c r="G1434" s="102"/>
      <c r="I1434" s="93"/>
      <c r="J1434" s="93"/>
    </row>
    <row r="1435" spans="1:10" s="65" customFormat="1" ht="14" x14ac:dyDescent="0.35">
      <c r="A1435" s="145"/>
      <c r="E1435" s="102"/>
      <c r="F1435" s="102"/>
      <c r="G1435" s="102"/>
      <c r="I1435" s="93"/>
      <c r="J1435" s="93"/>
    </row>
    <row r="1436" spans="1:10" s="65" customFormat="1" ht="14" x14ac:dyDescent="0.35">
      <c r="A1436" s="145"/>
      <c r="E1436" s="102"/>
      <c r="F1436" s="102"/>
      <c r="G1436" s="102"/>
      <c r="I1436" s="93"/>
      <c r="J1436" s="93"/>
    </row>
    <row r="1437" spans="1:10" s="65" customFormat="1" ht="14" x14ac:dyDescent="0.35">
      <c r="A1437" s="145"/>
      <c r="E1437" s="102"/>
      <c r="F1437" s="102"/>
      <c r="G1437" s="102"/>
      <c r="I1437" s="93"/>
      <c r="J1437" s="93"/>
    </row>
    <row r="1438" spans="1:10" s="65" customFormat="1" ht="14" x14ac:dyDescent="0.35">
      <c r="A1438" s="145"/>
      <c r="E1438" s="102"/>
      <c r="F1438" s="102"/>
      <c r="G1438" s="102"/>
      <c r="I1438" s="93"/>
      <c r="J1438" s="93"/>
    </row>
    <row r="1439" spans="1:10" s="65" customFormat="1" ht="14" x14ac:dyDescent="0.35">
      <c r="A1439" s="145"/>
      <c r="E1439" s="102"/>
      <c r="F1439" s="102"/>
      <c r="G1439" s="102"/>
      <c r="I1439" s="93"/>
      <c r="J1439" s="93"/>
    </row>
    <row r="1440" spans="1:10" s="65" customFormat="1" ht="14" x14ac:dyDescent="0.35">
      <c r="A1440" s="145"/>
      <c r="E1440" s="102"/>
      <c r="F1440" s="102"/>
      <c r="G1440" s="102"/>
      <c r="I1440" s="93"/>
      <c r="J1440" s="93"/>
    </row>
    <row r="1441" spans="1:10" s="65" customFormat="1" ht="14" x14ac:dyDescent="0.35">
      <c r="A1441" s="145"/>
      <c r="E1441" s="102"/>
      <c r="F1441" s="102"/>
      <c r="G1441" s="102"/>
      <c r="I1441" s="93"/>
      <c r="J1441" s="93"/>
    </row>
    <row r="1442" spans="1:10" s="65" customFormat="1" ht="14" x14ac:dyDescent="0.35">
      <c r="A1442" s="145"/>
      <c r="E1442" s="102"/>
      <c r="F1442" s="102"/>
      <c r="G1442" s="102"/>
      <c r="I1442" s="93"/>
      <c r="J1442" s="93"/>
    </row>
    <row r="1443" spans="1:10" s="65" customFormat="1" ht="14" x14ac:dyDescent="0.35">
      <c r="A1443" s="145"/>
      <c r="E1443" s="102"/>
      <c r="F1443" s="102"/>
      <c r="G1443" s="102"/>
      <c r="I1443" s="93"/>
      <c r="J1443" s="93"/>
    </row>
    <row r="1444" spans="1:10" s="65" customFormat="1" ht="14" x14ac:dyDescent="0.35">
      <c r="A1444" s="145"/>
      <c r="E1444" s="102"/>
      <c r="F1444" s="102"/>
      <c r="G1444" s="102"/>
      <c r="I1444" s="93"/>
      <c r="J1444" s="93"/>
    </row>
    <row r="1445" spans="1:10" s="65" customFormat="1" ht="14" x14ac:dyDescent="0.35">
      <c r="A1445" s="145"/>
      <c r="E1445" s="102"/>
      <c r="F1445" s="102"/>
      <c r="G1445" s="102"/>
      <c r="I1445" s="93"/>
      <c r="J1445" s="93"/>
    </row>
    <row r="1446" spans="1:10" s="65" customFormat="1" ht="14" x14ac:dyDescent="0.35">
      <c r="A1446" s="145"/>
      <c r="E1446" s="102"/>
      <c r="F1446" s="102"/>
      <c r="G1446" s="102"/>
      <c r="I1446" s="93"/>
      <c r="J1446" s="93"/>
    </row>
    <row r="1447" spans="1:10" s="65" customFormat="1" ht="14" x14ac:dyDescent="0.35">
      <c r="A1447" s="145"/>
      <c r="E1447" s="102"/>
      <c r="F1447" s="102"/>
      <c r="G1447" s="102"/>
      <c r="I1447" s="93"/>
      <c r="J1447" s="93"/>
    </row>
    <row r="1448" spans="1:10" s="65" customFormat="1" ht="14" x14ac:dyDescent="0.35">
      <c r="A1448" s="145"/>
      <c r="E1448" s="102"/>
      <c r="F1448" s="102"/>
      <c r="G1448" s="102"/>
      <c r="I1448" s="93"/>
      <c r="J1448" s="93"/>
    </row>
    <row r="1449" spans="1:10" s="65" customFormat="1" ht="14" x14ac:dyDescent="0.35">
      <c r="A1449" s="145"/>
      <c r="E1449" s="102"/>
      <c r="F1449" s="102"/>
      <c r="G1449" s="102"/>
      <c r="I1449" s="93"/>
      <c r="J1449" s="93"/>
    </row>
    <row r="1450" spans="1:10" s="65" customFormat="1" ht="14" x14ac:dyDescent="0.35">
      <c r="A1450" s="145"/>
      <c r="E1450" s="102"/>
      <c r="F1450" s="102"/>
      <c r="G1450" s="102"/>
      <c r="I1450" s="93"/>
      <c r="J1450" s="93"/>
    </row>
    <row r="1451" spans="1:10" s="65" customFormat="1" ht="14" x14ac:dyDescent="0.35">
      <c r="A1451" s="145"/>
      <c r="E1451" s="102"/>
      <c r="F1451" s="102"/>
      <c r="G1451" s="102"/>
      <c r="I1451" s="93"/>
      <c r="J1451" s="93"/>
    </row>
    <row r="1452" spans="1:10" s="65" customFormat="1" ht="14" x14ac:dyDescent="0.35">
      <c r="A1452" s="145"/>
      <c r="E1452" s="102"/>
      <c r="F1452" s="102"/>
      <c r="G1452" s="102"/>
      <c r="I1452" s="93"/>
      <c r="J1452" s="93"/>
    </row>
    <row r="1453" spans="1:10" s="65" customFormat="1" ht="14" x14ac:dyDescent="0.35">
      <c r="A1453" s="145"/>
      <c r="E1453" s="102"/>
      <c r="F1453" s="102"/>
      <c r="G1453" s="102"/>
      <c r="I1453" s="93"/>
      <c r="J1453" s="93"/>
    </row>
    <row r="1454" spans="1:10" s="65" customFormat="1" ht="14" x14ac:dyDescent="0.35">
      <c r="A1454" s="145"/>
      <c r="E1454" s="102"/>
      <c r="F1454" s="102"/>
      <c r="G1454" s="102"/>
      <c r="I1454" s="93"/>
      <c r="J1454" s="93"/>
    </row>
    <row r="1455" spans="1:10" s="65" customFormat="1" ht="14" x14ac:dyDescent="0.35">
      <c r="A1455" s="145"/>
      <c r="E1455" s="102"/>
      <c r="F1455" s="102"/>
      <c r="G1455" s="102"/>
      <c r="I1455" s="93"/>
      <c r="J1455" s="93"/>
    </row>
    <row r="1456" spans="1:10" s="65" customFormat="1" ht="14" x14ac:dyDescent="0.35">
      <c r="A1456" s="145"/>
      <c r="E1456" s="102"/>
      <c r="F1456" s="102"/>
      <c r="G1456" s="102"/>
      <c r="I1456" s="93"/>
      <c r="J1456" s="93"/>
    </row>
    <row r="1457" spans="1:10" s="65" customFormat="1" ht="14" x14ac:dyDescent="0.35">
      <c r="A1457" s="145"/>
      <c r="E1457" s="102"/>
      <c r="F1457" s="102"/>
      <c r="G1457" s="102"/>
      <c r="I1457" s="93"/>
      <c r="J1457" s="93"/>
    </row>
    <row r="1458" spans="1:10" s="65" customFormat="1" ht="14" x14ac:dyDescent="0.35">
      <c r="A1458" s="145"/>
      <c r="E1458" s="102"/>
      <c r="F1458" s="102"/>
      <c r="G1458" s="102"/>
      <c r="I1458" s="93"/>
      <c r="J1458" s="93"/>
    </row>
    <row r="1459" spans="1:10" s="65" customFormat="1" ht="14" x14ac:dyDescent="0.35">
      <c r="A1459" s="145"/>
      <c r="E1459" s="102"/>
      <c r="F1459" s="102"/>
      <c r="G1459" s="102"/>
      <c r="I1459" s="93"/>
      <c r="J1459" s="93"/>
    </row>
    <row r="1460" spans="1:10" s="65" customFormat="1" ht="14" x14ac:dyDescent="0.35">
      <c r="A1460" s="145"/>
      <c r="E1460" s="102"/>
      <c r="F1460" s="102"/>
      <c r="G1460" s="102"/>
      <c r="I1460" s="93"/>
      <c r="J1460" s="93"/>
    </row>
    <row r="1461" spans="1:10" s="65" customFormat="1" ht="14" x14ac:dyDescent="0.35">
      <c r="A1461" s="145"/>
      <c r="E1461" s="102"/>
      <c r="F1461" s="102"/>
      <c r="G1461" s="102"/>
      <c r="I1461" s="93"/>
      <c r="J1461" s="93"/>
    </row>
    <row r="1462" spans="1:10" s="65" customFormat="1" ht="14" x14ac:dyDescent="0.35">
      <c r="A1462" s="145"/>
      <c r="E1462" s="102"/>
      <c r="F1462" s="102"/>
      <c r="G1462" s="102"/>
      <c r="I1462" s="93"/>
      <c r="J1462" s="93"/>
    </row>
    <row r="1463" spans="1:10" s="65" customFormat="1" ht="14" x14ac:dyDescent="0.35">
      <c r="A1463" s="145"/>
      <c r="E1463" s="102"/>
      <c r="F1463" s="102"/>
      <c r="G1463" s="102"/>
      <c r="I1463" s="93"/>
      <c r="J1463" s="93"/>
    </row>
    <row r="1464" spans="1:10" s="65" customFormat="1" ht="14" x14ac:dyDescent="0.35">
      <c r="A1464" s="145"/>
      <c r="E1464" s="102"/>
      <c r="F1464" s="102"/>
      <c r="G1464" s="102"/>
      <c r="I1464" s="93"/>
      <c r="J1464" s="93"/>
    </row>
    <row r="1465" spans="1:10" s="65" customFormat="1" ht="14" x14ac:dyDescent="0.35">
      <c r="A1465" s="145"/>
      <c r="E1465" s="102"/>
      <c r="F1465" s="102"/>
      <c r="G1465" s="102"/>
      <c r="I1465" s="93"/>
      <c r="J1465" s="93"/>
    </row>
    <row r="1466" spans="1:10" s="65" customFormat="1" ht="14" x14ac:dyDescent="0.35">
      <c r="A1466" s="145"/>
      <c r="E1466" s="102"/>
      <c r="F1466" s="102"/>
      <c r="G1466" s="102"/>
      <c r="I1466" s="93"/>
      <c r="J1466" s="93"/>
    </row>
    <row r="1467" spans="1:10" s="65" customFormat="1" ht="14" x14ac:dyDescent="0.35">
      <c r="A1467" s="145"/>
      <c r="E1467" s="102"/>
      <c r="F1467" s="102"/>
      <c r="G1467" s="102"/>
      <c r="I1467" s="93"/>
      <c r="J1467" s="93"/>
    </row>
    <row r="1468" spans="1:10" s="65" customFormat="1" ht="14" x14ac:dyDescent="0.35">
      <c r="A1468" s="145"/>
      <c r="E1468" s="102"/>
      <c r="F1468" s="102"/>
      <c r="G1468" s="102"/>
      <c r="I1468" s="93"/>
      <c r="J1468" s="93"/>
    </row>
    <row r="1469" spans="1:10" s="65" customFormat="1" ht="14" x14ac:dyDescent="0.35">
      <c r="A1469" s="145"/>
      <c r="E1469" s="102"/>
      <c r="F1469" s="102"/>
      <c r="G1469" s="102"/>
      <c r="I1469" s="93"/>
      <c r="J1469" s="93"/>
    </row>
    <row r="1470" spans="1:10" s="65" customFormat="1" ht="14" x14ac:dyDescent="0.35">
      <c r="A1470" s="145"/>
      <c r="E1470" s="102"/>
      <c r="F1470" s="102"/>
      <c r="G1470" s="102"/>
      <c r="I1470" s="93"/>
      <c r="J1470" s="93"/>
    </row>
    <row r="1471" spans="1:10" s="65" customFormat="1" ht="14" x14ac:dyDescent="0.35">
      <c r="A1471" s="145"/>
      <c r="E1471" s="102"/>
      <c r="F1471" s="102"/>
      <c r="G1471" s="102"/>
      <c r="I1471" s="93"/>
      <c r="J1471" s="93"/>
    </row>
    <row r="1472" spans="1:10" s="65" customFormat="1" ht="14" x14ac:dyDescent="0.35">
      <c r="A1472" s="145"/>
      <c r="E1472" s="102"/>
      <c r="F1472" s="102"/>
      <c r="G1472" s="102"/>
      <c r="I1472" s="93"/>
      <c r="J1472" s="93"/>
    </row>
    <row r="1473" spans="1:10" s="65" customFormat="1" ht="14" x14ac:dyDescent="0.35">
      <c r="A1473" s="145"/>
      <c r="E1473" s="102"/>
      <c r="F1473" s="102"/>
      <c r="G1473" s="102"/>
      <c r="I1473" s="93"/>
      <c r="J1473" s="93"/>
    </row>
    <row r="1474" spans="1:10" s="65" customFormat="1" ht="14" x14ac:dyDescent="0.35">
      <c r="A1474" s="145"/>
      <c r="E1474" s="102"/>
      <c r="F1474" s="102"/>
      <c r="G1474" s="102"/>
      <c r="I1474" s="93"/>
      <c r="J1474" s="93"/>
    </row>
    <row r="1475" spans="1:10" s="65" customFormat="1" ht="14" x14ac:dyDescent="0.35">
      <c r="A1475" s="145"/>
      <c r="E1475" s="102"/>
      <c r="F1475" s="102"/>
      <c r="G1475" s="102"/>
      <c r="I1475" s="93"/>
      <c r="J1475" s="93"/>
    </row>
    <row r="1476" spans="1:10" s="65" customFormat="1" ht="14" x14ac:dyDescent="0.35">
      <c r="A1476" s="145"/>
      <c r="E1476" s="102"/>
      <c r="F1476" s="102"/>
      <c r="G1476" s="102"/>
      <c r="I1476" s="93"/>
      <c r="J1476" s="93"/>
    </row>
    <row r="1477" spans="1:10" s="65" customFormat="1" ht="14" x14ac:dyDescent="0.35">
      <c r="A1477" s="145"/>
      <c r="E1477" s="102"/>
      <c r="F1477" s="102"/>
      <c r="G1477" s="102"/>
      <c r="I1477" s="93"/>
      <c r="J1477" s="93"/>
    </row>
    <row r="1478" spans="1:10" s="65" customFormat="1" ht="14" x14ac:dyDescent="0.35">
      <c r="A1478" s="145"/>
      <c r="E1478" s="102"/>
      <c r="F1478" s="102"/>
      <c r="G1478" s="102"/>
      <c r="I1478" s="93"/>
      <c r="J1478" s="93"/>
    </row>
    <row r="1479" spans="1:10" s="65" customFormat="1" ht="14" x14ac:dyDescent="0.35">
      <c r="A1479" s="145"/>
      <c r="E1479" s="102"/>
      <c r="F1479" s="102"/>
      <c r="G1479" s="102"/>
      <c r="I1479" s="93"/>
      <c r="J1479" s="93"/>
    </row>
    <row r="1480" spans="1:10" s="65" customFormat="1" ht="14" x14ac:dyDescent="0.35">
      <c r="A1480" s="145"/>
      <c r="E1480" s="102"/>
      <c r="F1480" s="102"/>
      <c r="G1480" s="102"/>
      <c r="I1480" s="93"/>
      <c r="J1480" s="93"/>
    </row>
    <row r="1481" spans="1:10" s="65" customFormat="1" ht="14" x14ac:dyDescent="0.35">
      <c r="A1481" s="145"/>
      <c r="E1481" s="102"/>
      <c r="F1481" s="102"/>
      <c r="G1481" s="102"/>
      <c r="I1481" s="93"/>
      <c r="J1481" s="93"/>
    </row>
    <row r="1482" spans="1:10" s="65" customFormat="1" ht="14" x14ac:dyDescent="0.35">
      <c r="A1482" s="145"/>
      <c r="E1482" s="102"/>
      <c r="F1482" s="102"/>
      <c r="G1482" s="102"/>
      <c r="I1482" s="93"/>
      <c r="J1482" s="93"/>
    </row>
    <row r="1483" spans="1:10" s="65" customFormat="1" ht="14" x14ac:dyDescent="0.35">
      <c r="A1483" s="145"/>
      <c r="E1483" s="102"/>
      <c r="F1483" s="102"/>
      <c r="G1483" s="102"/>
      <c r="I1483" s="93"/>
      <c r="J1483" s="93"/>
    </row>
    <row r="1484" spans="1:10" s="65" customFormat="1" ht="14" x14ac:dyDescent="0.35">
      <c r="A1484" s="145"/>
      <c r="E1484" s="102"/>
      <c r="F1484" s="102"/>
      <c r="G1484" s="102"/>
      <c r="I1484" s="93"/>
      <c r="J1484" s="93"/>
    </row>
    <row r="1485" spans="1:10" s="65" customFormat="1" ht="14" x14ac:dyDescent="0.35">
      <c r="A1485" s="145"/>
      <c r="E1485" s="102"/>
      <c r="F1485" s="102"/>
      <c r="G1485" s="102"/>
      <c r="I1485" s="93"/>
      <c r="J1485" s="93"/>
    </row>
    <row r="1486" spans="1:10" s="65" customFormat="1" ht="14" x14ac:dyDescent="0.35">
      <c r="A1486" s="145"/>
      <c r="E1486" s="102"/>
      <c r="F1486" s="102"/>
      <c r="G1486" s="102"/>
      <c r="I1486" s="93"/>
      <c r="J1486" s="93"/>
    </row>
    <row r="1487" spans="1:10" s="65" customFormat="1" ht="14" x14ac:dyDescent="0.35">
      <c r="A1487" s="145"/>
      <c r="E1487" s="102"/>
      <c r="F1487" s="102"/>
      <c r="G1487" s="102"/>
      <c r="I1487" s="93"/>
      <c r="J1487" s="93"/>
    </row>
    <row r="1488" spans="1:10" s="65" customFormat="1" ht="14" x14ac:dyDescent="0.35">
      <c r="A1488" s="145"/>
      <c r="E1488" s="102"/>
      <c r="F1488" s="102"/>
      <c r="G1488" s="102"/>
      <c r="I1488" s="93"/>
      <c r="J1488" s="93"/>
    </row>
    <row r="1489" spans="1:10" s="65" customFormat="1" ht="14" x14ac:dyDescent="0.35">
      <c r="A1489" s="145"/>
      <c r="E1489" s="102"/>
      <c r="F1489" s="102"/>
      <c r="G1489" s="102"/>
      <c r="I1489" s="93"/>
      <c r="J1489" s="93"/>
    </row>
    <row r="1490" spans="1:10" s="65" customFormat="1" ht="14" x14ac:dyDescent="0.35">
      <c r="A1490" s="145"/>
      <c r="E1490" s="102"/>
      <c r="F1490" s="102"/>
      <c r="G1490" s="102"/>
      <c r="I1490" s="93"/>
      <c r="J1490" s="93"/>
    </row>
    <row r="1491" spans="1:10" s="65" customFormat="1" ht="14" x14ac:dyDescent="0.35">
      <c r="A1491" s="145"/>
      <c r="E1491" s="102"/>
      <c r="F1491" s="102"/>
      <c r="G1491" s="102"/>
      <c r="I1491" s="93"/>
      <c r="J1491" s="93"/>
    </row>
    <row r="1492" spans="1:10" s="65" customFormat="1" ht="14" x14ac:dyDescent="0.35">
      <c r="A1492" s="145"/>
      <c r="E1492" s="102"/>
      <c r="F1492" s="102"/>
      <c r="G1492" s="102"/>
      <c r="I1492" s="93"/>
      <c r="J1492" s="93"/>
    </row>
    <row r="1493" spans="1:10" s="65" customFormat="1" ht="14" x14ac:dyDescent="0.35">
      <c r="A1493" s="145"/>
      <c r="E1493" s="102"/>
      <c r="F1493" s="102"/>
      <c r="G1493" s="102"/>
      <c r="I1493" s="93"/>
      <c r="J1493" s="93"/>
    </row>
    <row r="1494" spans="1:10" s="65" customFormat="1" ht="14" x14ac:dyDescent="0.35">
      <c r="A1494" s="145"/>
      <c r="E1494" s="102"/>
      <c r="F1494" s="102"/>
      <c r="G1494" s="102"/>
      <c r="I1494" s="93"/>
      <c r="J1494" s="93"/>
    </row>
    <row r="1495" spans="1:10" s="65" customFormat="1" ht="14" x14ac:dyDescent="0.35">
      <c r="A1495" s="145"/>
      <c r="E1495" s="102"/>
      <c r="F1495" s="102"/>
      <c r="G1495" s="102"/>
      <c r="I1495" s="93"/>
      <c r="J1495" s="93"/>
    </row>
    <row r="1496" spans="1:10" s="65" customFormat="1" ht="14" x14ac:dyDescent="0.35">
      <c r="A1496" s="145"/>
      <c r="E1496" s="102"/>
      <c r="F1496" s="102"/>
      <c r="G1496" s="102"/>
      <c r="I1496" s="93"/>
      <c r="J1496" s="93"/>
    </row>
    <row r="1497" spans="1:10" s="65" customFormat="1" ht="14" x14ac:dyDescent="0.35">
      <c r="A1497" s="145"/>
      <c r="E1497" s="102"/>
      <c r="F1497" s="102"/>
      <c r="G1497" s="102"/>
      <c r="I1497" s="93"/>
      <c r="J1497" s="93"/>
    </row>
    <row r="1498" spans="1:10" s="65" customFormat="1" ht="14" x14ac:dyDescent="0.35">
      <c r="A1498" s="145"/>
      <c r="E1498" s="102"/>
      <c r="F1498" s="102"/>
      <c r="G1498" s="102"/>
      <c r="I1498" s="93"/>
      <c r="J1498" s="93"/>
    </row>
    <row r="1499" spans="1:10" s="65" customFormat="1" ht="14" x14ac:dyDescent="0.35">
      <c r="A1499" s="145"/>
      <c r="E1499" s="102"/>
      <c r="F1499" s="102"/>
      <c r="G1499" s="102"/>
      <c r="I1499" s="93"/>
      <c r="J1499" s="93"/>
    </row>
    <row r="1500" spans="1:10" s="65" customFormat="1" ht="14" x14ac:dyDescent="0.35">
      <c r="A1500" s="145"/>
      <c r="E1500" s="102"/>
      <c r="F1500" s="102"/>
      <c r="G1500" s="102"/>
      <c r="I1500" s="93"/>
      <c r="J1500" s="93"/>
    </row>
    <row r="1501" spans="1:10" s="65" customFormat="1" ht="14" x14ac:dyDescent="0.35">
      <c r="A1501" s="145"/>
      <c r="E1501" s="102"/>
      <c r="F1501" s="102"/>
      <c r="G1501" s="102"/>
      <c r="I1501" s="93"/>
      <c r="J1501" s="93"/>
    </row>
    <row r="1502" spans="1:10" s="65" customFormat="1" ht="14" x14ac:dyDescent="0.35">
      <c r="A1502" s="145"/>
      <c r="E1502" s="102"/>
      <c r="F1502" s="102"/>
      <c r="G1502" s="102"/>
      <c r="I1502" s="93"/>
      <c r="J1502" s="93"/>
    </row>
    <row r="1503" spans="1:10" s="65" customFormat="1" ht="14" x14ac:dyDescent="0.35">
      <c r="A1503" s="145"/>
      <c r="E1503" s="102"/>
      <c r="F1503" s="102"/>
      <c r="G1503" s="102"/>
      <c r="I1503" s="93"/>
      <c r="J1503" s="93"/>
    </row>
    <row r="1504" spans="1:10" s="65" customFormat="1" ht="14" x14ac:dyDescent="0.35">
      <c r="A1504" s="145"/>
      <c r="E1504" s="102"/>
      <c r="F1504" s="102"/>
      <c r="G1504" s="102"/>
      <c r="I1504" s="93"/>
      <c r="J1504" s="93"/>
    </row>
    <row r="1505" spans="1:10" s="65" customFormat="1" ht="14" x14ac:dyDescent="0.35">
      <c r="A1505" s="145"/>
      <c r="E1505" s="102"/>
      <c r="F1505" s="102"/>
      <c r="G1505" s="102"/>
      <c r="I1505" s="93"/>
      <c r="J1505" s="93"/>
    </row>
    <row r="1506" spans="1:10" s="65" customFormat="1" ht="14" x14ac:dyDescent="0.35">
      <c r="A1506" s="145"/>
      <c r="E1506" s="102"/>
      <c r="F1506" s="102"/>
      <c r="G1506" s="102"/>
      <c r="I1506" s="93"/>
      <c r="J1506" s="93"/>
    </row>
    <row r="1507" spans="1:10" s="65" customFormat="1" ht="14" x14ac:dyDescent="0.35">
      <c r="A1507" s="145"/>
      <c r="E1507" s="102"/>
      <c r="F1507" s="102"/>
      <c r="G1507" s="102"/>
      <c r="I1507" s="93"/>
      <c r="J1507" s="93"/>
    </row>
    <row r="1508" spans="1:10" s="65" customFormat="1" ht="14" x14ac:dyDescent="0.35">
      <c r="A1508" s="145"/>
      <c r="E1508" s="102"/>
      <c r="F1508" s="102"/>
      <c r="G1508" s="102"/>
      <c r="I1508" s="93"/>
      <c r="J1508" s="93"/>
    </row>
    <row r="1509" spans="1:10" s="65" customFormat="1" ht="14" x14ac:dyDescent="0.35">
      <c r="A1509" s="145"/>
      <c r="E1509" s="102"/>
      <c r="F1509" s="102"/>
      <c r="G1509" s="102"/>
      <c r="I1509" s="93"/>
      <c r="J1509" s="93"/>
    </row>
    <row r="1510" spans="1:10" s="65" customFormat="1" ht="14" x14ac:dyDescent="0.35">
      <c r="A1510" s="145"/>
      <c r="E1510" s="102"/>
      <c r="F1510" s="102"/>
      <c r="G1510" s="102"/>
      <c r="I1510" s="93"/>
      <c r="J1510" s="93"/>
    </row>
    <row r="1511" spans="1:10" s="65" customFormat="1" ht="14" x14ac:dyDescent="0.35">
      <c r="A1511" s="145"/>
      <c r="E1511" s="102"/>
      <c r="F1511" s="102"/>
      <c r="G1511" s="102"/>
      <c r="I1511" s="93"/>
      <c r="J1511" s="93"/>
    </row>
    <row r="1512" spans="1:10" s="65" customFormat="1" ht="14" x14ac:dyDescent="0.35">
      <c r="A1512" s="145"/>
      <c r="E1512" s="102"/>
      <c r="F1512" s="102"/>
      <c r="G1512" s="102"/>
      <c r="I1512" s="93"/>
      <c r="J1512" s="93"/>
    </row>
    <row r="1513" spans="1:10" s="65" customFormat="1" ht="14" x14ac:dyDescent="0.35">
      <c r="A1513" s="145"/>
      <c r="E1513" s="102"/>
      <c r="F1513" s="102"/>
      <c r="G1513" s="102"/>
      <c r="I1513" s="93"/>
      <c r="J1513" s="93"/>
    </row>
    <row r="1514" spans="1:10" s="65" customFormat="1" ht="14" x14ac:dyDescent="0.35">
      <c r="A1514" s="145"/>
      <c r="E1514" s="102"/>
      <c r="F1514" s="102"/>
      <c r="G1514" s="102"/>
      <c r="I1514" s="93"/>
      <c r="J1514" s="93"/>
    </row>
    <row r="1515" spans="1:10" s="65" customFormat="1" ht="14" x14ac:dyDescent="0.35">
      <c r="A1515" s="145"/>
      <c r="E1515" s="102"/>
      <c r="F1515" s="102"/>
      <c r="G1515" s="102"/>
      <c r="I1515" s="93"/>
      <c r="J1515" s="93"/>
    </row>
    <row r="1516" spans="1:10" s="65" customFormat="1" ht="14" x14ac:dyDescent="0.35">
      <c r="A1516" s="145"/>
      <c r="E1516" s="102"/>
      <c r="F1516" s="102"/>
      <c r="G1516" s="102"/>
      <c r="I1516" s="93"/>
      <c r="J1516" s="93"/>
    </row>
    <row r="1517" spans="1:10" s="65" customFormat="1" ht="14" x14ac:dyDescent="0.35">
      <c r="A1517" s="145"/>
      <c r="E1517" s="102"/>
      <c r="F1517" s="102"/>
      <c r="G1517" s="102"/>
      <c r="I1517" s="93"/>
      <c r="J1517" s="93"/>
    </row>
    <row r="1518" spans="1:10" s="65" customFormat="1" ht="14" x14ac:dyDescent="0.35">
      <c r="A1518" s="145"/>
      <c r="E1518" s="102"/>
      <c r="F1518" s="102"/>
      <c r="G1518" s="102"/>
      <c r="I1518" s="93"/>
      <c r="J1518" s="93"/>
    </row>
    <row r="1519" spans="1:10" s="65" customFormat="1" ht="14" x14ac:dyDescent="0.35">
      <c r="A1519" s="145"/>
      <c r="E1519" s="102"/>
      <c r="F1519" s="102"/>
      <c r="G1519" s="102"/>
      <c r="I1519" s="93"/>
      <c r="J1519" s="93"/>
    </row>
    <row r="1520" spans="1:10" s="65" customFormat="1" ht="14" x14ac:dyDescent="0.35">
      <c r="A1520" s="145"/>
      <c r="E1520" s="102"/>
      <c r="F1520" s="102"/>
      <c r="G1520" s="102"/>
      <c r="I1520" s="93"/>
      <c r="J1520" s="93"/>
    </row>
    <row r="1521" spans="1:10" s="65" customFormat="1" ht="14" x14ac:dyDescent="0.35">
      <c r="A1521" s="145"/>
      <c r="E1521" s="102"/>
      <c r="F1521" s="102"/>
      <c r="G1521" s="102"/>
      <c r="I1521" s="93"/>
      <c r="J1521" s="93"/>
    </row>
    <row r="1522" spans="1:10" s="65" customFormat="1" ht="14" x14ac:dyDescent="0.35">
      <c r="A1522" s="145"/>
      <c r="E1522" s="102"/>
      <c r="F1522" s="102"/>
      <c r="G1522" s="102"/>
      <c r="I1522" s="93"/>
      <c r="J1522" s="93"/>
    </row>
    <row r="1523" spans="1:10" s="65" customFormat="1" ht="14" x14ac:dyDescent="0.35">
      <c r="A1523" s="145"/>
      <c r="E1523" s="102"/>
      <c r="F1523" s="102"/>
      <c r="G1523" s="102"/>
      <c r="I1523" s="93"/>
      <c r="J1523" s="93"/>
    </row>
    <row r="1524" spans="1:10" s="65" customFormat="1" ht="14" x14ac:dyDescent="0.35">
      <c r="A1524" s="145"/>
      <c r="E1524" s="102"/>
      <c r="F1524" s="102"/>
      <c r="G1524" s="102"/>
      <c r="I1524" s="93"/>
      <c r="J1524" s="93"/>
    </row>
    <row r="1525" spans="1:10" s="65" customFormat="1" ht="14" x14ac:dyDescent="0.35">
      <c r="A1525" s="145"/>
      <c r="E1525" s="102"/>
      <c r="F1525" s="102"/>
      <c r="G1525" s="102"/>
      <c r="I1525" s="93"/>
      <c r="J1525" s="93"/>
    </row>
    <row r="1526" spans="1:10" s="65" customFormat="1" ht="14" x14ac:dyDescent="0.35">
      <c r="A1526" s="145"/>
      <c r="E1526" s="102"/>
      <c r="F1526" s="102"/>
      <c r="G1526" s="102"/>
      <c r="I1526" s="93"/>
      <c r="J1526" s="93"/>
    </row>
    <row r="1527" spans="1:10" s="65" customFormat="1" ht="14" x14ac:dyDescent="0.35">
      <c r="A1527" s="145"/>
      <c r="E1527" s="102"/>
      <c r="F1527" s="102"/>
      <c r="G1527" s="102"/>
      <c r="I1527" s="93"/>
      <c r="J1527" s="93"/>
    </row>
    <row r="1528" spans="1:10" s="65" customFormat="1" ht="14" x14ac:dyDescent="0.35">
      <c r="A1528" s="145"/>
      <c r="E1528" s="102"/>
      <c r="F1528" s="102"/>
      <c r="G1528" s="102"/>
      <c r="I1528" s="93"/>
      <c r="J1528" s="93"/>
    </row>
    <row r="1529" spans="1:10" s="65" customFormat="1" ht="14" x14ac:dyDescent="0.35">
      <c r="A1529" s="145"/>
      <c r="E1529" s="102"/>
      <c r="F1529" s="102"/>
      <c r="G1529" s="102"/>
      <c r="I1529" s="93"/>
      <c r="J1529" s="93"/>
    </row>
    <row r="1530" spans="1:10" s="65" customFormat="1" ht="14" x14ac:dyDescent="0.35">
      <c r="A1530" s="145"/>
      <c r="E1530" s="102"/>
      <c r="F1530" s="102"/>
      <c r="G1530" s="102"/>
      <c r="I1530" s="93"/>
      <c r="J1530" s="93"/>
    </row>
    <row r="1531" spans="1:10" s="65" customFormat="1" ht="14" x14ac:dyDescent="0.35">
      <c r="A1531" s="145"/>
      <c r="E1531" s="102"/>
      <c r="F1531" s="102"/>
      <c r="G1531" s="102"/>
      <c r="I1531" s="93"/>
      <c r="J1531" s="93"/>
    </row>
    <row r="1532" spans="1:10" s="65" customFormat="1" ht="14" x14ac:dyDescent="0.35">
      <c r="A1532" s="145"/>
      <c r="E1532" s="102"/>
      <c r="F1532" s="102"/>
      <c r="G1532" s="102"/>
      <c r="I1532" s="93"/>
      <c r="J1532" s="93"/>
    </row>
    <row r="1533" spans="1:10" s="65" customFormat="1" ht="14" x14ac:dyDescent="0.35">
      <c r="A1533" s="145"/>
      <c r="E1533" s="102"/>
      <c r="F1533" s="102"/>
      <c r="G1533" s="102"/>
      <c r="I1533" s="93"/>
      <c r="J1533" s="93"/>
    </row>
    <row r="1534" spans="1:10" s="65" customFormat="1" ht="14" x14ac:dyDescent="0.35">
      <c r="A1534" s="145"/>
      <c r="E1534" s="102"/>
      <c r="F1534" s="102"/>
      <c r="G1534" s="102"/>
      <c r="I1534" s="93"/>
      <c r="J1534" s="93"/>
    </row>
    <row r="1535" spans="1:10" s="65" customFormat="1" ht="14" x14ac:dyDescent="0.35">
      <c r="A1535" s="145"/>
      <c r="E1535" s="102"/>
      <c r="F1535" s="102"/>
      <c r="G1535" s="102"/>
      <c r="I1535" s="93"/>
      <c r="J1535" s="93"/>
    </row>
    <row r="1536" spans="1:10" s="65" customFormat="1" ht="14" x14ac:dyDescent="0.35">
      <c r="A1536" s="145"/>
      <c r="E1536" s="102"/>
      <c r="F1536" s="102"/>
      <c r="G1536" s="102"/>
      <c r="I1536" s="93"/>
      <c r="J1536" s="93"/>
    </row>
    <row r="1537" spans="1:10" s="65" customFormat="1" ht="14" x14ac:dyDescent="0.35">
      <c r="A1537" s="145"/>
      <c r="E1537" s="102"/>
      <c r="F1537" s="102"/>
      <c r="G1537" s="102"/>
      <c r="I1537" s="93"/>
      <c r="J1537" s="93"/>
    </row>
    <row r="1538" spans="1:10" s="65" customFormat="1" ht="14" x14ac:dyDescent="0.35">
      <c r="A1538" s="145"/>
      <c r="E1538" s="102"/>
      <c r="F1538" s="102"/>
      <c r="G1538" s="102"/>
      <c r="I1538" s="93"/>
      <c r="J1538" s="93"/>
    </row>
    <row r="1539" spans="1:10" s="65" customFormat="1" ht="14" x14ac:dyDescent="0.35">
      <c r="A1539" s="145"/>
      <c r="E1539" s="102"/>
      <c r="F1539" s="102"/>
      <c r="G1539" s="102"/>
      <c r="I1539" s="93"/>
      <c r="J1539" s="93"/>
    </row>
    <row r="1540" spans="1:10" s="65" customFormat="1" ht="14" x14ac:dyDescent="0.35">
      <c r="A1540" s="145"/>
      <c r="E1540" s="102"/>
      <c r="F1540" s="102"/>
      <c r="G1540" s="102"/>
      <c r="I1540" s="93"/>
      <c r="J1540" s="93"/>
    </row>
    <row r="1541" spans="1:10" s="65" customFormat="1" ht="14" x14ac:dyDescent="0.35">
      <c r="A1541" s="145"/>
      <c r="E1541" s="102"/>
      <c r="F1541" s="102"/>
      <c r="G1541" s="102"/>
      <c r="I1541" s="93"/>
      <c r="J1541" s="93"/>
    </row>
    <row r="1542" spans="1:10" s="65" customFormat="1" ht="14" x14ac:dyDescent="0.35">
      <c r="A1542" s="145"/>
      <c r="E1542" s="102"/>
      <c r="F1542" s="102"/>
      <c r="G1542" s="102"/>
      <c r="I1542" s="93"/>
      <c r="J1542" s="93"/>
    </row>
    <row r="1543" spans="1:10" s="65" customFormat="1" ht="14" x14ac:dyDescent="0.35">
      <c r="A1543" s="145"/>
      <c r="E1543" s="102"/>
      <c r="F1543" s="102"/>
      <c r="G1543" s="102"/>
      <c r="I1543" s="93"/>
      <c r="J1543" s="93"/>
    </row>
    <row r="1544" spans="1:10" s="65" customFormat="1" ht="14" x14ac:dyDescent="0.35">
      <c r="A1544" s="145"/>
      <c r="E1544" s="102"/>
      <c r="F1544" s="102"/>
      <c r="G1544" s="102"/>
      <c r="I1544" s="93"/>
      <c r="J1544" s="93"/>
    </row>
    <row r="1545" spans="1:10" s="65" customFormat="1" ht="14" x14ac:dyDescent="0.35">
      <c r="A1545" s="145"/>
      <c r="E1545" s="102"/>
      <c r="F1545" s="102"/>
      <c r="G1545" s="102"/>
      <c r="I1545" s="93"/>
      <c r="J1545" s="93"/>
    </row>
    <row r="1546" spans="1:10" s="65" customFormat="1" ht="14" x14ac:dyDescent="0.35">
      <c r="A1546" s="145"/>
      <c r="E1546" s="102"/>
      <c r="F1546" s="102"/>
      <c r="G1546" s="102"/>
      <c r="I1546" s="93"/>
      <c r="J1546" s="93"/>
    </row>
    <row r="1547" spans="1:10" s="65" customFormat="1" ht="14" x14ac:dyDescent="0.35">
      <c r="A1547" s="145"/>
      <c r="E1547" s="102"/>
      <c r="F1547" s="102"/>
      <c r="G1547" s="102"/>
      <c r="I1547" s="93"/>
      <c r="J1547" s="93"/>
    </row>
    <row r="1548" spans="1:10" s="65" customFormat="1" ht="14" x14ac:dyDescent="0.35">
      <c r="A1548" s="145"/>
      <c r="E1548" s="102"/>
      <c r="F1548" s="102"/>
      <c r="G1548" s="102"/>
      <c r="I1548" s="93"/>
      <c r="J1548" s="93"/>
    </row>
    <row r="1549" spans="1:10" s="65" customFormat="1" ht="14" x14ac:dyDescent="0.35">
      <c r="A1549" s="145"/>
      <c r="E1549" s="102"/>
      <c r="F1549" s="102"/>
      <c r="G1549" s="102"/>
      <c r="I1549" s="93"/>
      <c r="J1549" s="93"/>
    </row>
    <row r="1550" spans="1:10" s="65" customFormat="1" ht="14" x14ac:dyDescent="0.35">
      <c r="A1550" s="145"/>
      <c r="E1550" s="102"/>
      <c r="F1550" s="102"/>
      <c r="G1550" s="102"/>
      <c r="I1550" s="93"/>
      <c r="J1550" s="93"/>
    </row>
    <row r="1551" spans="1:10" s="65" customFormat="1" ht="14" x14ac:dyDescent="0.35">
      <c r="A1551" s="145"/>
      <c r="E1551" s="102"/>
      <c r="F1551" s="102"/>
      <c r="G1551" s="102"/>
      <c r="I1551" s="93"/>
      <c r="J1551" s="93"/>
    </row>
    <row r="1552" spans="1:10" s="65" customFormat="1" ht="14" x14ac:dyDescent="0.35">
      <c r="A1552" s="145"/>
      <c r="E1552" s="102"/>
      <c r="F1552" s="102"/>
      <c r="G1552" s="102"/>
      <c r="I1552" s="93"/>
      <c r="J1552" s="93"/>
    </row>
    <row r="1553" spans="1:10" s="65" customFormat="1" ht="14" x14ac:dyDescent="0.35">
      <c r="A1553" s="145"/>
      <c r="E1553" s="102"/>
      <c r="F1553" s="102"/>
      <c r="G1553" s="102"/>
      <c r="I1553" s="93"/>
      <c r="J1553" s="93"/>
    </row>
    <row r="1554" spans="1:10" s="65" customFormat="1" ht="14" x14ac:dyDescent="0.35">
      <c r="A1554" s="145"/>
      <c r="E1554" s="102"/>
      <c r="F1554" s="102"/>
      <c r="G1554" s="102"/>
      <c r="I1554" s="93"/>
      <c r="J1554" s="93"/>
    </row>
    <row r="1555" spans="1:10" s="65" customFormat="1" ht="14" x14ac:dyDescent="0.35">
      <c r="A1555" s="145"/>
      <c r="E1555" s="102"/>
      <c r="F1555" s="102"/>
      <c r="G1555" s="102"/>
      <c r="I1555" s="93"/>
      <c r="J1555" s="93"/>
    </row>
    <row r="1556" spans="1:10" s="65" customFormat="1" ht="14" x14ac:dyDescent="0.35">
      <c r="A1556" s="145"/>
      <c r="E1556" s="102"/>
      <c r="F1556" s="102"/>
      <c r="G1556" s="102"/>
      <c r="I1556" s="93"/>
      <c r="J1556" s="93"/>
    </row>
    <row r="1557" spans="1:10" s="65" customFormat="1" ht="14" x14ac:dyDescent="0.35">
      <c r="A1557" s="145"/>
      <c r="E1557" s="102"/>
      <c r="F1557" s="102"/>
      <c r="G1557" s="102"/>
      <c r="I1557" s="93"/>
      <c r="J1557" s="93"/>
    </row>
    <row r="1558" spans="1:10" s="65" customFormat="1" ht="14" x14ac:dyDescent="0.35">
      <c r="A1558" s="145"/>
      <c r="E1558" s="102"/>
      <c r="F1558" s="102"/>
      <c r="G1558" s="102"/>
      <c r="I1558" s="93"/>
      <c r="J1558" s="93"/>
    </row>
    <row r="1559" spans="1:10" s="65" customFormat="1" ht="14" x14ac:dyDescent="0.35">
      <c r="A1559" s="145"/>
      <c r="E1559" s="102"/>
      <c r="F1559" s="102"/>
      <c r="G1559" s="102"/>
      <c r="I1559" s="93"/>
      <c r="J1559" s="93"/>
    </row>
    <row r="1560" spans="1:10" s="65" customFormat="1" ht="14" x14ac:dyDescent="0.35">
      <c r="A1560" s="145"/>
      <c r="E1560" s="102"/>
      <c r="F1560" s="102"/>
      <c r="G1560" s="102"/>
      <c r="I1560" s="93"/>
      <c r="J1560" s="93"/>
    </row>
    <row r="1561" spans="1:10" s="65" customFormat="1" ht="14" x14ac:dyDescent="0.35">
      <c r="A1561" s="145"/>
      <c r="E1561" s="102"/>
      <c r="F1561" s="102"/>
      <c r="G1561" s="102"/>
      <c r="I1561" s="93"/>
      <c r="J1561" s="93"/>
    </row>
    <row r="1562" spans="1:10" s="65" customFormat="1" ht="14" x14ac:dyDescent="0.35">
      <c r="A1562" s="145"/>
      <c r="E1562" s="102"/>
      <c r="F1562" s="102"/>
      <c r="G1562" s="102"/>
      <c r="I1562" s="93"/>
      <c r="J1562" s="93"/>
    </row>
    <row r="1563" spans="1:10" s="65" customFormat="1" ht="14" x14ac:dyDescent="0.35">
      <c r="A1563" s="145"/>
      <c r="E1563" s="102"/>
      <c r="F1563" s="102"/>
      <c r="G1563" s="102"/>
      <c r="I1563" s="93"/>
      <c r="J1563" s="93"/>
    </row>
    <row r="1564" spans="1:10" s="65" customFormat="1" ht="14" x14ac:dyDescent="0.35">
      <c r="A1564" s="145"/>
      <c r="E1564" s="102"/>
      <c r="F1564" s="102"/>
      <c r="G1564" s="102"/>
      <c r="I1564" s="93"/>
      <c r="J1564" s="93"/>
    </row>
    <row r="1565" spans="1:10" s="65" customFormat="1" ht="14" x14ac:dyDescent="0.35">
      <c r="A1565" s="145"/>
      <c r="E1565" s="102"/>
      <c r="F1565" s="102"/>
      <c r="G1565" s="102"/>
      <c r="I1565" s="93"/>
      <c r="J1565" s="93"/>
    </row>
    <row r="1566" spans="1:10" s="65" customFormat="1" ht="14" x14ac:dyDescent="0.35">
      <c r="A1566" s="145"/>
      <c r="E1566" s="102"/>
      <c r="F1566" s="102"/>
      <c r="G1566" s="102"/>
      <c r="I1566" s="93"/>
      <c r="J1566" s="93"/>
    </row>
    <row r="1567" spans="1:10" s="65" customFormat="1" ht="14" x14ac:dyDescent="0.35">
      <c r="A1567" s="145"/>
      <c r="E1567" s="102"/>
      <c r="F1567" s="102"/>
      <c r="G1567" s="102"/>
      <c r="I1567" s="93"/>
      <c r="J1567" s="93"/>
    </row>
    <row r="1568" spans="1:10" s="65" customFormat="1" ht="14" x14ac:dyDescent="0.35">
      <c r="A1568" s="145"/>
      <c r="E1568" s="102"/>
      <c r="F1568" s="102"/>
      <c r="G1568" s="102"/>
      <c r="I1568" s="93"/>
      <c r="J1568" s="93"/>
    </row>
    <row r="1569" spans="1:10" s="65" customFormat="1" ht="14" x14ac:dyDescent="0.35">
      <c r="A1569" s="145"/>
      <c r="E1569" s="102"/>
      <c r="F1569" s="102"/>
      <c r="G1569" s="102"/>
      <c r="I1569" s="93"/>
      <c r="J1569" s="93"/>
    </row>
    <row r="1570" spans="1:10" s="65" customFormat="1" ht="14" x14ac:dyDescent="0.35">
      <c r="A1570" s="145"/>
      <c r="E1570" s="102"/>
      <c r="F1570" s="102"/>
      <c r="G1570" s="102"/>
      <c r="I1570" s="93"/>
      <c r="J1570" s="93"/>
    </row>
    <row r="1571" spans="1:10" s="65" customFormat="1" ht="14" x14ac:dyDescent="0.35">
      <c r="A1571" s="145"/>
      <c r="E1571" s="102"/>
      <c r="F1571" s="102"/>
      <c r="G1571" s="102"/>
      <c r="I1571" s="93"/>
      <c r="J1571" s="93"/>
    </row>
    <row r="1572" spans="1:10" s="65" customFormat="1" ht="14" x14ac:dyDescent="0.35">
      <c r="A1572" s="145"/>
      <c r="E1572" s="102"/>
      <c r="F1572" s="102"/>
      <c r="G1572" s="102"/>
      <c r="I1572" s="93"/>
      <c r="J1572" s="93"/>
    </row>
    <row r="1573" spans="1:10" s="65" customFormat="1" ht="14" x14ac:dyDescent="0.35">
      <c r="A1573" s="145"/>
      <c r="E1573" s="102"/>
      <c r="F1573" s="102"/>
      <c r="G1573" s="102"/>
      <c r="I1573" s="93"/>
      <c r="J1573" s="93"/>
    </row>
    <row r="1574" spans="1:10" s="65" customFormat="1" ht="14" x14ac:dyDescent="0.35">
      <c r="A1574" s="145"/>
      <c r="E1574" s="102"/>
      <c r="F1574" s="102"/>
      <c r="G1574" s="102"/>
      <c r="I1574" s="93"/>
      <c r="J1574" s="93"/>
    </row>
    <row r="1575" spans="1:10" s="65" customFormat="1" ht="14" x14ac:dyDescent="0.35">
      <c r="A1575" s="145"/>
      <c r="E1575" s="102"/>
      <c r="F1575" s="102"/>
      <c r="G1575" s="102"/>
      <c r="I1575" s="93"/>
      <c r="J1575" s="93"/>
    </row>
    <row r="1576" spans="1:10" s="65" customFormat="1" ht="14" x14ac:dyDescent="0.35">
      <c r="A1576" s="145"/>
      <c r="E1576" s="102"/>
      <c r="F1576" s="102"/>
      <c r="G1576" s="102"/>
      <c r="I1576" s="93"/>
      <c r="J1576" s="93"/>
    </row>
    <row r="1577" spans="1:10" s="65" customFormat="1" ht="14" x14ac:dyDescent="0.35">
      <c r="A1577" s="145"/>
      <c r="E1577" s="102"/>
      <c r="F1577" s="102"/>
      <c r="G1577" s="102"/>
      <c r="I1577" s="93"/>
      <c r="J1577" s="93"/>
    </row>
    <row r="1578" spans="1:10" s="65" customFormat="1" ht="14" x14ac:dyDescent="0.35">
      <c r="A1578" s="145"/>
      <c r="E1578" s="102"/>
      <c r="F1578" s="102"/>
      <c r="G1578" s="102"/>
      <c r="I1578" s="93"/>
      <c r="J1578" s="93"/>
    </row>
    <row r="1579" spans="1:10" s="65" customFormat="1" ht="14" x14ac:dyDescent="0.35">
      <c r="A1579" s="145"/>
      <c r="E1579" s="102"/>
      <c r="F1579" s="102"/>
      <c r="G1579" s="102"/>
      <c r="I1579" s="93"/>
      <c r="J1579" s="93"/>
    </row>
    <row r="1580" spans="1:10" s="65" customFormat="1" ht="14" x14ac:dyDescent="0.35">
      <c r="A1580" s="145"/>
      <c r="E1580" s="102"/>
      <c r="F1580" s="102"/>
      <c r="G1580" s="102"/>
      <c r="I1580" s="93"/>
      <c r="J1580" s="93"/>
    </row>
    <row r="1581" spans="1:10" s="65" customFormat="1" ht="14" x14ac:dyDescent="0.35">
      <c r="A1581" s="145"/>
      <c r="E1581" s="102"/>
      <c r="F1581" s="102"/>
      <c r="G1581" s="102"/>
      <c r="I1581" s="93"/>
      <c r="J1581" s="93"/>
    </row>
    <row r="1582" spans="1:10" s="65" customFormat="1" ht="14" x14ac:dyDescent="0.35">
      <c r="A1582" s="145"/>
      <c r="E1582" s="102"/>
      <c r="F1582" s="102"/>
      <c r="G1582" s="102"/>
      <c r="I1582" s="93"/>
      <c r="J1582" s="93"/>
    </row>
    <row r="1583" spans="1:10" s="65" customFormat="1" ht="14" x14ac:dyDescent="0.35">
      <c r="A1583" s="145"/>
      <c r="E1583" s="102"/>
      <c r="F1583" s="102"/>
      <c r="G1583" s="102"/>
      <c r="I1583" s="93"/>
      <c r="J1583" s="93"/>
    </row>
    <row r="1584" spans="1:10" s="65" customFormat="1" ht="14" x14ac:dyDescent="0.35">
      <c r="A1584" s="145"/>
      <c r="E1584" s="102"/>
      <c r="F1584" s="102"/>
      <c r="G1584" s="102"/>
      <c r="I1584" s="93"/>
      <c r="J1584" s="93"/>
    </row>
    <row r="1585" spans="1:10" s="65" customFormat="1" ht="14" x14ac:dyDescent="0.35">
      <c r="A1585" s="145"/>
      <c r="E1585" s="102"/>
      <c r="F1585" s="102"/>
      <c r="G1585" s="102"/>
      <c r="I1585" s="93"/>
      <c r="J1585" s="93"/>
    </row>
    <row r="1586" spans="1:10" s="65" customFormat="1" ht="14" x14ac:dyDescent="0.35">
      <c r="A1586" s="145"/>
      <c r="E1586" s="102"/>
      <c r="F1586" s="102"/>
      <c r="G1586" s="102"/>
      <c r="I1586" s="93"/>
      <c r="J1586" s="93"/>
    </row>
    <row r="1587" spans="1:10" s="65" customFormat="1" ht="14" x14ac:dyDescent="0.35">
      <c r="A1587" s="145"/>
      <c r="E1587" s="102"/>
      <c r="F1587" s="102"/>
      <c r="G1587" s="102"/>
      <c r="I1587" s="93"/>
      <c r="J1587" s="93"/>
    </row>
    <row r="1588" spans="1:10" s="65" customFormat="1" ht="14" x14ac:dyDescent="0.35">
      <c r="A1588" s="145"/>
      <c r="E1588" s="102"/>
      <c r="F1588" s="102"/>
      <c r="G1588" s="102"/>
      <c r="I1588" s="93"/>
      <c r="J1588" s="93"/>
    </row>
    <row r="1589" spans="1:10" s="65" customFormat="1" ht="14" x14ac:dyDescent="0.35">
      <c r="A1589" s="145"/>
      <c r="E1589" s="102"/>
      <c r="F1589" s="102"/>
      <c r="G1589" s="102"/>
      <c r="I1589" s="93"/>
      <c r="J1589" s="93"/>
    </row>
    <row r="1590" spans="1:10" s="65" customFormat="1" ht="14" x14ac:dyDescent="0.35">
      <c r="A1590" s="145"/>
      <c r="E1590" s="102"/>
      <c r="F1590" s="102"/>
      <c r="G1590" s="102"/>
      <c r="I1590" s="93"/>
      <c r="J1590" s="93"/>
    </row>
    <row r="1591" spans="1:10" s="65" customFormat="1" ht="14" x14ac:dyDescent="0.35">
      <c r="A1591" s="145"/>
      <c r="E1591" s="102"/>
      <c r="F1591" s="102"/>
      <c r="G1591" s="102"/>
      <c r="I1591" s="93"/>
      <c r="J1591" s="93"/>
    </row>
    <row r="1592" spans="1:10" s="65" customFormat="1" ht="14" x14ac:dyDescent="0.35">
      <c r="A1592" s="145"/>
      <c r="E1592" s="102"/>
      <c r="F1592" s="102"/>
      <c r="G1592" s="102"/>
      <c r="I1592" s="93"/>
      <c r="J1592" s="93"/>
    </row>
    <row r="1593" spans="1:10" s="65" customFormat="1" ht="14" x14ac:dyDescent="0.35">
      <c r="A1593" s="145"/>
      <c r="E1593" s="102"/>
      <c r="F1593" s="102"/>
      <c r="G1593" s="102"/>
      <c r="I1593" s="93"/>
      <c r="J1593" s="93"/>
    </row>
    <row r="1594" spans="1:10" s="65" customFormat="1" ht="14" x14ac:dyDescent="0.35">
      <c r="A1594" s="145"/>
      <c r="E1594" s="102"/>
      <c r="F1594" s="102"/>
      <c r="G1594" s="102"/>
      <c r="I1594" s="93"/>
      <c r="J1594" s="93"/>
    </row>
    <row r="1595" spans="1:10" s="65" customFormat="1" ht="14" x14ac:dyDescent="0.35">
      <c r="A1595" s="145"/>
      <c r="E1595" s="102"/>
      <c r="F1595" s="102"/>
      <c r="G1595" s="102"/>
      <c r="I1595" s="93"/>
      <c r="J1595" s="93"/>
    </row>
    <row r="1596" spans="1:10" s="65" customFormat="1" ht="14" x14ac:dyDescent="0.35">
      <c r="A1596" s="145"/>
      <c r="E1596" s="102"/>
      <c r="F1596" s="102"/>
      <c r="G1596" s="102"/>
      <c r="I1596" s="93"/>
      <c r="J1596" s="93"/>
    </row>
    <row r="1597" spans="1:10" s="65" customFormat="1" ht="14" x14ac:dyDescent="0.35">
      <c r="A1597" s="145"/>
      <c r="E1597" s="102"/>
      <c r="F1597" s="102"/>
      <c r="G1597" s="102"/>
      <c r="I1597" s="93"/>
      <c r="J1597" s="93"/>
    </row>
    <row r="1598" spans="1:10" s="65" customFormat="1" ht="14" x14ac:dyDescent="0.35">
      <c r="A1598" s="145"/>
      <c r="E1598" s="102"/>
      <c r="F1598" s="102"/>
      <c r="G1598" s="102"/>
      <c r="I1598" s="93"/>
      <c r="J1598" s="93"/>
    </row>
    <row r="1599" spans="1:10" s="65" customFormat="1" ht="14" x14ac:dyDescent="0.35">
      <c r="A1599" s="145"/>
      <c r="E1599" s="102"/>
      <c r="F1599" s="102"/>
      <c r="G1599" s="102"/>
      <c r="I1599" s="93"/>
      <c r="J1599" s="93"/>
    </row>
    <row r="1600" spans="1:10" s="65" customFormat="1" ht="14" x14ac:dyDescent="0.35">
      <c r="A1600" s="145"/>
      <c r="E1600" s="102"/>
      <c r="F1600" s="102"/>
      <c r="G1600" s="102"/>
      <c r="I1600" s="93"/>
      <c r="J1600" s="93"/>
    </row>
    <row r="1601" spans="1:10" s="65" customFormat="1" ht="14" x14ac:dyDescent="0.35">
      <c r="A1601" s="145"/>
      <c r="E1601" s="102"/>
      <c r="F1601" s="102"/>
      <c r="G1601" s="102"/>
      <c r="I1601" s="93"/>
      <c r="J1601" s="93"/>
    </row>
    <row r="1602" spans="1:10" s="65" customFormat="1" ht="14" x14ac:dyDescent="0.35">
      <c r="A1602" s="145"/>
      <c r="E1602" s="102"/>
      <c r="F1602" s="102"/>
      <c r="G1602" s="102"/>
      <c r="I1602" s="93"/>
      <c r="J1602" s="93"/>
    </row>
    <row r="1603" spans="1:10" s="65" customFormat="1" ht="14" x14ac:dyDescent="0.35">
      <c r="A1603" s="145"/>
      <c r="E1603" s="102"/>
      <c r="F1603" s="102"/>
      <c r="G1603" s="102"/>
      <c r="I1603" s="93"/>
      <c r="J1603" s="93"/>
    </row>
    <row r="1604" spans="1:10" s="65" customFormat="1" ht="14" x14ac:dyDescent="0.35">
      <c r="A1604" s="145"/>
      <c r="E1604" s="102"/>
      <c r="F1604" s="102"/>
      <c r="G1604" s="102"/>
      <c r="I1604" s="93"/>
      <c r="J1604" s="93"/>
    </row>
    <row r="1605" spans="1:10" s="65" customFormat="1" ht="14" x14ac:dyDescent="0.35">
      <c r="A1605" s="145"/>
      <c r="E1605" s="102"/>
      <c r="F1605" s="102"/>
      <c r="G1605" s="102"/>
      <c r="I1605" s="93"/>
      <c r="J1605" s="93"/>
    </row>
    <row r="1606" spans="1:10" s="65" customFormat="1" ht="14" x14ac:dyDescent="0.35">
      <c r="A1606" s="145"/>
      <c r="E1606" s="102"/>
      <c r="F1606" s="102"/>
      <c r="G1606" s="102"/>
      <c r="I1606" s="93"/>
      <c r="J1606" s="93"/>
    </row>
    <row r="1607" spans="1:10" s="65" customFormat="1" ht="14" x14ac:dyDescent="0.35">
      <c r="A1607" s="145"/>
      <c r="E1607" s="102"/>
      <c r="F1607" s="102"/>
      <c r="G1607" s="102"/>
      <c r="I1607" s="93"/>
      <c r="J1607" s="93"/>
    </row>
    <row r="1608" spans="1:10" s="65" customFormat="1" ht="14" x14ac:dyDescent="0.35">
      <c r="A1608" s="145"/>
      <c r="E1608" s="102"/>
      <c r="F1608" s="102"/>
      <c r="G1608" s="102"/>
      <c r="I1608" s="93"/>
      <c r="J1608" s="93"/>
    </row>
    <row r="1609" spans="1:10" s="65" customFormat="1" ht="14" x14ac:dyDescent="0.35">
      <c r="A1609" s="145"/>
      <c r="E1609" s="102"/>
      <c r="F1609" s="102"/>
      <c r="G1609" s="102"/>
      <c r="I1609" s="93"/>
      <c r="J1609" s="93"/>
    </row>
    <row r="1610" spans="1:10" s="65" customFormat="1" ht="14" x14ac:dyDescent="0.35">
      <c r="A1610" s="145"/>
      <c r="E1610" s="102"/>
      <c r="F1610" s="102"/>
      <c r="G1610" s="102"/>
      <c r="I1610" s="93"/>
      <c r="J1610" s="93"/>
    </row>
    <row r="1611" spans="1:10" s="65" customFormat="1" ht="14" x14ac:dyDescent="0.35">
      <c r="A1611" s="145"/>
      <c r="E1611" s="102"/>
      <c r="F1611" s="102"/>
      <c r="G1611" s="102"/>
      <c r="I1611" s="93"/>
      <c r="J1611" s="93"/>
    </row>
    <row r="1612" spans="1:10" s="65" customFormat="1" ht="14" x14ac:dyDescent="0.35">
      <c r="A1612" s="145"/>
      <c r="E1612" s="102"/>
      <c r="F1612" s="102"/>
      <c r="G1612" s="102"/>
      <c r="I1612" s="93"/>
      <c r="J1612" s="93"/>
    </row>
    <row r="1613" spans="1:10" s="65" customFormat="1" ht="14" x14ac:dyDescent="0.35">
      <c r="A1613" s="145"/>
      <c r="E1613" s="102"/>
      <c r="F1613" s="102"/>
      <c r="G1613" s="102"/>
      <c r="I1613" s="93"/>
      <c r="J1613" s="93"/>
    </row>
    <row r="1614" spans="1:10" s="65" customFormat="1" ht="14" x14ac:dyDescent="0.35">
      <c r="A1614" s="145"/>
      <c r="E1614" s="102"/>
      <c r="F1614" s="102"/>
      <c r="G1614" s="102"/>
      <c r="I1614" s="93"/>
      <c r="J1614" s="93"/>
    </row>
    <row r="1615" spans="1:10" s="65" customFormat="1" ht="14" x14ac:dyDescent="0.35">
      <c r="A1615" s="145"/>
      <c r="E1615" s="102"/>
      <c r="F1615" s="102"/>
      <c r="G1615" s="102"/>
      <c r="I1615" s="93"/>
      <c r="J1615" s="93"/>
    </row>
    <row r="1616" spans="1:10" s="65" customFormat="1" ht="14" x14ac:dyDescent="0.35">
      <c r="A1616" s="145"/>
      <c r="E1616" s="102"/>
      <c r="F1616" s="102"/>
      <c r="G1616" s="102"/>
      <c r="I1616" s="93"/>
      <c r="J1616" s="93"/>
    </row>
    <row r="1617" spans="1:10" s="65" customFormat="1" ht="14" x14ac:dyDescent="0.35">
      <c r="A1617" s="145"/>
      <c r="E1617" s="102"/>
      <c r="F1617" s="102"/>
      <c r="G1617" s="102"/>
      <c r="I1617" s="93"/>
      <c r="J1617" s="93"/>
    </row>
    <row r="1618" spans="1:10" s="65" customFormat="1" ht="14" x14ac:dyDescent="0.35">
      <c r="A1618" s="145"/>
      <c r="E1618" s="102"/>
      <c r="F1618" s="102"/>
      <c r="G1618" s="102"/>
      <c r="I1618" s="93"/>
      <c r="J1618" s="93"/>
    </row>
    <row r="1619" spans="1:10" s="65" customFormat="1" ht="14" x14ac:dyDescent="0.35">
      <c r="A1619" s="145"/>
      <c r="E1619" s="102"/>
      <c r="F1619" s="102"/>
      <c r="G1619" s="102"/>
      <c r="I1619" s="93"/>
      <c r="J1619" s="93"/>
    </row>
    <row r="1620" spans="1:10" s="65" customFormat="1" ht="14" x14ac:dyDescent="0.35">
      <c r="A1620" s="145"/>
      <c r="E1620" s="102"/>
      <c r="F1620" s="102"/>
      <c r="G1620" s="102"/>
      <c r="I1620" s="93"/>
      <c r="J1620" s="93"/>
    </row>
    <row r="1621" spans="1:10" s="65" customFormat="1" ht="14" x14ac:dyDescent="0.35">
      <c r="A1621" s="145"/>
      <c r="E1621" s="102"/>
      <c r="F1621" s="102"/>
      <c r="G1621" s="102"/>
      <c r="I1621" s="93"/>
      <c r="J1621" s="93"/>
    </row>
    <row r="1622" spans="1:10" s="65" customFormat="1" ht="14" x14ac:dyDescent="0.35">
      <c r="A1622" s="145"/>
      <c r="E1622" s="102"/>
      <c r="F1622" s="102"/>
      <c r="G1622" s="102"/>
      <c r="I1622" s="93"/>
      <c r="J1622" s="93"/>
    </row>
    <row r="1623" spans="1:10" s="65" customFormat="1" ht="14" x14ac:dyDescent="0.35">
      <c r="A1623" s="145"/>
      <c r="E1623" s="102"/>
      <c r="F1623" s="102"/>
      <c r="G1623" s="102"/>
      <c r="I1623" s="93"/>
      <c r="J1623" s="93"/>
    </row>
    <row r="1624" spans="1:10" s="65" customFormat="1" ht="14" x14ac:dyDescent="0.35">
      <c r="A1624" s="145"/>
      <c r="E1624" s="102"/>
      <c r="F1624" s="102"/>
      <c r="G1624" s="102"/>
      <c r="I1624" s="93"/>
      <c r="J1624" s="93"/>
    </row>
    <row r="1625" spans="1:10" s="65" customFormat="1" ht="14" x14ac:dyDescent="0.35">
      <c r="A1625" s="145"/>
      <c r="E1625" s="102"/>
      <c r="F1625" s="102"/>
      <c r="G1625" s="102"/>
      <c r="I1625" s="93"/>
      <c r="J1625" s="93"/>
    </row>
    <row r="1626" spans="1:10" s="65" customFormat="1" ht="14" x14ac:dyDescent="0.35">
      <c r="A1626" s="145"/>
      <c r="E1626" s="102"/>
      <c r="F1626" s="102"/>
      <c r="G1626" s="102"/>
      <c r="I1626" s="93"/>
      <c r="J1626" s="93"/>
    </row>
    <row r="1627" spans="1:10" s="65" customFormat="1" ht="14" x14ac:dyDescent="0.35">
      <c r="A1627" s="145"/>
      <c r="E1627" s="102"/>
      <c r="F1627" s="102"/>
      <c r="G1627" s="102"/>
      <c r="I1627" s="93"/>
      <c r="J1627" s="93"/>
    </row>
    <row r="1628" spans="1:10" s="65" customFormat="1" ht="14" x14ac:dyDescent="0.35">
      <c r="A1628" s="145"/>
      <c r="E1628" s="102"/>
      <c r="F1628" s="102"/>
      <c r="G1628" s="102"/>
      <c r="I1628" s="93"/>
      <c r="J1628" s="93"/>
    </row>
    <row r="1629" spans="1:10" s="65" customFormat="1" ht="14" x14ac:dyDescent="0.35">
      <c r="A1629" s="145"/>
      <c r="E1629" s="102"/>
      <c r="F1629" s="102"/>
      <c r="G1629" s="102"/>
      <c r="I1629" s="93"/>
      <c r="J1629" s="93"/>
    </row>
    <row r="1630" spans="1:10" s="65" customFormat="1" ht="14" x14ac:dyDescent="0.35">
      <c r="A1630" s="145"/>
      <c r="E1630" s="102"/>
      <c r="F1630" s="102"/>
      <c r="G1630" s="102"/>
      <c r="I1630" s="93"/>
      <c r="J1630" s="93"/>
    </row>
    <row r="1631" spans="1:10" s="65" customFormat="1" ht="14" x14ac:dyDescent="0.35">
      <c r="A1631" s="145"/>
      <c r="E1631" s="102"/>
      <c r="F1631" s="102"/>
      <c r="G1631" s="102"/>
      <c r="I1631" s="93"/>
      <c r="J1631" s="93"/>
    </row>
    <row r="1632" spans="1:10" s="65" customFormat="1" ht="14" x14ac:dyDescent="0.35">
      <c r="A1632" s="145"/>
      <c r="E1632" s="102"/>
      <c r="F1632" s="102"/>
      <c r="G1632" s="102"/>
      <c r="I1632" s="93"/>
      <c r="J1632" s="93"/>
    </row>
    <row r="1633" spans="1:10" s="65" customFormat="1" ht="14" x14ac:dyDescent="0.35">
      <c r="A1633" s="145"/>
      <c r="E1633" s="102"/>
      <c r="F1633" s="102"/>
      <c r="G1633" s="102"/>
      <c r="I1633" s="93"/>
      <c r="J1633" s="93"/>
    </row>
    <row r="1634" spans="1:10" s="65" customFormat="1" ht="14" x14ac:dyDescent="0.35">
      <c r="A1634" s="145"/>
      <c r="E1634" s="102"/>
      <c r="F1634" s="102"/>
      <c r="G1634" s="102"/>
      <c r="I1634" s="93"/>
      <c r="J1634" s="93"/>
    </row>
    <row r="1635" spans="1:10" s="65" customFormat="1" ht="14" x14ac:dyDescent="0.35">
      <c r="A1635" s="145"/>
      <c r="E1635" s="102"/>
      <c r="F1635" s="102"/>
      <c r="G1635" s="102"/>
      <c r="I1635" s="93"/>
      <c r="J1635" s="93"/>
    </row>
    <row r="1636" spans="1:10" s="65" customFormat="1" ht="14" x14ac:dyDescent="0.35">
      <c r="A1636" s="145"/>
      <c r="E1636" s="102"/>
      <c r="F1636" s="102"/>
      <c r="G1636" s="102"/>
      <c r="I1636" s="93"/>
      <c r="J1636" s="93"/>
    </row>
    <row r="1637" spans="1:10" s="65" customFormat="1" ht="14" x14ac:dyDescent="0.35">
      <c r="A1637" s="145"/>
      <c r="E1637" s="102"/>
      <c r="F1637" s="102"/>
      <c r="G1637" s="102"/>
      <c r="I1637" s="93"/>
      <c r="J1637" s="93"/>
    </row>
    <row r="1638" spans="1:10" s="65" customFormat="1" ht="14" x14ac:dyDescent="0.35">
      <c r="A1638" s="145"/>
      <c r="E1638" s="102"/>
      <c r="F1638" s="102"/>
      <c r="G1638" s="102"/>
      <c r="I1638" s="93"/>
      <c r="J1638" s="93"/>
    </row>
    <row r="1639" spans="1:10" s="65" customFormat="1" ht="14" x14ac:dyDescent="0.35">
      <c r="A1639" s="145"/>
      <c r="E1639" s="102"/>
      <c r="F1639" s="102"/>
      <c r="G1639" s="102"/>
      <c r="I1639" s="93"/>
      <c r="J1639" s="93"/>
    </row>
    <row r="1640" spans="1:10" s="65" customFormat="1" ht="14" x14ac:dyDescent="0.35">
      <c r="A1640" s="145"/>
      <c r="E1640" s="102"/>
      <c r="F1640" s="102"/>
      <c r="G1640" s="102"/>
      <c r="I1640" s="93"/>
      <c r="J1640" s="93"/>
    </row>
    <row r="1641" spans="1:10" s="65" customFormat="1" ht="14" x14ac:dyDescent="0.35">
      <c r="A1641" s="145"/>
      <c r="E1641" s="102"/>
      <c r="F1641" s="102"/>
      <c r="G1641" s="102"/>
      <c r="I1641" s="93"/>
      <c r="J1641" s="93"/>
    </row>
    <row r="1642" spans="1:10" s="65" customFormat="1" ht="14" x14ac:dyDescent="0.35">
      <c r="A1642" s="145"/>
      <c r="E1642" s="102"/>
      <c r="F1642" s="102"/>
      <c r="G1642" s="102"/>
      <c r="I1642" s="93"/>
      <c r="J1642" s="93"/>
    </row>
    <row r="1643" spans="1:10" s="65" customFormat="1" ht="14" x14ac:dyDescent="0.35">
      <c r="A1643" s="145"/>
      <c r="E1643" s="102"/>
      <c r="F1643" s="102"/>
      <c r="G1643" s="102"/>
      <c r="I1643" s="93"/>
      <c r="J1643" s="93"/>
    </row>
    <row r="1644" spans="1:10" s="65" customFormat="1" ht="14" x14ac:dyDescent="0.35">
      <c r="A1644" s="145"/>
      <c r="E1644" s="102"/>
      <c r="F1644" s="102"/>
      <c r="G1644" s="102"/>
      <c r="I1644" s="93"/>
      <c r="J1644" s="93"/>
    </row>
    <row r="1645" spans="1:10" s="65" customFormat="1" ht="14" x14ac:dyDescent="0.35">
      <c r="A1645" s="145"/>
      <c r="E1645" s="102"/>
      <c r="F1645" s="102"/>
      <c r="G1645" s="102"/>
      <c r="I1645" s="93"/>
      <c r="J1645" s="93"/>
    </row>
    <row r="1646" spans="1:10" s="65" customFormat="1" ht="14" x14ac:dyDescent="0.35">
      <c r="A1646" s="145"/>
      <c r="E1646" s="102"/>
      <c r="F1646" s="102"/>
      <c r="G1646" s="102"/>
      <c r="I1646" s="93"/>
      <c r="J1646" s="93"/>
    </row>
    <row r="1647" spans="1:10" s="65" customFormat="1" ht="14" x14ac:dyDescent="0.35">
      <c r="A1647" s="145"/>
      <c r="E1647" s="102"/>
      <c r="F1647" s="102"/>
      <c r="G1647" s="102"/>
      <c r="I1647" s="93"/>
      <c r="J1647" s="93"/>
    </row>
    <row r="1648" spans="1:10" s="65" customFormat="1" ht="14" x14ac:dyDescent="0.35">
      <c r="A1648" s="145"/>
      <c r="E1648" s="102"/>
      <c r="F1648" s="102"/>
      <c r="G1648" s="102"/>
      <c r="I1648" s="93"/>
      <c r="J1648" s="93"/>
    </row>
    <row r="1649" spans="1:10" s="65" customFormat="1" ht="14" x14ac:dyDescent="0.35">
      <c r="A1649" s="145"/>
      <c r="E1649" s="102"/>
      <c r="F1649" s="102"/>
      <c r="G1649" s="102"/>
      <c r="I1649" s="93"/>
      <c r="J1649" s="93"/>
    </row>
    <row r="1650" spans="1:10" s="65" customFormat="1" ht="14" x14ac:dyDescent="0.35">
      <c r="A1650" s="145"/>
      <c r="E1650" s="102"/>
      <c r="F1650" s="102"/>
      <c r="G1650" s="102"/>
      <c r="I1650" s="93"/>
      <c r="J1650" s="93"/>
    </row>
    <row r="1651" spans="1:10" s="65" customFormat="1" ht="14" x14ac:dyDescent="0.35">
      <c r="A1651" s="145"/>
      <c r="E1651" s="102"/>
      <c r="F1651" s="102"/>
      <c r="G1651" s="102"/>
      <c r="I1651" s="93"/>
      <c r="J1651" s="93"/>
    </row>
    <row r="1652" spans="1:10" s="65" customFormat="1" ht="14" x14ac:dyDescent="0.35">
      <c r="A1652" s="145"/>
      <c r="E1652" s="102"/>
      <c r="F1652" s="102"/>
      <c r="G1652" s="102"/>
      <c r="I1652" s="93"/>
      <c r="J1652" s="93"/>
    </row>
    <row r="1653" spans="1:10" s="65" customFormat="1" ht="14" x14ac:dyDescent="0.35">
      <c r="A1653" s="145"/>
      <c r="E1653" s="102"/>
      <c r="F1653" s="102"/>
      <c r="G1653" s="102"/>
      <c r="I1653" s="93"/>
      <c r="J1653" s="93"/>
    </row>
    <row r="1654" spans="1:10" s="65" customFormat="1" ht="14" x14ac:dyDescent="0.35">
      <c r="A1654" s="145"/>
      <c r="E1654" s="102"/>
      <c r="F1654" s="102"/>
      <c r="G1654" s="102"/>
      <c r="I1654" s="93"/>
      <c r="J1654" s="93"/>
    </row>
    <row r="1655" spans="1:10" s="65" customFormat="1" ht="14" x14ac:dyDescent="0.35">
      <c r="A1655" s="145"/>
      <c r="E1655" s="102"/>
      <c r="F1655" s="102"/>
      <c r="G1655" s="102"/>
      <c r="I1655" s="93"/>
      <c r="J1655" s="93"/>
    </row>
    <row r="1656" spans="1:10" s="65" customFormat="1" ht="14" x14ac:dyDescent="0.35">
      <c r="A1656" s="145"/>
      <c r="E1656" s="102"/>
      <c r="F1656" s="102"/>
      <c r="G1656" s="102"/>
      <c r="I1656" s="93"/>
      <c r="J1656" s="93"/>
    </row>
    <row r="1657" spans="1:10" s="65" customFormat="1" ht="14" x14ac:dyDescent="0.35">
      <c r="A1657" s="145"/>
      <c r="E1657" s="102"/>
      <c r="F1657" s="102"/>
      <c r="G1657" s="102"/>
      <c r="I1657" s="93"/>
      <c r="J1657" s="93"/>
    </row>
    <row r="1658" spans="1:10" s="65" customFormat="1" ht="14" x14ac:dyDescent="0.35">
      <c r="A1658" s="145"/>
      <c r="E1658" s="102"/>
      <c r="F1658" s="102"/>
      <c r="G1658" s="102"/>
      <c r="I1658" s="93"/>
      <c r="J1658" s="93"/>
    </row>
    <row r="1659" spans="1:10" s="65" customFormat="1" ht="14" x14ac:dyDescent="0.35">
      <c r="A1659" s="145"/>
      <c r="E1659" s="102"/>
      <c r="F1659" s="102"/>
      <c r="G1659" s="102"/>
      <c r="I1659" s="93"/>
      <c r="J1659" s="93"/>
    </row>
    <row r="1660" spans="1:10" s="65" customFormat="1" ht="14" x14ac:dyDescent="0.35">
      <c r="A1660" s="145"/>
      <c r="E1660" s="102"/>
      <c r="F1660" s="102"/>
      <c r="G1660" s="102"/>
      <c r="I1660" s="93"/>
      <c r="J1660" s="93"/>
    </row>
    <row r="1661" spans="1:10" s="65" customFormat="1" ht="14" x14ac:dyDescent="0.35">
      <c r="A1661" s="145"/>
      <c r="E1661" s="102"/>
      <c r="F1661" s="102"/>
      <c r="G1661" s="102"/>
      <c r="I1661" s="93"/>
      <c r="J1661" s="93"/>
    </row>
    <row r="1662" spans="1:10" s="65" customFormat="1" ht="14" x14ac:dyDescent="0.35">
      <c r="A1662" s="145"/>
      <c r="E1662" s="102"/>
      <c r="F1662" s="102"/>
      <c r="G1662" s="102"/>
      <c r="I1662" s="93"/>
      <c r="J1662" s="93"/>
    </row>
    <row r="1663" spans="1:10" s="65" customFormat="1" ht="14" x14ac:dyDescent="0.35">
      <c r="A1663" s="145"/>
      <c r="E1663" s="102"/>
      <c r="F1663" s="102"/>
      <c r="G1663" s="102"/>
      <c r="I1663" s="93"/>
      <c r="J1663" s="93"/>
    </row>
    <row r="1664" spans="1:10" s="65" customFormat="1" ht="14" x14ac:dyDescent="0.35">
      <c r="A1664" s="145"/>
      <c r="E1664" s="102"/>
      <c r="F1664" s="102"/>
      <c r="G1664" s="102"/>
      <c r="I1664" s="93"/>
      <c r="J1664" s="93"/>
    </row>
    <row r="1665" spans="1:10" s="65" customFormat="1" ht="14" x14ac:dyDescent="0.35">
      <c r="A1665" s="145"/>
      <c r="E1665" s="102"/>
      <c r="F1665" s="102"/>
      <c r="G1665" s="102"/>
      <c r="I1665" s="93"/>
      <c r="J1665" s="93"/>
    </row>
    <row r="1666" spans="1:10" s="65" customFormat="1" ht="14" x14ac:dyDescent="0.35">
      <c r="A1666" s="145"/>
      <c r="E1666" s="102"/>
      <c r="F1666" s="102"/>
      <c r="G1666" s="102"/>
      <c r="I1666" s="93"/>
      <c r="J1666" s="93"/>
    </row>
    <row r="1667" spans="1:10" s="65" customFormat="1" ht="14" x14ac:dyDescent="0.35">
      <c r="A1667" s="145"/>
      <c r="E1667" s="102"/>
      <c r="F1667" s="102"/>
      <c r="G1667" s="102"/>
      <c r="I1667" s="93"/>
      <c r="J1667" s="93"/>
    </row>
    <row r="1668" spans="1:10" s="65" customFormat="1" ht="14" x14ac:dyDescent="0.35">
      <c r="A1668" s="145"/>
      <c r="E1668" s="102"/>
      <c r="F1668" s="102"/>
      <c r="G1668" s="102"/>
      <c r="I1668" s="93"/>
      <c r="J1668" s="93"/>
    </row>
    <row r="1669" spans="1:10" s="65" customFormat="1" ht="14" x14ac:dyDescent="0.35">
      <c r="A1669" s="145"/>
      <c r="E1669" s="102"/>
      <c r="F1669" s="102"/>
      <c r="G1669" s="102"/>
      <c r="I1669" s="93"/>
      <c r="J1669" s="93"/>
    </row>
    <row r="1670" spans="1:10" s="65" customFormat="1" ht="14" x14ac:dyDescent="0.35">
      <c r="A1670" s="145"/>
      <c r="E1670" s="102"/>
      <c r="F1670" s="102"/>
      <c r="G1670" s="102"/>
      <c r="I1670" s="93"/>
      <c r="J1670" s="93"/>
    </row>
    <row r="1671" spans="1:10" s="65" customFormat="1" ht="14" x14ac:dyDescent="0.35">
      <c r="A1671" s="145"/>
      <c r="E1671" s="102"/>
      <c r="F1671" s="102"/>
      <c r="G1671" s="102"/>
      <c r="I1671" s="93"/>
      <c r="J1671" s="93"/>
    </row>
    <row r="1672" spans="1:10" s="65" customFormat="1" ht="14" x14ac:dyDescent="0.35">
      <c r="A1672" s="145"/>
      <c r="E1672" s="102"/>
      <c r="F1672" s="102"/>
      <c r="G1672" s="102"/>
      <c r="I1672" s="93"/>
      <c r="J1672" s="93"/>
    </row>
    <row r="1673" spans="1:10" s="65" customFormat="1" ht="14" x14ac:dyDescent="0.35">
      <c r="A1673" s="145"/>
      <c r="E1673" s="102"/>
      <c r="F1673" s="102"/>
      <c r="G1673" s="102"/>
      <c r="I1673" s="93"/>
      <c r="J1673" s="93"/>
    </row>
    <row r="1674" spans="1:10" s="65" customFormat="1" ht="14" x14ac:dyDescent="0.35">
      <c r="A1674" s="145"/>
      <c r="E1674" s="102"/>
      <c r="F1674" s="102"/>
      <c r="G1674" s="102"/>
      <c r="I1674" s="93"/>
      <c r="J1674" s="93"/>
    </row>
    <row r="1675" spans="1:10" s="65" customFormat="1" ht="14" x14ac:dyDescent="0.35">
      <c r="A1675" s="145"/>
      <c r="E1675" s="102"/>
      <c r="F1675" s="102"/>
      <c r="G1675" s="102"/>
      <c r="I1675" s="93"/>
      <c r="J1675" s="93"/>
    </row>
    <row r="1676" spans="1:10" s="65" customFormat="1" ht="14" x14ac:dyDescent="0.35">
      <c r="A1676" s="145"/>
      <c r="E1676" s="102"/>
      <c r="F1676" s="102"/>
      <c r="G1676" s="102"/>
      <c r="I1676" s="93"/>
      <c r="J1676" s="93"/>
    </row>
    <row r="1677" spans="1:10" s="65" customFormat="1" ht="14" x14ac:dyDescent="0.35">
      <c r="A1677" s="145"/>
      <c r="E1677" s="102"/>
      <c r="F1677" s="102"/>
      <c r="G1677" s="102"/>
      <c r="I1677" s="93"/>
      <c r="J1677" s="93"/>
    </row>
    <row r="1678" spans="1:10" s="65" customFormat="1" ht="14" x14ac:dyDescent="0.35">
      <c r="A1678" s="145"/>
      <c r="E1678" s="102"/>
      <c r="F1678" s="102"/>
      <c r="G1678" s="102"/>
      <c r="I1678" s="93"/>
      <c r="J1678" s="93"/>
    </row>
    <row r="1679" spans="1:10" s="65" customFormat="1" ht="14" x14ac:dyDescent="0.35">
      <c r="A1679" s="145"/>
      <c r="E1679" s="102"/>
      <c r="F1679" s="102"/>
      <c r="G1679" s="102"/>
      <c r="I1679" s="93"/>
      <c r="J1679" s="93"/>
    </row>
    <row r="1680" spans="1:10" s="65" customFormat="1" ht="14" x14ac:dyDescent="0.35">
      <c r="A1680" s="145"/>
      <c r="E1680" s="102"/>
      <c r="F1680" s="102"/>
      <c r="G1680" s="102"/>
      <c r="I1680" s="93"/>
      <c r="J1680" s="93"/>
    </row>
    <row r="1681" spans="1:10" s="65" customFormat="1" ht="14" x14ac:dyDescent="0.35">
      <c r="A1681" s="145"/>
      <c r="E1681" s="102"/>
      <c r="F1681" s="102"/>
      <c r="G1681" s="102"/>
      <c r="I1681" s="93"/>
      <c r="J1681" s="93"/>
    </row>
    <row r="1682" spans="1:10" s="65" customFormat="1" ht="14" x14ac:dyDescent="0.35">
      <c r="A1682" s="145"/>
      <c r="E1682" s="102"/>
      <c r="F1682" s="102"/>
      <c r="G1682" s="102"/>
      <c r="I1682" s="93"/>
      <c r="J1682" s="93"/>
    </row>
    <row r="1683" spans="1:10" s="65" customFormat="1" ht="14" x14ac:dyDescent="0.35">
      <c r="A1683" s="145"/>
      <c r="E1683" s="102"/>
      <c r="F1683" s="102"/>
      <c r="G1683" s="102"/>
      <c r="I1683" s="93"/>
      <c r="J1683" s="93"/>
    </row>
    <row r="1684" spans="1:10" s="65" customFormat="1" ht="14" x14ac:dyDescent="0.35">
      <c r="A1684" s="145"/>
      <c r="E1684" s="102"/>
      <c r="F1684" s="102"/>
      <c r="G1684" s="102"/>
      <c r="I1684" s="93"/>
      <c r="J1684" s="93"/>
    </row>
    <row r="1685" spans="1:10" s="65" customFormat="1" ht="14" x14ac:dyDescent="0.35">
      <c r="A1685" s="145"/>
      <c r="E1685" s="102"/>
      <c r="F1685" s="102"/>
      <c r="G1685" s="102"/>
      <c r="I1685" s="93"/>
      <c r="J1685" s="93"/>
    </row>
    <row r="1686" spans="1:10" s="65" customFormat="1" ht="14" x14ac:dyDescent="0.35">
      <c r="A1686" s="145"/>
      <c r="E1686" s="102"/>
      <c r="F1686" s="102"/>
      <c r="G1686" s="102"/>
      <c r="I1686" s="93"/>
      <c r="J1686" s="93"/>
    </row>
    <row r="1687" spans="1:10" s="65" customFormat="1" ht="14" x14ac:dyDescent="0.35">
      <c r="A1687" s="145"/>
      <c r="E1687" s="102"/>
      <c r="F1687" s="102"/>
      <c r="G1687" s="102"/>
      <c r="I1687" s="93"/>
      <c r="J1687" s="93"/>
    </row>
    <row r="1688" spans="1:10" s="65" customFormat="1" ht="14" x14ac:dyDescent="0.35">
      <c r="A1688" s="145"/>
      <c r="E1688" s="102"/>
      <c r="F1688" s="102"/>
      <c r="G1688" s="102"/>
      <c r="I1688" s="93"/>
      <c r="J1688" s="93"/>
    </row>
    <row r="1689" spans="1:10" s="65" customFormat="1" ht="14" x14ac:dyDescent="0.35">
      <c r="A1689" s="145"/>
      <c r="E1689" s="102"/>
      <c r="F1689" s="102"/>
      <c r="G1689" s="102"/>
      <c r="I1689" s="93"/>
      <c r="J1689" s="93"/>
    </row>
    <row r="1690" spans="1:10" s="65" customFormat="1" ht="14" x14ac:dyDescent="0.35">
      <c r="A1690" s="145"/>
      <c r="E1690" s="102"/>
      <c r="F1690" s="102"/>
      <c r="G1690" s="102"/>
      <c r="I1690" s="93"/>
      <c r="J1690" s="93"/>
    </row>
    <row r="1691" spans="1:10" s="65" customFormat="1" ht="14" x14ac:dyDescent="0.35">
      <c r="A1691" s="145"/>
      <c r="E1691" s="102"/>
      <c r="F1691" s="102"/>
      <c r="G1691" s="102"/>
      <c r="I1691" s="93"/>
      <c r="J1691" s="93"/>
    </row>
    <row r="1692" spans="1:10" s="65" customFormat="1" ht="14" x14ac:dyDescent="0.35">
      <c r="A1692" s="145"/>
      <c r="E1692" s="102"/>
      <c r="F1692" s="102"/>
      <c r="G1692" s="102"/>
      <c r="I1692" s="93"/>
      <c r="J1692" s="93"/>
    </row>
    <row r="1693" spans="1:10" s="65" customFormat="1" ht="14" x14ac:dyDescent="0.35">
      <c r="A1693" s="145"/>
      <c r="E1693" s="102"/>
      <c r="F1693" s="102"/>
      <c r="G1693" s="102"/>
      <c r="I1693" s="93"/>
      <c r="J1693" s="93"/>
    </row>
    <row r="1694" spans="1:10" s="65" customFormat="1" ht="14" x14ac:dyDescent="0.35">
      <c r="A1694" s="145"/>
      <c r="E1694" s="102"/>
      <c r="F1694" s="102"/>
      <c r="G1694" s="102"/>
      <c r="I1694" s="93"/>
      <c r="J1694" s="93"/>
    </row>
    <row r="1695" spans="1:10" s="65" customFormat="1" ht="14" x14ac:dyDescent="0.35">
      <c r="A1695" s="145"/>
      <c r="E1695" s="102"/>
      <c r="F1695" s="102"/>
      <c r="G1695" s="102"/>
      <c r="I1695" s="93"/>
      <c r="J1695" s="93"/>
    </row>
    <row r="1696" spans="1:10" s="65" customFormat="1" ht="14" x14ac:dyDescent="0.35">
      <c r="A1696" s="145"/>
      <c r="E1696" s="102"/>
      <c r="F1696" s="102"/>
      <c r="G1696" s="102"/>
      <c r="I1696" s="93"/>
      <c r="J1696" s="93"/>
    </row>
    <row r="1697" spans="1:10" s="65" customFormat="1" ht="14" x14ac:dyDescent="0.35">
      <c r="A1697" s="145"/>
      <c r="E1697" s="102"/>
      <c r="F1697" s="102"/>
      <c r="G1697" s="102"/>
      <c r="I1697" s="93"/>
      <c r="J1697" s="93"/>
    </row>
    <row r="1698" spans="1:10" s="65" customFormat="1" ht="14" x14ac:dyDescent="0.35">
      <c r="A1698" s="145"/>
      <c r="E1698" s="102"/>
      <c r="F1698" s="102"/>
      <c r="G1698" s="102"/>
      <c r="I1698" s="93"/>
      <c r="J1698" s="93"/>
    </row>
    <row r="1699" spans="1:10" s="65" customFormat="1" ht="14" x14ac:dyDescent="0.35">
      <c r="A1699" s="145"/>
      <c r="E1699" s="102"/>
      <c r="F1699" s="102"/>
      <c r="G1699" s="102"/>
      <c r="I1699" s="93"/>
      <c r="J1699" s="93"/>
    </row>
    <row r="1700" spans="1:10" s="65" customFormat="1" ht="14" x14ac:dyDescent="0.35">
      <c r="A1700" s="145"/>
      <c r="E1700" s="102"/>
      <c r="F1700" s="102"/>
      <c r="G1700" s="102"/>
      <c r="I1700" s="93"/>
      <c r="J1700" s="93"/>
    </row>
    <row r="1701" spans="1:10" s="65" customFormat="1" ht="14" x14ac:dyDescent="0.35">
      <c r="A1701" s="145"/>
      <c r="E1701" s="102"/>
      <c r="F1701" s="102"/>
      <c r="G1701" s="102"/>
      <c r="I1701" s="93"/>
      <c r="J1701" s="93"/>
    </row>
    <row r="1702" spans="1:10" s="65" customFormat="1" ht="14" x14ac:dyDescent="0.35">
      <c r="A1702" s="145"/>
      <c r="E1702" s="102"/>
      <c r="F1702" s="102"/>
      <c r="G1702" s="102"/>
      <c r="I1702" s="93"/>
      <c r="J1702" s="93"/>
    </row>
    <row r="1703" spans="1:10" s="65" customFormat="1" ht="14" x14ac:dyDescent="0.35">
      <c r="A1703" s="145"/>
      <c r="E1703" s="102"/>
      <c r="F1703" s="102"/>
      <c r="G1703" s="102"/>
      <c r="I1703" s="93"/>
      <c r="J1703" s="93"/>
    </row>
    <row r="1704" spans="1:10" s="65" customFormat="1" ht="14" x14ac:dyDescent="0.35">
      <c r="A1704" s="145"/>
      <c r="E1704" s="102"/>
      <c r="F1704" s="102"/>
      <c r="G1704" s="102"/>
      <c r="I1704" s="93"/>
      <c r="J1704" s="93"/>
    </row>
    <row r="1705" spans="1:10" s="65" customFormat="1" ht="14" x14ac:dyDescent="0.35">
      <c r="A1705" s="145"/>
      <c r="E1705" s="102"/>
      <c r="F1705" s="102"/>
      <c r="G1705" s="102"/>
      <c r="I1705" s="93"/>
      <c r="J1705" s="93"/>
    </row>
    <row r="1706" spans="1:10" s="65" customFormat="1" ht="14" x14ac:dyDescent="0.35">
      <c r="A1706" s="145"/>
      <c r="E1706" s="102"/>
      <c r="F1706" s="102"/>
      <c r="G1706" s="102"/>
      <c r="I1706" s="93"/>
      <c r="J1706" s="93"/>
    </row>
    <row r="1707" spans="1:10" s="65" customFormat="1" ht="14" x14ac:dyDescent="0.35">
      <c r="A1707" s="145"/>
      <c r="E1707" s="102"/>
      <c r="F1707" s="102"/>
      <c r="G1707" s="102"/>
      <c r="I1707" s="93"/>
      <c r="J1707" s="93"/>
    </row>
    <row r="1708" spans="1:10" s="65" customFormat="1" ht="14" x14ac:dyDescent="0.35">
      <c r="A1708" s="145"/>
      <c r="E1708" s="102"/>
      <c r="F1708" s="102"/>
      <c r="G1708" s="102"/>
      <c r="I1708" s="93"/>
      <c r="J1708" s="93"/>
    </row>
    <row r="1709" spans="1:10" s="65" customFormat="1" ht="14" x14ac:dyDescent="0.35">
      <c r="A1709" s="145"/>
      <c r="E1709" s="102"/>
      <c r="F1709" s="102"/>
      <c r="G1709" s="102"/>
      <c r="I1709" s="93"/>
      <c r="J1709" s="93"/>
    </row>
    <row r="1710" spans="1:10" s="65" customFormat="1" ht="14" x14ac:dyDescent="0.35">
      <c r="A1710" s="145"/>
      <c r="E1710" s="102"/>
      <c r="F1710" s="102"/>
      <c r="G1710" s="102"/>
      <c r="I1710" s="93"/>
      <c r="J1710" s="93"/>
    </row>
    <row r="1711" spans="1:10" s="65" customFormat="1" ht="14" x14ac:dyDescent="0.35">
      <c r="A1711" s="145"/>
      <c r="E1711" s="102"/>
      <c r="F1711" s="102"/>
      <c r="G1711" s="102"/>
      <c r="I1711" s="93"/>
      <c r="J1711" s="93"/>
    </row>
    <row r="1712" spans="1:10" s="65" customFormat="1" ht="14" x14ac:dyDescent="0.35">
      <c r="A1712" s="145"/>
      <c r="E1712" s="102"/>
      <c r="F1712" s="102"/>
      <c r="G1712" s="102"/>
      <c r="I1712" s="93"/>
      <c r="J1712" s="93"/>
    </row>
    <row r="1713" spans="1:10" s="65" customFormat="1" ht="14" x14ac:dyDescent="0.35">
      <c r="A1713" s="145"/>
      <c r="E1713" s="102"/>
      <c r="F1713" s="102"/>
      <c r="G1713" s="102"/>
      <c r="I1713" s="93"/>
      <c r="J1713" s="93"/>
    </row>
    <row r="1714" spans="1:10" s="65" customFormat="1" ht="14" x14ac:dyDescent="0.35">
      <c r="A1714" s="145"/>
      <c r="E1714" s="102"/>
      <c r="F1714" s="102"/>
      <c r="G1714" s="102"/>
      <c r="I1714" s="93"/>
      <c r="J1714" s="93"/>
    </row>
    <row r="1715" spans="1:10" s="65" customFormat="1" ht="14" x14ac:dyDescent="0.35">
      <c r="A1715" s="145"/>
      <c r="E1715" s="102"/>
      <c r="F1715" s="102"/>
      <c r="G1715" s="102"/>
      <c r="I1715" s="93"/>
      <c r="J1715" s="93"/>
    </row>
    <row r="1716" spans="1:10" s="65" customFormat="1" ht="14" x14ac:dyDescent="0.35">
      <c r="A1716" s="145"/>
      <c r="E1716" s="102"/>
      <c r="F1716" s="102"/>
      <c r="G1716" s="102"/>
      <c r="I1716" s="93"/>
      <c r="J1716" s="93"/>
    </row>
    <row r="1717" spans="1:10" s="65" customFormat="1" ht="14" x14ac:dyDescent="0.35">
      <c r="A1717" s="145"/>
      <c r="E1717" s="102"/>
      <c r="F1717" s="102"/>
      <c r="G1717" s="102"/>
      <c r="I1717" s="93"/>
      <c r="J1717" s="93"/>
    </row>
    <row r="1718" spans="1:10" s="65" customFormat="1" ht="14" x14ac:dyDescent="0.35">
      <c r="A1718" s="145"/>
      <c r="E1718" s="102"/>
      <c r="F1718" s="102"/>
      <c r="G1718" s="102"/>
      <c r="I1718" s="93"/>
      <c r="J1718" s="93"/>
    </row>
    <row r="1719" spans="1:10" s="65" customFormat="1" ht="14" x14ac:dyDescent="0.35">
      <c r="A1719" s="145"/>
      <c r="E1719" s="102"/>
      <c r="F1719" s="102"/>
      <c r="G1719" s="102"/>
      <c r="I1719" s="93"/>
      <c r="J1719" s="93"/>
    </row>
    <row r="1720" spans="1:10" s="65" customFormat="1" ht="14" x14ac:dyDescent="0.35">
      <c r="A1720" s="145"/>
      <c r="E1720" s="102"/>
      <c r="F1720" s="102"/>
      <c r="G1720" s="102"/>
      <c r="I1720" s="93"/>
      <c r="J1720" s="93"/>
    </row>
    <row r="1721" spans="1:10" s="65" customFormat="1" ht="14" x14ac:dyDescent="0.35">
      <c r="A1721" s="145"/>
      <c r="E1721" s="102"/>
      <c r="F1721" s="102"/>
      <c r="G1721" s="102"/>
      <c r="I1721" s="93"/>
      <c r="J1721" s="93"/>
    </row>
    <row r="1722" spans="1:10" s="65" customFormat="1" ht="14" x14ac:dyDescent="0.35">
      <c r="A1722" s="145"/>
      <c r="E1722" s="102"/>
      <c r="F1722" s="102"/>
      <c r="G1722" s="102"/>
      <c r="I1722" s="93"/>
      <c r="J1722" s="93"/>
    </row>
    <row r="1723" spans="1:10" s="65" customFormat="1" ht="14" x14ac:dyDescent="0.35">
      <c r="A1723" s="145"/>
      <c r="E1723" s="102"/>
      <c r="F1723" s="102"/>
      <c r="G1723" s="102"/>
      <c r="I1723" s="93"/>
      <c r="J1723" s="93"/>
    </row>
    <row r="1724" spans="1:10" s="65" customFormat="1" ht="14" x14ac:dyDescent="0.35">
      <c r="A1724" s="145"/>
      <c r="E1724" s="102"/>
      <c r="F1724" s="102"/>
      <c r="G1724" s="102"/>
      <c r="I1724" s="93"/>
      <c r="J1724" s="93"/>
    </row>
    <row r="1725" spans="1:10" s="65" customFormat="1" ht="14" x14ac:dyDescent="0.35">
      <c r="A1725" s="145"/>
      <c r="E1725" s="102"/>
      <c r="F1725" s="102"/>
      <c r="G1725" s="102"/>
      <c r="I1725" s="93"/>
      <c r="J1725" s="93"/>
    </row>
    <row r="1726" spans="1:10" s="65" customFormat="1" ht="14" x14ac:dyDescent="0.35">
      <c r="A1726" s="145"/>
      <c r="E1726" s="102"/>
      <c r="F1726" s="102"/>
      <c r="G1726" s="102"/>
      <c r="I1726" s="93"/>
      <c r="J1726" s="93"/>
    </row>
    <row r="1727" spans="1:10" s="65" customFormat="1" ht="14" x14ac:dyDescent="0.35">
      <c r="A1727" s="145"/>
      <c r="E1727" s="102"/>
      <c r="F1727" s="102"/>
      <c r="G1727" s="102"/>
      <c r="I1727" s="93"/>
      <c r="J1727" s="93"/>
    </row>
    <row r="1728" spans="1:10" s="65" customFormat="1" ht="14" x14ac:dyDescent="0.35">
      <c r="A1728" s="145"/>
      <c r="E1728" s="102"/>
      <c r="F1728" s="102"/>
      <c r="G1728" s="102"/>
      <c r="I1728" s="93"/>
      <c r="J1728" s="93"/>
    </row>
    <row r="1729" spans="1:10" s="65" customFormat="1" ht="14" x14ac:dyDescent="0.35">
      <c r="A1729" s="145"/>
      <c r="E1729" s="102"/>
      <c r="F1729" s="102"/>
      <c r="G1729" s="102"/>
      <c r="I1729" s="93"/>
      <c r="J1729" s="93"/>
    </row>
    <row r="1730" spans="1:10" s="65" customFormat="1" ht="14" x14ac:dyDescent="0.35">
      <c r="A1730" s="145"/>
      <c r="E1730" s="102"/>
      <c r="F1730" s="102"/>
      <c r="G1730" s="102"/>
      <c r="I1730" s="93"/>
      <c r="J1730" s="93"/>
    </row>
    <row r="1731" spans="1:10" s="65" customFormat="1" ht="14" x14ac:dyDescent="0.35">
      <c r="A1731" s="145"/>
      <c r="E1731" s="102"/>
      <c r="F1731" s="102"/>
      <c r="G1731" s="102"/>
      <c r="I1731" s="93"/>
      <c r="J1731" s="93"/>
    </row>
    <row r="1732" spans="1:10" s="65" customFormat="1" ht="14" x14ac:dyDescent="0.35">
      <c r="A1732" s="145"/>
      <c r="E1732" s="102"/>
      <c r="F1732" s="102"/>
      <c r="G1732" s="102"/>
      <c r="I1732" s="93"/>
      <c r="J1732" s="93"/>
    </row>
    <row r="1733" spans="1:10" s="65" customFormat="1" ht="14" x14ac:dyDescent="0.35">
      <c r="A1733" s="145"/>
      <c r="E1733" s="102"/>
      <c r="F1733" s="102"/>
      <c r="G1733" s="102"/>
      <c r="I1733" s="93"/>
      <c r="J1733" s="93"/>
    </row>
    <row r="1734" spans="1:10" s="65" customFormat="1" ht="14" x14ac:dyDescent="0.35">
      <c r="A1734" s="145"/>
      <c r="E1734" s="102"/>
      <c r="F1734" s="102"/>
      <c r="G1734" s="102"/>
      <c r="I1734" s="93"/>
      <c r="J1734" s="93"/>
    </row>
    <row r="1735" spans="1:10" s="65" customFormat="1" ht="14" x14ac:dyDescent="0.35">
      <c r="A1735" s="145"/>
      <c r="E1735" s="102"/>
      <c r="F1735" s="102"/>
      <c r="G1735" s="102"/>
      <c r="I1735" s="93"/>
      <c r="J1735" s="93"/>
    </row>
    <row r="1736" spans="1:10" s="65" customFormat="1" ht="14" x14ac:dyDescent="0.35">
      <c r="A1736" s="145"/>
      <c r="E1736" s="102"/>
      <c r="F1736" s="102"/>
      <c r="G1736" s="102"/>
      <c r="I1736" s="93"/>
      <c r="J1736" s="93"/>
    </row>
    <row r="1737" spans="1:10" s="65" customFormat="1" ht="14" x14ac:dyDescent="0.35">
      <c r="A1737" s="145"/>
      <c r="E1737" s="102"/>
      <c r="F1737" s="102"/>
      <c r="G1737" s="102"/>
      <c r="I1737" s="93"/>
      <c r="J1737" s="93"/>
    </row>
    <row r="1738" spans="1:10" s="65" customFormat="1" ht="14" x14ac:dyDescent="0.35">
      <c r="A1738" s="145"/>
      <c r="E1738" s="102"/>
      <c r="F1738" s="102"/>
      <c r="G1738" s="102"/>
      <c r="I1738" s="93"/>
      <c r="J1738" s="93"/>
    </row>
    <row r="1739" spans="1:10" s="65" customFormat="1" ht="14" x14ac:dyDescent="0.35">
      <c r="A1739" s="145"/>
      <c r="E1739" s="102"/>
      <c r="F1739" s="102"/>
      <c r="G1739" s="102"/>
      <c r="I1739" s="93"/>
      <c r="J1739" s="93"/>
    </row>
    <row r="1740" spans="1:10" s="65" customFormat="1" ht="14" x14ac:dyDescent="0.35">
      <c r="A1740" s="145"/>
      <c r="E1740" s="102"/>
      <c r="F1740" s="102"/>
      <c r="G1740" s="102"/>
      <c r="I1740" s="93"/>
      <c r="J1740" s="93"/>
    </row>
    <row r="1741" spans="1:10" s="65" customFormat="1" ht="14" x14ac:dyDescent="0.35">
      <c r="A1741" s="145"/>
      <c r="E1741" s="102"/>
      <c r="F1741" s="102"/>
      <c r="G1741" s="102"/>
      <c r="I1741" s="93"/>
      <c r="J1741" s="93"/>
    </row>
    <row r="1742" spans="1:10" s="65" customFormat="1" ht="14" x14ac:dyDescent="0.35">
      <c r="A1742" s="145"/>
      <c r="E1742" s="102"/>
      <c r="F1742" s="102"/>
      <c r="G1742" s="102"/>
      <c r="I1742" s="93"/>
      <c r="J1742" s="93"/>
    </row>
    <row r="1743" spans="1:10" s="65" customFormat="1" ht="14" x14ac:dyDescent="0.35">
      <c r="A1743" s="145"/>
      <c r="E1743" s="102"/>
      <c r="F1743" s="102"/>
      <c r="G1743" s="102"/>
      <c r="I1743" s="93"/>
      <c r="J1743" s="93"/>
    </row>
    <row r="1744" spans="1:10" s="65" customFormat="1" ht="14" x14ac:dyDescent="0.35">
      <c r="A1744" s="145"/>
      <c r="E1744" s="102"/>
      <c r="F1744" s="102"/>
      <c r="G1744" s="102"/>
      <c r="I1744" s="93"/>
      <c r="J1744" s="93"/>
    </row>
    <row r="1745" spans="1:10" s="65" customFormat="1" ht="14" x14ac:dyDescent="0.35">
      <c r="A1745" s="145"/>
      <c r="E1745" s="102"/>
      <c r="F1745" s="102"/>
      <c r="G1745" s="102"/>
      <c r="I1745" s="93"/>
      <c r="J1745" s="93"/>
    </row>
    <row r="1746" spans="1:10" s="65" customFormat="1" ht="14" x14ac:dyDescent="0.35">
      <c r="A1746" s="145"/>
      <c r="E1746" s="102"/>
      <c r="F1746" s="102"/>
      <c r="G1746" s="102"/>
      <c r="I1746" s="93"/>
      <c r="J1746" s="93"/>
    </row>
    <row r="1747" spans="1:10" s="65" customFormat="1" ht="14" x14ac:dyDescent="0.35">
      <c r="A1747" s="145"/>
      <c r="E1747" s="102"/>
      <c r="F1747" s="102"/>
      <c r="G1747" s="102"/>
      <c r="I1747" s="93"/>
      <c r="J1747" s="93"/>
    </row>
    <row r="1748" spans="1:10" s="65" customFormat="1" ht="14" x14ac:dyDescent="0.35">
      <c r="A1748" s="145"/>
      <c r="E1748" s="102"/>
      <c r="F1748" s="102"/>
      <c r="G1748" s="102"/>
      <c r="I1748" s="93"/>
      <c r="J1748" s="93"/>
    </row>
    <row r="1749" spans="1:10" s="65" customFormat="1" ht="14" x14ac:dyDescent="0.35">
      <c r="A1749" s="145"/>
      <c r="E1749" s="102"/>
      <c r="F1749" s="102"/>
      <c r="G1749" s="102"/>
      <c r="I1749" s="93"/>
      <c r="J1749" s="93"/>
    </row>
    <row r="1750" spans="1:10" s="65" customFormat="1" ht="14" x14ac:dyDescent="0.35">
      <c r="A1750" s="145"/>
      <c r="E1750" s="102"/>
      <c r="F1750" s="102"/>
      <c r="G1750" s="102"/>
      <c r="I1750" s="93"/>
      <c r="J1750" s="93"/>
    </row>
    <row r="1751" spans="1:10" s="65" customFormat="1" ht="14" x14ac:dyDescent="0.35">
      <c r="A1751" s="145"/>
      <c r="E1751" s="102"/>
      <c r="F1751" s="102"/>
      <c r="G1751" s="102"/>
      <c r="I1751" s="93"/>
      <c r="J1751" s="93"/>
    </row>
    <row r="1752" spans="1:10" s="65" customFormat="1" ht="14" x14ac:dyDescent="0.35">
      <c r="A1752" s="145"/>
      <c r="E1752" s="102"/>
      <c r="F1752" s="102"/>
      <c r="G1752" s="102"/>
      <c r="I1752" s="93"/>
      <c r="J1752" s="93"/>
    </row>
    <row r="1753" spans="1:10" s="65" customFormat="1" ht="14" x14ac:dyDescent="0.35">
      <c r="A1753" s="145"/>
      <c r="E1753" s="102"/>
      <c r="F1753" s="102"/>
      <c r="G1753" s="102"/>
      <c r="I1753" s="93"/>
      <c r="J1753" s="93"/>
    </row>
    <row r="1754" spans="1:10" s="65" customFormat="1" ht="14" x14ac:dyDescent="0.35">
      <c r="A1754" s="145"/>
      <c r="E1754" s="102"/>
      <c r="F1754" s="102"/>
      <c r="G1754" s="102"/>
      <c r="I1754" s="93"/>
      <c r="J1754" s="93"/>
    </row>
    <row r="1755" spans="1:10" s="65" customFormat="1" ht="14" x14ac:dyDescent="0.35">
      <c r="A1755" s="145"/>
      <c r="E1755" s="102"/>
      <c r="F1755" s="102"/>
      <c r="G1755" s="102"/>
      <c r="I1755" s="93"/>
      <c r="J1755" s="93"/>
    </row>
    <row r="1756" spans="1:10" s="65" customFormat="1" ht="14" x14ac:dyDescent="0.35">
      <c r="A1756" s="145"/>
      <c r="E1756" s="102"/>
      <c r="F1756" s="102"/>
      <c r="G1756" s="102"/>
      <c r="I1756" s="93"/>
      <c r="J1756" s="93"/>
    </row>
    <row r="1757" spans="1:10" s="65" customFormat="1" ht="14" x14ac:dyDescent="0.35">
      <c r="A1757" s="145"/>
      <c r="E1757" s="102"/>
      <c r="F1757" s="102"/>
      <c r="G1757" s="102"/>
      <c r="I1757" s="93"/>
      <c r="J1757" s="93"/>
    </row>
    <row r="1758" spans="1:10" s="65" customFormat="1" ht="14" x14ac:dyDescent="0.35">
      <c r="A1758" s="145"/>
      <c r="E1758" s="102"/>
      <c r="F1758" s="102"/>
      <c r="G1758" s="102"/>
      <c r="I1758" s="93"/>
      <c r="J1758" s="93"/>
    </row>
    <row r="1759" spans="1:10" s="65" customFormat="1" ht="14" x14ac:dyDescent="0.35">
      <c r="A1759" s="145"/>
      <c r="E1759" s="102"/>
      <c r="F1759" s="102"/>
      <c r="G1759" s="102"/>
      <c r="I1759" s="93"/>
      <c r="J1759" s="93"/>
    </row>
    <row r="1760" spans="1:10" s="65" customFormat="1" ht="14" x14ac:dyDescent="0.35">
      <c r="A1760" s="145"/>
      <c r="E1760" s="102"/>
      <c r="F1760" s="102"/>
      <c r="G1760" s="102"/>
      <c r="I1760" s="93"/>
      <c r="J1760" s="93"/>
    </row>
    <row r="1761" spans="1:10" s="65" customFormat="1" ht="14" x14ac:dyDescent="0.35">
      <c r="A1761" s="145"/>
      <c r="E1761" s="102"/>
      <c r="F1761" s="102"/>
      <c r="G1761" s="102"/>
      <c r="I1761" s="93"/>
      <c r="J1761" s="93"/>
    </row>
    <row r="1762" spans="1:10" s="65" customFormat="1" ht="14" x14ac:dyDescent="0.35">
      <c r="A1762" s="145"/>
      <c r="E1762" s="102"/>
      <c r="F1762" s="102"/>
      <c r="G1762" s="102"/>
      <c r="I1762" s="93"/>
      <c r="J1762" s="93"/>
    </row>
    <row r="1763" spans="1:10" s="65" customFormat="1" ht="14" x14ac:dyDescent="0.35">
      <c r="A1763" s="145"/>
      <c r="E1763" s="102"/>
      <c r="F1763" s="102"/>
      <c r="G1763" s="102"/>
      <c r="I1763" s="93"/>
      <c r="J1763" s="93"/>
    </row>
    <row r="1764" spans="1:10" s="65" customFormat="1" ht="14" x14ac:dyDescent="0.35">
      <c r="A1764" s="145"/>
      <c r="E1764" s="102"/>
      <c r="F1764" s="102"/>
      <c r="G1764" s="102"/>
      <c r="I1764" s="93"/>
      <c r="J1764" s="93"/>
    </row>
    <row r="1765" spans="1:10" s="65" customFormat="1" ht="14" x14ac:dyDescent="0.35">
      <c r="A1765" s="145"/>
      <c r="E1765" s="102"/>
      <c r="F1765" s="102"/>
      <c r="G1765" s="102"/>
      <c r="I1765" s="93"/>
      <c r="J1765" s="93"/>
    </row>
    <row r="1766" spans="1:10" s="65" customFormat="1" ht="14" x14ac:dyDescent="0.35">
      <c r="A1766" s="145"/>
      <c r="E1766" s="102"/>
      <c r="F1766" s="102"/>
      <c r="G1766" s="102"/>
      <c r="I1766" s="93"/>
      <c r="J1766" s="93"/>
    </row>
    <row r="1767" spans="1:10" s="65" customFormat="1" ht="14" x14ac:dyDescent="0.35">
      <c r="A1767" s="145"/>
      <c r="E1767" s="102"/>
      <c r="F1767" s="102"/>
      <c r="G1767" s="102"/>
      <c r="I1767" s="93"/>
      <c r="J1767" s="93"/>
    </row>
    <row r="1768" spans="1:10" s="65" customFormat="1" ht="14" x14ac:dyDescent="0.35">
      <c r="A1768" s="145"/>
      <c r="E1768" s="102"/>
      <c r="F1768" s="102"/>
      <c r="G1768" s="102"/>
      <c r="I1768" s="93"/>
      <c r="J1768" s="93"/>
    </row>
    <row r="1769" spans="1:10" s="65" customFormat="1" ht="14" x14ac:dyDescent="0.35">
      <c r="A1769" s="145"/>
      <c r="E1769" s="102"/>
      <c r="F1769" s="102"/>
      <c r="G1769" s="102"/>
      <c r="I1769" s="93"/>
      <c r="J1769" s="93"/>
    </row>
    <row r="1770" spans="1:10" s="65" customFormat="1" ht="14" x14ac:dyDescent="0.35">
      <c r="A1770" s="145"/>
      <c r="E1770" s="102"/>
      <c r="F1770" s="102"/>
      <c r="G1770" s="102"/>
      <c r="I1770" s="93"/>
      <c r="J1770" s="93"/>
    </row>
    <row r="1771" spans="1:10" s="65" customFormat="1" ht="14" x14ac:dyDescent="0.35">
      <c r="A1771" s="145"/>
      <c r="E1771" s="102"/>
      <c r="F1771" s="102"/>
      <c r="G1771" s="102"/>
      <c r="I1771" s="93"/>
      <c r="J1771" s="93"/>
    </row>
    <row r="1772" spans="1:10" s="65" customFormat="1" ht="14" x14ac:dyDescent="0.35">
      <c r="A1772" s="145"/>
      <c r="E1772" s="102"/>
      <c r="F1772" s="102"/>
      <c r="G1772" s="102"/>
      <c r="I1772" s="93"/>
      <c r="J1772" s="93"/>
    </row>
    <row r="1773" spans="1:10" s="65" customFormat="1" ht="14" x14ac:dyDescent="0.35">
      <c r="A1773" s="145"/>
      <c r="E1773" s="102"/>
      <c r="F1773" s="102"/>
      <c r="G1773" s="102"/>
      <c r="I1773" s="93"/>
      <c r="J1773" s="93"/>
    </row>
    <row r="1774" spans="1:10" s="65" customFormat="1" ht="14" x14ac:dyDescent="0.35">
      <c r="A1774" s="145"/>
      <c r="E1774" s="102"/>
      <c r="F1774" s="102"/>
      <c r="G1774" s="102"/>
      <c r="I1774" s="93"/>
      <c r="J1774" s="93"/>
    </row>
    <row r="1775" spans="1:10" s="65" customFormat="1" ht="14" x14ac:dyDescent="0.35">
      <c r="A1775" s="145"/>
      <c r="E1775" s="102"/>
      <c r="F1775" s="102"/>
      <c r="G1775" s="102"/>
      <c r="I1775" s="93"/>
      <c r="J1775" s="93"/>
    </row>
    <row r="1776" spans="1:10" s="65" customFormat="1" ht="14" x14ac:dyDescent="0.35">
      <c r="A1776" s="145"/>
      <c r="E1776" s="102"/>
      <c r="F1776" s="102"/>
      <c r="G1776" s="102"/>
      <c r="I1776" s="93"/>
      <c r="J1776" s="93"/>
    </row>
    <row r="1777" spans="1:10" s="65" customFormat="1" ht="14" x14ac:dyDescent="0.35">
      <c r="A1777" s="145"/>
      <c r="E1777" s="102"/>
      <c r="F1777" s="102"/>
      <c r="G1777" s="102"/>
      <c r="I1777" s="93"/>
      <c r="J1777" s="93"/>
    </row>
    <row r="1778" spans="1:10" s="65" customFormat="1" ht="14" x14ac:dyDescent="0.35">
      <c r="A1778" s="145"/>
      <c r="E1778" s="102"/>
      <c r="F1778" s="102"/>
      <c r="G1778" s="102"/>
      <c r="I1778" s="93"/>
      <c r="J1778" s="93"/>
    </row>
    <row r="1779" spans="1:10" s="65" customFormat="1" ht="14" x14ac:dyDescent="0.35">
      <c r="A1779" s="145"/>
      <c r="E1779" s="102"/>
      <c r="F1779" s="102"/>
      <c r="G1779" s="102"/>
      <c r="I1779" s="93"/>
      <c r="J1779" s="93"/>
    </row>
    <row r="1780" spans="1:10" s="65" customFormat="1" ht="14" x14ac:dyDescent="0.35">
      <c r="A1780" s="145"/>
      <c r="E1780" s="102"/>
      <c r="F1780" s="102"/>
      <c r="G1780" s="102"/>
      <c r="I1780" s="93"/>
      <c r="J1780" s="93"/>
    </row>
    <row r="1781" spans="1:10" s="65" customFormat="1" ht="14" x14ac:dyDescent="0.35">
      <c r="A1781" s="145"/>
      <c r="E1781" s="102"/>
      <c r="F1781" s="102"/>
      <c r="G1781" s="102"/>
      <c r="I1781" s="93"/>
      <c r="J1781" s="93"/>
    </row>
    <row r="1782" spans="1:10" s="65" customFormat="1" ht="14" x14ac:dyDescent="0.35">
      <c r="A1782" s="145"/>
      <c r="E1782" s="102"/>
      <c r="F1782" s="102"/>
      <c r="G1782" s="102"/>
      <c r="I1782" s="93"/>
      <c r="J1782" s="93"/>
    </row>
    <row r="1783" spans="1:10" s="65" customFormat="1" ht="14" x14ac:dyDescent="0.35">
      <c r="A1783" s="145"/>
      <c r="E1783" s="102"/>
      <c r="F1783" s="102"/>
      <c r="G1783" s="102"/>
      <c r="I1783" s="93"/>
      <c r="J1783" s="93"/>
    </row>
    <row r="1784" spans="1:10" s="65" customFormat="1" ht="14" x14ac:dyDescent="0.35">
      <c r="A1784" s="145"/>
      <c r="E1784" s="102"/>
      <c r="F1784" s="102"/>
      <c r="G1784" s="102"/>
      <c r="I1784" s="93"/>
      <c r="J1784" s="93"/>
    </row>
    <row r="1785" spans="1:10" s="65" customFormat="1" ht="14" x14ac:dyDescent="0.35">
      <c r="A1785" s="145"/>
      <c r="E1785" s="102"/>
      <c r="F1785" s="102"/>
      <c r="G1785" s="102"/>
      <c r="I1785" s="93"/>
      <c r="J1785" s="93"/>
    </row>
    <row r="1786" spans="1:10" s="65" customFormat="1" ht="14" x14ac:dyDescent="0.35">
      <c r="A1786" s="145"/>
      <c r="E1786" s="102"/>
      <c r="F1786" s="102"/>
      <c r="G1786" s="102"/>
      <c r="I1786" s="93"/>
      <c r="J1786" s="93"/>
    </row>
    <row r="1787" spans="1:10" s="65" customFormat="1" ht="14" x14ac:dyDescent="0.35">
      <c r="A1787" s="145"/>
      <c r="E1787" s="102"/>
      <c r="F1787" s="102"/>
      <c r="G1787" s="102"/>
      <c r="I1787" s="93"/>
      <c r="J1787" s="93"/>
    </row>
    <row r="1788" spans="1:10" s="65" customFormat="1" ht="14" x14ac:dyDescent="0.35">
      <c r="A1788" s="145"/>
      <c r="E1788" s="102"/>
      <c r="F1788" s="102"/>
      <c r="G1788" s="102"/>
      <c r="I1788" s="93"/>
      <c r="J1788" s="93"/>
    </row>
    <row r="1789" spans="1:10" s="65" customFormat="1" ht="14" x14ac:dyDescent="0.35">
      <c r="A1789" s="145"/>
      <c r="E1789" s="102"/>
      <c r="F1789" s="102"/>
      <c r="G1789" s="102"/>
      <c r="I1789" s="93"/>
      <c r="J1789" s="93"/>
    </row>
    <row r="1790" spans="1:10" s="65" customFormat="1" ht="14" x14ac:dyDescent="0.35">
      <c r="A1790" s="145"/>
      <c r="E1790" s="102"/>
      <c r="F1790" s="102"/>
      <c r="G1790" s="102"/>
      <c r="I1790" s="93"/>
      <c r="J1790" s="93"/>
    </row>
    <row r="1791" spans="1:10" s="65" customFormat="1" ht="14" x14ac:dyDescent="0.35">
      <c r="A1791" s="145"/>
      <c r="E1791" s="102"/>
      <c r="F1791" s="102"/>
      <c r="G1791" s="102"/>
      <c r="I1791" s="93"/>
      <c r="J1791" s="93"/>
    </row>
    <row r="1792" spans="1:10" s="65" customFormat="1" ht="14" x14ac:dyDescent="0.35">
      <c r="A1792" s="145"/>
      <c r="E1792" s="102"/>
      <c r="F1792" s="102"/>
      <c r="G1792" s="102"/>
      <c r="I1792" s="93"/>
      <c r="J1792" s="93"/>
    </row>
    <row r="1793" spans="1:10" s="65" customFormat="1" ht="14" x14ac:dyDescent="0.35">
      <c r="A1793" s="145"/>
      <c r="E1793" s="102"/>
      <c r="F1793" s="102"/>
      <c r="G1793" s="102"/>
      <c r="I1793" s="93"/>
      <c r="J1793" s="93"/>
    </row>
    <row r="1794" spans="1:10" s="65" customFormat="1" ht="14" x14ac:dyDescent="0.35">
      <c r="A1794" s="145"/>
      <c r="E1794" s="102"/>
      <c r="F1794" s="102"/>
      <c r="G1794" s="102"/>
      <c r="I1794" s="93"/>
      <c r="J1794" s="93"/>
    </row>
    <row r="1795" spans="1:10" s="65" customFormat="1" ht="14" x14ac:dyDescent="0.35">
      <c r="A1795" s="145"/>
      <c r="E1795" s="102"/>
      <c r="F1795" s="102"/>
      <c r="G1795" s="102"/>
      <c r="I1795" s="93"/>
      <c r="J1795" s="93"/>
    </row>
    <row r="1796" spans="1:10" s="65" customFormat="1" ht="14" x14ac:dyDescent="0.35">
      <c r="A1796" s="145"/>
      <c r="E1796" s="102"/>
      <c r="F1796" s="102"/>
      <c r="G1796" s="102"/>
      <c r="I1796" s="93"/>
      <c r="J1796" s="93"/>
    </row>
    <row r="1797" spans="1:10" s="65" customFormat="1" ht="14" x14ac:dyDescent="0.35">
      <c r="A1797" s="145"/>
      <c r="E1797" s="102"/>
      <c r="F1797" s="102"/>
      <c r="G1797" s="102"/>
      <c r="I1797" s="93"/>
      <c r="J1797" s="93"/>
    </row>
    <row r="1798" spans="1:10" s="65" customFormat="1" ht="14" x14ac:dyDescent="0.35">
      <c r="A1798" s="145"/>
      <c r="E1798" s="102"/>
      <c r="F1798" s="102"/>
      <c r="G1798" s="102"/>
      <c r="I1798" s="93"/>
      <c r="J1798" s="93"/>
    </row>
    <row r="1799" spans="1:10" s="65" customFormat="1" ht="14" x14ac:dyDescent="0.35">
      <c r="A1799" s="145"/>
      <c r="E1799" s="102"/>
      <c r="F1799" s="102"/>
      <c r="G1799" s="102"/>
      <c r="I1799" s="93"/>
      <c r="J1799" s="93"/>
    </row>
    <row r="1800" spans="1:10" s="65" customFormat="1" ht="14" x14ac:dyDescent="0.35">
      <c r="A1800" s="145"/>
      <c r="E1800" s="102"/>
      <c r="F1800" s="102"/>
      <c r="G1800" s="102"/>
      <c r="I1800" s="93"/>
      <c r="J1800" s="93"/>
    </row>
    <row r="1801" spans="1:10" s="65" customFormat="1" ht="14" x14ac:dyDescent="0.35">
      <c r="A1801" s="145"/>
      <c r="E1801" s="102"/>
      <c r="F1801" s="102"/>
      <c r="G1801" s="102"/>
      <c r="I1801" s="93"/>
      <c r="J1801" s="93"/>
    </row>
    <row r="1802" spans="1:10" s="65" customFormat="1" ht="14" x14ac:dyDescent="0.35">
      <c r="A1802" s="145"/>
      <c r="E1802" s="102"/>
      <c r="F1802" s="102"/>
      <c r="G1802" s="102"/>
      <c r="I1802" s="93"/>
      <c r="J1802" s="93"/>
    </row>
    <row r="1803" spans="1:10" s="65" customFormat="1" ht="14" x14ac:dyDescent="0.35">
      <c r="A1803" s="145"/>
      <c r="E1803" s="102"/>
      <c r="F1803" s="102"/>
      <c r="G1803" s="102"/>
      <c r="I1803" s="93"/>
      <c r="J1803" s="93"/>
    </row>
    <row r="1804" spans="1:10" s="65" customFormat="1" ht="14" x14ac:dyDescent="0.35">
      <c r="A1804" s="145"/>
      <c r="E1804" s="102"/>
      <c r="F1804" s="102"/>
      <c r="G1804" s="102"/>
      <c r="I1804" s="93"/>
      <c r="J1804" s="93"/>
    </row>
    <row r="1805" spans="1:10" s="65" customFormat="1" ht="14" x14ac:dyDescent="0.35">
      <c r="A1805" s="145"/>
      <c r="E1805" s="102"/>
      <c r="F1805" s="102"/>
      <c r="G1805" s="102"/>
      <c r="I1805" s="93"/>
      <c r="J1805" s="93"/>
    </row>
    <row r="1806" spans="1:10" s="65" customFormat="1" ht="14" x14ac:dyDescent="0.35">
      <c r="A1806" s="145"/>
      <c r="E1806" s="102"/>
      <c r="F1806" s="102"/>
      <c r="G1806" s="102"/>
      <c r="I1806" s="93"/>
      <c r="J1806" s="93"/>
    </row>
    <row r="1807" spans="1:10" s="65" customFormat="1" ht="14" x14ac:dyDescent="0.35">
      <c r="A1807" s="145"/>
      <c r="E1807" s="102"/>
      <c r="F1807" s="102"/>
      <c r="G1807" s="102"/>
      <c r="I1807" s="93"/>
      <c r="J1807" s="93"/>
    </row>
    <row r="1808" spans="1:10" s="65" customFormat="1" ht="14" x14ac:dyDescent="0.35">
      <c r="A1808" s="145"/>
      <c r="E1808" s="102"/>
      <c r="F1808" s="102"/>
      <c r="G1808" s="102"/>
      <c r="I1808" s="93"/>
      <c r="J1808" s="93"/>
    </row>
    <row r="1809" spans="1:10" s="65" customFormat="1" ht="14" x14ac:dyDescent="0.35">
      <c r="A1809" s="145"/>
      <c r="E1809" s="102"/>
      <c r="F1809" s="102"/>
      <c r="G1809" s="102"/>
      <c r="I1809" s="93"/>
      <c r="J1809" s="93"/>
    </row>
    <row r="1810" spans="1:10" s="65" customFormat="1" ht="14" x14ac:dyDescent="0.35">
      <c r="A1810" s="145"/>
      <c r="E1810" s="102"/>
      <c r="F1810" s="102"/>
      <c r="G1810" s="102"/>
      <c r="I1810" s="93"/>
      <c r="J1810" s="93"/>
    </row>
    <row r="1811" spans="1:10" s="65" customFormat="1" ht="14" x14ac:dyDescent="0.35">
      <c r="A1811" s="145"/>
      <c r="E1811" s="102"/>
      <c r="F1811" s="102"/>
      <c r="G1811" s="102"/>
      <c r="I1811" s="93"/>
      <c r="J1811" s="93"/>
    </row>
    <row r="1812" spans="1:10" s="65" customFormat="1" ht="14" x14ac:dyDescent="0.35">
      <c r="A1812" s="145"/>
      <c r="E1812" s="102"/>
      <c r="F1812" s="102"/>
      <c r="G1812" s="102"/>
      <c r="I1812" s="93"/>
      <c r="J1812" s="93"/>
    </row>
    <row r="1813" spans="1:10" s="65" customFormat="1" ht="14" x14ac:dyDescent="0.35">
      <c r="A1813" s="145"/>
      <c r="E1813" s="102"/>
      <c r="F1813" s="102"/>
      <c r="G1813" s="102"/>
      <c r="I1813" s="93"/>
      <c r="J1813" s="93"/>
    </row>
    <row r="1814" spans="1:10" s="65" customFormat="1" ht="14" x14ac:dyDescent="0.35">
      <c r="A1814" s="145"/>
      <c r="E1814" s="102"/>
      <c r="F1814" s="102"/>
      <c r="G1814" s="102"/>
      <c r="I1814" s="93"/>
      <c r="J1814" s="93"/>
    </row>
    <row r="1815" spans="1:10" s="65" customFormat="1" ht="14" x14ac:dyDescent="0.35">
      <c r="A1815" s="145"/>
      <c r="E1815" s="102"/>
      <c r="F1815" s="102"/>
      <c r="G1815" s="102"/>
      <c r="I1815" s="93"/>
      <c r="J1815" s="93"/>
    </row>
    <row r="1816" spans="1:10" s="65" customFormat="1" ht="14" x14ac:dyDescent="0.35">
      <c r="A1816" s="145"/>
      <c r="E1816" s="102"/>
      <c r="F1816" s="102"/>
      <c r="G1816" s="102"/>
      <c r="I1816" s="93"/>
      <c r="J1816" s="93"/>
    </row>
    <row r="1817" spans="1:10" s="65" customFormat="1" ht="14" x14ac:dyDescent="0.35">
      <c r="A1817" s="145"/>
      <c r="E1817" s="102"/>
      <c r="F1817" s="102"/>
      <c r="G1817" s="102"/>
      <c r="I1817" s="93"/>
      <c r="J1817" s="93"/>
    </row>
    <row r="1818" spans="1:10" s="65" customFormat="1" ht="14" x14ac:dyDescent="0.35">
      <c r="A1818" s="145"/>
      <c r="E1818" s="102"/>
      <c r="F1818" s="102"/>
      <c r="G1818" s="102"/>
      <c r="I1818" s="93"/>
      <c r="J1818" s="93"/>
    </row>
    <row r="1819" spans="1:10" s="65" customFormat="1" ht="14" x14ac:dyDescent="0.35">
      <c r="A1819" s="145"/>
      <c r="E1819" s="102"/>
      <c r="F1819" s="102"/>
      <c r="G1819" s="102"/>
      <c r="I1819" s="93"/>
      <c r="J1819" s="93"/>
    </row>
    <row r="1820" spans="1:10" s="65" customFormat="1" ht="14" x14ac:dyDescent="0.35">
      <c r="A1820" s="145"/>
      <c r="E1820" s="102"/>
      <c r="F1820" s="102"/>
      <c r="G1820" s="102"/>
      <c r="I1820" s="93"/>
      <c r="J1820" s="93"/>
    </row>
    <row r="1821" spans="1:10" s="65" customFormat="1" ht="14" x14ac:dyDescent="0.35">
      <c r="A1821" s="145"/>
      <c r="E1821" s="102"/>
      <c r="F1821" s="102"/>
      <c r="G1821" s="102"/>
      <c r="I1821" s="93"/>
      <c r="J1821" s="93"/>
    </row>
    <row r="1822" spans="1:10" s="65" customFormat="1" ht="14" x14ac:dyDescent="0.35">
      <c r="A1822" s="145"/>
      <c r="E1822" s="102"/>
      <c r="F1822" s="102"/>
      <c r="G1822" s="102"/>
      <c r="I1822" s="93"/>
      <c r="J1822" s="93"/>
    </row>
    <row r="1823" spans="1:10" s="65" customFormat="1" ht="14" x14ac:dyDescent="0.35">
      <c r="A1823" s="145"/>
      <c r="E1823" s="102"/>
      <c r="F1823" s="102"/>
      <c r="G1823" s="102"/>
      <c r="I1823" s="93"/>
      <c r="J1823" s="93"/>
    </row>
    <row r="1824" spans="1:10" s="65" customFormat="1" ht="14" x14ac:dyDescent="0.35">
      <c r="A1824" s="145"/>
      <c r="E1824" s="102"/>
      <c r="F1824" s="102"/>
      <c r="G1824" s="102"/>
      <c r="I1824" s="93"/>
      <c r="J1824" s="93"/>
    </row>
    <row r="1825" spans="1:10" s="65" customFormat="1" ht="14" x14ac:dyDescent="0.35">
      <c r="A1825" s="145"/>
      <c r="E1825" s="102"/>
      <c r="F1825" s="102"/>
      <c r="G1825" s="102"/>
      <c r="I1825" s="93"/>
      <c r="J1825" s="93"/>
    </row>
    <row r="1826" spans="1:10" s="65" customFormat="1" ht="14" x14ac:dyDescent="0.35">
      <c r="A1826" s="145"/>
      <c r="E1826" s="102"/>
      <c r="F1826" s="102"/>
      <c r="G1826" s="102"/>
      <c r="I1826" s="93"/>
      <c r="J1826" s="93"/>
    </row>
    <row r="1827" spans="1:10" s="65" customFormat="1" ht="14" x14ac:dyDescent="0.35">
      <c r="A1827" s="145"/>
      <c r="E1827" s="102"/>
      <c r="F1827" s="102"/>
      <c r="G1827" s="102"/>
      <c r="I1827" s="93"/>
      <c r="J1827" s="93"/>
    </row>
    <row r="1828" spans="1:10" s="65" customFormat="1" ht="14" x14ac:dyDescent="0.35">
      <c r="A1828" s="145"/>
      <c r="E1828" s="102"/>
      <c r="F1828" s="102"/>
      <c r="G1828" s="102"/>
      <c r="I1828" s="93"/>
      <c r="J1828" s="93"/>
    </row>
    <row r="1829" spans="1:10" s="65" customFormat="1" ht="14" x14ac:dyDescent="0.35">
      <c r="A1829" s="145"/>
      <c r="E1829" s="102"/>
      <c r="F1829" s="102"/>
      <c r="G1829" s="102"/>
      <c r="I1829" s="93"/>
      <c r="J1829" s="93"/>
    </row>
    <row r="1830" spans="1:10" s="65" customFormat="1" ht="14" x14ac:dyDescent="0.35">
      <c r="A1830" s="145"/>
      <c r="E1830" s="102"/>
      <c r="F1830" s="102"/>
      <c r="G1830" s="102"/>
      <c r="I1830" s="93"/>
      <c r="J1830" s="93"/>
    </row>
    <row r="1831" spans="1:10" s="65" customFormat="1" ht="14" x14ac:dyDescent="0.35">
      <c r="A1831" s="145"/>
      <c r="E1831" s="102"/>
      <c r="F1831" s="102"/>
      <c r="G1831" s="102"/>
      <c r="I1831" s="93"/>
      <c r="J1831" s="93"/>
    </row>
    <row r="1832" spans="1:10" s="65" customFormat="1" ht="14" x14ac:dyDescent="0.35">
      <c r="A1832" s="145"/>
      <c r="E1832" s="102"/>
      <c r="F1832" s="102"/>
      <c r="G1832" s="102"/>
      <c r="I1832" s="93"/>
      <c r="J1832" s="93"/>
    </row>
    <row r="1833" spans="1:10" s="65" customFormat="1" ht="14" x14ac:dyDescent="0.35">
      <c r="A1833" s="145"/>
      <c r="E1833" s="102"/>
      <c r="F1833" s="102"/>
      <c r="G1833" s="102"/>
      <c r="I1833" s="93"/>
      <c r="J1833" s="93"/>
    </row>
    <row r="1834" spans="1:10" s="65" customFormat="1" ht="14" x14ac:dyDescent="0.35">
      <c r="A1834" s="145"/>
      <c r="E1834" s="102"/>
      <c r="F1834" s="102"/>
      <c r="G1834" s="102"/>
      <c r="I1834" s="93"/>
      <c r="J1834" s="93"/>
    </row>
    <row r="1835" spans="1:10" s="65" customFormat="1" ht="14" x14ac:dyDescent="0.35">
      <c r="A1835" s="145"/>
      <c r="E1835" s="102"/>
      <c r="F1835" s="102"/>
      <c r="G1835" s="102"/>
      <c r="I1835" s="93"/>
      <c r="J1835" s="93"/>
    </row>
    <row r="1836" spans="1:10" s="65" customFormat="1" ht="14" x14ac:dyDescent="0.35">
      <c r="A1836" s="145"/>
      <c r="E1836" s="102"/>
      <c r="F1836" s="102"/>
      <c r="G1836" s="102"/>
      <c r="I1836" s="93"/>
      <c r="J1836" s="93"/>
    </row>
    <row r="1837" spans="1:10" s="65" customFormat="1" ht="14" x14ac:dyDescent="0.35">
      <c r="A1837" s="145"/>
      <c r="E1837" s="102"/>
      <c r="F1837" s="102"/>
      <c r="G1837" s="102"/>
      <c r="I1837" s="93"/>
      <c r="J1837" s="93"/>
    </row>
    <row r="1838" spans="1:10" s="65" customFormat="1" ht="14" x14ac:dyDescent="0.35">
      <c r="A1838" s="145"/>
      <c r="E1838" s="102"/>
      <c r="F1838" s="102"/>
      <c r="G1838" s="102"/>
      <c r="I1838" s="93"/>
      <c r="J1838" s="93"/>
    </row>
    <row r="1839" spans="1:10" s="65" customFormat="1" ht="14" x14ac:dyDescent="0.35">
      <c r="A1839" s="145"/>
      <c r="E1839" s="102"/>
      <c r="F1839" s="102"/>
      <c r="G1839" s="102"/>
      <c r="I1839" s="93"/>
      <c r="J1839" s="93"/>
    </row>
    <row r="1840" spans="1:10" s="65" customFormat="1" ht="14" x14ac:dyDescent="0.35">
      <c r="A1840" s="145"/>
      <c r="E1840" s="102"/>
      <c r="F1840" s="102"/>
      <c r="G1840" s="102"/>
      <c r="I1840" s="93"/>
      <c r="J1840" s="93"/>
    </row>
    <row r="1841" spans="1:10" s="65" customFormat="1" ht="14" x14ac:dyDescent="0.35">
      <c r="A1841" s="145"/>
      <c r="E1841" s="102"/>
      <c r="F1841" s="102"/>
      <c r="G1841" s="102"/>
      <c r="I1841" s="93"/>
      <c r="J1841" s="93"/>
    </row>
    <row r="1842" spans="1:10" s="65" customFormat="1" ht="14" x14ac:dyDescent="0.35">
      <c r="A1842" s="145"/>
      <c r="E1842" s="102"/>
      <c r="F1842" s="102"/>
      <c r="G1842" s="102"/>
      <c r="I1842" s="93"/>
      <c r="J1842" s="93"/>
    </row>
    <row r="1843" spans="1:10" s="65" customFormat="1" ht="14" x14ac:dyDescent="0.35">
      <c r="A1843" s="145"/>
      <c r="E1843" s="102"/>
      <c r="F1843" s="102"/>
      <c r="G1843" s="102"/>
      <c r="I1843" s="93"/>
      <c r="J1843" s="93"/>
    </row>
    <row r="1844" spans="1:10" s="65" customFormat="1" ht="14" x14ac:dyDescent="0.35">
      <c r="A1844" s="145"/>
      <c r="E1844" s="102"/>
      <c r="F1844" s="102"/>
      <c r="G1844" s="102"/>
      <c r="I1844" s="93"/>
      <c r="J1844" s="93"/>
    </row>
    <row r="1845" spans="1:10" s="65" customFormat="1" ht="14" x14ac:dyDescent="0.35">
      <c r="A1845" s="145"/>
      <c r="E1845" s="102"/>
      <c r="F1845" s="102"/>
      <c r="G1845" s="102"/>
      <c r="I1845" s="93"/>
      <c r="J1845" s="93"/>
    </row>
    <row r="1846" spans="1:10" s="65" customFormat="1" ht="14" x14ac:dyDescent="0.35">
      <c r="A1846" s="145"/>
      <c r="E1846" s="102"/>
      <c r="F1846" s="102"/>
      <c r="G1846" s="102"/>
      <c r="I1846" s="93"/>
      <c r="J1846" s="93"/>
    </row>
    <row r="1847" spans="1:10" s="65" customFormat="1" ht="14" x14ac:dyDescent="0.35">
      <c r="A1847" s="145"/>
      <c r="E1847" s="102"/>
      <c r="F1847" s="102"/>
      <c r="G1847" s="102"/>
      <c r="I1847" s="93"/>
      <c r="J1847" s="93"/>
    </row>
    <row r="1848" spans="1:10" s="65" customFormat="1" ht="14" x14ac:dyDescent="0.35">
      <c r="A1848" s="145"/>
      <c r="E1848" s="102"/>
      <c r="F1848" s="102"/>
      <c r="G1848" s="102"/>
      <c r="I1848" s="93"/>
      <c r="J1848" s="93"/>
    </row>
    <row r="1849" spans="1:10" s="65" customFormat="1" ht="14" x14ac:dyDescent="0.35">
      <c r="A1849" s="145"/>
      <c r="E1849" s="102"/>
      <c r="F1849" s="102"/>
      <c r="G1849" s="102"/>
      <c r="I1849" s="93"/>
      <c r="J1849" s="93"/>
    </row>
    <row r="1850" spans="1:10" s="65" customFormat="1" ht="14" x14ac:dyDescent="0.35">
      <c r="A1850" s="145"/>
      <c r="E1850" s="102"/>
      <c r="F1850" s="102"/>
      <c r="G1850" s="102"/>
      <c r="I1850" s="93"/>
      <c r="J1850" s="93"/>
    </row>
    <row r="1851" spans="1:10" s="65" customFormat="1" ht="14" x14ac:dyDescent="0.35">
      <c r="A1851" s="145"/>
      <c r="E1851" s="102"/>
      <c r="F1851" s="102"/>
      <c r="G1851" s="102"/>
      <c r="I1851" s="93"/>
      <c r="J1851" s="93"/>
    </row>
    <row r="1852" spans="1:10" s="65" customFormat="1" ht="14" x14ac:dyDescent="0.35">
      <c r="A1852" s="145"/>
      <c r="E1852" s="102"/>
      <c r="F1852" s="102"/>
      <c r="G1852" s="102"/>
      <c r="I1852" s="93"/>
      <c r="J1852" s="93"/>
    </row>
    <row r="1853" spans="1:10" s="65" customFormat="1" ht="14" x14ac:dyDescent="0.35">
      <c r="A1853" s="145"/>
      <c r="E1853" s="102"/>
      <c r="F1853" s="102"/>
      <c r="G1853" s="102"/>
      <c r="I1853" s="93"/>
      <c r="J1853" s="93"/>
    </row>
    <row r="1854" spans="1:10" s="65" customFormat="1" ht="14" x14ac:dyDescent="0.35">
      <c r="A1854" s="145"/>
      <c r="E1854" s="102"/>
      <c r="F1854" s="102"/>
      <c r="G1854" s="102"/>
      <c r="I1854" s="93"/>
      <c r="J1854" s="93"/>
    </row>
    <row r="1855" spans="1:10" s="65" customFormat="1" ht="14" x14ac:dyDescent="0.35">
      <c r="A1855" s="145"/>
      <c r="E1855" s="102"/>
      <c r="F1855" s="102"/>
      <c r="G1855" s="102"/>
      <c r="I1855" s="93"/>
      <c r="J1855" s="93"/>
    </row>
    <row r="1856" spans="1:10" s="65" customFormat="1" ht="14" x14ac:dyDescent="0.35">
      <c r="A1856" s="145"/>
      <c r="E1856" s="102"/>
      <c r="F1856" s="102"/>
      <c r="G1856" s="102"/>
      <c r="I1856" s="93"/>
      <c r="J1856" s="93"/>
    </row>
    <row r="1857" spans="1:10" s="65" customFormat="1" ht="14" x14ac:dyDescent="0.35">
      <c r="A1857" s="145"/>
      <c r="E1857" s="102"/>
      <c r="F1857" s="102"/>
      <c r="G1857" s="102"/>
      <c r="I1857" s="93"/>
      <c r="J1857" s="93"/>
    </row>
    <row r="1858" spans="1:10" s="65" customFormat="1" ht="14" x14ac:dyDescent="0.35">
      <c r="A1858" s="145"/>
      <c r="E1858" s="102"/>
      <c r="F1858" s="102"/>
      <c r="G1858" s="102"/>
      <c r="I1858" s="93"/>
      <c r="J1858" s="93"/>
    </row>
    <row r="1859" spans="1:10" s="65" customFormat="1" ht="14" x14ac:dyDescent="0.35">
      <c r="A1859" s="145"/>
      <c r="E1859" s="102"/>
      <c r="F1859" s="102"/>
      <c r="G1859" s="102"/>
      <c r="I1859" s="93"/>
      <c r="J1859" s="93"/>
    </row>
    <row r="1860" spans="1:10" s="65" customFormat="1" ht="14" x14ac:dyDescent="0.35">
      <c r="A1860" s="145"/>
      <c r="E1860" s="102"/>
      <c r="F1860" s="102"/>
      <c r="G1860" s="102"/>
      <c r="I1860" s="93"/>
      <c r="J1860" s="93"/>
    </row>
    <row r="1861" spans="1:10" s="65" customFormat="1" ht="14" x14ac:dyDescent="0.35">
      <c r="A1861" s="145"/>
      <c r="E1861" s="102"/>
      <c r="F1861" s="102"/>
      <c r="G1861" s="102"/>
      <c r="I1861" s="93"/>
      <c r="J1861" s="93"/>
    </row>
    <row r="1862" spans="1:10" s="65" customFormat="1" ht="14" x14ac:dyDescent="0.35">
      <c r="A1862" s="145"/>
      <c r="E1862" s="102"/>
      <c r="F1862" s="102"/>
      <c r="G1862" s="102"/>
      <c r="I1862" s="93"/>
      <c r="J1862" s="93"/>
    </row>
    <row r="1863" spans="1:10" s="65" customFormat="1" ht="14" x14ac:dyDescent="0.35">
      <c r="A1863" s="145"/>
      <c r="E1863" s="102"/>
      <c r="F1863" s="102"/>
      <c r="G1863" s="102"/>
      <c r="I1863" s="93"/>
      <c r="J1863" s="93"/>
    </row>
    <row r="1864" spans="1:10" s="65" customFormat="1" ht="14" x14ac:dyDescent="0.35">
      <c r="A1864" s="145"/>
      <c r="E1864" s="102"/>
      <c r="F1864" s="102"/>
      <c r="G1864" s="102"/>
      <c r="I1864" s="93"/>
      <c r="J1864" s="93"/>
    </row>
    <row r="1865" spans="1:10" s="65" customFormat="1" ht="14" x14ac:dyDescent="0.35">
      <c r="A1865" s="145"/>
      <c r="E1865" s="102"/>
      <c r="F1865" s="102"/>
      <c r="G1865" s="102"/>
      <c r="I1865" s="93"/>
      <c r="J1865" s="93"/>
    </row>
    <row r="1866" spans="1:10" s="65" customFormat="1" ht="14" x14ac:dyDescent="0.35">
      <c r="A1866" s="145"/>
      <c r="E1866" s="102"/>
      <c r="F1866" s="102"/>
      <c r="G1866" s="102"/>
      <c r="I1866" s="93"/>
      <c r="J1866" s="93"/>
    </row>
    <row r="1867" spans="1:10" s="65" customFormat="1" ht="14" x14ac:dyDescent="0.35">
      <c r="A1867" s="145"/>
      <c r="E1867" s="102"/>
      <c r="F1867" s="102"/>
      <c r="G1867" s="102"/>
      <c r="I1867" s="93"/>
      <c r="J1867" s="93"/>
    </row>
    <row r="1868" spans="1:10" s="65" customFormat="1" ht="14" x14ac:dyDescent="0.35">
      <c r="A1868" s="145"/>
      <c r="E1868" s="102"/>
      <c r="F1868" s="102"/>
      <c r="G1868" s="102"/>
      <c r="I1868" s="93"/>
      <c r="J1868" s="93"/>
    </row>
    <row r="1869" spans="1:10" s="65" customFormat="1" ht="14" x14ac:dyDescent="0.35">
      <c r="A1869" s="145"/>
      <c r="E1869" s="102"/>
      <c r="F1869" s="102"/>
      <c r="G1869" s="102"/>
      <c r="I1869" s="93"/>
      <c r="J1869" s="93"/>
    </row>
    <row r="1870" spans="1:10" s="65" customFormat="1" ht="14" x14ac:dyDescent="0.35">
      <c r="A1870" s="145"/>
      <c r="E1870" s="102"/>
      <c r="F1870" s="102"/>
      <c r="G1870" s="102"/>
      <c r="I1870" s="93"/>
      <c r="J1870" s="93"/>
    </row>
    <row r="1871" spans="1:10" s="65" customFormat="1" ht="14" x14ac:dyDescent="0.35">
      <c r="A1871" s="145"/>
      <c r="E1871" s="102"/>
      <c r="F1871" s="102"/>
      <c r="G1871" s="102"/>
      <c r="I1871" s="93"/>
      <c r="J1871" s="93"/>
    </row>
    <row r="1872" spans="1:10" s="65" customFormat="1" ht="14" x14ac:dyDescent="0.35">
      <c r="A1872" s="145"/>
      <c r="E1872" s="102"/>
      <c r="F1872" s="102"/>
      <c r="G1872" s="102"/>
      <c r="I1872" s="93"/>
      <c r="J1872" s="93"/>
    </row>
    <row r="1873" spans="1:10" s="65" customFormat="1" ht="14" x14ac:dyDescent="0.35">
      <c r="A1873" s="145"/>
      <c r="E1873" s="102"/>
      <c r="F1873" s="102"/>
      <c r="G1873" s="102"/>
      <c r="I1873" s="93"/>
      <c r="J1873" s="93"/>
    </row>
    <row r="1874" spans="1:10" s="65" customFormat="1" ht="14" x14ac:dyDescent="0.35">
      <c r="A1874" s="145"/>
      <c r="E1874" s="102"/>
      <c r="F1874" s="102"/>
      <c r="G1874" s="102"/>
      <c r="I1874" s="93"/>
      <c r="J1874" s="93"/>
    </row>
    <row r="1875" spans="1:10" s="65" customFormat="1" ht="14" x14ac:dyDescent="0.35">
      <c r="A1875" s="145"/>
      <c r="E1875" s="102"/>
      <c r="F1875" s="102"/>
      <c r="G1875" s="102"/>
      <c r="I1875" s="93"/>
      <c r="J1875" s="93"/>
    </row>
    <row r="1876" spans="1:10" s="65" customFormat="1" ht="14" x14ac:dyDescent="0.35">
      <c r="A1876" s="145"/>
      <c r="E1876" s="102"/>
      <c r="F1876" s="102"/>
      <c r="G1876" s="102"/>
      <c r="I1876" s="93"/>
      <c r="J1876" s="93"/>
    </row>
    <row r="1877" spans="1:10" s="65" customFormat="1" ht="14" x14ac:dyDescent="0.35">
      <c r="A1877" s="145"/>
      <c r="E1877" s="102"/>
      <c r="F1877" s="102"/>
      <c r="G1877" s="102"/>
      <c r="I1877" s="93"/>
      <c r="J1877" s="93"/>
    </row>
    <row r="1878" spans="1:10" s="65" customFormat="1" ht="14" x14ac:dyDescent="0.35">
      <c r="A1878" s="145"/>
      <c r="E1878" s="102"/>
      <c r="F1878" s="102"/>
      <c r="G1878" s="102"/>
      <c r="I1878" s="93"/>
      <c r="J1878" s="93"/>
    </row>
    <row r="1879" spans="1:10" s="65" customFormat="1" ht="14" x14ac:dyDescent="0.35">
      <c r="A1879" s="145"/>
      <c r="E1879" s="102"/>
      <c r="F1879" s="102"/>
      <c r="G1879" s="102"/>
      <c r="I1879" s="93"/>
      <c r="J1879" s="93"/>
    </row>
    <row r="1880" spans="1:10" s="65" customFormat="1" ht="14" x14ac:dyDescent="0.35">
      <c r="A1880" s="145"/>
      <c r="E1880" s="102"/>
      <c r="F1880" s="102"/>
      <c r="G1880" s="102"/>
      <c r="I1880" s="93"/>
      <c r="J1880" s="93"/>
    </row>
    <row r="1881" spans="1:10" s="65" customFormat="1" ht="14" x14ac:dyDescent="0.35">
      <c r="A1881" s="145"/>
      <c r="E1881" s="102"/>
      <c r="F1881" s="102"/>
      <c r="G1881" s="102"/>
      <c r="I1881" s="93"/>
      <c r="J1881" s="93"/>
    </row>
    <row r="1882" spans="1:10" s="65" customFormat="1" ht="14" x14ac:dyDescent="0.35">
      <c r="A1882" s="145"/>
      <c r="E1882" s="102"/>
      <c r="F1882" s="102"/>
      <c r="G1882" s="102"/>
      <c r="I1882" s="93"/>
      <c r="J1882" s="93"/>
    </row>
    <row r="1883" spans="1:10" s="65" customFormat="1" ht="14" x14ac:dyDescent="0.35">
      <c r="A1883" s="145"/>
      <c r="E1883" s="102"/>
      <c r="F1883" s="102"/>
      <c r="G1883" s="102"/>
      <c r="I1883" s="93"/>
      <c r="J1883" s="93"/>
    </row>
    <row r="1884" spans="1:10" s="65" customFormat="1" ht="14" x14ac:dyDescent="0.35">
      <c r="A1884" s="145"/>
      <c r="E1884" s="102"/>
      <c r="F1884" s="102"/>
      <c r="G1884" s="102"/>
      <c r="I1884" s="93"/>
      <c r="J1884" s="93"/>
    </row>
    <row r="1885" spans="1:10" s="65" customFormat="1" ht="14" x14ac:dyDescent="0.35">
      <c r="A1885" s="145"/>
      <c r="E1885" s="102"/>
      <c r="F1885" s="102"/>
      <c r="G1885" s="102"/>
      <c r="I1885" s="93"/>
      <c r="J1885" s="93"/>
    </row>
    <row r="1886" spans="1:10" s="65" customFormat="1" ht="14" x14ac:dyDescent="0.35">
      <c r="A1886" s="145"/>
      <c r="E1886" s="102"/>
      <c r="F1886" s="102"/>
      <c r="G1886" s="102"/>
      <c r="I1886" s="93"/>
      <c r="J1886" s="93"/>
    </row>
    <row r="1887" spans="1:10" s="65" customFormat="1" ht="14" x14ac:dyDescent="0.35">
      <c r="A1887" s="145"/>
      <c r="E1887" s="102"/>
      <c r="F1887" s="102"/>
      <c r="G1887" s="102"/>
      <c r="I1887" s="93"/>
      <c r="J1887" s="93"/>
    </row>
    <row r="1888" spans="1:10" s="65" customFormat="1" ht="14" x14ac:dyDescent="0.35">
      <c r="A1888" s="145"/>
      <c r="E1888" s="102"/>
      <c r="F1888" s="102"/>
      <c r="G1888" s="102"/>
      <c r="I1888" s="93"/>
      <c r="J1888" s="93"/>
    </row>
    <row r="1889" spans="1:10" s="65" customFormat="1" ht="14" x14ac:dyDescent="0.35">
      <c r="A1889" s="145"/>
      <c r="E1889" s="102"/>
      <c r="F1889" s="102"/>
      <c r="G1889" s="102"/>
      <c r="I1889" s="93"/>
      <c r="J1889" s="93"/>
    </row>
    <row r="1890" spans="1:10" s="65" customFormat="1" ht="14" x14ac:dyDescent="0.35">
      <c r="A1890" s="145"/>
      <c r="E1890" s="102"/>
      <c r="F1890" s="102"/>
      <c r="G1890" s="102"/>
      <c r="I1890" s="93"/>
      <c r="J1890" s="93"/>
    </row>
    <row r="1891" spans="1:10" s="65" customFormat="1" ht="14" x14ac:dyDescent="0.35">
      <c r="A1891" s="145"/>
      <c r="E1891" s="102"/>
      <c r="F1891" s="102"/>
      <c r="G1891" s="102"/>
      <c r="I1891" s="93"/>
      <c r="J1891" s="93"/>
    </row>
    <row r="1892" spans="1:10" s="65" customFormat="1" ht="14" x14ac:dyDescent="0.35">
      <c r="A1892" s="145"/>
      <c r="E1892" s="102"/>
      <c r="F1892" s="102"/>
      <c r="G1892" s="102"/>
      <c r="I1892" s="93"/>
      <c r="J1892" s="93"/>
    </row>
    <row r="1893" spans="1:10" s="65" customFormat="1" ht="14" x14ac:dyDescent="0.35">
      <c r="A1893" s="145"/>
      <c r="E1893" s="102"/>
      <c r="F1893" s="102"/>
      <c r="G1893" s="102"/>
      <c r="I1893" s="93"/>
      <c r="J1893" s="93"/>
    </row>
    <row r="1894" spans="1:10" s="65" customFormat="1" ht="14" x14ac:dyDescent="0.35">
      <c r="A1894" s="145"/>
      <c r="E1894" s="102"/>
      <c r="F1894" s="102"/>
      <c r="G1894" s="102"/>
      <c r="I1894" s="93"/>
      <c r="J1894" s="93"/>
    </row>
    <row r="1895" spans="1:10" s="65" customFormat="1" ht="14" x14ac:dyDescent="0.35">
      <c r="A1895" s="145"/>
      <c r="E1895" s="102"/>
      <c r="F1895" s="102"/>
      <c r="G1895" s="102"/>
      <c r="I1895" s="93"/>
      <c r="J1895" s="93"/>
    </row>
    <row r="1896" spans="1:10" s="65" customFormat="1" ht="14" x14ac:dyDescent="0.35">
      <c r="A1896" s="145"/>
      <c r="E1896" s="102"/>
      <c r="F1896" s="102"/>
      <c r="G1896" s="102"/>
      <c r="I1896" s="93"/>
      <c r="J1896" s="93"/>
    </row>
    <row r="1897" spans="1:10" s="65" customFormat="1" ht="14" x14ac:dyDescent="0.35">
      <c r="A1897" s="145"/>
      <c r="E1897" s="102"/>
      <c r="F1897" s="102"/>
      <c r="G1897" s="102"/>
      <c r="I1897" s="93"/>
      <c r="J1897" s="93"/>
    </row>
    <row r="1898" spans="1:10" s="65" customFormat="1" ht="14" x14ac:dyDescent="0.35">
      <c r="A1898" s="145"/>
      <c r="E1898" s="102"/>
      <c r="F1898" s="102"/>
      <c r="G1898" s="102"/>
      <c r="I1898" s="93"/>
      <c r="J1898" s="93"/>
    </row>
    <row r="1899" spans="1:10" s="65" customFormat="1" ht="14" x14ac:dyDescent="0.35">
      <c r="A1899" s="145"/>
      <c r="E1899" s="102"/>
      <c r="F1899" s="102"/>
      <c r="G1899" s="102"/>
      <c r="I1899" s="93"/>
      <c r="J1899" s="93"/>
    </row>
    <row r="1900" spans="1:10" s="65" customFormat="1" ht="14" x14ac:dyDescent="0.35">
      <c r="A1900" s="145"/>
      <c r="E1900" s="102"/>
      <c r="F1900" s="102"/>
      <c r="G1900" s="102"/>
      <c r="I1900" s="93"/>
      <c r="J1900" s="93"/>
    </row>
    <row r="1901" spans="1:10" s="65" customFormat="1" ht="14" x14ac:dyDescent="0.35">
      <c r="A1901" s="145"/>
      <c r="E1901" s="102"/>
      <c r="F1901" s="102"/>
      <c r="G1901" s="102"/>
      <c r="I1901" s="93"/>
      <c r="J1901" s="93"/>
    </row>
    <row r="1902" spans="1:10" s="65" customFormat="1" ht="14" x14ac:dyDescent="0.35">
      <c r="A1902" s="145"/>
      <c r="E1902" s="102"/>
      <c r="F1902" s="102"/>
      <c r="G1902" s="102"/>
      <c r="I1902" s="93"/>
      <c r="J1902" s="93"/>
    </row>
    <row r="1903" spans="1:10" s="65" customFormat="1" ht="14" x14ac:dyDescent="0.35">
      <c r="A1903" s="145"/>
      <c r="E1903" s="102"/>
      <c r="F1903" s="102"/>
      <c r="G1903" s="102"/>
      <c r="I1903" s="93"/>
      <c r="J1903" s="93"/>
    </row>
    <row r="1904" spans="1:10" s="65" customFormat="1" ht="14" x14ac:dyDescent="0.35">
      <c r="A1904" s="145"/>
      <c r="E1904" s="102"/>
      <c r="F1904" s="102"/>
      <c r="G1904" s="102"/>
      <c r="I1904" s="93"/>
      <c r="J1904" s="93"/>
    </row>
    <row r="1905" spans="1:10" s="65" customFormat="1" ht="14" x14ac:dyDescent="0.35">
      <c r="A1905" s="145"/>
      <c r="E1905" s="102"/>
      <c r="F1905" s="102"/>
      <c r="G1905" s="102"/>
      <c r="I1905" s="93"/>
      <c r="J1905" s="93"/>
    </row>
    <row r="1906" spans="1:10" s="65" customFormat="1" ht="14" x14ac:dyDescent="0.35">
      <c r="A1906" s="145"/>
      <c r="E1906" s="102"/>
      <c r="F1906" s="102"/>
      <c r="G1906" s="102"/>
      <c r="I1906" s="93"/>
      <c r="J1906" s="93"/>
    </row>
    <row r="1907" spans="1:10" s="65" customFormat="1" ht="14" x14ac:dyDescent="0.35">
      <c r="A1907" s="145"/>
      <c r="E1907" s="102"/>
      <c r="F1907" s="102"/>
      <c r="G1907" s="102"/>
      <c r="I1907" s="93"/>
      <c r="J1907" s="93"/>
    </row>
    <row r="1908" spans="1:10" s="65" customFormat="1" ht="14" x14ac:dyDescent="0.35">
      <c r="A1908" s="145"/>
      <c r="E1908" s="102"/>
      <c r="F1908" s="102"/>
      <c r="G1908" s="102"/>
      <c r="I1908" s="93"/>
      <c r="J1908" s="93"/>
    </row>
    <row r="1909" spans="1:10" s="65" customFormat="1" ht="14" x14ac:dyDescent="0.35">
      <c r="A1909" s="145"/>
      <c r="E1909" s="102"/>
      <c r="F1909" s="102"/>
      <c r="G1909" s="102"/>
      <c r="I1909" s="93"/>
      <c r="J1909" s="93"/>
    </row>
    <row r="1910" spans="1:10" s="65" customFormat="1" ht="14" x14ac:dyDescent="0.35">
      <c r="A1910" s="145"/>
      <c r="E1910" s="102"/>
      <c r="F1910" s="102"/>
      <c r="G1910" s="102"/>
      <c r="I1910" s="93"/>
      <c r="J1910" s="93"/>
    </row>
    <row r="1911" spans="1:10" s="65" customFormat="1" ht="14" x14ac:dyDescent="0.35">
      <c r="A1911" s="145"/>
      <c r="E1911" s="102"/>
      <c r="F1911" s="102"/>
      <c r="G1911" s="102"/>
      <c r="I1911" s="93"/>
      <c r="J1911" s="93"/>
    </row>
    <row r="1912" spans="1:10" s="65" customFormat="1" ht="14" x14ac:dyDescent="0.35">
      <c r="A1912" s="145"/>
      <c r="E1912" s="102"/>
      <c r="F1912" s="102"/>
      <c r="G1912" s="102"/>
      <c r="I1912" s="93"/>
      <c r="J1912" s="93"/>
    </row>
    <row r="1913" spans="1:10" s="65" customFormat="1" ht="14" x14ac:dyDescent="0.35">
      <c r="A1913" s="145"/>
      <c r="E1913" s="102"/>
      <c r="F1913" s="102"/>
      <c r="G1913" s="102"/>
      <c r="I1913" s="93"/>
      <c r="J1913" s="93"/>
    </row>
    <row r="1914" spans="1:10" s="65" customFormat="1" ht="14" x14ac:dyDescent="0.35">
      <c r="A1914" s="145"/>
      <c r="E1914" s="102"/>
      <c r="F1914" s="102"/>
      <c r="G1914" s="102"/>
      <c r="I1914" s="93"/>
      <c r="J1914" s="93"/>
    </row>
    <row r="1915" spans="1:10" s="65" customFormat="1" ht="14" x14ac:dyDescent="0.35">
      <c r="A1915" s="145"/>
      <c r="E1915" s="102"/>
      <c r="F1915" s="102"/>
      <c r="G1915" s="102"/>
      <c r="I1915" s="93"/>
      <c r="J1915" s="93"/>
    </row>
    <row r="1916" spans="1:10" s="65" customFormat="1" ht="14" x14ac:dyDescent="0.35">
      <c r="A1916" s="145"/>
      <c r="E1916" s="102"/>
      <c r="F1916" s="102"/>
      <c r="G1916" s="102"/>
      <c r="I1916" s="93"/>
      <c r="J1916" s="93"/>
    </row>
    <row r="1917" spans="1:10" s="65" customFormat="1" ht="14" x14ac:dyDescent="0.35">
      <c r="A1917" s="145"/>
      <c r="E1917" s="102"/>
      <c r="F1917" s="102"/>
      <c r="G1917" s="102"/>
      <c r="I1917" s="93"/>
      <c r="J1917" s="93"/>
    </row>
    <row r="1918" spans="1:10" s="65" customFormat="1" ht="14" x14ac:dyDescent="0.35">
      <c r="A1918" s="145"/>
      <c r="E1918" s="102"/>
      <c r="F1918" s="102"/>
      <c r="G1918" s="102"/>
      <c r="I1918" s="93"/>
      <c r="J1918" s="93"/>
    </row>
    <row r="1919" spans="1:10" s="65" customFormat="1" ht="14" x14ac:dyDescent="0.35">
      <c r="A1919" s="145"/>
      <c r="E1919" s="102"/>
      <c r="F1919" s="102"/>
      <c r="G1919" s="102"/>
      <c r="I1919" s="93"/>
      <c r="J1919" s="93"/>
    </row>
    <row r="1920" spans="1:10" s="65" customFormat="1" ht="14" x14ac:dyDescent="0.35">
      <c r="A1920" s="145"/>
      <c r="E1920" s="102"/>
      <c r="F1920" s="102"/>
      <c r="G1920" s="102"/>
      <c r="I1920" s="93"/>
      <c r="J1920" s="93"/>
    </row>
    <row r="1921" spans="1:10" s="65" customFormat="1" ht="14" x14ac:dyDescent="0.35">
      <c r="A1921" s="145"/>
      <c r="E1921" s="102"/>
      <c r="F1921" s="102"/>
      <c r="G1921" s="102"/>
      <c r="I1921" s="93"/>
      <c r="J1921" s="93"/>
    </row>
    <row r="1922" spans="1:10" s="65" customFormat="1" ht="14" x14ac:dyDescent="0.35">
      <c r="A1922" s="145"/>
      <c r="E1922" s="102"/>
      <c r="F1922" s="102"/>
      <c r="G1922" s="102"/>
      <c r="I1922" s="93"/>
      <c r="J1922" s="93"/>
    </row>
    <row r="1923" spans="1:10" s="65" customFormat="1" ht="14" x14ac:dyDescent="0.35">
      <c r="A1923" s="145"/>
      <c r="E1923" s="102"/>
      <c r="F1923" s="102"/>
      <c r="G1923" s="102"/>
      <c r="I1923" s="93"/>
      <c r="J1923" s="93"/>
    </row>
    <row r="1924" spans="1:10" s="65" customFormat="1" ht="14" x14ac:dyDescent="0.35">
      <c r="A1924" s="145"/>
      <c r="E1924" s="102"/>
      <c r="F1924" s="102"/>
      <c r="G1924" s="102"/>
      <c r="I1924" s="93"/>
      <c r="J1924" s="93"/>
    </row>
    <row r="1925" spans="1:10" s="65" customFormat="1" ht="14" x14ac:dyDescent="0.35">
      <c r="A1925" s="145"/>
      <c r="E1925" s="102"/>
      <c r="F1925" s="102"/>
      <c r="G1925" s="102"/>
      <c r="I1925" s="93"/>
      <c r="J1925" s="93"/>
    </row>
    <row r="1926" spans="1:10" s="65" customFormat="1" ht="14" x14ac:dyDescent="0.35">
      <c r="A1926" s="145"/>
      <c r="E1926" s="102"/>
      <c r="F1926" s="102"/>
      <c r="G1926" s="102"/>
      <c r="I1926" s="93"/>
      <c r="J1926" s="93"/>
    </row>
    <row r="1927" spans="1:10" s="65" customFormat="1" ht="14" x14ac:dyDescent="0.35">
      <c r="A1927" s="145"/>
      <c r="E1927" s="102"/>
      <c r="F1927" s="102"/>
      <c r="G1927" s="102"/>
      <c r="I1927" s="93"/>
      <c r="J1927" s="93"/>
    </row>
    <row r="1928" spans="1:10" s="65" customFormat="1" ht="14" x14ac:dyDescent="0.35">
      <c r="A1928" s="145"/>
      <c r="E1928" s="102"/>
      <c r="F1928" s="102"/>
      <c r="G1928" s="102"/>
      <c r="I1928" s="93"/>
      <c r="J1928" s="93"/>
    </row>
    <row r="1929" spans="1:10" s="65" customFormat="1" ht="14" x14ac:dyDescent="0.35">
      <c r="A1929" s="145"/>
      <c r="E1929" s="102"/>
      <c r="F1929" s="102"/>
      <c r="G1929" s="102"/>
      <c r="I1929" s="93"/>
      <c r="J1929" s="93"/>
    </row>
    <row r="1930" spans="1:10" s="65" customFormat="1" ht="14" x14ac:dyDescent="0.35">
      <c r="A1930" s="145"/>
      <c r="E1930" s="102"/>
      <c r="F1930" s="102"/>
      <c r="G1930" s="102"/>
      <c r="I1930" s="93"/>
      <c r="J1930" s="93"/>
    </row>
    <row r="1931" spans="1:10" s="65" customFormat="1" ht="14" x14ac:dyDescent="0.35">
      <c r="A1931" s="145"/>
      <c r="E1931" s="102"/>
      <c r="F1931" s="102"/>
      <c r="G1931" s="102"/>
      <c r="I1931" s="93"/>
      <c r="J1931" s="93"/>
    </row>
    <row r="1932" spans="1:10" s="65" customFormat="1" ht="14" x14ac:dyDescent="0.35">
      <c r="A1932" s="145"/>
      <c r="E1932" s="102"/>
      <c r="F1932" s="102"/>
      <c r="G1932" s="102"/>
      <c r="I1932" s="93"/>
      <c r="J1932" s="93"/>
    </row>
    <row r="1933" spans="1:10" s="65" customFormat="1" ht="14" x14ac:dyDescent="0.35">
      <c r="A1933" s="145"/>
      <c r="E1933" s="102"/>
      <c r="F1933" s="102"/>
      <c r="G1933" s="102"/>
      <c r="I1933" s="93"/>
      <c r="J1933" s="93"/>
    </row>
    <row r="1934" spans="1:10" s="65" customFormat="1" ht="14" x14ac:dyDescent="0.35">
      <c r="A1934" s="145"/>
      <c r="E1934" s="102"/>
      <c r="F1934" s="102"/>
      <c r="G1934" s="102"/>
      <c r="I1934" s="93"/>
      <c r="J1934" s="93"/>
    </row>
    <row r="1935" spans="1:10" s="65" customFormat="1" ht="14" x14ac:dyDescent="0.35">
      <c r="A1935" s="145"/>
      <c r="E1935" s="102"/>
      <c r="F1935" s="102"/>
      <c r="G1935" s="102"/>
      <c r="I1935" s="93"/>
      <c r="J1935" s="93"/>
    </row>
    <row r="1936" spans="1:10" s="65" customFormat="1" ht="14" x14ac:dyDescent="0.35">
      <c r="A1936" s="145"/>
      <c r="E1936" s="102"/>
      <c r="F1936" s="102"/>
      <c r="G1936" s="102"/>
      <c r="I1936" s="93"/>
      <c r="J1936" s="93"/>
    </row>
    <row r="1937" spans="1:10" s="65" customFormat="1" ht="14" x14ac:dyDescent="0.35">
      <c r="A1937" s="145"/>
      <c r="E1937" s="102"/>
      <c r="F1937" s="102"/>
      <c r="G1937" s="102"/>
      <c r="I1937" s="93"/>
      <c r="J1937" s="93"/>
    </row>
    <row r="1938" spans="1:10" s="65" customFormat="1" ht="14" x14ac:dyDescent="0.35">
      <c r="A1938" s="145"/>
      <c r="E1938" s="102"/>
      <c r="F1938" s="102"/>
      <c r="G1938" s="102"/>
      <c r="I1938" s="93"/>
      <c r="J1938" s="93"/>
    </row>
    <row r="1939" spans="1:10" s="65" customFormat="1" ht="14" x14ac:dyDescent="0.35">
      <c r="A1939" s="145"/>
      <c r="E1939" s="102"/>
      <c r="F1939" s="102"/>
      <c r="G1939" s="102"/>
      <c r="I1939" s="93"/>
      <c r="J1939" s="93"/>
    </row>
    <row r="1940" spans="1:10" s="65" customFormat="1" ht="14" x14ac:dyDescent="0.35">
      <c r="A1940" s="145"/>
      <c r="E1940" s="102"/>
      <c r="F1940" s="102"/>
      <c r="G1940" s="102"/>
      <c r="I1940" s="93"/>
      <c r="J1940" s="93"/>
    </row>
    <row r="1941" spans="1:10" s="65" customFormat="1" ht="14" x14ac:dyDescent="0.35">
      <c r="A1941" s="145"/>
      <c r="E1941" s="102"/>
      <c r="F1941" s="102"/>
      <c r="G1941" s="102"/>
      <c r="I1941" s="93"/>
      <c r="J1941" s="93"/>
    </row>
    <row r="1942" spans="1:10" s="65" customFormat="1" ht="14" x14ac:dyDescent="0.35">
      <c r="A1942" s="145"/>
      <c r="E1942" s="102"/>
      <c r="F1942" s="102"/>
      <c r="G1942" s="102"/>
      <c r="I1942" s="93"/>
      <c r="J1942" s="93"/>
    </row>
    <row r="1943" spans="1:10" s="65" customFormat="1" ht="14" x14ac:dyDescent="0.35">
      <c r="A1943" s="145"/>
      <c r="E1943" s="102"/>
      <c r="F1943" s="102"/>
      <c r="G1943" s="102"/>
      <c r="I1943" s="93"/>
      <c r="J1943" s="93"/>
    </row>
    <row r="1944" spans="1:10" s="65" customFormat="1" ht="14" x14ac:dyDescent="0.35">
      <c r="A1944" s="145"/>
      <c r="E1944" s="102"/>
      <c r="F1944" s="102"/>
      <c r="G1944" s="102"/>
      <c r="I1944" s="93"/>
      <c r="J1944" s="93"/>
    </row>
    <row r="1945" spans="1:10" s="65" customFormat="1" ht="14" x14ac:dyDescent="0.35">
      <c r="A1945" s="145"/>
      <c r="E1945" s="102"/>
      <c r="F1945" s="102"/>
      <c r="G1945" s="102"/>
      <c r="I1945" s="93"/>
      <c r="J1945" s="93"/>
    </row>
    <row r="1946" spans="1:10" s="65" customFormat="1" ht="14" x14ac:dyDescent="0.35">
      <c r="A1946" s="145"/>
      <c r="E1946" s="102"/>
      <c r="F1946" s="102"/>
      <c r="G1946" s="102"/>
      <c r="I1946" s="93"/>
      <c r="J1946" s="93"/>
    </row>
    <row r="1947" spans="1:10" s="65" customFormat="1" ht="14" x14ac:dyDescent="0.35">
      <c r="A1947" s="145"/>
      <c r="E1947" s="102"/>
      <c r="F1947" s="102"/>
      <c r="G1947" s="102"/>
      <c r="I1947" s="93"/>
      <c r="J1947" s="93"/>
    </row>
    <row r="1948" spans="1:10" s="65" customFormat="1" ht="14" x14ac:dyDescent="0.35">
      <c r="A1948" s="145"/>
      <c r="E1948" s="102"/>
      <c r="F1948" s="102"/>
      <c r="G1948" s="102"/>
      <c r="I1948" s="93"/>
      <c r="J1948" s="93"/>
    </row>
    <row r="1949" spans="1:10" s="65" customFormat="1" ht="14" x14ac:dyDescent="0.35">
      <c r="A1949" s="145"/>
      <c r="E1949" s="102"/>
      <c r="F1949" s="102"/>
      <c r="G1949" s="102"/>
      <c r="I1949" s="93"/>
      <c r="J1949" s="93"/>
    </row>
    <row r="1950" spans="1:10" s="65" customFormat="1" ht="14" x14ac:dyDescent="0.35">
      <c r="A1950" s="145"/>
      <c r="E1950" s="102"/>
      <c r="F1950" s="102"/>
      <c r="G1950" s="102"/>
      <c r="I1950" s="93"/>
      <c r="J1950" s="93"/>
    </row>
    <row r="1951" spans="1:10" s="65" customFormat="1" ht="14" x14ac:dyDescent="0.35">
      <c r="A1951" s="145"/>
      <c r="E1951" s="102"/>
      <c r="F1951" s="102"/>
      <c r="G1951" s="102"/>
      <c r="I1951" s="93"/>
      <c r="J1951" s="93"/>
    </row>
    <row r="1952" spans="1:10" s="65" customFormat="1" ht="14" x14ac:dyDescent="0.35">
      <c r="A1952" s="145"/>
      <c r="E1952" s="102"/>
      <c r="F1952" s="102"/>
      <c r="G1952" s="102"/>
      <c r="I1952" s="93"/>
      <c r="J1952" s="93"/>
    </row>
    <row r="1953" spans="1:10" s="65" customFormat="1" ht="14" x14ac:dyDescent="0.35">
      <c r="A1953" s="145"/>
      <c r="E1953" s="102"/>
      <c r="F1953" s="102"/>
      <c r="G1953" s="102"/>
      <c r="I1953" s="93"/>
      <c r="J1953" s="93"/>
    </row>
    <row r="1954" spans="1:10" s="65" customFormat="1" ht="14" x14ac:dyDescent="0.35">
      <c r="A1954" s="145"/>
      <c r="E1954" s="102"/>
      <c r="F1954" s="102"/>
      <c r="G1954" s="102"/>
      <c r="I1954" s="93"/>
      <c r="J1954" s="93"/>
    </row>
    <row r="1955" spans="1:10" s="65" customFormat="1" ht="14" x14ac:dyDescent="0.35">
      <c r="A1955" s="145"/>
      <c r="E1955" s="102"/>
      <c r="F1955" s="102"/>
      <c r="G1955" s="102"/>
      <c r="I1955" s="93"/>
      <c r="J1955" s="93"/>
    </row>
    <row r="1956" spans="1:10" s="65" customFormat="1" ht="14" x14ac:dyDescent="0.35">
      <c r="A1956" s="145"/>
      <c r="E1956" s="102"/>
      <c r="F1956" s="102"/>
      <c r="G1956" s="102"/>
      <c r="I1956" s="93"/>
      <c r="J1956" s="93"/>
    </row>
    <row r="1957" spans="1:10" s="65" customFormat="1" ht="14" x14ac:dyDescent="0.35">
      <c r="A1957" s="145"/>
      <c r="E1957" s="102"/>
      <c r="F1957" s="102"/>
      <c r="G1957" s="102"/>
      <c r="I1957" s="93"/>
      <c r="J1957" s="93"/>
    </row>
    <row r="1958" spans="1:10" s="65" customFormat="1" ht="14" x14ac:dyDescent="0.35">
      <c r="A1958" s="145"/>
      <c r="E1958" s="102"/>
      <c r="F1958" s="102"/>
      <c r="G1958" s="102"/>
      <c r="I1958" s="93"/>
      <c r="J1958" s="93"/>
    </row>
    <row r="1959" spans="1:10" s="65" customFormat="1" ht="14" x14ac:dyDescent="0.35">
      <c r="A1959" s="145"/>
      <c r="E1959" s="102"/>
      <c r="F1959" s="102"/>
      <c r="G1959" s="102"/>
      <c r="I1959" s="93"/>
      <c r="J1959" s="93"/>
    </row>
    <row r="1960" spans="1:10" s="65" customFormat="1" ht="14" x14ac:dyDescent="0.35">
      <c r="A1960" s="145"/>
      <c r="E1960" s="102"/>
      <c r="F1960" s="102"/>
      <c r="G1960" s="102"/>
      <c r="I1960" s="93"/>
      <c r="J1960" s="93"/>
    </row>
    <row r="1961" spans="1:10" s="65" customFormat="1" ht="14" x14ac:dyDescent="0.35">
      <c r="A1961" s="145"/>
      <c r="E1961" s="102"/>
      <c r="F1961" s="102"/>
      <c r="G1961" s="102"/>
      <c r="I1961" s="93"/>
      <c r="J1961" s="93"/>
    </row>
    <row r="1962" spans="1:10" s="65" customFormat="1" ht="14" x14ac:dyDescent="0.35">
      <c r="A1962" s="145"/>
      <c r="E1962" s="102"/>
      <c r="F1962" s="102"/>
      <c r="G1962" s="102"/>
      <c r="I1962" s="93"/>
      <c r="J1962" s="93"/>
    </row>
    <row r="1963" spans="1:10" s="65" customFormat="1" ht="14" x14ac:dyDescent="0.35">
      <c r="A1963" s="145"/>
      <c r="E1963" s="102"/>
      <c r="F1963" s="102"/>
      <c r="G1963" s="102"/>
      <c r="I1963" s="93"/>
      <c r="J1963" s="93"/>
    </row>
    <row r="1964" spans="1:10" s="65" customFormat="1" ht="14" x14ac:dyDescent="0.35">
      <c r="A1964" s="145"/>
      <c r="E1964" s="102"/>
      <c r="F1964" s="102"/>
      <c r="G1964" s="102"/>
      <c r="I1964" s="93"/>
      <c r="J1964" s="93"/>
    </row>
    <row r="1965" spans="1:10" s="65" customFormat="1" ht="14" x14ac:dyDescent="0.35">
      <c r="A1965" s="145"/>
      <c r="E1965" s="102"/>
      <c r="F1965" s="102"/>
      <c r="G1965" s="102"/>
      <c r="I1965" s="93"/>
      <c r="J1965" s="93"/>
    </row>
    <row r="1966" spans="1:10" s="65" customFormat="1" ht="14" x14ac:dyDescent="0.35">
      <c r="A1966" s="145"/>
      <c r="E1966" s="102"/>
      <c r="F1966" s="102"/>
      <c r="G1966" s="102"/>
      <c r="I1966" s="93"/>
      <c r="J1966" s="93"/>
    </row>
    <row r="1967" spans="1:10" s="65" customFormat="1" ht="14" x14ac:dyDescent="0.35">
      <c r="A1967" s="145"/>
      <c r="E1967" s="102"/>
      <c r="F1967" s="102"/>
      <c r="G1967" s="102"/>
      <c r="I1967" s="93"/>
      <c r="J1967" s="93"/>
    </row>
    <row r="1968" spans="1:10" s="65" customFormat="1" ht="14" x14ac:dyDescent="0.35">
      <c r="A1968" s="145"/>
      <c r="E1968" s="102"/>
      <c r="F1968" s="102"/>
      <c r="G1968" s="102"/>
      <c r="I1968" s="93"/>
      <c r="J1968" s="93"/>
    </row>
    <row r="1969" spans="1:10" s="65" customFormat="1" ht="14" x14ac:dyDescent="0.35">
      <c r="A1969" s="145"/>
      <c r="E1969" s="102"/>
      <c r="F1969" s="102"/>
      <c r="G1969" s="102"/>
      <c r="I1969" s="93"/>
      <c r="J1969" s="93"/>
    </row>
    <row r="1970" spans="1:10" s="65" customFormat="1" ht="14" x14ac:dyDescent="0.35">
      <c r="A1970" s="145"/>
      <c r="E1970" s="102"/>
      <c r="F1970" s="102"/>
      <c r="G1970" s="102"/>
      <c r="I1970" s="93"/>
      <c r="J1970" s="93"/>
    </row>
    <row r="1971" spans="1:10" s="65" customFormat="1" ht="14" x14ac:dyDescent="0.35">
      <c r="A1971" s="145"/>
      <c r="E1971" s="102"/>
      <c r="F1971" s="102"/>
      <c r="G1971" s="102"/>
      <c r="I1971" s="93"/>
      <c r="J1971" s="93"/>
    </row>
    <row r="1972" spans="1:10" s="65" customFormat="1" ht="14" x14ac:dyDescent="0.35">
      <c r="A1972" s="145"/>
      <c r="E1972" s="102"/>
      <c r="F1972" s="102"/>
      <c r="G1972" s="102"/>
      <c r="I1972" s="93"/>
      <c r="J1972" s="93"/>
    </row>
    <row r="1973" spans="1:10" s="65" customFormat="1" ht="14" x14ac:dyDescent="0.35">
      <c r="A1973" s="145"/>
      <c r="E1973" s="102"/>
      <c r="F1973" s="102"/>
      <c r="G1973" s="102"/>
      <c r="I1973" s="93"/>
      <c r="J1973" s="93"/>
    </row>
    <row r="1974" spans="1:10" s="65" customFormat="1" ht="14" x14ac:dyDescent="0.35">
      <c r="A1974" s="145"/>
      <c r="E1974" s="102"/>
      <c r="F1974" s="102"/>
      <c r="G1974" s="102"/>
      <c r="I1974" s="93"/>
      <c r="J1974" s="93"/>
    </row>
    <row r="1975" spans="1:10" s="65" customFormat="1" ht="14" x14ac:dyDescent="0.35">
      <c r="A1975" s="145"/>
      <c r="E1975" s="102"/>
      <c r="F1975" s="102"/>
      <c r="G1975" s="102"/>
      <c r="I1975" s="93"/>
      <c r="J1975" s="93"/>
    </row>
    <row r="1976" spans="1:10" s="65" customFormat="1" ht="14" x14ac:dyDescent="0.35">
      <c r="A1976" s="145"/>
      <c r="E1976" s="102"/>
      <c r="F1976" s="102"/>
      <c r="G1976" s="102"/>
      <c r="I1976" s="93"/>
      <c r="J1976" s="93"/>
    </row>
    <row r="1977" spans="1:10" s="65" customFormat="1" ht="14" x14ac:dyDescent="0.35">
      <c r="A1977" s="145"/>
      <c r="E1977" s="102"/>
      <c r="F1977" s="102"/>
      <c r="G1977" s="102"/>
      <c r="I1977" s="93"/>
      <c r="J1977" s="93"/>
    </row>
    <row r="1978" spans="1:10" s="65" customFormat="1" ht="14" x14ac:dyDescent="0.35">
      <c r="A1978" s="145"/>
      <c r="E1978" s="102"/>
      <c r="F1978" s="102"/>
      <c r="G1978" s="102"/>
      <c r="I1978" s="93"/>
      <c r="J1978" s="93"/>
    </row>
    <row r="1979" spans="1:10" s="65" customFormat="1" ht="14" x14ac:dyDescent="0.35">
      <c r="A1979" s="145"/>
      <c r="E1979" s="102"/>
      <c r="F1979" s="102"/>
      <c r="G1979" s="102"/>
      <c r="I1979" s="93"/>
      <c r="J1979" s="93"/>
    </row>
    <row r="1980" spans="1:10" s="65" customFormat="1" ht="14" x14ac:dyDescent="0.35">
      <c r="A1980" s="145"/>
      <c r="E1980" s="102"/>
      <c r="F1980" s="102"/>
      <c r="G1980" s="102"/>
      <c r="I1980" s="93"/>
      <c r="J1980" s="93"/>
    </row>
    <row r="1981" spans="1:10" s="65" customFormat="1" ht="14" x14ac:dyDescent="0.35">
      <c r="A1981" s="145"/>
      <c r="E1981" s="102"/>
      <c r="F1981" s="102"/>
      <c r="G1981" s="102"/>
      <c r="I1981" s="93"/>
      <c r="J1981" s="93"/>
    </row>
    <row r="1982" spans="1:10" s="65" customFormat="1" ht="14" x14ac:dyDescent="0.35">
      <c r="A1982" s="145"/>
      <c r="E1982" s="102"/>
      <c r="F1982" s="102"/>
      <c r="G1982" s="102"/>
      <c r="I1982" s="93"/>
      <c r="J1982" s="93"/>
    </row>
    <row r="1983" spans="1:10" s="65" customFormat="1" ht="14" x14ac:dyDescent="0.35">
      <c r="A1983" s="145"/>
      <c r="E1983" s="102"/>
      <c r="F1983" s="102"/>
      <c r="G1983" s="102"/>
      <c r="I1983" s="93"/>
      <c r="J1983" s="93"/>
    </row>
    <row r="1984" spans="1:10" s="65" customFormat="1" ht="14" x14ac:dyDescent="0.35">
      <c r="A1984" s="145"/>
      <c r="E1984" s="102"/>
      <c r="F1984" s="102"/>
      <c r="G1984" s="102"/>
      <c r="I1984" s="93"/>
      <c r="J1984" s="93"/>
    </row>
    <row r="1985" spans="1:10" s="65" customFormat="1" ht="14" x14ac:dyDescent="0.35">
      <c r="A1985" s="145"/>
      <c r="E1985" s="102"/>
      <c r="F1985" s="102"/>
      <c r="G1985" s="102"/>
      <c r="I1985" s="93"/>
      <c r="J1985" s="93"/>
    </row>
    <row r="1986" spans="1:10" s="65" customFormat="1" ht="14" x14ac:dyDescent="0.35">
      <c r="A1986" s="145"/>
      <c r="E1986" s="102"/>
      <c r="F1986" s="102"/>
      <c r="G1986" s="102"/>
      <c r="I1986" s="93"/>
      <c r="J1986" s="93"/>
    </row>
    <row r="1987" spans="1:10" s="65" customFormat="1" ht="14" x14ac:dyDescent="0.35">
      <c r="A1987" s="145"/>
      <c r="E1987" s="102"/>
      <c r="F1987" s="102"/>
      <c r="G1987" s="102"/>
      <c r="I1987" s="93"/>
      <c r="J1987" s="93"/>
    </row>
    <row r="1988" spans="1:10" s="65" customFormat="1" ht="14" x14ac:dyDescent="0.35">
      <c r="A1988" s="145"/>
      <c r="E1988" s="102"/>
      <c r="F1988" s="102"/>
      <c r="G1988" s="102"/>
      <c r="I1988" s="93"/>
      <c r="J1988" s="93"/>
    </row>
    <row r="1989" spans="1:10" s="65" customFormat="1" ht="14" x14ac:dyDescent="0.35">
      <c r="A1989" s="145"/>
      <c r="E1989" s="102"/>
      <c r="F1989" s="102"/>
      <c r="G1989" s="102"/>
      <c r="I1989" s="93"/>
      <c r="J1989" s="93"/>
    </row>
    <row r="1990" spans="1:10" s="65" customFormat="1" ht="14" x14ac:dyDescent="0.35">
      <c r="A1990" s="145"/>
      <c r="E1990" s="102"/>
      <c r="F1990" s="102"/>
      <c r="G1990" s="102"/>
      <c r="I1990" s="93"/>
      <c r="J1990" s="93"/>
    </row>
    <row r="1991" spans="1:10" s="65" customFormat="1" ht="14" x14ac:dyDescent="0.35">
      <c r="A1991" s="145"/>
      <c r="E1991" s="102"/>
      <c r="F1991" s="102"/>
      <c r="G1991" s="102"/>
      <c r="I1991" s="93"/>
      <c r="J1991" s="93"/>
    </row>
    <row r="1992" spans="1:10" s="65" customFormat="1" ht="14" x14ac:dyDescent="0.35">
      <c r="A1992" s="145"/>
      <c r="E1992" s="102"/>
      <c r="F1992" s="102"/>
      <c r="G1992" s="102"/>
      <c r="I1992" s="93"/>
      <c r="J1992" s="93"/>
    </row>
    <row r="1993" spans="1:10" s="65" customFormat="1" ht="14" x14ac:dyDescent="0.35">
      <c r="A1993" s="145"/>
      <c r="E1993" s="102"/>
      <c r="F1993" s="102"/>
      <c r="G1993" s="102"/>
      <c r="I1993" s="93"/>
      <c r="J1993" s="93"/>
    </row>
    <row r="1994" spans="1:10" s="65" customFormat="1" ht="14" x14ac:dyDescent="0.35">
      <c r="A1994" s="145"/>
      <c r="E1994" s="102"/>
      <c r="F1994" s="102"/>
      <c r="G1994" s="102"/>
      <c r="I1994" s="93"/>
      <c r="J1994" s="93"/>
    </row>
    <row r="1995" spans="1:10" s="65" customFormat="1" ht="14" x14ac:dyDescent="0.35">
      <c r="A1995" s="145"/>
      <c r="E1995" s="102"/>
      <c r="F1995" s="102"/>
      <c r="G1995" s="102"/>
      <c r="I1995" s="93"/>
      <c r="J1995" s="93"/>
    </row>
    <row r="1996" spans="1:10" s="65" customFormat="1" ht="14" x14ac:dyDescent="0.35">
      <c r="A1996" s="145"/>
      <c r="E1996" s="102"/>
      <c r="F1996" s="102"/>
      <c r="G1996" s="102"/>
      <c r="I1996" s="93"/>
      <c r="J1996" s="93"/>
    </row>
    <row r="1997" spans="1:10" s="65" customFormat="1" ht="14" x14ac:dyDescent="0.35">
      <c r="A1997" s="145"/>
      <c r="E1997" s="102"/>
      <c r="F1997" s="102"/>
      <c r="G1997" s="102"/>
      <c r="I1997" s="93"/>
      <c r="J1997" s="93"/>
    </row>
    <row r="1998" spans="1:10" s="65" customFormat="1" ht="14" x14ac:dyDescent="0.35">
      <c r="A1998" s="145"/>
      <c r="E1998" s="102"/>
      <c r="F1998" s="102"/>
      <c r="G1998" s="102"/>
      <c r="I1998" s="93"/>
      <c r="J1998" s="93"/>
    </row>
    <row r="1999" spans="1:10" s="65" customFormat="1" ht="14" x14ac:dyDescent="0.35">
      <c r="A1999" s="145"/>
      <c r="E1999" s="102"/>
      <c r="F1999" s="102"/>
      <c r="G1999" s="102"/>
      <c r="I1999" s="93"/>
      <c r="J1999" s="93"/>
    </row>
    <row r="2000" spans="1:10" s="65" customFormat="1" ht="14" x14ac:dyDescent="0.35">
      <c r="A2000" s="145"/>
      <c r="E2000" s="102"/>
      <c r="F2000" s="102"/>
      <c r="G2000" s="102"/>
      <c r="I2000" s="93"/>
      <c r="J2000" s="93"/>
    </row>
    <row r="2001" spans="1:10" s="65" customFormat="1" ht="14" x14ac:dyDescent="0.35">
      <c r="A2001" s="145"/>
      <c r="E2001" s="102"/>
      <c r="F2001" s="102"/>
      <c r="G2001" s="102"/>
      <c r="I2001" s="93"/>
      <c r="J2001" s="93"/>
    </row>
    <row r="2002" spans="1:10" s="65" customFormat="1" ht="14" x14ac:dyDescent="0.35">
      <c r="A2002" s="145"/>
      <c r="E2002" s="102"/>
      <c r="F2002" s="102"/>
      <c r="G2002" s="102"/>
      <c r="I2002" s="93"/>
      <c r="J2002" s="93"/>
    </row>
    <row r="2003" spans="1:10" s="65" customFormat="1" ht="14" x14ac:dyDescent="0.35">
      <c r="A2003" s="145"/>
      <c r="E2003" s="102"/>
      <c r="F2003" s="102"/>
      <c r="G2003" s="102"/>
      <c r="I2003" s="93"/>
      <c r="J2003" s="93"/>
    </row>
    <row r="2004" spans="1:10" s="65" customFormat="1" ht="14" x14ac:dyDescent="0.35">
      <c r="A2004" s="145"/>
      <c r="E2004" s="102"/>
      <c r="F2004" s="102"/>
      <c r="G2004" s="102"/>
      <c r="I2004" s="93"/>
      <c r="J2004" s="93"/>
    </row>
    <row r="2005" spans="1:10" s="65" customFormat="1" ht="14" x14ac:dyDescent="0.35">
      <c r="A2005" s="145"/>
      <c r="E2005" s="102"/>
      <c r="F2005" s="102"/>
      <c r="G2005" s="102"/>
      <c r="I2005" s="93"/>
      <c r="J2005" s="93"/>
    </row>
    <row r="2006" spans="1:10" s="65" customFormat="1" ht="14" x14ac:dyDescent="0.35">
      <c r="A2006" s="145"/>
      <c r="E2006" s="102"/>
      <c r="F2006" s="102"/>
      <c r="G2006" s="102"/>
      <c r="I2006" s="93"/>
      <c r="J2006" s="93"/>
    </row>
    <row r="2007" spans="1:10" s="65" customFormat="1" ht="14" x14ac:dyDescent="0.35">
      <c r="A2007" s="145"/>
      <c r="E2007" s="102"/>
      <c r="F2007" s="102"/>
      <c r="G2007" s="102"/>
      <c r="I2007" s="93"/>
      <c r="J2007" s="93"/>
    </row>
    <row r="2008" spans="1:10" s="65" customFormat="1" ht="14" x14ac:dyDescent="0.35">
      <c r="A2008" s="145"/>
      <c r="E2008" s="102"/>
      <c r="F2008" s="102"/>
      <c r="G2008" s="102"/>
      <c r="I2008" s="93"/>
      <c r="J2008" s="93"/>
    </row>
    <row r="2009" spans="1:10" s="65" customFormat="1" ht="14" x14ac:dyDescent="0.35">
      <c r="A2009" s="145"/>
      <c r="E2009" s="102"/>
      <c r="F2009" s="102"/>
      <c r="G2009" s="102"/>
      <c r="I2009" s="93"/>
      <c r="J2009" s="93"/>
    </row>
    <row r="2010" spans="1:10" s="65" customFormat="1" ht="14" x14ac:dyDescent="0.35">
      <c r="A2010" s="145"/>
      <c r="E2010" s="102"/>
      <c r="F2010" s="102"/>
      <c r="G2010" s="102"/>
      <c r="I2010" s="93"/>
      <c r="J2010" s="93"/>
    </row>
    <row r="2011" spans="1:10" s="65" customFormat="1" ht="14" x14ac:dyDescent="0.35">
      <c r="A2011" s="145"/>
      <c r="E2011" s="102"/>
      <c r="F2011" s="102"/>
      <c r="G2011" s="102"/>
      <c r="I2011" s="93"/>
      <c r="J2011" s="93"/>
    </row>
    <row r="2012" spans="1:10" s="65" customFormat="1" ht="14" x14ac:dyDescent="0.35">
      <c r="A2012" s="145"/>
      <c r="E2012" s="102"/>
      <c r="F2012" s="102"/>
      <c r="G2012" s="102"/>
      <c r="I2012" s="93"/>
      <c r="J2012" s="93"/>
    </row>
    <row r="2013" spans="1:10" s="65" customFormat="1" ht="14" x14ac:dyDescent="0.35">
      <c r="A2013" s="145"/>
      <c r="E2013" s="102"/>
      <c r="F2013" s="102"/>
      <c r="G2013" s="102"/>
      <c r="I2013" s="93"/>
      <c r="J2013" s="93"/>
    </row>
    <row r="2014" spans="1:10" s="65" customFormat="1" ht="14" x14ac:dyDescent="0.35">
      <c r="A2014" s="145"/>
      <c r="E2014" s="102"/>
      <c r="F2014" s="102"/>
      <c r="G2014" s="102"/>
      <c r="I2014" s="93"/>
      <c r="J2014" s="93"/>
    </row>
    <row r="2015" spans="1:10" s="65" customFormat="1" ht="14" x14ac:dyDescent="0.35">
      <c r="A2015" s="145"/>
      <c r="E2015" s="102"/>
      <c r="F2015" s="102"/>
      <c r="G2015" s="102"/>
      <c r="I2015" s="93"/>
      <c r="J2015" s="93"/>
    </row>
    <row r="2016" spans="1:10" s="65" customFormat="1" ht="14" x14ac:dyDescent="0.35">
      <c r="A2016" s="145"/>
      <c r="E2016" s="102"/>
      <c r="F2016" s="102"/>
      <c r="G2016" s="102"/>
      <c r="I2016" s="93"/>
      <c r="J2016" s="93"/>
    </row>
    <row r="2017" spans="1:10" s="65" customFormat="1" ht="14" x14ac:dyDescent="0.35">
      <c r="A2017" s="145"/>
      <c r="E2017" s="102"/>
      <c r="F2017" s="102"/>
      <c r="G2017" s="102"/>
      <c r="I2017" s="93"/>
      <c r="J2017" s="93"/>
    </row>
    <row r="2018" spans="1:10" s="65" customFormat="1" ht="14" x14ac:dyDescent="0.35">
      <c r="A2018" s="145"/>
      <c r="E2018" s="102"/>
      <c r="F2018" s="102"/>
      <c r="G2018" s="102"/>
      <c r="I2018" s="93"/>
      <c r="J2018" s="93"/>
    </row>
    <row r="2019" spans="1:10" s="65" customFormat="1" ht="14" x14ac:dyDescent="0.35">
      <c r="A2019" s="145"/>
      <c r="E2019" s="102"/>
      <c r="F2019" s="102"/>
      <c r="G2019" s="102"/>
      <c r="I2019" s="93"/>
      <c r="J2019" s="93"/>
    </row>
    <row r="2020" spans="1:10" s="65" customFormat="1" ht="14" x14ac:dyDescent="0.35">
      <c r="A2020" s="145"/>
      <c r="E2020" s="102"/>
      <c r="F2020" s="102"/>
      <c r="G2020" s="102"/>
      <c r="I2020" s="93"/>
      <c r="J2020" s="93"/>
    </row>
    <row r="2021" spans="1:10" s="65" customFormat="1" ht="14" x14ac:dyDescent="0.35">
      <c r="A2021" s="145"/>
      <c r="E2021" s="102"/>
      <c r="F2021" s="102"/>
      <c r="G2021" s="102"/>
      <c r="I2021" s="93"/>
      <c r="J2021" s="93"/>
    </row>
    <row r="2022" spans="1:10" s="65" customFormat="1" ht="14" x14ac:dyDescent="0.35">
      <c r="A2022" s="145"/>
      <c r="E2022" s="102"/>
      <c r="F2022" s="102"/>
      <c r="G2022" s="102"/>
      <c r="I2022" s="93"/>
      <c r="J2022" s="93"/>
    </row>
    <row r="2023" spans="1:10" s="65" customFormat="1" ht="14" x14ac:dyDescent="0.35">
      <c r="A2023" s="145"/>
      <c r="E2023" s="102"/>
      <c r="F2023" s="102"/>
      <c r="G2023" s="102"/>
      <c r="I2023" s="93"/>
      <c r="J2023" s="93"/>
    </row>
    <row r="2024" spans="1:10" s="65" customFormat="1" ht="14" x14ac:dyDescent="0.35">
      <c r="A2024" s="145"/>
      <c r="E2024" s="102"/>
      <c r="F2024" s="102"/>
      <c r="G2024" s="102"/>
      <c r="I2024" s="93"/>
      <c r="J2024" s="93"/>
    </row>
    <row r="2025" spans="1:10" s="65" customFormat="1" ht="14" x14ac:dyDescent="0.35">
      <c r="A2025" s="145"/>
      <c r="E2025" s="102"/>
      <c r="F2025" s="102"/>
      <c r="G2025" s="102"/>
      <c r="I2025" s="93"/>
      <c r="J2025" s="93"/>
    </row>
    <row r="2026" spans="1:10" s="65" customFormat="1" ht="14" x14ac:dyDescent="0.35">
      <c r="A2026" s="145"/>
      <c r="E2026" s="102"/>
      <c r="F2026" s="102"/>
      <c r="G2026" s="102"/>
      <c r="I2026" s="93"/>
      <c r="J2026" s="93"/>
    </row>
    <row r="2027" spans="1:10" s="65" customFormat="1" ht="14" x14ac:dyDescent="0.35">
      <c r="A2027" s="145"/>
      <c r="E2027" s="102"/>
      <c r="F2027" s="102"/>
      <c r="G2027" s="102"/>
      <c r="I2027" s="93"/>
      <c r="J2027" s="93"/>
    </row>
    <row r="2028" spans="1:10" s="65" customFormat="1" ht="14" x14ac:dyDescent="0.35">
      <c r="A2028" s="145"/>
      <c r="E2028" s="102"/>
      <c r="F2028" s="102"/>
      <c r="G2028" s="102"/>
      <c r="I2028" s="93"/>
      <c r="J2028" s="93"/>
    </row>
    <row r="2029" spans="1:10" s="65" customFormat="1" ht="14" x14ac:dyDescent="0.35">
      <c r="A2029" s="145"/>
      <c r="E2029" s="102"/>
      <c r="F2029" s="102"/>
      <c r="G2029" s="102"/>
      <c r="I2029" s="93"/>
      <c r="J2029" s="93"/>
    </row>
    <row r="2030" spans="1:10" s="65" customFormat="1" ht="14" x14ac:dyDescent="0.35">
      <c r="A2030" s="145"/>
      <c r="E2030" s="102"/>
      <c r="F2030" s="102"/>
      <c r="G2030" s="102"/>
      <c r="I2030" s="93"/>
      <c r="J2030" s="93"/>
    </row>
    <row r="2031" spans="1:10" s="65" customFormat="1" ht="14" x14ac:dyDescent="0.35">
      <c r="A2031" s="145"/>
      <c r="E2031" s="102"/>
      <c r="F2031" s="102"/>
      <c r="G2031" s="102"/>
      <c r="I2031" s="93"/>
      <c r="J2031" s="93"/>
    </row>
    <row r="2032" spans="1:10" s="65" customFormat="1" ht="14" x14ac:dyDescent="0.35">
      <c r="A2032" s="145"/>
      <c r="E2032" s="102"/>
      <c r="F2032" s="102"/>
      <c r="G2032" s="102"/>
      <c r="I2032" s="93"/>
      <c r="J2032" s="93"/>
    </row>
    <row r="2033" spans="1:10" s="65" customFormat="1" ht="14" x14ac:dyDescent="0.35">
      <c r="A2033" s="145"/>
      <c r="E2033" s="102"/>
      <c r="F2033" s="102"/>
      <c r="G2033" s="102"/>
      <c r="I2033" s="93"/>
      <c r="J2033" s="93"/>
    </row>
    <row r="2034" spans="1:10" s="65" customFormat="1" ht="14" x14ac:dyDescent="0.35">
      <c r="A2034" s="145"/>
      <c r="E2034" s="102"/>
      <c r="F2034" s="102"/>
      <c r="G2034" s="102"/>
      <c r="I2034" s="93"/>
      <c r="J2034" s="93"/>
    </row>
    <row r="2035" spans="1:10" s="65" customFormat="1" ht="14" x14ac:dyDescent="0.35">
      <c r="A2035" s="145"/>
      <c r="E2035" s="102"/>
      <c r="F2035" s="102"/>
      <c r="G2035" s="102"/>
      <c r="I2035" s="93"/>
      <c r="J2035" s="93"/>
    </row>
    <row r="2036" spans="1:10" s="65" customFormat="1" ht="14" x14ac:dyDescent="0.35">
      <c r="A2036" s="145"/>
      <c r="E2036" s="102"/>
      <c r="F2036" s="102"/>
      <c r="G2036" s="102"/>
      <c r="I2036" s="93"/>
      <c r="J2036" s="93"/>
    </row>
    <row r="2037" spans="1:10" s="65" customFormat="1" ht="14" x14ac:dyDescent="0.35">
      <c r="A2037" s="145"/>
      <c r="E2037" s="102"/>
      <c r="F2037" s="102"/>
      <c r="G2037" s="102"/>
      <c r="I2037" s="93"/>
      <c r="J2037" s="93"/>
    </row>
    <row r="2038" spans="1:10" s="65" customFormat="1" ht="14" x14ac:dyDescent="0.35">
      <c r="A2038" s="145"/>
      <c r="E2038" s="102"/>
      <c r="F2038" s="102"/>
      <c r="G2038" s="102"/>
      <c r="I2038" s="93"/>
      <c r="J2038" s="93"/>
    </row>
    <row r="2039" spans="1:10" s="65" customFormat="1" ht="14" x14ac:dyDescent="0.35">
      <c r="A2039" s="145"/>
      <c r="E2039" s="102"/>
      <c r="F2039" s="102"/>
      <c r="G2039" s="102"/>
      <c r="I2039" s="93"/>
      <c r="J2039" s="93"/>
    </row>
    <row r="2040" spans="1:10" s="65" customFormat="1" ht="14" x14ac:dyDescent="0.35">
      <c r="A2040" s="145"/>
      <c r="E2040" s="102"/>
      <c r="F2040" s="102"/>
      <c r="G2040" s="102"/>
      <c r="I2040" s="93"/>
      <c r="J2040" s="93"/>
    </row>
    <row r="2041" spans="1:10" s="65" customFormat="1" ht="14" x14ac:dyDescent="0.35">
      <c r="A2041" s="145"/>
      <c r="E2041" s="102"/>
      <c r="F2041" s="102"/>
      <c r="G2041" s="102"/>
      <c r="I2041" s="93"/>
      <c r="J2041" s="93"/>
    </row>
    <row r="2042" spans="1:10" s="65" customFormat="1" ht="14" x14ac:dyDescent="0.35">
      <c r="A2042" s="145"/>
      <c r="E2042" s="102"/>
      <c r="F2042" s="102"/>
      <c r="G2042" s="102"/>
      <c r="I2042" s="93"/>
      <c r="J2042" s="93"/>
    </row>
    <row r="2043" spans="1:10" s="65" customFormat="1" ht="14" x14ac:dyDescent="0.35">
      <c r="A2043" s="145"/>
      <c r="E2043" s="102"/>
      <c r="F2043" s="102"/>
      <c r="G2043" s="102"/>
      <c r="I2043" s="93"/>
      <c r="J2043" s="93"/>
    </row>
    <row r="2044" spans="1:10" s="65" customFormat="1" ht="14" x14ac:dyDescent="0.35">
      <c r="A2044" s="145"/>
      <c r="E2044" s="102"/>
      <c r="F2044" s="102"/>
      <c r="G2044" s="102"/>
      <c r="I2044" s="93"/>
      <c r="J2044" s="93"/>
    </row>
    <row r="2045" spans="1:10" s="65" customFormat="1" ht="14" x14ac:dyDescent="0.35">
      <c r="A2045" s="145"/>
      <c r="E2045" s="102"/>
      <c r="F2045" s="102"/>
      <c r="G2045" s="102"/>
      <c r="I2045" s="93"/>
      <c r="J2045" s="93"/>
    </row>
    <row r="2046" spans="1:10" s="65" customFormat="1" ht="14" x14ac:dyDescent="0.35">
      <c r="A2046" s="145"/>
      <c r="E2046" s="102"/>
      <c r="F2046" s="102"/>
      <c r="G2046" s="102"/>
      <c r="I2046" s="93"/>
      <c r="J2046" s="93"/>
    </row>
    <row r="2047" spans="1:10" s="65" customFormat="1" ht="14" x14ac:dyDescent="0.35">
      <c r="A2047" s="145"/>
      <c r="E2047" s="102"/>
      <c r="F2047" s="102"/>
      <c r="G2047" s="102"/>
      <c r="I2047" s="93"/>
      <c r="J2047" s="93"/>
    </row>
    <row r="2048" spans="1:10" s="65" customFormat="1" ht="14" x14ac:dyDescent="0.35">
      <c r="A2048" s="145"/>
      <c r="E2048" s="102"/>
      <c r="F2048" s="102"/>
      <c r="G2048" s="102"/>
      <c r="I2048" s="93"/>
      <c r="J2048" s="93"/>
    </row>
    <row r="2049" spans="1:10" s="65" customFormat="1" ht="14" x14ac:dyDescent="0.35">
      <c r="A2049" s="145"/>
      <c r="E2049" s="102"/>
      <c r="F2049" s="102"/>
      <c r="G2049" s="102"/>
      <c r="I2049" s="93"/>
      <c r="J2049" s="93"/>
    </row>
    <row r="2050" spans="1:10" s="65" customFormat="1" ht="14" x14ac:dyDescent="0.35">
      <c r="A2050" s="145"/>
      <c r="E2050" s="102"/>
      <c r="F2050" s="102"/>
      <c r="G2050" s="102"/>
      <c r="I2050" s="93"/>
      <c r="J2050" s="93"/>
    </row>
    <row r="2051" spans="1:10" s="65" customFormat="1" ht="14" x14ac:dyDescent="0.35">
      <c r="A2051" s="145"/>
      <c r="E2051" s="102"/>
      <c r="F2051" s="102"/>
      <c r="G2051" s="102"/>
      <c r="I2051" s="93"/>
      <c r="J2051" s="93"/>
    </row>
    <row r="2052" spans="1:10" s="65" customFormat="1" ht="14" x14ac:dyDescent="0.35">
      <c r="A2052" s="145"/>
      <c r="E2052" s="102"/>
      <c r="F2052" s="102"/>
      <c r="G2052" s="102"/>
      <c r="I2052" s="93"/>
      <c r="J2052" s="93"/>
    </row>
    <row r="2053" spans="1:10" s="65" customFormat="1" ht="14" x14ac:dyDescent="0.35">
      <c r="A2053" s="145"/>
      <c r="E2053" s="102"/>
      <c r="F2053" s="102"/>
      <c r="G2053" s="102"/>
      <c r="I2053" s="93"/>
      <c r="J2053" s="93"/>
    </row>
    <row r="2054" spans="1:10" s="65" customFormat="1" ht="14" x14ac:dyDescent="0.35">
      <c r="A2054" s="145"/>
      <c r="E2054" s="102"/>
      <c r="F2054" s="102"/>
      <c r="G2054" s="102"/>
      <c r="I2054" s="93"/>
      <c r="J2054" s="93"/>
    </row>
    <row r="2055" spans="1:10" s="65" customFormat="1" ht="14" x14ac:dyDescent="0.35">
      <c r="A2055" s="145"/>
      <c r="E2055" s="102"/>
      <c r="F2055" s="102"/>
      <c r="G2055" s="102"/>
      <c r="I2055" s="93"/>
      <c r="J2055" s="93"/>
    </row>
    <row r="2056" spans="1:10" s="65" customFormat="1" ht="14" x14ac:dyDescent="0.35">
      <c r="A2056" s="145"/>
      <c r="E2056" s="102"/>
      <c r="F2056" s="102"/>
      <c r="G2056" s="102"/>
      <c r="I2056" s="93"/>
      <c r="J2056" s="93"/>
    </row>
    <row r="2057" spans="1:10" s="65" customFormat="1" ht="14" x14ac:dyDescent="0.35">
      <c r="A2057" s="145"/>
      <c r="E2057" s="102"/>
      <c r="F2057" s="102"/>
      <c r="G2057" s="102"/>
      <c r="I2057" s="93"/>
      <c r="J2057" s="93"/>
    </row>
    <row r="2058" spans="1:10" s="65" customFormat="1" ht="14" x14ac:dyDescent="0.35">
      <c r="A2058" s="145"/>
      <c r="E2058" s="102"/>
      <c r="F2058" s="102"/>
      <c r="G2058" s="102"/>
      <c r="I2058" s="93"/>
      <c r="J2058" s="93"/>
    </row>
    <row r="2059" spans="1:10" s="65" customFormat="1" ht="14" x14ac:dyDescent="0.35">
      <c r="A2059" s="145"/>
      <c r="E2059" s="102"/>
      <c r="F2059" s="102"/>
      <c r="G2059" s="102"/>
      <c r="I2059" s="93"/>
      <c r="J2059" s="93"/>
    </row>
    <row r="2060" spans="1:10" s="65" customFormat="1" ht="14" x14ac:dyDescent="0.35">
      <c r="A2060" s="145"/>
      <c r="E2060" s="102"/>
      <c r="F2060" s="102"/>
      <c r="G2060" s="102"/>
      <c r="I2060" s="93"/>
      <c r="J2060" s="93"/>
    </row>
    <row r="2061" spans="1:10" s="65" customFormat="1" ht="14" x14ac:dyDescent="0.35">
      <c r="A2061" s="145"/>
      <c r="E2061" s="102"/>
      <c r="F2061" s="102"/>
      <c r="G2061" s="102"/>
      <c r="I2061" s="93"/>
      <c r="J2061" s="93"/>
    </row>
    <row r="2062" spans="1:10" s="65" customFormat="1" ht="14" x14ac:dyDescent="0.35">
      <c r="A2062" s="145"/>
      <c r="E2062" s="102"/>
      <c r="F2062" s="102"/>
      <c r="G2062" s="102"/>
      <c r="I2062" s="93"/>
      <c r="J2062" s="93"/>
    </row>
    <row r="2063" spans="1:10" s="65" customFormat="1" ht="14" x14ac:dyDescent="0.35">
      <c r="A2063" s="145"/>
      <c r="E2063" s="102"/>
      <c r="F2063" s="102"/>
      <c r="G2063" s="102"/>
      <c r="I2063" s="93"/>
      <c r="J2063" s="93"/>
    </row>
    <row r="2064" spans="1:10" s="65" customFormat="1" ht="14" x14ac:dyDescent="0.35">
      <c r="A2064" s="145"/>
      <c r="E2064" s="102"/>
      <c r="F2064" s="102"/>
      <c r="G2064" s="102"/>
      <c r="I2064" s="93"/>
      <c r="J2064" s="93"/>
    </row>
    <row r="2065" spans="1:10" s="65" customFormat="1" ht="14" x14ac:dyDescent="0.35">
      <c r="A2065" s="145"/>
      <c r="E2065" s="102"/>
      <c r="F2065" s="102"/>
      <c r="G2065" s="102"/>
      <c r="I2065" s="93"/>
      <c r="J2065" s="93"/>
    </row>
    <row r="2066" spans="1:10" s="65" customFormat="1" ht="14" x14ac:dyDescent="0.35">
      <c r="A2066" s="145"/>
      <c r="E2066" s="102"/>
      <c r="F2066" s="102"/>
      <c r="G2066" s="102"/>
      <c r="I2066" s="93"/>
      <c r="J2066" s="93"/>
    </row>
    <row r="2067" spans="1:10" s="65" customFormat="1" ht="14" x14ac:dyDescent="0.35">
      <c r="A2067" s="145"/>
      <c r="E2067" s="102"/>
      <c r="F2067" s="102"/>
      <c r="G2067" s="102"/>
      <c r="I2067" s="93"/>
      <c r="J2067" s="93"/>
    </row>
    <row r="2068" spans="1:10" s="65" customFormat="1" ht="14" x14ac:dyDescent="0.35">
      <c r="A2068" s="145"/>
      <c r="E2068" s="102"/>
      <c r="F2068" s="102"/>
      <c r="G2068" s="102"/>
      <c r="I2068" s="93"/>
      <c r="J2068" s="93"/>
    </row>
    <row r="2069" spans="1:10" s="65" customFormat="1" ht="14" x14ac:dyDescent="0.35">
      <c r="A2069" s="145"/>
      <c r="E2069" s="102"/>
      <c r="F2069" s="102"/>
      <c r="G2069" s="102"/>
      <c r="I2069" s="93"/>
      <c r="J2069" s="93"/>
    </row>
    <row r="2070" spans="1:10" s="65" customFormat="1" ht="14" x14ac:dyDescent="0.35">
      <c r="A2070" s="145"/>
      <c r="E2070" s="102"/>
      <c r="F2070" s="102"/>
      <c r="G2070" s="102"/>
      <c r="I2070" s="93"/>
      <c r="J2070" s="93"/>
    </row>
    <row r="2071" spans="1:10" s="65" customFormat="1" ht="14" x14ac:dyDescent="0.35">
      <c r="A2071" s="145"/>
      <c r="E2071" s="102"/>
      <c r="F2071" s="102"/>
      <c r="G2071" s="102"/>
      <c r="I2071" s="93"/>
      <c r="J2071" s="93"/>
    </row>
    <row r="2072" spans="1:10" s="65" customFormat="1" ht="14" x14ac:dyDescent="0.35">
      <c r="A2072" s="145"/>
      <c r="E2072" s="102"/>
      <c r="F2072" s="102"/>
      <c r="G2072" s="102"/>
      <c r="I2072" s="93"/>
      <c r="J2072" s="93"/>
    </row>
    <row r="2073" spans="1:10" s="65" customFormat="1" ht="14" x14ac:dyDescent="0.35">
      <c r="A2073" s="145"/>
      <c r="E2073" s="102"/>
      <c r="F2073" s="102"/>
      <c r="G2073" s="102"/>
      <c r="I2073" s="93"/>
      <c r="J2073" s="93"/>
    </row>
    <row r="2074" spans="1:10" s="65" customFormat="1" ht="14" x14ac:dyDescent="0.35">
      <c r="A2074" s="145"/>
      <c r="E2074" s="102"/>
      <c r="F2074" s="102"/>
      <c r="G2074" s="102"/>
      <c r="I2074" s="93"/>
      <c r="J2074" s="93"/>
    </row>
    <row r="2075" spans="1:10" s="65" customFormat="1" ht="14" x14ac:dyDescent="0.35">
      <c r="A2075" s="145"/>
      <c r="E2075" s="102"/>
      <c r="F2075" s="102"/>
      <c r="G2075" s="102"/>
      <c r="I2075" s="93"/>
      <c r="J2075" s="93"/>
    </row>
    <row r="2076" spans="1:10" s="65" customFormat="1" ht="14" x14ac:dyDescent="0.35">
      <c r="A2076" s="145"/>
      <c r="E2076" s="102"/>
      <c r="F2076" s="102"/>
      <c r="G2076" s="102"/>
      <c r="I2076" s="93"/>
      <c r="J2076" s="93"/>
    </row>
    <row r="2077" spans="1:10" s="65" customFormat="1" ht="14" x14ac:dyDescent="0.35">
      <c r="A2077" s="145"/>
      <c r="E2077" s="102"/>
      <c r="F2077" s="102"/>
      <c r="G2077" s="102"/>
      <c r="I2077" s="93"/>
      <c r="J2077" s="93"/>
    </row>
    <row r="2078" spans="1:10" s="65" customFormat="1" ht="14" x14ac:dyDescent="0.35">
      <c r="A2078" s="145"/>
      <c r="E2078" s="102"/>
      <c r="F2078" s="102"/>
      <c r="G2078" s="102"/>
      <c r="I2078" s="93"/>
      <c r="J2078" s="93"/>
    </row>
    <row r="2079" spans="1:10" s="65" customFormat="1" ht="14" x14ac:dyDescent="0.35">
      <c r="A2079" s="145"/>
      <c r="E2079" s="102"/>
      <c r="F2079" s="102"/>
      <c r="G2079" s="102"/>
      <c r="I2079" s="93"/>
      <c r="J2079" s="93"/>
    </row>
    <row r="2080" spans="1:10" s="65" customFormat="1" ht="14" x14ac:dyDescent="0.35">
      <c r="A2080" s="145"/>
      <c r="E2080" s="102"/>
      <c r="F2080" s="102"/>
      <c r="G2080" s="102"/>
      <c r="I2080" s="93"/>
      <c r="J2080" s="93"/>
    </row>
    <row r="2081" spans="1:10" s="65" customFormat="1" ht="14" x14ac:dyDescent="0.35">
      <c r="A2081" s="145"/>
      <c r="E2081" s="102"/>
      <c r="F2081" s="102"/>
      <c r="G2081" s="102"/>
      <c r="I2081" s="93"/>
      <c r="J2081" s="93"/>
    </row>
    <row r="2082" spans="1:10" s="65" customFormat="1" ht="14" x14ac:dyDescent="0.35">
      <c r="A2082" s="145"/>
      <c r="E2082" s="102"/>
      <c r="F2082" s="102"/>
      <c r="G2082" s="102"/>
      <c r="I2082" s="93"/>
      <c r="J2082" s="93"/>
    </row>
    <row r="2083" spans="1:10" s="65" customFormat="1" ht="14" x14ac:dyDescent="0.35">
      <c r="A2083" s="145"/>
      <c r="E2083" s="102"/>
      <c r="F2083" s="102"/>
      <c r="G2083" s="102"/>
      <c r="I2083" s="93"/>
      <c r="J2083" s="93"/>
    </row>
    <row r="2084" spans="1:10" s="65" customFormat="1" ht="14" x14ac:dyDescent="0.35">
      <c r="A2084" s="145"/>
      <c r="E2084" s="102"/>
      <c r="F2084" s="102"/>
      <c r="G2084" s="102"/>
      <c r="I2084" s="93"/>
      <c r="J2084" s="93"/>
    </row>
    <row r="2085" spans="1:10" s="65" customFormat="1" ht="14" x14ac:dyDescent="0.35">
      <c r="A2085" s="145"/>
      <c r="E2085" s="102"/>
      <c r="F2085" s="102"/>
      <c r="G2085" s="102"/>
      <c r="I2085" s="93"/>
      <c r="J2085" s="93"/>
    </row>
    <row r="2086" spans="1:10" s="65" customFormat="1" ht="14" x14ac:dyDescent="0.35">
      <c r="A2086" s="145"/>
      <c r="E2086" s="102"/>
      <c r="F2086" s="102"/>
      <c r="G2086" s="102"/>
      <c r="I2086" s="93"/>
      <c r="J2086" s="93"/>
    </row>
    <row r="2087" spans="1:10" s="65" customFormat="1" ht="14" x14ac:dyDescent="0.35">
      <c r="A2087" s="145"/>
      <c r="E2087" s="102"/>
      <c r="F2087" s="102"/>
      <c r="G2087" s="102"/>
      <c r="I2087" s="93"/>
      <c r="J2087" s="93"/>
    </row>
    <row r="2088" spans="1:10" s="65" customFormat="1" ht="14" x14ac:dyDescent="0.35">
      <c r="A2088" s="145"/>
      <c r="E2088" s="102"/>
      <c r="F2088" s="102"/>
      <c r="G2088" s="102"/>
      <c r="I2088" s="93"/>
      <c r="J2088" s="93"/>
    </row>
    <row r="2089" spans="1:10" s="65" customFormat="1" ht="14" x14ac:dyDescent="0.35">
      <c r="A2089" s="145"/>
      <c r="E2089" s="102"/>
      <c r="F2089" s="102"/>
      <c r="G2089" s="102"/>
      <c r="I2089" s="93"/>
      <c r="J2089" s="93"/>
    </row>
    <row r="2090" spans="1:10" s="65" customFormat="1" ht="14" x14ac:dyDescent="0.35">
      <c r="A2090" s="145"/>
      <c r="E2090" s="102"/>
      <c r="F2090" s="102"/>
      <c r="G2090" s="102"/>
      <c r="I2090" s="93"/>
      <c r="J2090" s="93"/>
    </row>
    <row r="2091" spans="1:10" s="65" customFormat="1" ht="14" x14ac:dyDescent="0.35">
      <c r="A2091" s="145"/>
      <c r="E2091" s="102"/>
      <c r="F2091" s="102"/>
      <c r="G2091" s="102"/>
      <c r="I2091" s="93"/>
      <c r="J2091" s="93"/>
    </row>
    <row r="2092" spans="1:10" s="65" customFormat="1" ht="14" x14ac:dyDescent="0.35">
      <c r="A2092" s="145"/>
      <c r="E2092" s="102"/>
      <c r="F2092" s="102"/>
      <c r="G2092" s="102"/>
      <c r="I2092" s="93"/>
      <c r="J2092" s="93"/>
    </row>
    <row r="2093" spans="1:10" s="65" customFormat="1" ht="14" x14ac:dyDescent="0.35">
      <c r="A2093" s="145"/>
      <c r="E2093" s="102"/>
      <c r="F2093" s="102"/>
      <c r="G2093" s="102"/>
      <c r="I2093" s="93"/>
      <c r="J2093" s="93"/>
    </row>
    <row r="2094" spans="1:10" s="65" customFormat="1" ht="14" x14ac:dyDescent="0.35">
      <c r="A2094" s="145"/>
      <c r="E2094" s="102"/>
      <c r="F2094" s="102"/>
      <c r="G2094" s="102"/>
      <c r="I2094" s="93"/>
      <c r="J2094" s="93"/>
    </row>
    <row r="2095" spans="1:10" s="65" customFormat="1" ht="14" x14ac:dyDescent="0.35">
      <c r="A2095" s="145"/>
      <c r="E2095" s="102"/>
      <c r="F2095" s="102"/>
      <c r="G2095" s="102"/>
      <c r="I2095" s="93"/>
      <c r="J2095" s="93"/>
    </row>
    <row r="2096" spans="1:10" s="65" customFormat="1" ht="14" x14ac:dyDescent="0.35">
      <c r="A2096" s="145"/>
      <c r="E2096" s="102"/>
      <c r="F2096" s="102"/>
      <c r="G2096" s="102"/>
      <c r="I2096" s="93"/>
      <c r="J2096" s="93"/>
    </row>
    <row r="2097" spans="1:10" s="65" customFormat="1" ht="14" x14ac:dyDescent="0.35">
      <c r="A2097" s="145"/>
      <c r="E2097" s="102"/>
      <c r="F2097" s="102"/>
      <c r="G2097" s="102"/>
      <c r="I2097" s="93"/>
      <c r="J2097" s="93"/>
    </row>
    <row r="2098" spans="1:10" s="65" customFormat="1" ht="14" x14ac:dyDescent="0.35">
      <c r="A2098" s="145"/>
      <c r="E2098" s="102"/>
      <c r="F2098" s="102"/>
      <c r="G2098" s="102"/>
      <c r="I2098" s="93"/>
      <c r="J2098" s="93"/>
    </row>
    <row r="2099" spans="1:10" s="65" customFormat="1" ht="14" x14ac:dyDescent="0.35">
      <c r="A2099" s="145"/>
      <c r="E2099" s="102"/>
      <c r="F2099" s="102"/>
      <c r="G2099" s="102"/>
      <c r="I2099" s="93"/>
      <c r="J2099" s="93"/>
    </row>
    <row r="2100" spans="1:10" s="65" customFormat="1" ht="14" x14ac:dyDescent="0.35">
      <c r="A2100" s="145"/>
      <c r="E2100" s="102"/>
      <c r="F2100" s="102"/>
      <c r="G2100" s="102"/>
      <c r="I2100" s="93"/>
      <c r="J2100" s="93"/>
    </row>
    <row r="2101" spans="1:10" s="65" customFormat="1" ht="14" x14ac:dyDescent="0.35">
      <c r="A2101" s="145"/>
      <c r="E2101" s="102"/>
      <c r="F2101" s="102"/>
      <c r="G2101" s="102"/>
      <c r="I2101" s="93"/>
      <c r="J2101" s="93"/>
    </row>
    <row r="2102" spans="1:10" s="65" customFormat="1" ht="14" x14ac:dyDescent="0.35">
      <c r="A2102" s="145"/>
      <c r="E2102" s="102"/>
      <c r="F2102" s="102"/>
      <c r="G2102" s="102"/>
      <c r="I2102" s="93"/>
      <c r="J2102" s="93"/>
    </row>
    <row r="2103" spans="1:10" s="65" customFormat="1" ht="14" x14ac:dyDescent="0.35">
      <c r="A2103" s="145"/>
      <c r="E2103" s="102"/>
      <c r="F2103" s="102"/>
      <c r="G2103" s="102"/>
      <c r="I2103" s="93"/>
      <c r="J2103" s="93"/>
    </row>
    <row r="2104" spans="1:10" s="65" customFormat="1" ht="14" x14ac:dyDescent="0.35">
      <c r="A2104" s="145"/>
      <c r="E2104" s="102"/>
      <c r="F2104" s="102"/>
      <c r="G2104" s="102"/>
      <c r="I2104" s="93"/>
      <c r="J2104" s="93"/>
    </row>
    <row r="2105" spans="1:10" s="65" customFormat="1" ht="14" x14ac:dyDescent="0.35">
      <c r="A2105" s="145"/>
      <c r="E2105" s="102"/>
      <c r="F2105" s="102"/>
      <c r="G2105" s="102"/>
      <c r="I2105" s="93"/>
      <c r="J2105" s="93"/>
    </row>
    <row r="2106" spans="1:10" s="65" customFormat="1" ht="14" x14ac:dyDescent="0.35">
      <c r="A2106" s="145"/>
      <c r="E2106" s="102"/>
      <c r="F2106" s="102"/>
      <c r="G2106" s="102"/>
      <c r="I2106" s="93"/>
      <c r="J2106" s="93"/>
    </row>
    <row r="2107" spans="1:10" s="65" customFormat="1" ht="14" x14ac:dyDescent="0.35">
      <c r="A2107" s="145"/>
      <c r="E2107" s="102"/>
      <c r="F2107" s="102"/>
      <c r="G2107" s="102"/>
      <c r="I2107" s="93"/>
      <c r="J2107" s="93"/>
    </row>
    <row r="2108" spans="1:10" s="65" customFormat="1" ht="14" x14ac:dyDescent="0.35">
      <c r="A2108" s="145"/>
      <c r="E2108" s="102"/>
      <c r="F2108" s="102"/>
      <c r="G2108" s="102"/>
      <c r="I2108" s="93"/>
      <c r="J2108" s="93"/>
    </row>
    <row r="2109" spans="1:10" s="65" customFormat="1" ht="14" x14ac:dyDescent="0.35">
      <c r="A2109" s="145"/>
      <c r="E2109" s="102"/>
      <c r="F2109" s="102"/>
      <c r="G2109" s="102"/>
      <c r="I2109" s="93"/>
      <c r="J2109" s="93"/>
    </row>
    <row r="2110" spans="1:10" s="65" customFormat="1" ht="14" x14ac:dyDescent="0.35">
      <c r="A2110" s="145"/>
      <c r="E2110" s="102"/>
      <c r="F2110" s="102"/>
      <c r="G2110" s="102"/>
      <c r="I2110" s="93"/>
      <c r="J2110" s="93"/>
    </row>
    <row r="2111" spans="1:10" s="65" customFormat="1" ht="14" x14ac:dyDescent="0.35">
      <c r="A2111" s="145"/>
      <c r="E2111" s="102"/>
      <c r="F2111" s="102"/>
      <c r="G2111" s="102"/>
      <c r="I2111" s="93"/>
      <c r="J2111" s="93"/>
    </row>
    <row r="2112" spans="1:10" s="65" customFormat="1" ht="14" x14ac:dyDescent="0.35">
      <c r="A2112" s="145"/>
      <c r="E2112" s="102"/>
      <c r="F2112" s="102"/>
      <c r="G2112" s="102"/>
      <c r="I2112" s="93"/>
      <c r="J2112" s="93"/>
    </row>
    <row r="2113" spans="1:10" s="65" customFormat="1" ht="14" x14ac:dyDescent="0.35">
      <c r="A2113" s="145"/>
      <c r="E2113" s="102"/>
      <c r="F2113" s="102"/>
      <c r="G2113" s="102"/>
      <c r="I2113" s="93"/>
      <c r="J2113" s="93"/>
    </row>
    <row r="2114" spans="1:10" s="65" customFormat="1" ht="14" x14ac:dyDescent="0.35">
      <c r="A2114" s="145"/>
      <c r="E2114" s="102"/>
      <c r="F2114" s="102"/>
      <c r="G2114" s="102"/>
      <c r="I2114" s="93"/>
      <c r="J2114" s="93"/>
    </row>
    <row r="2115" spans="1:10" s="65" customFormat="1" ht="14" x14ac:dyDescent="0.35">
      <c r="A2115" s="145"/>
      <c r="E2115" s="102"/>
      <c r="F2115" s="102"/>
      <c r="G2115" s="102"/>
      <c r="I2115" s="93"/>
      <c r="J2115" s="93"/>
    </row>
    <row r="2116" spans="1:10" s="65" customFormat="1" ht="14" x14ac:dyDescent="0.35">
      <c r="A2116" s="145"/>
      <c r="E2116" s="102"/>
      <c r="F2116" s="102"/>
      <c r="G2116" s="102"/>
      <c r="I2116" s="93"/>
      <c r="J2116" s="93"/>
    </row>
    <row r="2117" spans="1:10" s="65" customFormat="1" ht="14" x14ac:dyDescent="0.35">
      <c r="A2117" s="145"/>
      <c r="E2117" s="102"/>
      <c r="F2117" s="102"/>
      <c r="G2117" s="102"/>
      <c r="I2117" s="93"/>
      <c r="J2117" s="93"/>
    </row>
    <row r="2118" spans="1:10" s="65" customFormat="1" ht="14" x14ac:dyDescent="0.35">
      <c r="A2118" s="145"/>
      <c r="E2118" s="102"/>
      <c r="F2118" s="102"/>
      <c r="G2118" s="102"/>
      <c r="I2118" s="93"/>
      <c r="J2118" s="93"/>
    </row>
    <row r="2119" spans="1:10" s="65" customFormat="1" ht="14" x14ac:dyDescent="0.35">
      <c r="A2119" s="145"/>
      <c r="E2119" s="102"/>
      <c r="F2119" s="102"/>
      <c r="G2119" s="102"/>
      <c r="I2119" s="93"/>
      <c r="J2119" s="93"/>
    </row>
    <row r="2120" spans="1:10" s="65" customFormat="1" ht="14" x14ac:dyDescent="0.35">
      <c r="A2120" s="145"/>
      <c r="E2120" s="102"/>
      <c r="F2120" s="102"/>
      <c r="G2120" s="102"/>
      <c r="I2120" s="93"/>
      <c r="J2120" s="93"/>
    </row>
    <row r="2121" spans="1:10" s="65" customFormat="1" ht="14" x14ac:dyDescent="0.35">
      <c r="A2121" s="145"/>
      <c r="E2121" s="102"/>
      <c r="F2121" s="102"/>
      <c r="G2121" s="102"/>
      <c r="I2121" s="93"/>
      <c r="J2121" s="93"/>
    </row>
    <row r="2122" spans="1:10" s="65" customFormat="1" ht="14" x14ac:dyDescent="0.35">
      <c r="A2122" s="145"/>
      <c r="E2122" s="102"/>
      <c r="F2122" s="102"/>
      <c r="G2122" s="102"/>
      <c r="I2122" s="93"/>
      <c r="J2122" s="93"/>
    </row>
    <row r="2123" spans="1:10" s="65" customFormat="1" ht="14" x14ac:dyDescent="0.35">
      <c r="A2123" s="145"/>
      <c r="E2123" s="102"/>
      <c r="F2123" s="102"/>
      <c r="G2123" s="102"/>
      <c r="I2123" s="93"/>
      <c r="J2123" s="93"/>
    </row>
    <row r="2124" spans="1:10" s="65" customFormat="1" ht="14" x14ac:dyDescent="0.35">
      <c r="A2124" s="145"/>
      <c r="E2124" s="102"/>
      <c r="F2124" s="102"/>
      <c r="G2124" s="102"/>
      <c r="I2124" s="93"/>
      <c r="J2124" s="93"/>
    </row>
    <row r="2125" spans="1:10" s="65" customFormat="1" ht="14" x14ac:dyDescent="0.35">
      <c r="A2125" s="145"/>
      <c r="E2125" s="102"/>
      <c r="F2125" s="102"/>
      <c r="G2125" s="102"/>
      <c r="I2125" s="93"/>
      <c r="J2125" s="93"/>
    </row>
    <row r="2126" spans="1:10" s="65" customFormat="1" ht="14" x14ac:dyDescent="0.35">
      <c r="A2126" s="145"/>
      <c r="E2126" s="102"/>
      <c r="F2126" s="102"/>
      <c r="G2126" s="102"/>
      <c r="I2126" s="93"/>
      <c r="J2126" s="93"/>
    </row>
    <row r="2127" spans="1:10" s="65" customFormat="1" ht="14" x14ac:dyDescent="0.35">
      <c r="A2127" s="145"/>
      <c r="E2127" s="102"/>
      <c r="F2127" s="102"/>
      <c r="G2127" s="102"/>
      <c r="I2127" s="93"/>
      <c r="J2127" s="93"/>
    </row>
    <row r="2128" spans="1:10" s="65" customFormat="1" ht="14" x14ac:dyDescent="0.35">
      <c r="A2128" s="145"/>
      <c r="E2128" s="102"/>
      <c r="F2128" s="102"/>
      <c r="G2128" s="102"/>
      <c r="I2128" s="93"/>
      <c r="J2128" s="93"/>
    </row>
    <row r="2129" spans="1:10" s="65" customFormat="1" ht="14" x14ac:dyDescent="0.35">
      <c r="A2129" s="145"/>
      <c r="E2129" s="102"/>
      <c r="F2129" s="102"/>
      <c r="G2129" s="102"/>
      <c r="I2129" s="93"/>
      <c r="J2129" s="93"/>
    </row>
    <row r="2130" spans="1:10" s="65" customFormat="1" ht="14" x14ac:dyDescent="0.35">
      <c r="A2130" s="145"/>
      <c r="E2130" s="102"/>
      <c r="F2130" s="102"/>
      <c r="G2130" s="102"/>
      <c r="I2130" s="93"/>
      <c r="J2130" s="93"/>
    </row>
    <row r="2131" spans="1:10" s="65" customFormat="1" ht="14" x14ac:dyDescent="0.35">
      <c r="A2131" s="145"/>
      <c r="E2131" s="102"/>
      <c r="F2131" s="102"/>
      <c r="G2131" s="102"/>
      <c r="I2131" s="93"/>
      <c r="J2131" s="93"/>
    </row>
    <row r="2132" spans="1:10" s="65" customFormat="1" ht="14" x14ac:dyDescent="0.35">
      <c r="A2132" s="145"/>
      <c r="E2132" s="102"/>
      <c r="F2132" s="102"/>
      <c r="G2132" s="102"/>
      <c r="I2132" s="93"/>
      <c r="J2132" s="93"/>
    </row>
    <row r="2133" spans="1:10" s="65" customFormat="1" ht="14" x14ac:dyDescent="0.35">
      <c r="A2133" s="145"/>
      <c r="E2133" s="102"/>
      <c r="F2133" s="102"/>
      <c r="G2133" s="102"/>
      <c r="I2133" s="93"/>
      <c r="J2133" s="93"/>
    </row>
    <row r="2134" spans="1:10" s="65" customFormat="1" ht="14" x14ac:dyDescent="0.35">
      <c r="A2134" s="145"/>
      <c r="E2134" s="102"/>
      <c r="F2134" s="102"/>
      <c r="G2134" s="102"/>
      <c r="I2134" s="93"/>
      <c r="J2134" s="93"/>
    </row>
    <row r="2135" spans="1:10" s="65" customFormat="1" ht="14" x14ac:dyDescent="0.35">
      <c r="A2135" s="145"/>
      <c r="E2135" s="102"/>
      <c r="F2135" s="102"/>
      <c r="G2135" s="102"/>
      <c r="I2135" s="93"/>
      <c r="J2135" s="93"/>
    </row>
    <row r="2136" spans="1:10" s="65" customFormat="1" ht="14" x14ac:dyDescent="0.35">
      <c r="A2136" s="145"/>
      <c r="E2136" s="102"/>
      <c r="F2136" s="102"/>
      <c r="G2136" s="102"/>
      <c r="I2136" s="93"/>
      <c r="J2136" s="93"/>
    </row>
    <row r="2137" spans="1:10" s="65" customFormat="1" ht="14" x14ac:dyDescent="0.35">
      <c r="A2137" s="145"/>
      <c r="E2137" s="102"/>
      <c r="F2137" s="102"/>
      <c r="G2137" s="102"/>
      <c r="I2137" s="93"/>
      <c r="J2137" s="93"/>
    </row>
    <row r="2138" spans="1:10" s="65" customFormat="1" ht="14" x14ac:dyDescent="0.35">
      <c r="A2138" s="145"/>
      <c r="E2138" s="102"/>
      <c r="F2138" s="102"/>
      <c r="G2138" s="102"/>
      <c r="I2138" s="93"/>
      <c r="J2138" s="93"/>
    </row>
    <row r="2139" spans="1:10" s="65" customFormat="1" ht="14" x14ac:dyDescent="0.35">
      <c r="A2139" s="145"/>
      <c r="E2139" s="102"/>
      <c r="F2139" s="102"/>
      <c r="G2139" s="102"/>
      <c r="I2139" s="93"/>
      <c r="J2139" s="93"/>
    </row>
    <row r="2140" spans="1:10" s="65" customFormat="1" ht="14" x14ac:dyDescent="0.35">
      <c r="A2140" s="145"/>
      <c r="E2140" s="102"/>
      <c r="F2140" s="102"/>
      <c r="G2140" s="102"/>
      <c r="I2140" s="93"/>
      <c r="J2140" s="93"/>
    </row>
    <row r="2141" spans="1:10" s="65" customFormat="1" ht="14" x14ac:dyDescent="0.35">
      <c r="A2141" s="145"/>
      <c r="E2141" s="102"/>
      <c r="F2141" s="102"/>
      <c r="G2141" s="102"/>
      <c r="I2141" s="93"/>
      <c r="J2141" s="93"/>
    </row>
    <row r="2142" spans="1:10" s="65" customFormat="1" ht="14" x14ac:dyDescent="0.35">
      <c r="A2142" s="145"/>
      <c r="E2142" s="102"/>
      <c r="F2142" s="102"/>
      <c r="G2142" s="102"/>
      <c r="I2142" s="93"/>
      <c r="J2142" s="93"/>
    </row>
    <row r="2143" spans="1:10" s="65" customFormat="1" ht="14" x14ac:dyDescent="0.35">
      <c r="A2143" s="145"/>
      <c r="E2143" s="102"/>
      <c r="F2143" s="102"/>
      <c r="G2143" s="102"/>
      <c r="I2143" s="93"/>
      <c r="J2143" s="93"/>
    </row>
    <row r="2144" spans="1:10" s="65" customFormat="1" ht="14" x14ac:dyDescent="0.35">
      <c r="A2144" s="145"/>
      <c r="E2144" s="102"/>
      <c r="F2144" s="102"/>
      <c r="G2144" s="102"/>
      <c r="I2144" s="93"/>
      <c r="J2144" s="93"/>
    </row>
    <row r="2145" spans="1:10" s="65" customFormat="1" ht="14" x14ac:dyDescent="0.35">
      <c r="A2145" s="145"/>
      <c r="E2145" s="102"/>
      <c r="F2145" s="102"/>
      <c r="G2145" s="102"/>
      <c r="I2145" s="93"/>
      <c r="J2145" s="93"/>
    </row>
    <row r="2146" spans="1:10" s="65" customFormat="1" ht="14" x14ac:dyDescent="0.35">
      <c r="A2146" s="145"/>
      <c r="E2146" s="102"/>
      <c r="F2146" s="102"/>
      <c r="G2146" s="102"/>
      <c r="I2146" s="93"/>
      <c r="J2146" s="93"/>
    </row>
    <row r="2147" spans="1:10" s="65" customFormat="1" ht="14" x14ac:dyDescent="0.35">
      <c r="A2147" s="145"/>
      <c r="E2147" s="102"/>
      <c r="F2147" s="102"/>
      <c r="G2147" s="102"/>
      <c r="I2147" s="93"/>
      <c r="J2147" s="93"/>
    </row>
    <row r="2148" spans="1:10" s="65" customFormat="1" ht="14" x14ac:dyDescent="0.35">
      <c r="A2148" s="145"/>
      <c r="E2148" s="102"/>
      <c r="F2148" s="102"/>
      <c r="G2148" s="102"/>
      <c r="I2148" s="93"/>
      <c r="J2148" s="93"/>
    </row>
    <row r="2149" spans="1:10" s="65" customFormat="1" ht="14" x14ac:dyDescent="0.35">
      <c r="A2149" s="145"/>
      <c r="E2149" s="102"/>
      <c r="F2149" s="102"/>
      <c r="G2149" s="102"/>
      <c r="I2149" s="93"/>
      <c r="J2149" s="93"/>
    </row>
    <row r="2150" spans="1:10" s="65" customFormat="1" ht="14" x14ac:dyDescent="0.35">
      <c r="A2150" s="145"/>
      <c r="E2150" s="102"/>
      <c r="F2150" s="102"/>
      <c r="G2150" s="102"/>
      <c r="I2150" s="93"/>
      <c r="J2150" s="93"/>
    </row>
    <row r="2151" spans="1:10" s="65" customFormat="1" ht="14" x14ac:dyDescent="0.35">
      <c r="A2151" s="145"/>
      <c r="E2151" s="102"/>
      <c r="F2151" s="102"/>
      <c r="G2151" s="102"/>
      <c r="I2151" s="93"/>
      <c r="J2151" s="93"/>
    </row>
    <row r="2152" spans="1:10" s="65" customFormat="1" ht="14" x14ac:dyDescent="0.35">
      <c r="A2152" s="145"/>
      <c r="E2152" s="102"/>
      <c r="F2152" s="102"/>
      <c r="G2152" s="102"/>
      <c r="I2152" s="93"/>
      <c r="J2152" s="93"/>
    </row>
    <row r="2153" spans="1:10" s="65" customFormat="1" ht="14" x14ac:dyDescent="0.35">
      <c r="A2153" s="145"/>
      <c r="E2153" s="102"/>
      <c r="F2153" s="102"/>
      <c r="G2153" s="102"/>
      <c r="I2153" s="93"/>
      <c r="J2153" s="93"/>
    </row>
    <row r="2154" spans="1:10" s="65" customFormat="1" ht="14" x14ac:dyDescent="0.35">
      <c r="A2154" s="145"/>
      <c r="E2154" s="102"/>
      <c r="F2154" s="102"/>
      <c r="G2154" s="102"/>
      <c r="I2154" s="93"/>
      <c r="J2154" s="93"/>
    </row>
    <row r="2155" spans="1:10" s="65" customFormat="1" ht="14" x14ac:dyDescent="0.35">
      <c r="A2155" s="145"/>
      <c r="E2155" s="102"/>
      <c r="F2155" s="102"/>
      <c r="G2155" s="102"/>
      <c r="I2155" s="93"/>
      <c r="J2155" s="93"/>
    </row>
    <row r="2156" spans="1:10" s="65" customFormat="1" ht="14" x14ac:dyDescent="0.35">
      <c r="A2156" s="145"/>
      <c r="E2156" s="102"/>
      <c r="F2156" s="102"/>
      <c r="G2156" s="102"/>
      <c r="I2156" s="93"/>
      <c r="J2156" s="93"/>
    </row>
    <row r="2157" spans="1:10" s="65" customFormat="1" ht="14" x14ac:dyDescent="0.35">
      <c r="A2157" s="145"/>
      <c r="E2157" s="102"/>
      <c r="F2157" s="102"/>
      <c r="G2157" s="102"/>
      <c r="I2157" s="93"/>
      <c r="J2157" s="93"/>
    </row>
    <row r="2158" spans="1:10" s="65" customFormat="1" ht="14" x14ac:dyDescent="0.35">
      <c r="A2158" s="145"/>
      <c r="E2158" s="102"/>
      <c r="F2158" s="102"/>
      <c r="G2158" s="102"/>
      <c r="I2158" s="93"/>
      <c r="J2158" s="93"/>
    </row>
    <row r="2159" spans="1:10" s="65" customFormat="1" ht="14" x14ac:dyDescent="0.35">
      <c r="A2159" s="145"/>
      <c r="E2159" s="102"/>
      <c r="F2159" s="102"/>
      <c r="G2159" s="102"/>
      <c r="I2159" s="93"/>
      <c r="J2159" s="93"/>
    </row>
    <row r="2160" spans="1:10" s="65" customFormat="1" ht="14" x14ac:dyDescent="0.35">
      <c r="A2160" s="145"/>
      <c r="E2160" s="102"/>
      <c r="F2160" s="102"/>
      <c r="G2160" s="102"/>
      <c r="I2160" s="93"/>
      <c r="J2160" s="93"/>
    </row>
    <row r="2161" spans="1:10" s="65" customFormat="1" ht="14" x14ac:dyDescent="0.35">
      <c r="A2161" s="145"/>
      <c r="E2161" s="102"/>
      <c r="F2161" s="102"/>
      <c r="G2161" s="102"/>
      <c r="I2161" s="93"/>
      <c r="J2161" s="93"/>
    </row>
    <row r="2162" spans="1:10" s="65" customFormat="1" ht="14" x14ac:dyDescent="0.35">
      <c r="A2162" s="145"/>
      <c r="E2162" s="102"/>
      <c r="F2162" s="102"/>
      <c r="G2162" s="102"/>
      <c r="I2162" s="93"/>
      <c r="J2162" s="93"/>
    </row>
    <row r="2163" spans="1:10" s="65" customFormat="1" ht="14" x14ac:dyDescent="0.35">
      <c r="A2163" s="145"/>
      <c r="E2163" s="102"/>
      <c r="F2163" s="102"/>
      <c r="G2163" s="102"/>
      <c r="I2163" s="93"/>
      <c r="J2163" s="93"/>
    </row>
    <row r="2164" spans="1:10" s="65" customFormat="1" ht="14" x14ac:dyDescent="0.35">
      <c r="A2164" s="145"/>
      <c r="E2164" s="102"/>
      <c r="F2164" s="102"/>
      <c r="G2164" s="102"/>
      <c r="I2164" s="93"/>
      <c r="J2164" s="93"/>
    </row>
    <row r="2165" spans="1:10" s="65" customFormat="1" ht="14" x14ac:dyDescent="0.35">
      <c r="A2165" s="145"/>
      <c r="E2165" s="102"/>
      <c r="F2165" s="102"/>
      <c r="G2165" s="102"/>
      <c r="I2165" s="93"/>
      <c r="J2165" s="93"/>
    </row>
    <row r="2166" spans="1:10" s="65" customFormat="1" ht="14" x14ac:dyDescent="0.35">
      <c r="A2166" s="145"/>
      <c r="E2166" s="102"/>
      <c r="F2166" s="102"/>
      <c r="G2166" s="102"/>
      <c r="I2166" s="93"/>
      <c r="J2166" s="93"/>
    </row>
    <row r="2167" spans="1:10" s="65" customFormat="1" ht="14" x14ac:dyDescent="0.35">
      <c r="A2167" s="145"/>
      <c r="E2167" s="102"/>
      <c r="F2167" s="102"/>
      <c r="G2167" s="102"/>
      <c r="I2167" s="93"/>
      <c r="J2167" s="93"/>
    </row>
    <row r="2168" spans="1:10" s="65" customFormat="1" ht="14" x14ac:dyDescent="0.35">
      <c r="A2168" s="145"/>
      <c r="E2168" s="102"/>
      <c r="F2168" s="102"/>
      <c r="G2168" s="102"/>
      <c r="I2168" s="93"/>
      <c r="J2168" s="93"/>
    </row>
    <row r="2169" spans="1:10" s="65" customFormat="1" ht="14" x14ac:dyDescent="0.35">
      <c r="A2169" s="145"/>
      <c r="E2169" s="102"/>
      <c r="F2169" s="102"/>
      <c r="G2169" s="102"/>
      <c r="I2169" s="93"/>
      <c r="J2169" s="93"/>
    </row>
    <row r="2170" spans="1:10" s="65" customFormat="1" ht="14" x14ac:dyDescent="0.35">
      <c r="A2170" s="145"/>
      <c r="E2170" s="102"/>
      <c r="F2170" s="102"/>
      <c r="G2170" s="102"/>
      <c r="I2170" s="93"/>
      <c r="J2170" s="93"/>
    </row>
    <row r="2171" spans="1:10" s="65" customFormat="1" ht="14" x14ac:dyDescent="0.35">
      <c r="A2171" s="145"/>
      <c r="E2171" s="102"/>
      <c r="F2171" s="102"/>
      <c r="G2171" s="102"/>
      <c r="I2171" s="93"/>
      <c r="J2171" s="93"/>
    </row>
    <row r="2172" spans="1:10" s="65" customFormat="1" ht="14" x14ac:dyDescent="0.35">
      <c r="A2172" s="145"/>
      <c r="E2172" s="102"/>
      <c r="F2172" s="102"/>
      <c r="G2172" s="102"/>
      <c r="I2172" s="93"/>
      <c r="J2172" s="93"/>
    </row>
    <row r="2173" spans="1:10" s="65" customFormat="1" ht="14" x14ac:dyDescent="0.35">
      <c r="A2173" s="145"/>
      <c r="E2173" s="102"/>
      <c r="F2173" s="102"/>
      <c r="G2173" s="102"/>
      <c r="I2173" s="93"/>
      <c r="J2173" s="93"/>
    </row>
    <row r="2174" spans="1:10" s="65" customFormat="1" ht="14" x14ac:dyDescent="0.35">
      <c r="A2174" s="145"/>
      <c r="E2174" s="102"/>
      <c r="F2174" s="102"/>
      <c r="G2174" s="102"/>
      <c r="I2174" s="93"/>
      <c r="J2174" s="93"/>
    </row>
    <row r="2175" spans="1:10" s="65" customFormat="1" ht="14" x14ac:dyDescent="0.35">
      <c r="A2175" s="145"/>
      <c r="E2175" s="102"/>
      <c r="F2175" s="102"/>
      <c r="G2175" s="102"/>
      <c r="I2175" s="93"/>
      <c r="J2175" s="93"/>
    </row>
    <row r="2176" spans="1:10" s="65" customFormat="1" ht="14" x14ac:dyDescent="0.35">
      <c r="A2176" s="145"/>
      <c r="E2176" s="102"/>
      <c r="F2176" s="102"/>
      <c r="G2176" s="102"/>
      <c r="I2176" s="93"/>
      <c r="J2176" s="93"/>
    </row>
    <row r="2177" spans="1:10" s="65" customFormat="1" ht="14" x14ac:dyDescent="0.35">
      <c r="A2177" s="145"/>
      <c r="E2177" s="102"/>
      <c r="F2177" s="102"/>
      <c r="G2177" s="102"/>
      <c r="I2177" s="93"/>
      <c r="J2177" s="93"/>
    </row>
    <row r="2178" spans="1:10" s="65" customFormat="1" ht="14" x14ac:dyDescent="0.35">
      <c r="A2178" s="145"/>
      <c r="E2178" s="102"/>
      <c r="F2178" s="102"/>
      <c r="G2178" s="102"/>
      <c r="I2178" s="93"/>
      <c r="J2178" s="93"/>
    </row>
    <row r="2179" spans="1:10" s="65" customFormat="1" ht="14" x14ac:dyDescent="0.35">
      <c r="A2179" s="145"/>
      <c r="E2179" s="102"/>
      <c r="F2179" s="102"/>
      <c r="G2179" s="102"/>
      <c r="I2179" s="93"/>
      <c r="J2179" s="93"/>
    </row>
    <row r="2180" spans="1:10" s="65" customFormat="1" ht="14" x14ac:dyDescent="0.35">
      <c r="A2180" s="145"/>
      <c r="E2180" s="102"/>
      <c r="F2180" s="102"/>
      <c r="G2180" s="102"/>
      <c r="I2180" s="93"/>
      <c r="J2180" s="93"/>
    </row>
    <row r="2181" spans="1:10" s="65" customFormat="1" ht="14" x14ac:dyDescent="0.35">
      <c r="A2181" s="145"/>
      <c r="E2181" s="102"/>
      <c r="F2181" s="102"/>
      <c r="G2181" s="102"/>
      <c r="I2181" s="93"/>
      <c r="J2181" s="93"/>
    </row>
    <row r="2182" spans="1:10" s="65" customFormat="1" ht="14" x14ac:dyDescent="0.35">
      <c r="A2182" s="145"/>
      <c r="E2182" s="102"/>
      <c r="F2182" s="102"/>
      <c r="G2182" s="102"/>
      <c r="I2182" s="93"/>
      <c r="J2182" s="93"/>
    </row>
    <row r="2183" spans="1:10" s="65" customFormat="1" ht="14" x14ac:dyDescent="0.35">
      <c r="A2183" s="145"/>
      <c r="E2183" s="102"/>
      <c r="F2183" s="102"/>
      <c r="G2183" s="102"/>
      <c r="I2183" s="93"/>
      <c r="J2183" s="93"/>
    </row>
    <row r="2184" spans="1:10" s="65" customFormat="1" ht="14" x14ac:dyDescent="0.35">
      <c r="A2184" s="145"/>
      <c r="E2184" s="102"/>
      <c r="F2184" s="102"/>
      <c r="G2184" s="102"/>
      <c r="I2184" s="93"/>
      <c r="J2184" s="93"/>
    </row>
    <row r="2185" spans="1:10" s="65" customFormat="1" ht="14" x14ac:dyDescent="0.35">
      <c r="A2185" s="145"/>
      <c r="E2185" s="102"/>
      <c r="F2185" s="102"/>
      <c r="G2185" s="102"/>
      <c r="I2185" s="93"/>
      <c r="J2185" s="93"/>
    </row>
    <row r="2186" spans="1:10" s="65" customFormat="1" ht="14" x14ac:dyDescent="0.35">
      <c r="A2186" s="145"/>
      <c r="E2186" s="102"/>
      <c r="F2186" s="102"/>
      <c r="G2186" s="102"/>
      <c r="I2186" s="93"/>
      <c r="J2186" s="93"/>
    </row>
    <row r="2187" spans="1:10" s="65" customFormat="1" ht="14" x14ac:dyDescent="0.35">
      <c r="A2187" s="145"/>
      <c r="E2187" s="102"/>
      <c r="F2187" s="102"/>
      <c r="G2187" s="102"/>
      <c r="I2187" s="93"/>
      <c r="J2187" s="93"/>
    </row>
    <row r="2188" spans="1:10" s="65" customFormat="1" ht="14" x14ac:dyDescent="0.35">
      <c r="A2188" s="145"/>
      <c r="E2188" s="102"/>
      <c r="F2188" s="102"/>
      <c r="G2188" s="102"/>
      <c r="I2188" s="93"/>
      <c r="J2188" s="93"/>
    </row>
    <row r="2189" spans="1:10" s="65" customFormat="1" ht="14" x14ac:dyDescent="0.35">
      <c r="A2189" s="145"/>
      <c r="E2189" s="102"/>
      <c r="F2189" s="102"/>
      <c r="G2189" s="102"/>
      <c r="I2189" s="93"/>
      <c r="J2189" s="93"/>
    </row>
    <row r="2190" spans="1:10" s="65" customFormat="1" ht="14" x14ac:dyDescent="0.35">
      <c r="A2190" s="145"/>
      <c r="E2190" s="102"/>
      <c r="F2190" s="102"/>
      <c r="G2190" s="102"/>
      <c r="I2190" s="93"/>
      <c r="J2190" s="93"/>
    </row>
    <row r="2191" spans="1:10" s="65" customFormat="1" ht="14" x14ac:dyDescent="0.35">
      <c r="A2191" s="145"/>
      <c r="E2191" s="102"/>
      <c r="F2191" s="102"/>
      <c r="G2191" s="102"/>
      <c r="I2191" s="93"/>
      <c r="J2191" s="93"/>
    </row>
    <row r="2192" spans="1:10" s="65" customFormat="1" ht="14" x14ac:dyDescent="0.35">
      <c r="A2192" s="145"/>
      <c r="E2192" s="102"/>
      <c r="F2192" s="102"/>
      <c r="G2192" s="102"/>
      <c r="I2192" s="93"/>
      <c r="J2192" s="93"/>
    </row>
    <row r="2193" spans="1:10" s="65" customFormat="1" ht="14" x14ac:dyDescent="0.35">
      <c r="A2193" s="145"/>
      <c r="E2193" s="102"/>
      <c r="F2193" s="102"/>
      <c r="G2193" s="102"/>
      <c r="I2193" s="93"/>
      <c r="J2193" s="93"/>
    </row>
    <row r="2194" spans="1:10" s="65" customFormat="1" ht="14" x14ac:dyDescent="0.35">
      <c r="A2194" s="145"/>
      <c r="E2194" s="102"/>
      <c r="F2194" s="102"/>
      <c r="G2194" s="102"/>
      <c r="I2194" s="93"/>
      <c r="J2194" s="93"/>
    </row>
    <row r="2195" spans="1:10" s="65" customFormat="1" ht="14" x14ac:dyDescent="0.35">
      <c r="A2195" s="145"/>
      <c r="E2195" s="102"/>
      <c r="F2195" s="102"/>
      <c r="G2195" s="102"/>
      <c r="I2195" s="93"/>
      <c r="J2195" s="93"/>
    </row>
    <row r="2196" spans="1:10" s="65" customFormat="1" ht="14" x14ac:dyDescent="0.35">
      <c r="A2196" s="145"/>
      <c r="E2196" s="102"/>
      <c r="F2196" s="102"/>
      <c r="G2196" s="102"/>
      <c r="I2196" s="93"/>
      <c r="J2196" s="93"/>
    </row>
    <row r="2197" spans="1:10" s="65" customFormat="1" ht="14" x14ac:dyDescent="0.35">
      <c r="A2197" s="145"/>
      <c r="E2197" s="102"/>
      <c r="F2197" s="102"/>
      <c r="G2197" s="102"/>
      <c r="I2197" s="93"/>
      <c r="J2197" s="93"/>
    </row>
    <row r="2198" spans="1:10" s="65" customFormat="1" ht="14" x14ac:dyDescent="0.35">
      <c r="A2198" s="145"/>
      <c r="E2198" s="102"/>
      <c r="F2198" s="102"/>
      <c r="G2198" s="102"/>
      <c r="I2198" s="93"/>
      <c r="J2198" s="93"/>
    </row>
    <row r="2199" spans="1:10" s="65" customFormat="1" ht="14" x14ac:dyDescent="0.35">
      <c r="A2199" s="145"/>
      <c r="E2199" s="102"/>
      <c r="F2199" s="102"/>
      <c r="G2199" s="102"/>
      <c r="I2199" s="93"/>
      <c r="J2199" s="93"/>
    </row>
    <row r="2200" spans="1:10" s="65" customFormat="1" ht="14" x14ac:dyDescent="0.35">
      <c r="A2200" s="145"/>
      <c r="E2200" s="102"/>
      <c r="F2200" s="102"/>
      <c r="G2200" s="102"/>
      <c r="I2200" s="93"/>
      <c r="J2200" s="93"/>
    </row>
    <row r="2201" spans="1:10" s="65" customFormat="1" ht="14" x14ac:dyDescent="0.35">
      <c r="A2201" s="145"/>
      <c r="E2201" s="102"/>
      <c r="F2201" s="102"/>
      <c r="G2201" s="102"/>
      <c r="I2201" s="93"/>
      <c r="J2201" s="93"/>
    </row>
    <row r="2202" spans="1:10" s="65" customFormat="1" ht="14" x14ac:dyDescent="0.35">
      <c r="A2202" s="145"/>
      <c r="E2202" s="102"/>
      <c r="F2202" s="102"/>
      <c r="G2202" s="102"/>
      <c r="I2202" s="93"/>
      <c r="J2202" s="93"/>
    </row>
    <row r="2203" spans="1:10" s="65" customFormat="1" ht="14" x14ac:dyDescent="0.35">
      <c r="A2203" s="145"/>
      <c r="E2203" s="102"/>
      <c r="F2203" s="102"/>
      <c r="G2203" s="102"/>
      <c r="I2203" s="93"/>
      <c r="J2203" s="93"/>
    </row>
    <row r="2204" spans="1:10" s="65" customFormat="1" ht="14" x14ac:dyDescent="0.35">
      <c r="A2204" s="145"/>
      <c r="E2204" s="102"/>
      <c r="F2204" s="102"/>
      <c r="G2204" s="102"/>
      <c r="I2204" s="93"/>
      <c r="J2204" s="93"/>
    </row>
    <row r="2205" spans="1:10" s="65" customFormat="1" ht="14" x14ac:dyDescent="0.35">
      <c r="A2205" s="145"/>
      <c r="E2205" s="102"/>
      <c r="F2205" s="102"/>
      <c r="G2205" s="102"/>
      <c r="I2205" s="93"/>
      <c r="J2205" s="93"/>
    </row>
    <row r="2206" spans="1:10" s="65" customFormat="1" ht="14" x14ac:dyDescent="0.35">
      <c r="A2206" s="145"/>
      <c r="E2206" s="102"/>
      <c r="F2206" s="102"/>
      <c r="G2206" s="102"/>
      <c r="I2206" s="93"/>
      <c r="J2206" s="93"/>
    </row>
    <row r="2207" spans="1:10" s="65" customFormat="1" ht="14" x14ac:dyDescent="0.35">
      <c r="A2207" s="145"/>
      <c r="E2207" s="102"/>
      <c r="F2207" s="102"/>
      <c r="G2207" s="102"/>
      <c r="I2207" s="93"/>
      <c r="J2207" s="93"/>
    </row>
    <row r="2208" spans="1:10" s="65" customFormat="1" ht="14" x14ac:dyDescent="0.35">
      <c r="A2208" s="145"/>
      <c r="E2208" s="102"/>
      <c r="F2208" s="102"/>
      <c r="G2208" s="102"/>
      <c r="I2208" s="93"/>
      <c r="J2208" s="93"/>
    </row>
    <row r="2209" spans="1:10" s="65" customFormat="1" ht="14" x14ac:dyDescent="0.35">
      <c r="A2209" s="145"/>
      <c r="E2209" s="102"/>
      <c r="F2209" s="102"/>
      <c r="G2209" s="102"/>
      <c r="I2209" s="93"/>
      <c r="J2209" s="93"/>
    </row>
    <row r="2210" spans="1:10" s="65" customFormat="1" ht="14" x14ac:dyDescent="0.35">
      <c r="A2210" s="145"/>
      <c r="E2210" s="102"/>
      <c r="F2210" s="102"/>
      <c r="G2210" s="102"/>
      <c r="I2210" s="93"/>
      <c r="J2210" s="93"/>
    </row>
    <row r="2211" spans="1:10" s="65" customFormat="1" ht="14" x14ac:dyDescent="0.35">
      <c r="A2211" s="145"/>
      <c r="E2211" s="102"/>
      <c r="F2211" s="102"/>
      <c r="G2211" s="102"/>
      <c r="I2211" s="93"/>
      <c r="J2211" s="93"/>
    </row>
    <row r="2212" spans="1:10" s="65" customFormat="1" ht="14" x14ac:dyDescent="0.35">
      <c r="A2212" s="145"/>
      <c r="E2212" s="102"/>
      <c r="F2212" s="102"/>
      <c r="G2212" s="102"/>
      <c r="I2212" s="93"/>
      <c r="J2212" s="93"/>
    </row>
    <row r="2213" spans="1:10" s="65" customFormat="1" ht="14" x14ac:dyDescent="0.35">
      <c r="A2213" s="145"/>
      <c r="E2213" s="102"/>
      <c r="F2213" s="102"/>
      <c r="G2213" s="102"/>
      <c r="I2213" s="93"/>
      <c r="J2213" s="93"/>
    </row>
    <row r="2214" spans="1:10" s="65" customFormat="1" ht="14" x14ac:dyDescent="0.35">
      <c r="A2214" s="145"/>
      <c r="E2214" s="102"/>
      <c r="F2214" s="102"/>
      <c r="G2214" s="102"/>
      <c r="I2214" s="93"/>
      <c r="J2214" s="93"/>
    </row>
    <row r="2215" spans="1:10" s="65" customFormat="1" ht="14" x14ac:dyDescent="0.35">
      <c r="A2215" s="145"/>
      <c r="E2215" s="102"/>
      <c r="F2215" s="102"/>
      <c r="G2215" s="102"/>
      <c r="I2215" s="93"/>
      <c r="J2215" s="93"/>
    </row>
    <row r="2216" spans="1:10" s="65" customFormat="1" ht="14" x14ac:dyDescent="0.35">
      <c r="A2216" s="145"/>
      <c r="E2216" s="102"/>
      <c r="F2216" s="102"/>
      <c r="G2216" s="102"/>
      <c r="I2216" s="93"/>
      <c r="J2216" s="93"/>
    </row>
    <row r="2217" spans="1:10" s="65" customFormat="1" ht="14" x14ac:dyDescent="0.35">
      <c r="A2217" s="145"/>
      <c r="E2217" s="102"/>
      <c r="F2217" s="102"/>
      <c r="G2217" s="102"/>
      <c r="I2217" s="93"/>
      <c r="J2217" s="93"/>
    </row>
    <row r="2218" spans="1:10" s="65" customFormat="1" ht="14" x14ac:dyDescent="0.35">
      <c r="A2218" s="145"/>
      <c r="E2218" s="102"/>
      <c r="F2218" s="102"/>
      <c r="G2218" s="102"/>
      <c r="I2218" s="93"/>
      <c r="J2218" s="93"/>
    </row>
    <row r="2219" spans="1:10" s="65" customFormat="1" ht="14" x14ac:dyDescent="0.35">
      <c r="A2219" s="145"/>
      <c r="E2219" s="102"/>
      <c r="F2219" s="102"/>
      <c r="G2219" s="102"/>
      <c r="I2219" s="93"/>
      <c r="J2219" s="93"/>
    </row>
    <row r="2220" spans="1:10" s="65" customFormat="1" ht="14" x14ac:dyDescent="0.35">
      <c r="A2220" s="145"/>
      <c r="E2220" s="102"/>
      <c r="F2220" s="102"/>
      <c r="G2220" s="102"/>
      <c r="I2220" s="93"/>
      <c r="J2220" s="93"/>
    </row>
    <row r="2221" spans="1:10" s="65" customFormat="1" ht="14" x14ac:dyDescent="0.35">
      <c r="A2221" s="145"/>
      <c r="E2221" s="102"/>
      <c r="F2221" s="102"/>
      <c r="G2221" s="102"/>
      <c r="I2221" s="93"/>
      <c r="J2221" s="93"/>
    </row>
    <row r="2222" spans="1:10" s="65" customFormat="1" ht="14" x14ac:dyDescent="0.35">
      <c r="A2222" s="145"/>
      <c r="E2222" s="102"/>
      <c r="F2222" s="102"/>
      <c r="G2222" s="102"/>
      <c r="I2222" s="93"/>
      <c r="J2222" s="93"/>
    </row>
    <row r="2223" spans="1:10" s="65" customFormat="1" ht="14" x14ac:dyDescent="0.35">
      <c r="A2223" s="145"/>
      <c r="E2223" s="102"/>
      <c r="F2223" s="102"/>
      <c r="G2223" s="102"/>
      <c r="I2223" s="93"/>
      <c r="J2223" s="93"/>
    </row>
    <row r="2224" spans="1:10" s="65" customFormat="1" ht="14" x14ac:dyDescent="0.35">
      <c r="A2224" s="145"/>
      <c r="E2224" s="102"/>
      <c r="F2224" s="102"/>
      <c r="G2224" s="102"/>
      <c r="I2224" s="93"/>
      <c r="J2224" s="93"/>
    </row>
    <row r="2225" spans="1:10" s="65" customFormat="1" ht="14" x14ac:dyDescent="0.35">
      <c r="A2225" s="145"/>
      <c r="E2225" s="102"/>
      <c r="F2225" s="102"/>
      <c r="G2225" s="102"/>
      <c r="I2225" s="93"/>
      <c r="J2225" s="93"/>
    </row>
    <row r="2226" spans="1:10" s="65" customFormat="1" ht="14" x14ac:dyDescent="0.35">
      <c r="A2226" s="145"/>
      <c r="E2226" s="102"/>
      <c r="F2226" s="102"/>
      <c r="G2226" s="102"/>
      <c r="I2226" s="93"/>
      <c r="J2226" s="93"/>
    </row>
    <row r="2227" spans="1:10" s="65" customFormat="1" ht="14" x14ac:dyDescent="0.35">
      <c r="A2227" s="145"/>
      <c r="E2227" s="102"/>
      <c r="F2227" s="102"/>
      <c r="G2227" s="102"/>
      <c r="I2227" s="93"/>
      <c r="J2227" s="93"/>
    </row>
    <row r="2228" spans="1:10" s="65" customFormat="1" ht="14" x14ac:dyDescent="0.35">
      <c r="A2228" s="145"/>
      <c r="E2228" s="102"/>
      <c r="F2228" s="102"/>
      <c r="G2228" s="102"/>
      <c r="I2228" s="93"/>
      <c r="J2228" s="93"/>
    </row>
    <row r="2229" spans="1:10" s="65" customFormat="1" ht="14" x14ac:dyDescent="0.35">
      <c r="A2229" s="145"/>
      <c r="E2229" s="102"/>
      <c r="F2229" s="102"/>
      <c r="G2229" s="102"/>
      <c r="I2229" s="93"/>
      <c r="J2229" s="93"/>
    </row>
    <row r="2230" spans="1:10" s="65" customFormat="1" ht="14" x14ac:dyDescent="0.35">
      <c r="A2230" s="145"/>
      <c r="E2230" s="102"/>
      <c r="F2230" s="102"/>
      <c r="G2230" s="102"/>
      <c r="I2230" s="93"/>
      <c r="J2230" s="93"/>
    </row>
    <row r="2231" spans="1:10" s="65" customFormat="1" ht="14" x14ac:dyDescent="0.35">
      <c r="A2231" s="145"/>
      <c r="E2231" s="102"/>
      <c r="F2231" s="102"/>
      <c r="G2231" s="102"/>
      <c r="I2231" s="93"/>
      <c r="J2231" s="93"/>
    </row>
    <row r="2232" spans="1:10" s="65" customFormat="1" ht="14" x14ac:dyDescent="0.35">
      <c r="A2232" s="145"/>
      <c r="E2232" s="102"/>
      <c r="F2232" s="102"/>
      <c r="G2232" s="102"/>
      <c r="I2232" s="93"/>
      <c r="J2232" s="93"/>
    </row>
    <row r="2233" spans="1:10" s="65" customFormat="1" ht="14" x14ac:dyDescent="0.35">
      <c r="A2233" s="145"/>
      <c r="E2233" s="102"/>
      <c r="F2233" s="102"/>
      <c r="G2233" s="102"/>
      <c r="I2233" s="93"/>
      <c r="J2233" s="93"/>
    </row>
    <row r="2234" spans="1:10" s="65" customFormat="1" ht="14" x14ac:dyDescent="0.35">
      <c r="A2234" s="145"/>
      <c r="E2234" s="102"/>
      <c r="F2234" s="102"/>
      <c r="G2234" s="102"/>
      <c r="I2234" s="93"/>
      <c r="J2234" s="93"/>
    </row>
    <row r="2235" spans="1:10" s="65" customFormat="1" ht="14" x14ac:dyDescent="0.35">
      <c r="A2235" s="145"/>
      <c r="E2235" s="102"/>
      <c r="F2235" s="102"/>
      <c r="G2235" s="102"/>
      <c r="I2235" s="93"/>
      <c r="J2235" s="93"/>
    </row>
    <row r="2236" spans="1:10" s="65" customFormat="1" ht="14" x14ac:dyDescent="0.35">
      <c r="A2236" s="145"/>
      <c r="E2236" s="102"/>
      <c r="F2236" s="102"/>
      <c r="G2236" s="102"/>
      <c r="I2236" s="93"/>
      <c r="J2236" s="93"/>
    </row>
    <row r="2237" spans="1:10" s="65" customFormat="1" ht="14" x14ac:dyDescent="0.35">
      <c r="A2237" s="145"/>
      <c r="E2237" s="102"/>
      <c r="F2237" s="102"/>
      <c r="G2237" s="102"/>
      <c r="I2237" s="93"/>
      <c r="J2237" s="93"/>
    </row>
    <row r="2238" spans="1:10" s="65" customFormat="1" ht="14" x14ac:dyDescent="0.35">
      <c r="A2238" s="145"/>
      <c r="E2238" s="102"/>
      <c r="F2238" s="102"/>
      <c r="G2238" s="102"/>
      <c r="I2238" s="93"/>
      <c r="J2238" s="93"/>
    </row>
    <row r="2239" spans="1:10" s="65" customFormat="1" ht="14" x14ac:dyDescent="0.35">
      <c r="A2239" s="145"/>
      <c r="E2239" s="102"/>
      <c r="F2239" s="102"/>
      <c r="G2239" s="102"/>
      <c r="I2239" s="93"/>
      <c r="J2239" s="93"/>
    </row>
    <row r="2240" spans="1:10" s="65" customFormat="1" ht="14" x14ac:dyDescent="0.35">
      <c r="A2240" s="145"/>
      <c r="E2240" s="102"/>
      <c r="F2240" s="102"/>
      <c r="G2240" s="102"/>
      <c r="I2240" s="93"/>
      <c r="J2240" s="93"/>
    </row>
    <row r="2241" spans="1:10" s="65" customFormat="1" ht="14" x14ac:dyDescent="0.35">
      <c r="A2241" s="145"/>
      <c r="E2241" s="102"/>
      <c r="F2241" s="102"/>
      <c r="G2241" s="102"/>
      <c r="I2241" s="93"/>
      <c r="J2241" s="93"/>
    </row>
    <row r="2242" spans="1:10" s="65" customFormat="1" ht="14" x14ac:dyDescent="0.35">
      <c r="A2242" s="145"/>
      <c r="E2242" s="102"/>
      <c r="F2242" s="102"/>
      <c r="G2242" s="102"/>
      <c r="I2242" s="93"/>
      <c r="J2242" s="93"/>
    </row>
    <row r="2243" spans="1:10" s="65" customFormat="1" ht="14" x14ac:dyDescent="0.35">
      <c r="A2243" s="145"/>
      <c r="E2243" s="102"/>
      <c r="F2243" s="102"/>
      <c r="G2243" s="102"/>
      <c r="I2243" s="93"/>
      <c r="J2243" s="93"/>
    </row>
    <row r="2244" spans="1:10" s="65" customFormat="1" ht="14" x14ac:dyDescent="0.35">
      <c r="A2244" s="145"/>
      <c r="E2244" s="102"/>
      <c r="F2244" s="102"/>
      <c r="G2244" s="102"/>
      <c r="I2244" s="93"/>
      <c r="J2244" s="93"/>
    </row>
    <row r="2245" spans="1:10" s="65" customFormat="1" ht="14" x14ac:dyDescent="0.35">
      <c r="A2245" s="145"/>
      <c r="E2245" s="102"/>
      <c r="F2245" s="102"/>
      <c r="G2245" s="102"/>
      <c r="I2245" s="93"/>
      <c r="J2245" s="93"/>
    </row>
    <row r="2246" spans="1:10" s="65" customFormat="1" ht="14" x14ac:dyDescent="0.35">
      <c r="A2246" s="145"/>
      <c r="E2246" s="102"/>
      <c r="F2246" s="102"/>
      <c r="G2246" s="102"/>
      <c r="I2246" s="93"/>
      <c r="J2246" s="93"/>
    </row>
    <row r="2247" spans="1:10" s="65" customFormat="1" ht="14" x14ac:dyDescent="0.35">
      <c r="A2247" s="145"/>
      <c r="E2247" s="102"/>
      <c r="F2247" s="102"/>
      <c r="G2247" s="102"/>
      <c r="I2247" s="93"/>
      <c r="J2247" s="93"/>
    </row>
    <row r="2248" spans="1:10" s="65" customFormat="1" ht="14" x14ac:dyDescent="0.35">
      <c r="A2248" s="145"/>
      <c r="E2248" s="102"/>
      <c r="F2248" s="102"/>
      <c r="G2248" s="102"/>
      <c r="I2248" s="93"/>
      <c r="J2248" s="93"/>
    </row>
    <row r="2249" spans="1:10" s="65" customFormat="1" ht="14" x14ac:dyDescent="0.35">
      <c r="A2249" s="145"/>
      <c r="E2249" s="102"/>
      <c r="F2249" s="102"/>
      <c r="G2249" s="102"/>
      <c r="I2249" s="93"/>
      <c r="J2249" s="93"/>
    </row>
    <row r="2250" spans="1:10" s="65" customFormat="1" ht="14" x14ac:dyDescent="0.35">
      <c r="A2250" s="145"/>
      <c r="E2250" s="102"/>
      <c r="F2250" s="102"/>
      <c r="G2250" s="102"/>
      <c r="I2250" s="93"/>
      <c r="J2250" s="93"/>
    </row>
    <row r="2251" spans="1:10" s="65" customFormat="1" ht="14" x14ac:dyDescent="0.35">
      <c r="A2251" s="145"/>
      <c r="E2251" s="102"/>
      <c r="F2251" s="102"/>
      <c r="G2251" s="102"/>
      <c r="I2251" s="93"/>
      <c r="J2251" s="93"/>
    </row>
    <row r="2252" spans="1:10" s="65" customFormat="1" ht="14" x14ac:dyDescent="0.35">
      <c r="A2252" s="145"/>
      <c r="E2252" s="102"/>
      <c r="F2252" s="102"/>
      <c r="G2252" s="102"/>
      <c r="I2252" s="93"/>
      <c r="J2252" s="93"/>
    </row>
    <row r="2253" spans="1:10" s="65" customFormat="1" ht="14" x14ac:dyDescent="0.35">
      <c r="A2253" s="145"/>
      <c r="E2253" s="102"/>
      <c r="F2253" s="102"/>
      <c r="G2253" s="102"/>
      <c r="I2253" s="93"/>
      <c r="J2253" s="93"/>
    </row>
    <row r="2254" spans="1:10" s="65" customFormat="1" ht="14" x14ac:dyDescent="0.35">
      <c r="A2254" s="145"/>
      <c r="E2254" s="102"/>
      <c r="F2254" s="102"/>
      <c r="G2254" s="102"/>
      <c r="I2254" s="93"/>
      <c r="J2254" s="93"/>
    </row>
    <row r="2255" spans="1:10" s="65" customFormat="1" ht="14" x14ac:dyDescent="0.35">
      <c r="A2255" s="145"/>
      <c r="E2255" s="102"/>
      <c r="F2255" s="102"/>
      <c r="G2255" s="102"/>
      <c r="I2255" s="93"/>
      <c r="J2255" s="93"/>
    </row>
    <row r="2256" spans="1:10" s="65" customFormat="1" ht="14" x14ac:dyDescent="0.35">
      <c r="A2256" s="145"/>
      <c r="E2256" s="102"/>
      <c r="F2256" s="102"/>
      <c r="G2256" s="102"/>
      <c r="I2256" s="93"/>
      <c r="J2256" s="93"/>
    </row>
    <row r="2257" spans="1:10" s="65" customFormat="1" ht="14" x14ac:dyDescent="0.35">
      <c r="A2257" s="145"/>
      <c r="E2257" s="102"/>
      <c r="F2257" s="102"/>
      <c r="G2257" s="102"/>
      <c r="I2257" s="93"/>
      <c r="J2257" s="93"/>
    </row>
    <row r="2258" spans="1:10" s="65" customFormat="1" ht="14" x14ac:dyDescent="0.35">
      <c r="A2258" s="145"/>
      <c r="E2258" s="102"/>
      <c r="F2258" s="102"/>
      <c r="G2258" s="102"/>
      <c r="I2258" s="93"/>
      <c r="J2258" s="93"/>
    </row>
    <row r="2259" spans="1:10" s="65" customFormat="1" ht="14" x14ac:dyDescent="0.35">
      <c r="A2259" s="145"/>
      <c r="E2259" s="102"/>
      <c r="F2259" s="102"/>
      <c r="G2259" s="102"/>
      <c r="I2259" s="93"/>
      <c r="J2259" s="93"/>
    </row>
    <row r="2260" spans="1:10" s="65" customFormat="1" ht="14" x14ac:dyDescent="0.35">
      <c r="A2260" s="145"/>
      <c r="E2260" s="102"/>
      <c r="F2260" s="102"/>
      <c r="G2260" s="102"/>
      <c r="I2260" s="93"/>
      <c r="J2260" s="93"/>
    </row>
    <row r="2261" spans="1:10" s="65" customFormat="1" ht="14" x14ac:dyDescent="0.35">
      <c r="A2261" s="145"/>
      <c r="E2261" s="102"/>
      <c r="F2261" s="102"/>
      <c r="G2261" s="102"/>
      <c r="I2261" s="93"/>
      <c r="J2261" s="93"/>
    </row>
    <row r="2262" spans="1:10" s="65" customFormat="1" ht="14" x14ac:dyDescent="0.35">
      <c r="A2262" s="145"/>
      <c r="E2262" s="102"/>
      <c r="F2262" s="102"/>
      <c r="G2262" s="102"/>
      <c r="I2262" s="93"/>
      <c r="J2262" s="93"/>
    </row>
    <row r="2263" spans="1:10" s="65" customFormat="1" ht="14" x14ac:dyDescent="0.35">
      <c r="A2263" s="145"/>
      <c r="E2263" s="102"/>
      <c r="F2263" s="102"/>
      <c r="G2263" s="102"/>
      <c r="I2263" s="93"/>
      <c r="J2263" s="93"/>
    </row>
    <row r="2264" spans="1:10" s="65" customFormat="1" ht="14" x14ac:dyDescent="0.35">
      <c r="A2264" s="145"/>
      <c r="E2264" s="102"/>
      <c r="F2264" s="102"/>
      <c r="G2264" s="102"/>
      <c r="I2264" s="93"/>
      <c r="J2264" s="93"/>
    </row>
    <row r="2265" spans="1:10" s="65" customFormat="1" ht="14" x14ac:dyDescent="0.35">
      <c r="A2265" s="145"/>
      <c r="E2265" s="102"/>
      <c r="F2265" s="102"/>
      <c r="G2265" s="102"/>
      <c r="I2265" s="93"/>
      <c r="J2265" s="93"/>
    </row>
    <row r="2266" spans="1:10" s="65" customFormat="1" ht="14" x14ac:dyDescent="0.35">
      <c r="A2266" s="145"/>
      <c r="E2266" s="102"/>
      <c r="F2266" s="102"/>
      <c r="G2266" s="102"/>
      <c r="I2266" s="93"/>
      <c r="J2266" s="93"/>
    </row>
    <row r="2267" spans="1:10" s="65" customFormat="1" ht="14" x14ac:dyDescent="0.35">
      <c r="A2267" s="145"/>
      <c r="E2267" s="102"/>
      <c r="F2267" s="102"/>
      <c r="G2267" s="102"/>
      <c r="I2267" s="93"/>
      <c r="J2267" s="93"/>
    </row>
    <row r="2268" spans="1:10" s="65" customFormat="1" ht="14" x14ac:dyDescent="0.35">
      <c r="A2268" s="145"/>
      <c r="E2268" s="102"/>
      <c r="F2268" s="102"/>
      <c r="G2268" s="102"/>
      <c r="I2268" s="93"/>
      <c r="J2268" s="93"/>
    </row>
    <row r="2269" spans="1:10" s="65" customFormat="1" ht="14" x14ac:dyDescent="0.35">
      <c r="A2269" s="145"/>
      <c r="E2269" s="102"/>
      <c r="F2269" s="102"/>
      <c r="G2269" s="102"/>
      <c r="I2269" s="93"/>
      <c r="J2269" s="93"/>
    </row>
    <row r="2270" spans="1:10" s="65" customFormat="1" ht="14" x14ac:dyDescent="0.35">
      <c r="A2270" s="145"/>
      <c r="E2270" s="102"/>
      <c r="F2270" s="102"/>
      <c r="G2270" s="102"/>
      <c r="I2270" s="93"/>
      <c r="J2270" s="93"/>
    </row>
    <row r="2271" spans="1:10" s="65" customFormat="1" ht="14" x14ac:dyDescent="0.35">
      <c r="A2271" s="145"/>
      <c r="E2271" s="102"/>
      <c r="F2271" s="102"/>
      <c r="G2271" s="102"/>
      <c r="I2271" s="93"/>
      <c r="J2271" s="93"/>
    </row>
    <row r="2272" spans="1:10" s="65" customFormat="1" ht="14" x14ac:dyDescent="0.35">
      <c r="A2272" s="145"/>
      <c r="E2272" s="102"/>
      <c r="F2272" s="102"/>
      <c r="G2272" s="102"/>
      <c r="I2272" s="93"/>
      <c r="J2272" s="93"/>
    </row>
    <row r="2273" spans="1:10" s="65" customFormat="1" ht="14" x14ac:dyDescent="0.35">
      <c r="A2273" s="145"/>
      <c r="E2273" s="102"/>
      <c r="F2273" s="102"/>
      <c r="G2273" s="102"/>
      <c r="I2273" s="93"/>
      <c r="J2273" s="93"/>
    </row>
    <row r="2274" spans="1:10" s="65" customFormat="1" ht="14" x14ac:dyDescent="0.35">
      <c r="A2274" s="145"/>
      <c r="E2274" s="102"/>
      <c r="F2274" s="102"/>
      <c r="G2274" s="102"/>
      <c r="I2274" s="93"/>
      <c r="J2274" s="93"/>
    </row>
    <row r="2275" spans="1:10" s="65" customFormat="1" ht="14" x14ac:dyDescent="0.35">
      <c r="A2275" s="145"/>
      <c r="E2275" s="102"/>
      <c r="F2275" s="102"/>
      <c r="G2275" s="102"/>
      <c r="I2275" s="93"/>
      <c r="J2275" s="93"/>
    </row>
    <row r="2276" spans="1:10" s="65" customFormat="1" ht="14" x14ac:dyDescent="0.35">
      <c r="A2276" s="145"/>
      <c r="E2276" s="102"/>
      <c r="F2276" s="102"/>
      <c r="G2276" s="102"/>
      <c r="I2276" s="93"/>
      <c r="J2276" s="93"/>
    </row>
    <row r="2277" spans="1:10" s="65" customFormat="1" ht="14" x14ac:dyDescent="0.35">
      <c r="A2277" s="145"/>
      <c r="E2277" s="102"/>
      <c r="F2277" s="102"/>
      <c r="G2277" s="102"/>
      <c r="I2277" s="93"/>
      <c r="J2277" s="93"/>
    </row>
    <row r="2278" spans="1:10" s="65" customFormat="1" ht="14" x14ac:dyDescent="0.35">
      <c r="A2278" s="145"/>
      <c r="E2278" s="102"/>
      <c r="F2278" s="102"/>
      <c r="G2278" s="102"/>
      <c r="I2278" s="93"/>
      <c r="J2278" s="93"/>
    </row>
    <row r="2279" spans="1:10" s="65" customFormat="1" ht="14" x14ac:dyDescent="0.35">
      <c r="A2279" s="145"/>
      <c r="E2279" s="102"/>
      <c r="F2279" s="102"/>
      <c r="G2279" s="102"/>
      <c r="I2279" s="93"/>
      <c r="J2279" s="93"/>
    </row>
    <row r="2280" spans="1:10" s="65" customFormat="1" ht="14" x14ac:dyDescent="0.35">
      <c r="A2280" s="145"/>
      <c r="E2280" s="102"/>
      <c r="F2280" s="102"/>
      <c r="G2280" s="102"/>
      <c r="I2280" s="93"/>
      <c r="J2280" s="93"/>
    </row>
    <row r="2281" spans="1:10" s="65" customFormat="1" ht="14" x14ac:dyDescent="0.35">
      <c r="A2281" s="145"/>
      <c r="E2281" s="102"/>
      <c r="F2281" s="102"/>
      <c r="G2281" s="102"/>
      <c r="I2281" s="93"/>
      <c r="J2281" s="93"/>
    </row>
    <row r="2282" spans="1:10" s="65" customFormat="1" ht="14" x14ac:dyDescent="0.35">
      <c r="A2282" s="145"/>
      <c r="E2282" s="102"/>
      <c r="F2282" s="102"/>
      <c r="G2282" s="102"/>
      <c r="I2282" s="93"/>
      <c r="J2282" s="93"/>
    </row>
    <row r="2283" spans="1:10" s="65" customFormat="1" ht="14" x14ac:dyDescent="0.35">
      <c r="A2283" s="145"/>
      <c r="E2283" s="102"/>
      <c r="F2283" s="102"/>
      <c r="G2283" s="102"/>
      <c r="I2283" s="93"/>
      <c r="J2283" s="93"/>
    </row>
    <row r="2284" spans="1:10" s="65" customFormat="1" ht="14" x14ac:dyDescent="0.35">
      <c r="A2284" s="145"/>
      <c r="E2284" s="102"/>
      <c r="F2284" s="102"/>
      <c r="G2284" s="102"/>
      <c r="I2284" s="93"/>
      <c r="J2284" s="93"/>
    </row>
    <row r="2285" spans="1:10" s="65" customFormat="1" ht="14" x14ac:dyDescent="0.35">
      <c r="A2285" s="145"/>
      <c r="E2285" s="102"/>
      <c r="F2285" s="102"/>
      <c r="G2285" s="102"/>
      <c r="I2285" s="93"/>
      <c r="J2285" s="93"/>
    </row>
    <row r="2286" spans="1:10" s="65" customFormat="1" ht="14" x14ac:dyDescent="0.35">
      <c r="A2286" s="145"/>
      <c r="E2286" s="102"/>
      <c r="F2286" s="102"/>
      <c r="G2286" s="102"/>
      <c r="I2286" s="93"/>
      <c r="J2286" s="93"/>
    </row>
    <row r="2287" spans="1:10" s="65" customFormat="1" ht="14" x14ac:dyDescent="0.35">
      <c r="A2287" s="145"/>
      <c r="E2287" s="102"/>
      <c r="F2287" s="102"/>
      <c r="G2287" s="102"/>
      <c r="I2287" s="93"/>
      <c r="J2287" s="93"/>
    </row>
    <row r="2288" spans="1:10" s="65" customFormat="1" ht="14" x14ac:dyDescent="0.35">
      <c r="A2288" s="145"/>
      <c r="E2288" s="102"/>
      <c r="F2288" s="102"/>
      <c r="G2288" s="102"/>
      <c r="I2288" s="93"/>
      <c r="J2288" s="93"/>
    </row>
    <row r="2289" spans="1:10" s="65" customFormat="1" ht="14" x14ac:dyDescent="0.35">
      <c r="A2289" s="145"/>
      <c r="E2289" s="102"/>
      <c r="F2289" s="102"/>
      <c r="G2289" s="102"/>
      <c r="I2289" s="93"/>
      <c r="J2289" s="93"/>
    </row>
    <row r="2290" spans="1:10" s="65" customFormat="1" ht="14" x14ac:dyDescent="0.35">
      <c r="A2290" s="145"/>
      <c r="E2290" s="102"/>
      <c r="F2290" s="102"/>
      <c r="G2290" s="102"/>
      <c r="I2290" s="93"/>
      <c r="J2290" s="93"/>
    </row>
    <row r="2291" spans="1:10" s="65" customFormat="1" ht="14" x14ac:dyDescent="0.35">
      <c r="A2291" s="145"/>
      <c r="E2291" s="102"/>
      <c r="F2291" s="102"/>
      <c r="G2291" s="102"/>
      <c r="I2291" s="93"/>
      <c r="J2291" s="93"/>
    </row>
    <row r="2292" spans="1:10" s="65" customFormat="1" ht="14" x14ac:dyDescent="0.35">
      <c r="A2292" s="145"/>
      <c r="E2292" s="102"/>
      <c r="F2292" s="102"/>
      <c r="G2292" s="102"/>
      <c r="I2292" s="93"/>
      <c r="J2292" s="93"/>
    </row>
    <row r="2293" spans="1:10" s="65" customFormat="1" ht="14" x14ac:dyDescent="0.35">
      <c r="A2293" s="145"/>
      <c r="E2293" s="102"/>
      <c r="F2293" s="102"/>
      <c r="G2293" s="102"/>
      <c r="I2293" s="93"/>
      <c r="J2293" s="93"/>
    </row>
    <row r="2294" spans="1:10" s="65" customFormat="1" ht="14" x14ac:dyDescent="0.35">
      <c r="A2294" s="145"/>
      <c r="E2294" s="102"/>
      <c r="F2294" s="102"/>
      <c r="G2294" s="102"/>
      <c r="I2294" s="93"/>
      <c r="J2294" s="93"/>
    </row>
    <row r="2295" spans="1:10" s="65" customFormat="1" ht="14" x14ac:dyDescent="0.35">
      <c r="A2295" s="145"/>
      <c r="E2295" s="102"/>
      <c r="F2295" s="102"/>
      <c r="G2295" s="102"/>
      <c r="I2295" s="93"/>
      <c r="J2295" s="93"/>
    </row>
    <row r="2296" spans="1:10" s="65" customFormat="1" ht="14" x14ac:dyDescent="0.35">
      <c r="A2296" s="145"/>
      <c r="E2296" s="102"/>
      <c r="F2296" s="102"/>
      <c r="G2296" s="102"/>
      <c r="I2296" s="93"/>
      <c r="J2296" s="93"/>
    </row>
    <row r="2297" spans="1:10" s="65" customFormat="1" ht="14" x14ac:dyDescent="0.35">
      <c r="A2297" s="145"/>
      <c r="E2297" s="102"/>
      <c r="F2297" s="102"/>
      <c r="G2297" s="102"/>
      <c r="I2297" s="93"/>
      <c r="J2297" s="93"/>
    </row>
    <row r="2298" spans="1:10" s="65" customFormat="1" ht="14" x14ac:dyDescent="0.35">
      <c r="A2298" s="145"/>
      <c r="E2298" s="102"/>
      <c r="F2298" s="102"/>
      <c r="G2298" s="102"/>
      <c r="I2298" s="93"/>
      <c r="J2298" s="93"/>
    </row>
    <row r="2299" spans="1:10" s="65" customFormat="1" ht="14" x14ac:dyDescent="0.35">
      <c r="A2299" s="145"/>
      <c r="E2299" s="102"/>
      <c r="F2299" s="102"/>
      <c r="G2299" s="102"/>
      <c r="I2299" s="93"/>
      <c r="J2299" s="93"/>
    </row>
    <row r="2300" spans="1:10" s="65" customFormat="1" ht="14" x14ac:dyDescent="0.35">
      <c r="A2300" s="145"/>
      <c r="E2300" s="102"/>
      <c r="F2300" s="102"/>
      <c r="G2300" s="102"/>
      <c r="I2300" s="93"/>
      <c r="J2300" s="93"/>
    </row>
    <row r="2301" spans="1:10" s="65" customFormat="1" ht="14" x14ac:dyDescent="0.35">
      <c r="A2301" s="145"/>
      <c r="E2301" s="102"/>
      <c r="F2301" s="102"/>
      <c r="G2301" s="102"/>
      <c r="I2301" s="93"/>
      <c r="J2301" s="93"/>
    </row>
    <row r="2302" spans="1:10" s="65" customFormat="1" ht="14" x14ac:dyDescent="0.35">
      <c r="A2302" s="145"/>
      <c r="E2302" s="102"/>
      <c r="F2302" s="102"/>
      <c r="G2302" s="102"/>
      <c r="I2302" s="93"/>
      <c r="J2302" s="93"/>
    </row>
    <row r="2303" spans="1:10" s="65" customFormat="1" ht="14" x14ac:dyDescent="0.35">
      <c r="A2303" s="145"/>
      <c r="E2303" s="102"/>
      <c r="F2303" s="102"/>
      <c r="G2303" s="102"/>
      <c r="I2303" s="93"/>
      <c r="J2303" s="93"/>
    </row>
    <row r="2304" spans="1:10" s="65" customFormat="1" ht="14" x14ac:dyDescent="0.35">
      <c r="A2304" s="145"/>
      <c r="E2304" s="102"/>
      <c r="F2304" s="102"/>
      <c r="G2304" s="102"/>
      <c r="I2304" s="93"/>
      <c r="J2304" s="93"/>
    </row>
    <row r="2305" spans="1:10" s="65" customFormat="1" ht="14" x14ac:dyDescent="0.35">
      <c r="A2305" s="145"/>
      <c r="E2305" s="102"/>
      <c r="F2305" s="102"/>
      <c r="G2305" s="102"/>
      <c r="I2305" s="93"/>
      <c r="J2305" s="93"/>
    </row>
    <row r="2306" spans="1:10" s="65" customFormat="1" ht="14" x14ac:dyDescent="0.35">
      <c r="A2306" s="145"/>
      <c r="E2306" s="102"/>
      <c r="F2306" s="102"/>
      <c r="G2306" s="102"/>
      <c r="I2306" s="93"/>
      <c r="J2306" s="93"/>
    </row>
    <row r="2307" spans="1:10" s="65" customFormat="1" ht="14" x14ac:dyDescent="0.35">
      <c r="A2307" s="145"/>
      <c r="E2307" s="102"/>
      <c r="F2307" s="102"/>
      <c r="G2307" s="102"/>
      <c r="I2307" s="93"/>
      <c r="J2307" s="93"/>
    </row>
    <row r="2308" spans="1:10" s="65" customFormat="1" ht="14" x14ac:dyDescent="0.35">
      <c r="A2308" s="145"/>
      <c r="E2308" s="102"/>
      <c r="F2308" s="102"/>
      <c r="G2308" s="102"/>
      <c r="I2308" s="93"/>
      <c r="J2308" s="93"/>
    </row>
    <row r="2309" spans="1:10" s="65" customFormat="1" ht="14" x14ac:dyDescent="0.35">
      <c r="A2309" s="145"/>
      <c r="E2309" s="102"/>
      <c r="F2309" s="102"/>
      <c r="G2309" s="102"/>
      <c r="I2309" s="93"/>
      <c r="J2309" s="93"/>
    </row>
    <row r="2310" spans="1:10" s="65" customFormat="1" ht="14" x14ac:dyDescent="0.35">
      <c r="A2310" s="145"/>
      <c r="E2310" s="102"/>
      <c r="F2310" s="102"/>
      <c r="G2310" s="102"/>
      <c r="I2310" s="93"/>
      <c r="J2310" s="93"/>
    </row>
    <row r="2311" spans="1:10" s="65" customFormat="1" ht="14" x14ac:dyDescent="0.35">
      <c r="A2311" s="145"/>
      <c r="E2311" s="102"/>
      <c r="F2311" s="102"/>
      <c r="G2311" s="102"/>
      <c r="I2311" s="93"/>
      <c r="J2311" s="93"/>
    </row>
    <row r="2312" spans="1:10" s="65" customFormat="1" ht="14" x14ac:dyDescent="0.35">
      <c r="A2312" s="145"/>
      <c r="E2312" s="102"/>
      <c r="F2312" s="102"/>
      <c r="G2312" s="102"/>
      <c r="I2312" s="93"/>
      <c r="J2312" s="93"/>
    </row>
    <row r="2313" spans="1:10" s="65" customFormat="1" ht="14" x14ac:dyDescent="0.35">
      <c r="A2313" s="145"/>
      <c r="E2313" s="102"/>
      <c r="F2313" s="102"/>
      <c r="G2313" s="102"/>
      <c r="I2313" s="93"/>
      <c r="J2313" s="93"/>
    </row>
    <row r="2314" spans="1:10" s="65" customFormat="1" ht="14" x14ac:dyDescent="0.35">
      <c r="A2314" s="145"/>
      <c r="E2314" s="102"/>
      <c r="F2314" s="102"/>
      <c r="G2314" s="102"/>
      <c r="I2314" s="93"/>
      <c r="J2314" s="93"/>
    </row>
    <row r="2315" spans="1:10" s="65" customFormat="1" ht="14" x14ac:dyDescent="0.35">
      <c r="A2315" s="145"/>
      <c r="E2315" s="102"/>
      <c r="F2315" s="102"/>
      <c r="G2315" s="102"/>
      <c r="I2315" s="93"/>
      <c r="J2315" s="93"/>
    </row>
    <row r="2316" spans="1:10" s="65" customFormat="1" ht="14" x14ac:dyDescent="0.35">
      <c r="A2316" s="145"/>
      <c r="E2316" s="102"/>
      <c r="F2316" s="102"/>
      <c r="G2316" s="102"/>
      <c r="I2316" s="93"/>
      <c r="J2316" s="93"/>
    </row>
    <row r="2317" spans="1:10" s="65" customFormat="1" ht="14" x14ac:dyDescent="0.35">
      <c r="A2317" s="145"/>
      <c r="E2317" s="102"/>
      <c r="F2317" s="102"/>
      <c r="G2317" s="102"/>
      <c r="I2317" s="93"/>
      <c r="J2317" s="93"/>
    </row>
    <row r="2318" spans="1:10" s="65" customFormat="1" ht="14" x14ac:dyDescent="0.35">
      <c r="A2318" s="145"/>
      <c r="E2318" s="102"/>
      <c r="F2318" s="102"/>
      <c r="G2318" s="102"/>
      <c r="I2318" s="93"/>
      <c r="J2318" s="93"/>
    </row>
    <row r="2319" spans="1:10" s="65" customFormat="1" ht="14" x14ac:dyDescent="0.35">
      <c r="A2319" s="145"/>
      <c r="E2319" s="102"/>
      <c r="F2319" s="102"/>
      <c r="G2319" s="102"/>
      <c r="I2319" s="93"/>
      <c r="J2319" s="93"/>
    </row>
    <row r="2320" spans="1:10" s="65" customFormat="1" ht="14" x14ac:dyDescent="0.35">
      <c r="A2320" s="145"/>
      <c r="E2320" s="102"/>
      <c r="F2320" s="102"/>
      <c r="G2320" s="102"/>
      <c r="I2320" s="93"/>
      <c r="J2320" s="93"/>
    </row>
    <row r="2321" spans="1:10" s="65" customFormat="1" ht="14" x14ac:dyDescent="0.35">
      <c r="A2321" s="145"/>
      <c r="E2321" s="102"/>
      <c r="F2321" s="102"/>
      <c r="G2321" s="102"/>
      <c r="I2321" s="93"/>
      <c r="J2321" s="93"/>
    </row>
    <row r="2322" spans="1:10" s="65" customFormat="1" ht="14" x14ac:dyDescent="0.35">
      <c r="A2322" s="145"/>
      <c r="E2322" s="102"/>
      <c r="F2322" s="102"/>
      <c r="G2322" s="102"/>
      <c r="I2322" s="93"/>
      <c r="J2322" s="93"/>
    </row>
    <row r="2323" spans="1:10" s="65" customFormat="1" ht="14" x14ac:dyDescent="0.35">
      <c r="A2323" s="145"/>
      <c r="E2323" s="102"/>
      <c r="F2323" s="102"/>
      <c r="G2323" s="102"/>
      <c r="I2323" s="93"/>
      <c r="J2323" s="93"/>
    </row>
    <row r="2324" spans="1:10" s="65" customFormat="1" ht="14" x14ac:dyDescent="0.35">
      <c r="A2324" s="145"/>
      <c r="E2324" s="102"/>
      <c r="F2324" s="102"/>
      <c r="G2324" s="102"/>
      <c r="I2324" s="93"/>
      <c r="J2324" s="93"/>
    </row>
    <row r="2325" spans="1:10" s="65" customFormat="1" ht="14" x14ac:dyDescent="0.35">
      <c r="A2325" s="145"/>
      <c r="E2325" s="102"/>
      <c r="F2325" s="102"/>
      <c r="G2325" s="102"/>
      <c r="I2325" s="93"/>
      <c r="J2325" s="93"/>
    </row>
    <row r="2326" spans="1:10" s="65" customFormat="1" ht="14" x14ac:dyDescent="0.35">
      <c r="A2326" s="145"/>
      <c r="E2326" s="102"/>
      <c r="F2326" s="102"/>
      <c r="G2326" s="102"/>
      <c r="I2326" s="93"/>
      <c r="J2326" s="93"/>
    </row>
    <row r="2327" spans="1:10" s="65" customFormat="1" ht="14" x14ac:dyDescent="0.35">
      <c r="A2327" s="145"/>
      <c r="E2327" s="102"/>
      <c r="F2327" s="102"/>
      <c r="G2327" s="102"/>
      <c r="I2327" s="93"/>
      <c r="J2327" s="93"/>
    </row>
    <row r="2328" spans="1:10" s="65" customFormat="1" ht="14" x14ac:dyDescent="0.35">
      <c r="A2328" s="145"/>
      <c r="E2328" s="102"/>
      <c r="F2328" s="102"/>
      <c r="G2328" s="102"/>
      <c r="I2328" s="93"/>
      <c r="J2328" s="93"/>
    </row>
    <row r="2329" spans="1:10" s="65" customFormat="1" ht="14" x14ac:dyDescent="0.35">
      <c r="A2329" s="145"/>
      <c r="E2329" s="102"/>
      <c r="F2329" s="102"/>
      <c r="G2329" s="102"/>
      <c r="I2329" s="93"/>
      <c r="J2329" s="93"/>
    </row>
    <row r="2330" spans="1:10" s="65" customFormat="1" ht="14" x14ac:dyDescent="0.35">
      <c r="A2330" s="145"/>
      <c r="E2330" s="102"/>
      <c r="F2330" s="102"/>
      <c r="G2330" s="102"/>
      <c r="I2330" s="93"/>
      <c r="J2330" s="93"/>
    </row>
    <row r="2331" spans="1:10" s="65" customFormat="1" ht="14" x14ac:dyDescent="0.35">
      <c r="A2331" s="145"/>
      <c r="E2331" s="102"/>
      <c r="F2331" s="102"/>
      <c r="G2331" s="102"/>
      <c r="I2331" s="93"/>
      <c r="J2331" s="93"/>
    </row>
    <row r="2332" spans="1:10" s="65" customFormat="1" ht="14" x14ac:dyDescent="0.35">
      <c r="A2332" s="145"/>
      <c r="E2332" s="102"/>
      <c r="F2332" s="102"/>
      <c r="G2332" s="102"/>
      <c r="I2332" s="93"/>
      <c r="J2332" s="93"/>
    </row>
    <row r="2333" spans="1:10" s="65" customFormat="1" ht="14" x14ac:dyDescent="0.35">
      <c r="A2333" s="145"/>
      <c r="E2333" s="102"/>
      <c r="F2333" s="102"/>
      <c r="G2333" s="102"/>
      <c r="I2333" s="93"/>
      <c r="J2333" s="93"/>
    </row>
    <row r="2334" spans="1:10" s="65" customFormat="1" ht="14" x14ac:dyDescent="0.35">
      <c r="A2334" s="145"/>
      <c r="E2334" s="102"/>
      <c r="F2334" s="102"/>
      <c r="G2334" s="102"/>
      <c r="I2334" s="93"/>
      <c r="J2334" s="93"/>
    </row>
    <row r="2335" spans="1:10" s="65" customFormat="1" ht="14" x14ac:dyDescent="0.35">
      <c r="A2335" s="145"/>
      <c r="E2335" s="102"/>
      <c r="F2335" s="102"/>
      <c r="G2335" s="102"/>
      <c r="I2335" s="93"/>
      <c r="J2335" s="93"/>
    </row>
    <row r="2336" spans="1:10" s="65" customFormat="1" ht="14" x14ac:dyDescent="0.35">
      <c r="A2336" s="145"/>
      <c r="E2336" s="102"/>
      <c r="F2336" s="102"/>
      <c r="G2336" s="102"/>
      <c r="I2336" s="93"/>
      <c r="J2336" s="93"/>
    </row>
    <row r="2337" spans="1:10" s="65" customFormat="1" ht="14" x14ac:dyDescent="0.35">
      <c r="A2337" s="145"/>
      <c r="E2337" s="102"/>
      <c r="F2337" s="102"/>
      <c r="G2337" s="102"/>
      <c r="I2337" s="93"/>
      <c r="J2337" s="93"/>
    </row>
    <row r="2338" spans="1:10" s="65" customFormat="1" ht="14" x14ac:dyDescent="0.35">
      <c r="A2338" s="145"/>
      <c r="E2338" s="102"/>
      <c r="F2338" s="102"/>
      <c r="G2338" s="102"/>
      <c r="I2338" s="93"/>
      <c r="J2338" s="93"/>
    </row>
    <row r="2339" spans="1:10" s="65" customFormat="1" ht="14" x14ac:dyDescent="0.35">
      <c r="A2339" s="145"/>
      <c r="E2339" s="102"/>
      <c r="F2339" s="102"/>
      <c r="G2339" s="102"/>
      <c r="I2339" s="93"/>
      <c r="J2339" s="93"/>
    </row>
    <row r="2340" spans="1:10" s="65" customFormat="1" ht="14" x14ac:dyDescent="0.35">
      <c r="A2340" s="145"/>
      <c r="E2340" s="102"/>
      <c r="F2340" s="102"/>
      <c r="G2340" s="102"/>
      <c r="I2340" s="93"/>
      <c r="J2340" s="93"/>
    </row>
    <row r="2341" spans="1:10" s="65" customFormat="1" ht="14" x14ac:dyDescent="0.35">
      <c r="A2341" s="145"/>
      <c r="E2341" s="102"/>
      <c r="F2341" s="102"/>
      <c r="G2341" s="102"/>
      <c r="I2341" s="93"/>
      <c r="J2341" s="93"/>
    </row>
    <row r="2342" spans="1:10" s="65" customFormat="1" ht="14" x14ac:dyDescent="0.35">
      <c r="A2342" s="145"/>
      <c r="E2342" s="102"/>
      <c r="F2342" s="102"/>
      <c r="G2342" s="102"/>
      <c r="I2342" s="93"/>
      <c r="J2342" s="93"/>
    </row>
    <row r="2343" spans="1:10" s="65" customFormat="1" ht="14" x14ac:dyDescent="0.35">
      <c r="A2343" s="145"/>
      <c r="E2343" s="102"/>
      <c r="F2343" s="102"/>
      <c r="G2343" s="102"/>
      <c r="I2343" s="93"/>
      <c r="J2343" s="93"/>
    </row>
    <row r="2344" spans="1:10" s="65" customFormat="1" ht="14" x14ac:dyDescent="0.35">
      <c r="A2344" s="145"/>
      <c r="E2344" s="102"/>
      <c r="F2344" s="102"/>
      <c r="G2344" s="102"/>
      <c r="I2344" s="93"/>
      <c r="J2344" s="93"/>
    </row>
    <row r="2345" spans="1:10" s="65" customFormat="1" ht="14" x14ac:dyDescent="0.35">
      <c r="A2345" s="145"/>
      <c r="E2345" s="102"/>
      <c r="F2345" s="102"/>
      <c r="G2345" s="102"/>
      <c r="I2345" s="93"/>
      <c r="J2345" s="93"/>
    </row>
    <row r="2346" spans="1:10" s="65" customFormat="1" ht="14" x14ac:dyDescent="0.35">
      <c r="A2346" s="145"/>
      <c r="E2346" s="102"/>
      <c r="F2346" s="102"/>
      <c r="G2346" s="102"/>
      <c r="I2346" s="93"/>
      <c r="J2346" s="93"/>
    </row>
    <row r="2347" spans="1:10" s="65" customFormat="1" ht="14" x14ac:dyDescent="0.35">
      <c r="A2347" s="145"/>
      <c r="E2347" s="102"/>
      <c r="F2347" s="102"/>
      <c r="G2347" s="102"/>
      <c r="I2347" s="93"/>
      <c r="J2347" s="93"/>
    </row>
    <row r="2348" spans="1:10" s="65" customFormat="1" ht="14" x14ac:dyDescent="0.35">
      <c r="A2348" s="145"/>
      <c r="E2348" s="102"/>
      <c r="F2348" s="102"/>
      <c r="G2348" s="102"/>
      <c r="I2348" s="93"/>
      <c r="J2348" s="93"/>
    </row>
    <row r="2349" spans="1:10" s="65" customFormat="1" ht="14" x14ac:dyDescent="0.35">
      <c r="A2349" s="145"/>
      <c r="E2349" s="102"/>
      <c r="F2349" s="102"/>
      <c r="G2349" s="102"/>
      <c r="I2349" s="93"/>
      <c r="J2349" s="93"/>
    </row>
    <row r="2350" spans="1:10" s="65" customFormat="1" ht="14" x14ac:dyDescent="0.35">
      <c r="A2350" s="145"/>
      <c r="E2350" s="102"/>
      <c r="F2350" s="102"/>
      <c r="G2350" s="102"/>
      <c r="I2350" s="93"/>
      <c r="J2350" s="93"/>
    </row>
    <row r="2351" spans="1:10" s="65" customFormat="1" ht="14" x14ac:dyDescent="0.35">
      <c r="A2351" s="145"/>
      <c r="E2351" s="102"/>
      <c r="F2351" s="102"/>
      <c r="G2351" s="102"/>
      <c r="I2351" s="93"/>
      <c r="J2351" s="93"/>
    </row>
    <row r="2352" spans="1:10" s="65" customFormat="1" ht="14" x14ac:dyDescent="0.35">
      <c r="A2352" s="145"/>
      <c r="E2352" s="102"/>
      <c r="F2352" s="102"/>
      <c r="G2352" s="102"/>
      <c r="I2352" s="93"/>
      <c r="J2352" s="93"/>
    </row>
    <row r="2353" spans="1:10" s="65" customFormat="1" ht="14" x14ac:dyDescent="0.35">
      <c r="A2353" s="145"/>
      <c r="E2353" s="102"/>
      <c r="F2353" s="102"/>
      <c r="G2353" s="102"/>
      <c r="I2353" s="93"/>
      <c r="J2353" s="93"/>
    </row>
    <row r="2354" spans="1:10" s="65" customFormat="1" ht="14" x14ac:dyDescent="0.35">
      <c r="A2354" s="145"/>
      <c r="E2354" s="102"/>
      <c r="F2354" s="102"/>
      <c r="G2354" s="102"/>
      <c r="I2354" s="93"/>
      <c r="J2354" s="93"/>
    </row>
    <row r="2355" spans="1:10" s="65" customFormat="1" ht="14" x14ac:dyDescent="0.35">
      <c r="A2355" s="145"/>
      <c r="E2355" s="102"/>
      <c r="F2355" s="102"/>
      <c r="G2355" s="102"/>
      <c r="I2355" s="93"/>
      <c r="J2355" s="93"/>
    </row>
    <row r="2356" spans="1:10" s="65" customFormat="1" ht="14" x14ac:dyDescent="0.35">
      <c r="A2356" s="145"/>
      <c r="E2356" s="102"/>
      <c r="F2356" s="102"/>
      <c r="G2356" s="102"/>
      <c r="I2356" s="93"/>
      <c r="J2356" s="93"/>
    </row>
    <row r="2357" spans="1:10" s="65" customFormat="1" ht="14" x14ac:dyDescent="0.35">
      <c r="A2357" s="145"/>
      <c r="E2357" s="102"/>
      <c r="F2357" s="102"/>
      <c r="G2357" s="102"/>
      <c r="I2357" s="93"/>
      <c r="J2357" s="93"/>
    </row>
    <row r="2358" spans="1:10" s="65" customFormat="1" ht="14" x14ac:dyDescent="0.35">
      <c r="A2358" s="145"/>
      <c r="E2358" s="102"/>
      <c r="F2358" s="102"/>
      <c r="G2358" s="102"/>
      <c r="I2358" s="93"/>
      <c r="J2358" s="93"/>
    </row>
    <row r="2359" spans="1:10" s="65" customFormat="1" ht="14" x14ac:dyDescent="0.35">
      <c r="A2359" s="145"/>
      <c r="E2359" s="102"/>
      <c r="F2359" s="102"/>
      <c r="G2359" s="102"/>
      <c r="I2359" s="93"/>
      <c r="J2359" s="93"/>
    </row>
    <row r="2360" spans="1:10" s="65" customFormat="1" ht="14" x14ac:dyDescent="0.35">
      <c r="A2360" s="145"/>
      <c r="E2360" s="102"/>
      <c r="F2360" s="102"/>
      <c r="G2360" s="102"/>
      <c r="I2360" s="93"/>
      <c r="J2360" s="93"/>
    </row>
    <row r="2361" spans="1:10" s="65" customFormat="1" ht="14" x14ac:dyDescent="0.35">
      <c r="A2361" s="145"/>
      <c r="E2361" s="102"/>
      <c r="F2361" s="102"/>
      <c r="G2361" s="102"/>
      <c r="I2361" s="93"/>
      <c r="J2361" s="93"/>
    </row>
    <row r="2362" spans="1:10" s="65" customFormat="1" ht="14" x14ac:dyDescent="0.35">
      <c r="A2362" s="145"/>
      <c r="E2362" s="102"/>
      <c r="F2362" s="102"/>
      <c r="G2362" s="102"/>
      <c r="I2362" s="93"/>
      <c r="J2362" s="93"/>
    </row>
    <row r="2363" spans="1:10" s="65" customFormat="1" ht="14" x14ac:dyDescent="0.35">
      <c r="A2363" s="145"/>
      <c r="E2363" s="102"/>
      <c r="F2363" s="102"/>
      <c r="G2363" s="102"/>
      <c r="I2363" s="93"/>
      <c r="J2363" s="93"/>
    </row>
    <row r="2364" spans="1:10" s="65" customFormat="1" ht="14" x14ac:dyDescent="0.35">
      <c r="A2364" s="145"/>
      <c r="E2364" s="102"/>
      <c r="F2364" s="102"/>
      <c r="G2364" s="102"/>
      <c r="I2364" s="93"/>
      <c r="J2364" s="93"/>
    </row>
    <row r="2365" spans="1:10" s="65" customFormat="1" ht="14" x14ac:dyDescent="0.35">
      <c r="A2365" s="145"/>
      <c r="E2365" s="102"/>
      <c r="F2365" s="102"/>
      <c r="G2365" s="102"/>
      <c r="I2365" s="93"/>
      <c r="J2365" s="93"/>
    </row>
    <row r="2366" spans="1:10" s="65" customFormat="1" ht="14" x14ac:dyDescent="0.35">
      <c r="A2366" s="145"/>
      <c r="E2366" s="102"/>
      <c r="F2366" s="102"/>
      <c r="G2366" s="102"/>
      <c r="I2366" s="93"/>
      <c r="J2366" s="93"/>
    </row>
    <row r="2367" spans="1:10" s="65" customFormat="1" ht="14" x14ac:dyDescent="0.35">
      <c r="A2367" s="145"/>
      <c r="E2367" s="102"/>
      <c r="F2367" s="102"/>
      <c r="G2367" s="102"/>
      <c r="I2367" s="93"/>
      <c r="J2367" s="93"/>
    </row>
    <row r="2368" spans="1:10" s="65" customFormat="1" ht="14" x14ac:dyDescent="0.35">
      <c r="A2368" s="145"/>
      <c r="E2368" s="102"/>
      <c r="F2368" s="102"/>
      <c r="G2368" s="102"/>
      <c r="I2368" s="93"/>
      <c r="J2368" s="93"/>
    </row>
    <row r="2369" spans="1:10" s="65" customFormat="1" ht="14" x14ac:dyDescent="0.35">
      <c r="A2369" s="145"/>
      <c r="E2369" s="102"/>
      <c r="F2369" s="102"/>
      <c r="G2369" s="102"/>
      <c r="I2369" s="93"/>
      <c r="J2369" s="93"/>
    </row>
    <row r="2370" spans="1:10" s="65" customFormat="1" ht="14" x14ac:dyDescent="0.35">
      <c r="A2370" s="145"/>
      <c r="E2370" s="102"/>
      <c r="F2370" s="102"/>
      <c r="G2370" s="102"/>
      <c r="I2370" s="93"/>
      <c r="J2370" s="93"/>
    </row>
    <row r="2371" spans="1:10" s="65" customFormat="1" ht="14" x14ac:dyDescent="0.35">
      <c r="A2371" s="145"/>
      <c r="E2371" s="102"/>
      <c r="F2371" s="102"/>
      <c r="G2371" s="102"/>
      <c r="I2371" s="93"/>
      <c r="J2371" s="93"/>
    </row>
    <row r="2372" spans="1:10" s="65" customFormat="1" ht="14" x14ac:dyDescent="0.35">
      <c r="A2372" s="145"/>
      <c r="E2372" s="102"/>
      <c r="F2372" s="102"/>
      <c r="G2372" s="102"/>
      <c r="I2372" s="93"/>
      <c r="J2372" s="93"/>
    </row>
    <row r="2373" spans="1:10" s="65" customFormat="1" ht="14" x14ac:dyDescent="0.35">
      <c r="A2373" s="145"/>
      <c r="E2373" s="102"/>
      <c r="F2373" s="102"/>
      <c r="G2373" s="102"/>
      <c r="I2373" s="93"/>
      <c r="J2373" s="93"/>
    </row>
    <row r="2374" spans="1:10" s="65" customFormat="1" ht="14" x14ac:dyDescent="0.35">
      <c r="A2374" s="145"/>
      <c r="E2374" s="102"/>
      <c r="F2374" s="102"/>
      <c r="G2374" s="102"/>
      <c r="I2374" s="93"/>
      <c r="J2374" s="93"/>
    </row>
    <row r="2375" spans="1:10" s="65" customFormat="1" ht="14" x14ac:dyDescent="0.35">
      <c r="A2375" s="145"/>
      <c r="E2375" s="102"/>
      <c r="F2375" s="102"/>
      <c r="G2375" s="102"/>
      <c r="I2375" s="93"/>
      <c r="J2375" s="93"/>
    </row>
    <row r="2376" spans="1:10" s="65" customFormat="1" ht="14" x14ac:dyDescent="0.35">
      <c r="A2376" s="145"/>
      <c r="E2376" s="102"/>
      <c r="F2376" s="102"/>
      <c r="G2376" s="102"/>
      <c r="I2376" s="93"/>
      <c r="J2376" s="93"/>
    </row>
    <row r="2377" spans="1:10" s="65" customFormat="1" ht="14" x14ac:dyDescent="0.35">
      <c r="A2377" s="145"/>
      <c r="E2377" s="102"/>
      <c r="F2377" s="102"/>
      <c r="G2377" s="102"/>
      <c r="I2377" s="93"/>
      <c r="J2377" s="93"/>
    </row>
    <row r="2378" spans="1:10" s="65" customFormat="1" ht="14" x14ac:dyDescent="0.35">
      <c r="A2378" s="145"/>
      <c r="E2378" s="102"/>
      <c r="F2378" s="102"/>
      <c r="G2378" s="102"/>
      <c r="I2378" s="93"/>
      <c r="J2378" s="93"/>
    </row>
    <row r="2379" spans="1:10" s="65" customFormat="1" ht="14" x14ac:dyDescent="0.35">
      <c r="A2379" s="145"/>
      <c r="E2379" s="102"/>
      <c r="F2379" s="102"/>
      <c r="G2379" s="102"/>
      <c r="I2379" s="93"/>
      <c r="J2379" s="93"/>
    </row>
    <row r="2380" spans="1:10" s="65" customFormat="1" ht="14" x14ac:dyDescent="0.35">
      <c r="A2380" s="145"/>
      <c r="E2380" s="102"/>
      <c r="F2380" s="102"/>
      <c r="G2380" s="102"/>
      <c r="I2380" s="93"/>
      <c r="J2380" s="93"/>
    </row>
    <row r="2381" spans="1:10" s="65" customFormat="1" ht="14" x14ac:dyDescent="0.35">
      <c r="A2381" s="145"/>
      <c r="E2381" s="102"/>
      <c r="F2381" s="102"/>
      <c r="G2381" s="102"/>
      <c r="I2381" s="93"/>
      <c r="J2381" s="93"/>
    </row>
    <row r="2382" spans="1:10" s="65" customFormat="1" ht="14" x14ac:dyDescent="0.35">
      <c r="A2382" s="145"/>
      <c r="E2382" s="102"/>
      <c r="F2382" s="102"/>
      <c r="G2382" s="102"/>
      <c r="I2382" s="93"/>
      <c r="J2382" s="93"/>
    </row>
    <row r="2383" spans="1:10" s="65" customFormat="1" ht="14" x14ac:dyDescent="0.35">
      <c r="A2383" s="145"/>
      <c r="E2383" s="102"/>
      <c r="F2383" s="102"/>
      <c r="G2383" s="102"/>
      <c r="I2383" s="93"/>
      <c r="J2383" s="93"/>
    </row>
    <row r="2384" spans="1:10" s="65" customFormat="1" ht="14" x14ac:dyDescent="0.35">
      <c r="A2384" s="145"/>
      <c r="E2384" s="102"/>
      <c r="F2384" s="102"/>
      <c r="G2384" s="102"/>
      <c r="I2384" s="93"/>
      <c r="J2384" s="93"/>
    </row>
    <row r="2385" spans="1:10" s="65" customFormat="1" ht="14" x14ac:dyDescent="0.35">
      <c r="A2385" s="145"/>
      <c r="E2385" s="102"/>
      <c r="F2385" s="102"/>
      <c r="G2385" s="102"/>
      <c r="I2385" s="93"/>
      <c r="J2385" s="93"/>
    </row>
    <row r="2386" spans="1:10" s="65" customFormat="1" ht="14" x14ac:dyDescent="0.35">
      <c r="A2386" s="145"/>
      <c r="E2386" s="102"/>
      <c r="F2386" s="102"/>
      <c r="G2386" s="102"/>
      <c r="I2386" s="93"/>
      <c r="J2386" s="93"/>
    </row>
    <row r="2387" spans="1:10" s="65" customFormat="1" ht="14" x14ac:dyDescent="0.35">
      <c r="A2387" s="145"/>
      <c r="E2387" s="102"/>
      <c r="F2387" s="102"/>
      <c r="G2387" s="102"/>
      <c r="I2387" s="93"/>
      <c r="J2387" s="93"/>
    </row>
    <row r="2388" spans="1:10" s="65" customFormat="1" ht="14" x14ac:dyDescent="0.35">
      <c r="A2388" s="145"/>
      <c r="E2388" s="102"/>
      <c r="F2388" s="102"/>
      <c r="G2388" s="102"/>
      <c r="I2388" s="93"/>
      <c r="J2388" s="93"/>
    </row>
    <row r="2389" spans="1:10" s="65" customFormat="1" ht="14" x14ac:dyDescent="0.35">
      <c r="A2389" s="145"/>
      <c r="E2389" s="102"/>
      <c r="F2389" s="102"/>
      <c r="G2389" s="102"/>
      <c r="I2389" s="93"/>
      <c r="J2389" s="93"/>
    </row>
    <row r="2390" spans="1:10" s="65" customFormat="1" ht="14" x14ac:dyDescent="0.35">
      <c r="A2390" s="145"/>
      <c r="E2390" s="102"/>
      <c r="F2390" s="102"/>
      <c r="G2390" s="102"/>
      <c r="I2390" s="93"/>
      <c r="J2390" s="93"/>
    </row>
    <row r="2391" spans="1:10" s="65" customFormat="1" ht="14" x14ac:dyDescent="0.35">
      <c r="A2391" s="145"/>
      <c r="E2391" s="102"/>
      <c r="F2391" s="102"/>
      <c r="G2391" s="102"/>
      <c r="I2391" s="93"/>
      <c r="J2391" s="93"/>
    </row>
    <row r="2392" spans="1:10" s="65" customFormat="1" ht="14" x14ac:dyDescent="0.35">
      <c r="A2392" s="145"/>
      <c r="E2392" s="102"/>
      <c r="F2392" s="102"/>
      <c r="G2392" s="102"/>
      <c r="I2392" s="93"/>
      <c r="J2392" s="93"/>
    </row>
    <row r="2393" spans="1:10" s="65" customFormat="1" ht="14" x14ac:dyDescent="0.35">
      <c r="A2393" s="145"/>
      <c r="E2393" s="102"/>
      <c r="F2393" s="102"/>
      <c r="G2393" s="102"/>
      <c r="I2393" s="93"/>
      <c r="J2393" s="93"/>
    </row>
    <row r="2394" spans="1:10" s="65" customFormat="1" ht="14" x14ac:dyDescent="0.35">
      <c r="A2394" s="145"/>
      <c r="E2394" s="102"/>
      <c r="F2394" s="102"/>
      <c r="G2394" s="102"/>
      <c r="I2394" s="93"/>
      <c r="J2394" s="93"/>
    </row>
    <row r="2395" spans="1:10" s="65" customFormat="1" ht="14" x14ac:dyDescent="0.35">
      <c r="A2395" s="145"/>
      <c r="E2395" s="102"/>
      <c r="F2395" s="102"/>
      <c r="G2395" s="102"/>
      <c r="I2395" s="93"/>
      <c r="J2395" s="93"/>
    </row>
    <row r="2396" spans="1:10" s="65" customFormat="1" ht="14" x14ac:dyDescent="0.35">
      <c r="A2396" s="145"/>
      <c r="E2396" s="102"/>
      <c r="F2396" s="102"/>
      <c r="G2396" s="102"/>
      <c r="I2396" s="93"/>
      <c r="J2396" s="93"/>
    </row>
    <row r="2397" spans="1:10" s="65" customFormat="1" ht="14" x14ac:dyDescent="0.35">
      <c r="A2397" s="145"/>
      <c r="E2397" s="102"/>
      <c r="F2397" s="102"/>
      <c r="G2397" s="102"/>
      <c r="I2397" s="93"/>
      <c r="J2397" s="93"/>
    </row>
    <row r="2398" spans="1:10" s="65" customFormat="1" ht="14" x14ac:dyDescent="0.35">
      <c r="A2398" s="145"/>
      <c r="E2398" s="102"/>
      <c r="F2398" s="102"/>
      <c r="G2398" s="102"/>
      <c r="I2398" s="93"/>
      <c r="J2398" s="93"/>
    </row>
    <row r="2399" spans="1:10" s="65" customFormat="1" ht="14" x14ac:dyDescent="0.35">
      <c r="A2399" s="145"/>
      <c r="E2399" s="102"/>
      <c r="F2399" s="102"/>
      <c r="G2399" s="102"/>
      <c r="I2399" s="93"/>
      <c r="J2399" s="93"/>
    </row>
    <row r="2400" spans="1:10" s="65" customFormat="1" ht="14" x14ac:dyDescent="0.35">
      <c r="A2400" s="145"/>
      <c r="E2400" s="102"/>
      <c r="F2400" s="102"/>
      <c r="G2400" s="102"/>
      <c r="I2400" s="93"/>
      <c r="J2400" s="93"/>
    </row>
    <row r="2401" spans="1:10" s="65" customFormat="1" ht="14" x14ac:dyDescent="0.35">
      <c r="A2401" s="145"/>
      <c r="E2401" s="102"/>
      <c r="F2401" s="102"/>
      <c r="G2401" s="102"/>
      <c r="I2401" s="93"/>
      <c r="J2401" s="93"/>
    </row>
    <row r="2402" spans="1:10" s="65" customFormat="1" ht="14" x14ac:dyDescent="0.35">
      <c r="A2402" s="145"/>
      <c r="E2402" s="102"/>
      <c r="F2402" s="102"/>
      <c r="G2402" s="102"/>
      <c r="I2402" s="93"/>
      <c r="J2402" s="93"/>
    </row>
    <row r="2403" spans="1:10" s="65" customFormat="1" ht="14" x14ac:dyDescent="0.35">
      <c r="A2403" s="145"/>
      <c r="E2403" s="102"/>
      <c r="F2403" s="102"/>
      <c r="G2403" s="102"/>
      <c r="I2403" s="93"/>
      <c r="J2403" s="93"/>
    </row>
    <row r="2404" spans="1:10" s="65" customFormat="1" ht="14" x14ac:dyDescent="0.35">
      <c r="A2404" s="145"/>
      <c r="E2404" s="102"/>
      <c r="F2404" s="102"/>
      <c r="G2404" s="102"/>
      <c r="I2404" s="93"/>
      <c r="J2404" s="93"/>
    </row>
    <row r="2405" spans="1:10" s="65" customFormat="1" ht="14" x14ac:dyDescent="0.35">
      <c r="A2405" s="145"/>
      <c r="E2405" s="102"/>
      <c r="F2405" s="102"/>
      <c r="G2405" s="102"/>
      <c r="I2405" s="93"/>
      <c r="J2405" s="93"/>
    </row>
    <row r="2406" spans="1:10" s="65" customFormat="1" ht="14" x14ac:dyDescent="0.35">
      <c r="A2406" s="145"/>
      <c r="E2406" s="102"/>
      <c r="F2406" s="102"/>
      <c r="G2406" s="102"/>
      <c r="I2406" s="93"/>
      <c r="J2406" s="93"/>
    </row>
    <row r="2407" spans="1:10" s="65" customFormat="1" ht="14" x14ac:dyDescent="0.35">
      <c r="A2407" s="145"/>
      <c r="E2407" s="102"/>
      <c r="F2407" s="102"/>
      <c r="G2407" s="102"/>
      <c r="I2407" s="93"/>
      <c r="J2407" s="93"/>
    </row>
    <row r="2408" spans="1:10" s="65" customFormat="1" ht="14" x14ac:dyDescent="0.35">
      <c r="A2408" s="145"/>
      <c r="E2408" s="102"/>
      <c r="F2408" s="102"/>
      <c r="G2408" s="102"/>
      <c r="I2408" s="93"/>
      <c r="J2408" s="93"/>
    </row>
    <row r="2409" spans="1:10" s="65" customFormat="1" ht="14" x14ac:dyDescent="0.35">
      <c r="A2409" s="145"/>
      <c r="E2409" s="102"/>
      <c r="F2409" s="102"/>
      <c r="G2409" s="102"/>
      <c r="I2409" s="93"/>
      <c r="J2409" s="93"/>
    </row>
    <row r="2410" spans="1:10" s="65" customFormat="1" ht="14" x14ac:dyDescent="0.35">
      <c r="A2410" s="145"/>
      <c r="E2410" s="102"/>
      <c r="F2410" s="102"/>
      <c r="G2410" s="102"/>
      <c r="I2410" s="93"/>
      <c r="J2410" s="93"/>
    </row>
    <row r="2411" spans="1:10" s="65" customFormat="1" ht="14" x14ac:dyDescent="0.35">
      <c r="A2411" s="145"/>
      <c r="E2411" s="102"/>
      <c r="F2411" s="102"/>
      <c r="G2411" s="102"/>
      <c r="I2411" s="93"/>
      <c r="J2411" s="93"/>
    </row>
    <row r="2412" spans="1:10" s="65" customFormat="1" ht="14" x14ac:dyDescent="0.35">
      <c r="A2412" s="145"/>
      <c r="E2412" s="102"/>
      <c r="F2412" s="102"/>
      <c r="G2412" s="102"/>
      <c r="I2412" s="93"/>
      <c r="J2412" s="93"/>
    </row>
    <row r="2413" spans="1:10" s="65" customFormat="1" ht="14" x14ac:dyDescent="0.35">
      <c r="A2413" s="145"/>
      <c r="E2413" s="102"/>
      <c r="F2413" s="102"/>
      <c r="G2413" s="102"/>
      <c r="I2413" s="93"/>
      <c r="J2413" s="93"/>
    </row>
    <row r="2414" spans="1:10" s="65" customFormat="1" ht="14" x14ac:dyDescent="0.35">
      <c r="A2414" s="145"/>
      <c r="E2414" s="102"/>
      <c r="F2414" s="102"/>
      <c r="G2414" s="102"/>
      <c r="I2414" s="93"/>
      <c r="J2414" s="93"/>
    </row>
    <row r="2415" spans="1:10" s="65" customFormat="1" ht="14" x14ac:dyDescent="0.35">
      <c r="A2415" s="145"/>
      <c r="E2415" s="102"/>
      <c r="F2415" s="102"/>
      <c r="G2415" s="102"/>
      <c r="I2415" s="93"/>
      <c r="J2415" s="93"/>
    </row>
    <row r="2416" spans="1:10" s="65" customFormat="1" ht="14" x14ac:dyDescent="0.35">
      <c r="A2416" s="145"/>
      <c r="E2416" s="102"/>
      <c r="F2416" s="102"/>
      <c r="G2416" s="102"/>
      <c r="I2416" s="93"/>
      <c r="J2416" s="93"/>
    </row>
    <row r="2417" spans="1:10" s="65" customFormat="1" ht="14" x14ac:dyDescent="0.35">
      <c r="A2417" s="145"/>
      <c r="E2417" s="102"/>
      <c r="F2417" s="102"/>
      <c r="G2417" s="102"/>
      <c r="I2417" s="93"/>
      <c r="J2417" s="93"/>
    </row>
    <row r="2418" spans="1:10" s="65" customFormat="1" ht="14" x14ac:dyDescent="0.35">
      <c r="A2418" s="145"/>
      <c r="E2418" s="102"/>
      <c r="F2418" s="102"/>
      <c r="G2418" s="102"/>
      <c r="I2418" s="93"/>
      <c r="J2418" s="93"/>
    </row>
    <row r="2419" spans="1:10" s="65" customFormat="1" ht="14" x14ac:dyDescent="0.35">
      <c r="A2419" s="145"/>
      <c r="E2419" s="102"/>
      <c r="F2419" s="102"/>
      <c r="G2419" s="102"/>
      <c r="I2419" s="93"/>
      <c r="J2419" s="93"/>
    </row>
    <row r="2420" spans="1:10" s="65" customFormat="1" ht="14" x14ac:dyDescent="0.35">
      <c r="A2420" s="145"/>
      <c r="E2420" s="102"/>
      <c r="F2420" s="102"/>
      <c r="G2420" s="102"/>
      <c r="I2420" s="93"/>
      <c r="J2420" s="93"/>
    </row>
    <row r="2421" spans="1:10" s="65" customFormat="1" ht="14" x14ac:dyDescent="0.35">
      <c r="A2421" s="145"/>
      <c r="E2421" s="102"/>
      <c r="F2421" s="102"/>
      <c r="G2421" s="102"/>
      <c r="I2421" s="93"/>
      <c r="J2421" s="93"/>
    </row>
    <row r="2422" spans="1:10" s="65" customFormat="1" ht="14" x14ac:dyDescent="0.35">
      <c r="A2422" s="145"/>
      <c r="E2422" s="102"/>
      <c r="F2422" s="102"/>
      <c r="G2422" s="102"/>
      <c r="I2422" s="93"/>
      <c r="J2422" s="93"/>
    </row>
    <row r="2423" spans="1:10" s="65" customFormat="1" ht="14" x14ac:dyDescent="0.35">
      <c r="A2423" s="145"/>
      <c r="E2423" s="102"/>
      <c r="F2423" s="102"/>
      <c r="G2423" s="102"/>
      <c r="I2423" s="93"/>
      <c r="J2423" s="93"/>
    </row>
    <row r="2424" spans="1:10" s="65" customFormat="1" ht="14" x14ac:dyDescent="0.35">
      <c r="A2424" s="145"/>
      <c r="E2424" s="102"/>
      <c r="F2424" s="102"/>
      <c r="G2424" s="102"/>
      <c r="I2424" s="93"/>
      <c r="J2424" s="93"/>
    </row>
    <row r="2425" spans="1:10" s="65" customFormat="1" ht="14" x14ac:dyDescent="0.35">
      <c r="A2425" s="145"/>
      <c r="E2425" s="102"/>
      <c r="F2425" s="102"/>
      <c r="G2425" s="102"/>
      <c r="I2425" s="93"/>
      <c r="J2425" s="93"/>
    </row>
    <row r="2426" spans="1:10" s="65" customFormat="1" ht="14" x14ac:dyDescent="0.35">
      <c r="A2426" s="145"/>
      <c r="E2426" s="102"/>
      <c r="F2426" s="102"/>
      <c r="G2426" s="102"/>
      <c r="I2426" s="93"/>
      <c r="J2426" s="93"/>
    </row>
    <row r="2427" spans="1:10" s="65" customFormat="1" ht="14" x14ac:dyDescent="0.35">
      <c r="A2427" s="145"/>
      <c r="E2427" s="102"/>
      <c r="F2427" s="102"/>
      <c r="G2427" s="102"/>
      <c r="I2427" s="93"/>
      <c r="J2427" s="93"/>
    </row>
    <row r="2428" spans="1:10" s="65" customFormat="1" ht="14" x14ac:dyDescent="0.35">
      <c r="A2428" s="145"/>
      <c r="E2428" s="102"/>
      <c r="F2428" s="102"/>
      <c r="G2428" s="102"/>
      <c r="I2428" s="93"/>
      <c r="J2428" s="93"/>
    </row>
    <row r="2429" spans="1:10" s="65" customFormat="1" ht="14" x14ac:dyDescent="0.35">
      <c r="A2429" s="145"/>
      <c r="E2429" s="102"/>
      <c r="F2429" s="102"/>
      <c r="G2429" s="102"/>
      <c r="I2429" s="93"/>
      <c r="J2429" s="93"/>
    </row>
    <row r="2430" spans="1:10" s="65" customFormat="1" ht="14" x14ac:dyDescent="0.35">
      <c r="A2430" s="145"/>
      <c r="E2430" s="102"/>
      <c r="F2430" s="102"/>
      <c r="G2430" s="102"/>
      <c r="I2430" s="93"/>
      <c r="J2430" s="93"/>
    </row>
    <row r="2431" spans="1:10" s="65" customFormat="1" ht="14" x14ac:dyDescent="0.35">
      <c r="A2431" s="145"/>
      <c r="E2431" s="102"/>
      <c r="F2431" s="102"/>
      <c r="G2431" s="102"/>
      <c r="I2431" s="93"/>
      <c r="J2431" s="93"/>
    </row>
    <row r="2432" spans="1:10" s="65" customFormat="1" ht="14" x14ac:dyDescent="0.35">
      <c r="A2432" s="145"/>
      <c r="E2432" s="102"/>
      <c r="F2432" s="102"/>
      <c r="G2432" s="102"/>
      <c r="I2432" s="93"/>
      <c r="J2432" s="93"/>
    </row>
    <row r="2433" spans="1:10" s="65" customFormat="1" ht="14" x14ac:dyDescent="0.35">
      <c r="A2433" s="145"/>
      <c r="E2433" s="102"/>
      <c r="F2433" s="102"/>
      <c r="G2433" s="102"/>
      <c r="I2433" s="93"/>
      <c r="J2433" s="93"/>
    </row>
    <row r="2434" spans="1:10" s="65" customFormat="1" ht="14" x14ac:dyDescent="0.35">
      <c r="A2434" s="145"/>
      <c r="E2434" s="102"/>
      <c r="F2434" s="102"/>
      <c r="G2434" s="102"/>
      <c r="I2434" s="93"/>
      <c r="J2434" s="93"/>
    </row>
    <row r="2435" spans="1:10" s="65" customFormat="1" ht="14" x14ac:dyDescent="0.35">
      <c r="A2435" s="145"/>
      <c r="E2435" s="102"/>
      <c r="F2435" s="102"/>
      <c r="G2435" s="102"/>
      <c r="I2435" s="93"/>
      <c r="J2435" s="93"/>
    </row>
    <row r="2436" spans="1:10" s="65" customFormat="1" ht="14" x14ac:dyDescent="0.35">
      <c r="A2436" s="145"/>
      <c r="E2436" s="102"/>
      <c r="F2436" s="102"/>
      <c r="G2436" s="102"/>
      <c r="I2436" s="93"/>
      <c r="J2436" s="93"/>
    </row>
    <row r="2437" spans="1:10" s="65" customFormat="1" ht="14" x14ac:dyDescent="0.35">
      <c r="A2437" s="145"/>
      <c r="E2437" s="102"/>
      <c r="F2437" s="102"/>
      <c r="G2437" s="102"/>
      <c r="I2437" s="93"/>
      <c r="J2437" s="93"/>
    </row>
    <row r="2438" spans="1:10" s="65" customFormat="1" ht="14" x14ac:dyDescent="0.35">
      <c r="A2438" s="145"/>
      <c r="E2438" s="102"/>
      <c r="F2438" s="102"/>
      <c r="G2438" s="102"/>
      <c r="I2438" s="93"/>
      <c r="J2438" s="93"/>
    </row>
    <row r="2439" spans="1:10" s="65" customFormat="1" ht="14" x14ac:dyDescent="0.35">
      <c r="A2439" s="145"/>
      <c r="E2439" s="102"/>
      <c r="F2439" s="102"/>
      <c r="G2439" s="102"/>
      <c r="I2439" s="93"/>
      <c r="J2439" s="93"/>
    </row>
    <row r="2440" spans="1:10" s="65" customFormat="1" ht="14" x14ac:dyDescent="0.35">
      <c r="A2440" s="145"/>
      <c r="E2440" s="102"/>
      <c r="F2440" s="102"/>
      <c r="G2440" s="102"/>
      <c r="I2440" s="93"/>
      <c r="J2440" s="93"/>
    </row>
    <row r="2441" spans="1:10" s="65" customFormat="1" ht="14" x14ac:dyDescent="0.35">
      <c r="A2441" s="145"/>
      <c r="E2441" s="102"/>
      <c r="F2441" s="102"/>
      <c r="G2441" s="102"/>
      <c r="I2441" s="93"/>
      <c r="J2441" s="93"/>
    </row>
    <row r="2442" spans="1:10" s="65" customFormat="1" ht="14" x14ac:dyDescent="0.35">
      <c r="A2442" s="145"/>
      <c r="E2442" s="102"/>
      <c r="F2442" s="102"/>
      <c r="G2442" s="102"/>
      <c r="I2442" s="93"/>
      <c r="J2442" s="93"/>
    </row>
    <row r="2443" spans="1:10" s="65" customFormat="1" ht="14" x14ac:dyDescent="0.35">
      <c r="A2443" s="145"/>
      <c r="E2443" s="102"/>
      <c r="F2443" s="102"/>
      <c r="G2443" s="102"/>
      <c r="I2443" s="93"/>
      <c r="J2443" s="93"/>
    </row>
    <row r="2444" spans="1:10" s="65" customFormat="1" ht="14" x14ac:dyDescent="0.35">
      <c r="A2444" s="145"/>
      <c r="E2444" s="102"/>
      <c r="F2444" s="102"/>
      <c r="G2444" s="102"/>
      <c r="I2444" s="93"/>
      <c r="J2444" s="93"/>
    </row>
    <row r="2445" spans="1:10" s="65" customFormat="1" ht="14" x14ac:dyDescent="0.35">
      <c r="A2445" s="145"/>
      <c r="E2445" s="102"/>
      <c r="F2445" s="102"/>
      <c r="G2445" s="102"/>
      <c r="I2445" s="93"/>
      <c r="J2445" s="93"/>
    </row>
    <row r="2446" spans="1:10" s="65" customFormat="1" ht="14" x14ac:dyDescent="0.35">
      <c r="A2446" s="145"/>
      <c r="E2446" s="102"/>
      <c r="F2446" s="102"/>
      <c r="G2446" s="102"/>
      <c r="I2446" s="93"/>
      <c r="J2446" s="93"/>
    </row>
    <row r="2447" spans="1:10" s="65" customFormat="1" ht="14" x14ac:dyDescent="0.35">
      <c r="A2447" s="145"/>
      <c r="E2447" s="102"/>
      <c r="F2447" s="102"/>
      <c r="G2447" s="102"/>
      <c r="I2447" s="93"/>
      <c r="J2447" s="93"/>
    </row>
    <row r="2448" spans="1:10" s="65" customFormat="1" ht="14" x14ac:dyDescent="0.35">
      <c r="A2448" s="145"/>
      <c r="E2448" s="102"/>
      <c r="F2448" s="102"/>
      <c r="G2448" s="102"/>
      <c r="I2448" s="93"/>
      <c r="J2448" s="93"/>
    </row>
    <row r="2449" spans="1:10" s="65" customFormat="1" ht="14" x14ac:dyDescent="0.35">
      <c r="A2449" s="145"/>
      <c r="E2449" s="102"/>
      <c r="F2449" s="102"/>
      <c r="G2449" s="102"/>
      <c r="I2449" s="93"/>
      <c r="J2449" s="93"/>
    </row>
    <row r="2450" spans="1:10" s="65" customFormat="1" ht="14" x14ac:dyDescent="0.35">
      <c r="A2450" s="145"/>
      <c r="E2450" s="102"/>
      <c r="F2450" s="102"/>
      <c r="G2450" s="102"/>
      <c r="I2450" s="93"/>
      <c r="J2450" s="93"/>
    </row>
    <row r="2451" spans="1:10" s="65" customFormat="1" ht="14" x14ac:dyDescent="0.35">
      <c r="A2451" s="145"/>
      <c r="E2451" s="102"/>
      <c r="F2451" s="102"/>
      <c r="G2451" s="102"/>
      <c r="I2451" s="93"/>
      <c r="J2451" s="93"/>
    </row>
    <row r="2452" spans="1:10" s="65" customFormat="1" ht="14" x14ac:dyDescent="0.35">
      <c r="A2452" s="145"/>
      <c r="E2452" s="102"/>
      <c r="F2452" s="102"/>
      <c r="G2452" s="102"/>
      <c r="I2452" s="93"/>
      <c r="J2452" s="93"/>
    </row>
    <row r="2453" spans="1:10" s="65" customFormat="1" ht="14" x14ac:dyDescent="0.35">
      <c r="A2453" s="145"/>
      <c r="E2453" s="102"/>
      <c r="F2453" s="102"/>
      <c r="G2453" s="102"/>
      <c r="I2453" s="93"/>
      <c r="J2453" s="93"/>
    </row>
    <row r="2454" spans="1:10" s="65" customFormat="1" ht="14" x14ac:dyDescent="0.35">
      <c r="A2454" s="145"/>
      <c r="E2454" s="102"/>
      <c r="F2454" s="102"/>
      <c r="G2454" s="102"/>
      <c r="I2454" s="93"/>
      <c r="J2454" s="93"/>
    </row>
    <row r="2455" spans="1:10" s="65" customFormat="1" ht="14" x14ac:dyDescent="0.35">
      <c r="A2455" s="145"/>
      <c r="E2455" s="102"/>
      <c r="F2455" s="102"/>
      <c r="G2455" s="102"/>
      <c r="I2455" s="93"/>
      <c r="J2455" s="93"/>
    </row>
    <row r="2456" spans="1:10" s="65" customFormat="1" ht="14" x14ac:dyDescent="0.35">
      <c r="A2456" s="145"/>
      <c r="E2456" s="102"/>
      <c r="F2456" s="102"/>
      <c r="G2456" s="102"/>
      <c r="I2456" s="93"/>
      <c r="J2456" s="93"/>
    </row>
    <row r="2457" spans="1:10" s="65" customFormat="1" ht="14" x14ac:dyDescent="0.35">
      <c r="A2457" s="145"/>
      <c r="E2457" s="102"/>
      <c r="F2457" s="102"/>
      <c r="G2457" s="102"/>
      <c r="I2457" s="93"/>
      <c r="J2457" s="93"/>
    </row>
    <row r="2458" spans="1:10" s="65" customFormat="1" ht="14" x14ac:dyDescent="0.35">
      <c r="A2458" s="145"/>
      <c r="E2458" s="102"/>
      <c r="F2458" s="102"/>
      <c r="G2458" s="102"/>
      <c r="I2458" s="93"/>
      <c r="J2458" s="93"/>
    </row>
    <row r="2459" spans="1:10" s="65" customFormat="1" ht="14" x14ac:dyDescent="0.35">
      <c r="A2459" s="145"/>
      <c r="E2459" s="102"/>
      <c r="F2459" s="102"/>
      <c r="G2459" s="102"/>
      <c r="I2459" s="93"/>
      <c r="J2459" s="93"/>
    </row>
    <row r="2460" spans="1:10" s="65" customFormat="1" ht="14" x14ac:dyDescent="0.35">
      <c r="A2460" s="145"/>
      <c r="E2460" s="102"/>
      <c r="F2460" s="102"/>
      <c r="G2460" s="102"/>
      <c r="I2460" s="93"/>
      <c r="J2460" s="93"/>
    </row>
    <row r="2461" spans="1:10" s="65" customFormat="1" ht="14" x14ac:dyDescent="0.35">
      <c r="A2461" s="145"/>
      <c r="E2461" s="102"/>
      <c r="F2461" s="102"/>
      <c r="G2461" s="102"/>
      <c r="I2461" s="93"/>
      <c r="J2461" s="93"/>
    </row>
    <row r="2462" spans="1:10" s="65" customFormat="1" ht="14" x14ac:dyDescent="0.35">
      <c r="A2462" s="145"/>
      <c r="E2462" s="102"/>
      <c r="F2462" s="102"/>
      <c r="G2462" s="102"/>
      <c r="I2462" s="93"/>
      <c r="J2462" s="93"/>
    </row>
    <row r="2463" spans="1:10" s="65" customFormat="1" ht="14" x14ac:dyDescent="0.35">
      <c r="A2463" s="145"/>
      <c r="E2463" s="102"/>
      <c r="F2463" s="102"/>
      <c r="G2463" s="102"/>
      <c r="I2463" s="93"/>
      <c r="J2463" s="93"/>
    </row>
    <row r="2464" spans="1:10" s="65" customFormat="1" ht="14" x14ac:dyDescent="0.35">
      <c r="A2464" s="145"/>
      <c r="E2464" s="102"/>
      <c r="F2464" s="102"/>
      <c r="G2464" s="102"/>
      <c r="I2464" s="93"/>
      <c r="J2464" s="93"/>
    </row>
    <row r="2465" spans="1:10" s="65" customFormat="1" ht="14" x14ac:dyDescent="0.35">
      <c r="A2465" s="145"/>
      <c r="E2465" s="102"/>
      <c r="F2465" s="102"/>
      <c r="G2465" s="102"/>
      <c r="I2465" s="93"/>
      <c r="J2465" s="93"/>
    </row>
    <row r="2466" spans="1:10" s="65" customFormat="1" ht="14" x14ac:dyDescent="0.35">
      <c r="A2466" s="145"/>
      <c r="E2466" s="102"/>
      <c r="F2466" s="102"/>
      <c r="G2466" s="102"/>
      <c r="I2466" s="93"/>
      <c r="J2466" s="93"/>
    </row>
    <row r="2467" spans="1:10" s="65" customFormat="1" ht="14" x14ac:dyDescent="0.35">
      <c r="A2467" s="145"/>
      <c r="E2467" s="102"/>
      <c r="F2467" s="102"/>
      <c r="G2467" s="102"/>
      <c r="I2467" s="93"/>
      <c r="J2467" s="93"/>
    </row>
    <row r="2468" spans="1:10" s="65" customFormat="1" ht="14" x14ac:dyDescent="0.35">
      <c r="A2468" s="145"/>
      <c r="E2468" s="102"/>
      <c r="F2468" s="102"/>
      <c r="G2468" s="102"/>
      <c r="I2468" s="93"/>
      <c r="J2468" s="93"/>
    </row>
    <row r="2469" spans="1:10" s="65" customFormat="1" ht="14" x14ac:dyDescent="0.35">
      <c r="A2469" s="145"/>
      <c r="E2469" s="102"/>
      <c r="F2469" s="102"/>
      <c r="G2469" s="102"/>
      <c r="I2469" s="93"/>
      <c r="J2469" s="93"/>
    </row>
    <row r="2470" spans="1:10" s="65" customFormat="1" ht="14" x14ac:dyDescent="0.35">
      <c r="A2470" s="145"/>
      <c r="E2470" s="102"/>
      <c r="F2470" s="102"/>
      <c r="G2470" s="102"/>
      <c r="I2470" s="93"/>
      <c r="J2470" s="93"/>
    </row>
    <row r="2471" spans="1:10" s="65" customFormat="1" ht="14" x14ac:dyDescent="0.35">
      <c r="A2471" s="145"/>
      <c r="E2471" s="102"/>
      <c r="F2471" s="102"/>
      <c r="G2471" s="102"/>
      <c r="I2471" s="93"/>
      <c r="J2471" s="93"/>
    </row>
    <row r="2472" spans="1:10" s="65" customFormat="1" ht="14" x14ac:dyDescent="0.35">
      <c r="A2472" s="145"/>
      <c r="E2472" s="102"/>
      <c r="F2472" s="102"/>
      <c r="G2472" s="102"/>
      <c r="I2472" s="93"/>
      <c r="J2472" s="93"/>
    </row>
    <row r="2473" spans="1:10" s="65" customFormat="1" ht="14" x14ac:dyDescent="0.35">
      <c r="A2473" s="145"/>
      <c r="E2473" s="102"/>
      <c r="F2473" s="102"/>
      <c r="G2473" s="102"/>
      <c r="I2473" s="93"/>
      <c r="J2473" s="93"/>
    </row>
    <row r="2474" spans="1:10" s="65" customFormat="1" ht="14" x14ac:dyDescent="0.35">
      <c r="A2474" s="145"/>
      <c r="E2474" s="102"/>
      <c r="F2474" s="102"/>
      <c r="G2474" s="102"/>
      <c r="I2474" s="93"/>
      <c r="J2474" s="93"/>
    </row>
    <row r="2475" spans="1:10" s="65" customFormat="1" ht="14" x14ac:dyDescent="0.35">
      <c r="A2475" s="145"/>
      <c r="E2475" s="102"/>
      <c r="F2475" s="102"/>
      <c r="G2475" s="102"/>
      <c r="I2475" s="93"/>
      <c r="J2475" s="93"/>
    </row>
    <row r="2476" spans="1:10" s="65" customFormat="1" ht="14" x14ac:dyDescent="0.35">
      <c r="A2476" s="145"/>
      <c r="E2476" s="102"/>
      <c r="F2476" s="102"/>
      <c r="G2476" s="102"/>
      <c r="I2476" s="93"/>
      <c r="J2476" s="93"/>
    </row>
    <row r="2477" spans="1:10" s="65" customFormat="1" ht="14" x14ac:dyDescent="0.35">
      <c r="A2477" s="145"/>
      <c r="E2477" s="102"/>
      <c r="F2477" s="102"/>
      <c r="G2477" s="102"/>
      <c r="I2477" s="93"/>
      <c r="J2477" s="93"/>
    </row>
    <row r="2478" spans="1:10" s="65" customFormat="1" ht="14" x14ac:dyDescent="0.35">
      <c r="A2478" s="145"/>
      <c r="E2478" s="102"/>
      <c r="F2478" s="102"/>
      <c r="G2478" s="102"/>
      <c r="I2478" s="93"/>
      <c r="J2478" s="93"/>
    </row>
    <row r="2479" spans="1:10" s="65" customFormat="1" ht="14" x14ac:dyDescent="0.35">
      <c r="A2479" s="145"/>
      <c r="E2479" s="102"/>
      <c r="F2479" s="102"/>
      <c r="G2479" s="102"/>
      <c r="I2479" s="93"/>
      <c r="J2479" s="93"/>
    </row>
    <row r="2480" spans="1:10" s="65" customFormat="1" ht="14" x14ac:dyDescent="0.35">
      <c r="A2480" s="145"/>
      <c r="E2480" s="102"/>
      <c r="F2480" s="102"/>
      <c r="G2480" s="102"/>
      <c r="I2480" s="93"/>
      <c r="J2480" s="93"/>
    </row>
    <row r="2481" spans="1:10" s="65" customFormat="1" ht="14" x14ac:dyDescent="0.35">
      <c r="A2481" s="145"/>
      <c r="E2481" s="102"/>
      <c r="F2481" s="102"/>
      <c r="G2481" s="102"/>
      <c r="I2481" s="93"/>
      <c r="J2481" s="93"/>
    </row>
    <row r="2482" spans="1:10" s="65" customFormat="1" ht="14" x14ac:dyDescent="0.35">
      <c r="A2482" s="145"/>
      <c r="E2482" s="102"/>
      <c r="F2482" s="102"/>
      <c r="G2482" s="102"/>
      <c r="I2482" s="93"/>
      <c r="J2482" s="93"/>
    </row>
    <row r="2483" spans="1:10" s="65" customFormat="1" ht="14" x14ac:dyDescent="0.35">
      <c r="A2483" s="145"/>
      <c r="E2483" s="102"/>
      <c r="F2483" s="102"/>
      <c r="G2483" s="102"/>
      <c r="I2483" s="93"/>
      <c r="J2483" s="93"/>
    </row>
    <row r="2484" spans="1:10" s="65" customFormat="1" ht="14" x14ac:dyDescent="0.35">
      <c r="A2484" s="145"/>
      <c r="E2484" s="102"/>
      <c r="F2484" s="102"/>
      <c r="G2484" s="102"/>
      <c r="I2484" s="93"/>
      <c r="J2484" s="93"/>
    </row>
    <row r="2485" spans="1:10" s="65" customFormat="1" ht="14" x14ac:dyDescent="0.35">
      <c r="A2485" s="145"/>
      <c r="E2485" s="102"/>
      <c r="F2485" s="102"/>
      <c r="G2485" s="102"/>
      <c r="I2485" s="93"/>
      <c r="J2485" s="93"/>
    </row>
    <row r="2486" spans="1:10" s="65" customFormat="1" ht="14" x14ac:dyDescent="0.35">
      <c r="A2486" s="145"/>
      <c r="E2486" s="102"/>
      <c r="F2486" s="102"/>
      <c r="G2486" s="102"/>
      <c r="I2486" s="93"/>
      <c r="J2486" s="93"/>
    </row>
    <row r="2487" spans="1:10" s="65" customFormat="1" ht="14" x14ac:dyDescent="0.35">
      <c r="A2487" s="145"/>
      <c r="E2487" s="102"/>
      <c r="F2487" s="102"/>
      <c r="G2487" s="102"/>
      <c r="I2487" s="93"/>
      <c r="J2487" s="93"/>
    </row>
    <row r="2488" spans="1:10" s="65" customFormat="1" ht="14" x14ac:dyDescent="0.35">
      <c r="A2488" s="145"/>
      <c r="E2488" s="102"/>
      <c r="F2488" s="102"/>
      <c r="G2488" s="102"/>
      <c r="I2488" s="93"/>
      <c r="J2488" s="93"/>
    </row>
    <row r="2489" spans="1:10" s="65" customFormat="1" ht="14" x14ac:dyDescent="0.35">
      <c r="A2489" s="145"/>
      <c r="E2489" s="102"/>
      <c r="F2489" s="102"/>
      <c r="G2489" s="102"/>
      <c r="I2489" s="93"/>
      <c r="J2489" s="93"/>
    </row>
    <row r="2490" spans="1:10" s="65" customFormat="1" ht="14" x14ac:dyDescent="0.35">
      <c r="A2490" s="145"/>
      <c r="E2490" s="102"/>
      <c r="F2490" s="102"/>
      <c r="G2490" s="102"/>
      <c r="I2490" s="93"/>
      <c r="J2490" s="93"/>
    </row>
    <row r="2491" spans="1:10" s="65" customFormat="1" ht="14" x14ac:dyDescent="0.35">
      <c r="A2491" s="145"/>
      <c r="E2491" s="102"/>
      <c r="F2491" s="102"/>
      <c r="G2491" s="102"/>
      <c r="I2491" s="93"/>
      <c r="J2491" s="93"/>
    </row>
    <row r="2492" spans="1:10" s="65" customFormat="1" ht="14" x14ac:dyDescent="0.35">
      <c r="A2492" s="145"/>
      <c r="E2492" s="102"/>
      <c r="F2492" s="102"/>
      <c r="G2492" s="102"/>
      <c r="I2492" s="93"/>
      <c r="J2492" s="93"/>
    </row>
    <row r="2493" spans="1:10" s="65" customFormat="1" ht="14" x14ac:dyDescent="0.35">
      <c r="A2493" s="145"/>
      <c r="E2493" s="102"/>
      <c r="F2493" s="102"/>
      <c r="G2493" s="102"/>
      <c r="I2493" s="93"/>
      <c r="J2493" s="93"/>
    </row>
    <row r="2494" spans="1:10" s="65" customFormat="1" ht="14" x14ac:dyDescent="0.35">
      <c r="A2494" s="145"/>
      <c r="E2494" s="102"/>
      <c r="F2494" s="102"/>
      <c r="G2494" s="102"/>
      <c r="I2494" s="93"/>
      <c r="J2494" s="93"/>
    </row>
    <row r="2495" spans="1:10" s="65" customFormat="1" ht="14" x14ac:dyDescent="0.35">
      <c r="A2495" s="145"/>
      <c r="E2495" s="102"/>
      <c r="F2495" s="102"/>
      <c r="G2495" s="102"/>
      <c r="I2495" s="93"/>
      <c r="J2495" s="93"/>
    </row>
    <row r="2496" spans="1:10" s="65" customFormat="1" ht="14" x14ac:dyDescent="0.35">
      <c r="A2496" s="145"/>
      <c r="E2496" s="102"/>
      <c r="F2496" s="102"/>
      <c r="G2496" s="102"/>
      <c r="I2496" s="93"/>
      <c r="J2496" s="93"/>
    </row>
    <row r="2497" spans="1:10" s="65" customFormat="1" ht="14" x14ac:dyDescent="0.35">
      <c r="A2497" s="145"/>
      <c r="E2497" s="102"/>
      <c r="F2497" s="102"/>
      <c r="G2497" s="102"/>
      <c r="I2497" s="93"/>
      <c r="J2497" s="93"/>
    </row>
    <row r="2498" spans="1:10" s="65" customFormat="1" ht="14" x14ac:dyDescent="0.35">
      <c r="A2498" s="145"/>
      <c r="E2498" s="102"/>
      <c r="F2498" s="102"/>
      <c r="G2498" s="102"/>
      <c r="I2498" s="93"/>
      <c r="J2498" s="93"/>
    </row>
    <row r="2499" spans="1:10" s="65" customFormat="1" ht="14" x14ac:dyDescent="0.35">
      <c r="A2499" s="145"/>
      <c r="E2499" s="102"/>
      <c r="F2499" s="102"/>
      <c r="G2499" s="102"/>
      <c r="I2499" s="93"/>
      <c r="J2499" s="93"/>
    </row>
    <row r="2500" spans="1:10" s="65" customFormat="1" ht="14" x14ac:dyDescent="0.35">
      <c r="A2500" s="145"/>
      <c r="E2500" s="102"/>
      <c r="F2500" s="102"/>
      <c r="G2500" s="102"/>
      <c r="I2500" s="93"/>
      <c r="J2500" s="93"/>
    </row>
    <row r="2501" spans="1:10" s="65" customFormat="1" ht="14" x14ac:dyDescent="0.35">
      <c r="A2501" s="145"/>
      <c r="E2501" s="102"/>
      <c r="F2501" s="102"/>
      <c r="G2501" s="102"/>
      <c r="I2501" s="93"/>
      <c r="J2501" s="93"/>
    </row>
    <row r="2502" spans="1:10" s="65" customFormat="1" ht="14" x14ac:dyDescent="0.35">
      <c r="A2502" s="145"/>
      <c r="E2502" s="102"/>
      <c r="F2502" s="102"/>
      <c r="G2502" s="102"/>
      <c r="I2502" s="93"/>
      <c r="J2502" s="93"/>
    </row>
    <row r="2503" spans="1:10" s="65" customFormat="1" ht="14" x14ac:dyDescent="0.35">
      <c r="A2503" s="145"/>
      <c r="E2503" s="102"/>
      <c r="F2503" s="102"/>
      <c r="G2503" s="102"/>
      <c r="I2503" s="93"/>
      <c r="J2503" s="93"/>
    </row>
    <row r="2504" spans="1:10" s="65" customFormat="1" ht="14" x14ac:dyDescent="0.35">
      <c r="A2504" s="145"/>
      <c r="E2504" s="102"/>
      <c r="F2504" s="102"/>
      <c r="G2504" s="102"/>
      <c r="I2504" s="93"/>
      <c r="J2504" s="93"/>
    </row>
    <row r="2505" spans="1:10" s="65" customFormat="1" ht="14" x14ac:dyDescent="0.35">
      <c r="A2505" s="145"/>
      <c r="E2505" s="102"/>
      <c r="F2505" s="102"/>
      <c r="G2505" s="102"/>
      <c r="I2505" s="93"/>
      <c r="J2505" s="93"/>
    </row>
    <row r="2506" spans="1:10" s="65" customFormat="1" ht="14" x14ac:dyDescent="0.35">
      <c r="A2506" s="145"/>
      <c r="E2506" s="102"/>
      <c r="F2506" s="102"/>
      <c r="G2506" s="102"/>
      <c r="I2506" s="93"/>
      <c r="J2506" s="93"/>
    </row>
    <row r="2507" spans="1:10" s="65" customFormat="1" ht="14" x14ac:dyDescent="0.35">
      <c r="A2507" s="145"/>
      <c r="E2507" s="102"/>
      <c r="F2507" s="102"/>
      <c r="G2507" s="102"/>
      <c r="I2507" s="93"/>
      <c r="J2507" s="93"/>
    </row>
    <row r="2508" spans="1:10" s="65" customFormat="1" ht="14" x14ac:dyDescent="0.35">
      <c r="A2508" s="145"/>
      <c r="E2508" s="102"/>
      <c r="F2508" s="102"/>
      <c r="G2508" s="102"/>
      <c r="I2508" s="93"/>
      <c r="J2508" s="93"/>
    </row>
    <row r="2509" spans="1:10" s="65" customFormat="1" ht="14" x14ac:dyDescent="0.35">
      <c r="A2509" s="145"/>
      <c r="E2509" s="102"/>
      <c r="F2509" s="102"/>
      <c r="G2509" s="102"/>
      <c r="I2509" s="93"/>
      <c r="J2509" s="93"/>
    </row>
    <row r="2510" spans="1:10" s="65" customFormat="1" ht="14" x14ac:dyDescent="0.35">
      <c r="A2510" s="145"/>
      <c r="E2510" s="102"/>
      <c r="F2510" s="102"/>
      <c r="G2510" s="102"/>
      <c r="I2510" s="93"/>
      <c r="J2510" s="93"/>
    </row>
    <row r="2511" spans="1:10" s="65" customFormat="1" ht="14" x14ac:dyDescent="0.35">
      <c r="A2511" s="145"/>
      <c r="E2511" s="102"/>
      <c r="F2511" s="102"/>
      <c r="G2511" s="102"/>
      <c r="I2511" s="93"/>
      <c r="J2511" s="93"/>
    </row>
    <row r="2512" spans="1:10" s="65" customFormat="1" ht="14" x14ac:dyDescent="0.35">
      <c r="A2512" s="145"/>
      <c r="E2512" s="102"/>
      <c r="F2512" s="102"/>
      <c r="G2512" s="102"/>
      <c r="I2512" s="93"/>
      <c r="J2512" s="93"/>
    </row>
    <row r="2513" spans="1:10" s="65" customFormat="1" ht="14" x14ac:dyDescent="0.35">
      <c r="A2513" s="145"/>
      <c r="E2513" s="102"/>
      <c r="F2513" s="102"/>
      <c r="G2513" s="102"/>
      <c r="I2513" s="93"/>
      <c r="J2513" s="93"/>
    </row>
    <row r="2514" spans="1:10" s="65" customFormat="1" ht="14" x14ac:dyDescent="0.35">
      <c r="A2514" s="145"/>
      <c r="E2514" s="102"/>
      <c r="F2514" s="102"/>
      <c r="G2514" s="102"/>
      <c r="I2514" s="93"/>
      <c r="J2514" s="93"/>
    </row>
    <row r="2515" spans="1:10" s="65" customFormat="1" ht="14" x14ac:dyDescent="0.35">
      <c r="A2515" s="145"/>
      <c r="E2515" s="102"/>
      <c r="F2515" s="102"/>
      <c r="G2515" s="102"/>
      <c r="I2515" s="93"/>
      <c r="J2515" s="93"/>
    </row>
    <row r="2516" spans="1:10" s="65" customFormat="1" ht="14" x14ac:dyDescent="0.35">
      <c r="A2516" s="145"/>
      <c r="E2516" s="102"/>
      <c r="F2516" s="102"/>
      <c r="G2516" s="102"/>
      <c r="I2516" s="93"/>
      <c r="J2516" s="93"/>
    </row>
    <row r="2517" spans="1:10" s="65" customFormat="1" ht="14" x14ac:dyDescent="0.35">
      <c r="A2517" s="145"/>
      <c r="E2517" s="102"/>
      <c r="F2517" s="102"/>
      <c r="G2517" s="102"/>
      <c r="I2517" s="93"/>
      <c r="J2517" s="93"/>
    </row>
    <row r="2518" spans="1:10" s="65" customFormat="1" ht="14" x14ac:dyDescent="0.35">
      <c r="A2518" s="145"/>
      <c r="E2518" s="102"/>
      <c r="F2518" s="102"/>
      <c r="G2518" s="102"/>
      <c r="I2518" s="93"/>
      <c r="J2518" s="93"/>
    </row>
    <row r="2519" spans="1:10" s="65" customFormat="1" ht="14" x14ac:dyDescent="0.35">
      <c r="A2519" s="145"/>
      <c r="E2519" s="102"/>
      <c r="F2519" s="102"/>
      <c r="G2519" s="102"/>
      <c r="I2519" s="93"/>
      <c r="J2519" s="93"/>
    </row>
    <row r="2520" spans="1:10" s="65" customFormat="1" ht="14" x14ac:dyDescent="0.35">
      <c r="A2520" s="145"/>
      <c r="E2520" s="102"/>
      <c r="F2520" s="102"/>
      <c r="G2520" s="102"/>
      <c r="I2520" s="93"/>
      <c r="J2520" s="93"/>
    </row>
    <row r="2521" spans="1:10" s="65" customFormat="1" ht="14" x14ac:dyDescent="0.35">
      <c r="A2521" s="145"/>
      <c r="E2521" s="102"/>
      <c r="F2521" s="102"/>
      <c r="G2521" s="102"/>
      <c r="I2521" s="93"/>
      <c r="J2521" s="93"/>
    </row>
    <row r="2522" spans="1:10" s="65" customFormat="1" ht="14" x14ac:dyDescent="0.35">
      <c r="A2522" s="145"/>
      <c r="E2522" s="102"/>
      <c r="F2522" s="102"/>
      <c r="G2522" s="102"/>
      <c r="I2522" s="93"/>
      <c r="J2522" s="93"/>
    </row>
    <row r="2523" spans="1:10" s="65" customFormat="1" ht="14" x14ac:dyDescent="0.35">
      <c r="A2523" s="145"/>
      <c r="E2523" s="102"/>
      <c r="F2523" s="102"/>
      <c r="G2523" s="102"/>
      <c r="I2523" s="93"/>
      <c r="J2523" s="93"/>
    </row>
    <row r="2524" spans="1:10" s="65" customFormat="1" ht="14" x14ac:dyDescent="0.35">
      <c r="A2524" s="145"/>
      <c r="E2524" s="102"/>
      <c r="F2524" s="102"/>
      <c r="G2524" s="102"/>
      <c r="I2524" s="93"/>
      <c r="J2524" s="93"/>
    </row>
    <row r="2525" spans="1:10" s="65" customFormat="1" ht="14" x14ac:dyDescent="0.35">
      <c r="A2525" s="145"/>
      <c r="E2525" s="102"/>
      <c r="F2525" s="102"/>
      <c r="G2525" s="102"/>
      <c r="I2525" s="93"/>
      <c r="J2525" s="93"/>
    </row>
    <row r="2526" spans="1:10" s="65" customFormat="1" ht="14" x14ac:dyDescent="0.35">
      <c r="A2526" s="145"/>
      <c r="E2526" s="102"/>
      <c r="F2526" s="102"/>
      <c r="G2526" s="102"/>
      <c r="I2526" s="93"/>
      <c r="J2526" s="93"/>
    </row>
    <row r="2527" spans="1:10" s="65" customFormat="1" ht="14" x14ac:dyDescent="0.35">
      <c r="A2527" s="145"/>
      <c r="E2527" s="102"/>
      <c r="F2527" s="102"/>
      <c r="G2527" s="102"/>
      <c r="I2527" s="93"/>
      <c r="J2527" s="93"/>
    </row>
    <row r="2528" spans="1:10" s="65" customFormat="1" ht="14" x14ac:dyDescent="0.35">
      <c r="A2528" s="145"/>
      <c r="E2528" s="102"/>
      <c r="F2528" s="102"/>
      <c r="G2528" s="102"/>
      <c r="I2528" s="93"/>
      <c r="J2528" s="93"/>
    </row>
    <row r="2529" spans="1:10" s="65" customFormat="1" ht="14" x14ac:dyDescent="0.35">
      <c r="A2529" s="145"/>
      <c r="E2529" s="102"/>
      <c r="F2529" s="102"/>
      <c r="G2529" s="102"/>
      <c r="I2529" s="93"/>
      <c r="J2529" s="93"/>
    </row>
    <row r="2530" spans="1:10" s="65" customFormat="1" ht="14" x14ac:dyDescent="0.35">
      <c r="A2530" s="145"/>
      <c r="E2530" s="102"/>
      <c r="F2530" s="102"/>
      <c r="G2530" s="102"/>
      <c r="I2530" s="93"/>
      <c r="J2530" s="93"/>
    </row>
    <row r="2531" spans="1:10" s="65" customFormat="1" ht="14" x14ac:dyDescent="0.35">
      <c r="A2531" s="145"/>
      <c r="E2531" s="102"/>
      <c r="F2531" s="102"/>
      <c r="G2531" s="102"/>
      <c r="I2531" s="93"/>
      <c r="J2531" s="93"/>
    </row>
    <row r="2532" spans="1:10" s="65" customFormat="1" ht="14" x14ac:dyDescent="0.35">
      <c r="A2532" s="145"/>
      <c r="E2532" s="102"/>
      <c r="F2532" s="102"/>
      <c r="G2532" s="102"/>
      <c r="I2532" s="93"/>
      <c r="J2532" s="93"/>
    </row>
    <row r="2533" spans="1:10" s="65" customFormat="1" ht="14" x14ac:dyDescent="0.35">
      <c r="A2533" s="145"/>
      <c r="E2533" s="102"/>
      <c r="F2533" s="102"/>
      <c r="G2533" s="102"/>
      <c r="I2533" s="93"/>
      <c r="J2533" s="93"/>
    </row>
    <row r="2534" spans="1:10" s="65" customFormat="1" ht="14" x14ac:dyDescent="0.35">
      <c r="A2534" s="145"/>
      <c r="E2534" s="102"/>
      <c r="F2534" s="102"/>
      <c r="G2534" s="102"/>
      <c r="I2534" s="93"/>
      <c r="J2534" s="93"/>
    </row>
    <row r="2535" spans="1:10" s="65" customFormat="1" ht="14" x14ac:dyDescent="0.35">
      <c r="A2535" s="145"/>
      <c r="E2535" s="102"/>
      <c r="F2535" s="102"/>
      <c r="G2535" s="102"/>
      <c r="I2535" s="93"/>
      <c r="J2535" s="93"/>
    </row>
    <row r="2536" spans="1:10" s="65" customFormat="1" ht="14" x14ac:dyDescent="0.35">
      <c r="A2536" s="145"/>
      <c r="E2536" s="102"/>
      <c r="F2536" s="102"/>
      <c r="G2536" s="102"/>
      <c r="I2536" s="93"/>
      <c r="J2536" s="93"/>
    </row>
    <row r="2537" spans="1:10" s="65" customFormat="1" ht="14" x14ac:dyDescent="0.35">
      <c r="A2537" s="145"/>
      <c r="E2537" s="102"/>
      <c r="F2537" s="102"/>
      <c r="G2537" s="102"/>
      <c r="I2537" s="93"/>
      <c r="J2537" s="93"/>
    </row>
    <row r="2538" spans="1:10" s="65" customFormat="1" ht="14" x14ac:dyDescent="0.35">
      <c r="A2538" s="145"/>
      <c r="E2538" s="102"/>
      <c r="F2538" s="102"/>
      <c r="G2538" s="102"/>
      <c r="I2538" s="93"/>
      <c r="J2538" s="93"/>
    </row>
    <row r="2539" spans="1:10" s="65" customFormat="1" ht="14" x14ac:dyDescent="0.35">
      <c r="A2539" s="145"/>
      <c r="E2539" s="102"/>
      <c r="F2539" s="102"/>
      <c r="G2539" s="102"/>
      <c r="I2539" s="93"/>
      <c r="J2539" s="93"/>
    </row>
    <row r="2540" spans="1:10" s="65" customFormat="1" ht="14" x14ac:dyDescent="0.35">
      <c r="A2540" s="145"/>
      <c r="E2540" s="102"/>
      <c r="F2540" s="102"/>
      <c r="G2540" s="102"/>
      <c r="I2540" s="93"/>
      <c r="J2540" s="93"/>
    </row>
    <row r="2541" spans="1:10" s="65" customFormat="1" ht="14" x14ac:dyDescent="0.35">
      <c r="A2541" s="145"/>
      <c r="E2541" s="102"/>
      <c r="F2541" s="102"/>
      <c r="G2541" s="102"/>
      <c r="I2541" s="93"/>
      <c r="J2541" s="93"/>
    </row>
    <row r="2542" spans="1:10" s="65" customFormat="1" ht="14" x14ac:dyDescent="0.35">
      <c r="A2542" s="145"/>
      <c r="E2542" s="102"/>
      <c r="F2542" s="102"/>
      <c r="G2542" s="102"/>
      <c r="I2542" s="93"/>
      <c r="J2542" s="93"/>
    </row>
    <row r="2543" spans="1:10" s="65" customFormat="1" ht="14" x14ac:dyDescent="0.35">
      <c r="A2543" s="145"/>
      <c r="E2543" s="102"/>
      <c r="F2543" s="102"/>
      <c r="G2543" s="102"/>
      <c r="I2543" s="93"/>
      <c r="J2543" s="93"/>
    </row>
    <row r="2544" spans="1:10" s="65" customFormat="1" ht="14" x14ac:dyDescent="0.35">
      <c r="A2544" s="145"/>
      <c r="E2544" s="102"/>
      <c r="F2544" s="102"/>
      <c r="G2544" s="102"/>
      <c r="I2544" s="93"/>
      <c r="J2544" s="93"/>
    </row>
    <row r="2545" spans="1:10" s="65" customFormat="1" ht="14" x14ac:dyDescent="0.35">
      <c r="A2545" s="145"/>
      <c r="E2545" s="102"/>
      <c r="F2545" s="102"/>
      <c r="G2545" s="102"/>
      <c r="I2545" s="93"/>
      <c r="J2545" s="93"/>
    </row>
    <row r="2546" spans="1:10" s="65" customFormat="1" ht="14" x14ac:dyDescent="0.35">
      <c r="A2546" s="145"/>
      <c r="E2546" s="102"/>
      <c r="F2546" s="102"/>
      <c r="G2546" s="102"/>
      <c r="I2546" s="93"/>
      <c r="J2546" s="93"/>
    </row>
    <row r="2547" spans="1:10" s="65" customFormat="1" ht="14" x14ac:dyDescent="0.35">
      <c r="A2547" s="145"/>
      <c r="E2547" s="102"/>
      <c r="F2547" s="102"/>
      <c r="G2547" s="102"/>
      <c r="I2547" s="93"/>
      <c r="J2547" s="93"/>
    </row>
    <row r="2548" spans="1:10" s="65" customFormat="1" ht="14" x14ac:dyDescent="0.35">
      <c r="A2548" s="145"/>
      <c r="E2548" s="102"/>
      <c r="F2548" s="102"/>
      <c r="G2548" s="102"/>
      <c r="I2548" s="93"/>
      <c r="J2548" s="93"/>
    </row>
    <row r="2549" spans="1:10" s="65" customFormat="1" ht="14" x14ac:dyDescent="0.35">
      <c r="A2549" s="145"/>
      <c r="E2549" s="102"/>
      <c r="F2549" s="102"/>
      <c r="G2549" s="102"/>
      <c r="I2549" s="93"/>
      <c r="J2549" s="93"/>
    </row>
    <row r="2550" spans="1:10" s="65" customFormat="1" ht="14" x14ac:dyDescent="0.35">
      <c r="A2550" s="145"/>
      <c r="E2550" s="102"/>
      <c r="F2550" s="102"/>
      <c r="G2550" s="102"/>
      <c r="I2550" s="93"/>
      <c r="J2550" s="93"/>
    </row>
    <row r="2551" spans="1:10" s="65" customFormat="1" ht="14" x14ac:dyDescent="0.35">
      <c r="A2551" s="145"/>
      <c r="E2551" s="102"/>
      <c r="F2551" s="102"/>
      <c r="G2551" s="102"/>
      <c r="I2551" s="93"/>
      <c r="J2551" s="93"/>
    </row>
    <row r="2552" spans="1:10" s="65" customFormat="1" ht="14" x14ac:dyDescent="0.35">
      <c r="A2552" s="145"/>
      <c r="E2552" s="102"/>
      <c r="F2552" s="102"/>
      <c r="G2552" s="102"/>
      <c r="I2552" s="93"/>
      <c r="J2552" s="93"/>
    </row>
    <row r="2553" spans="1:10" s="65" customFormat="1" ht="14" x14ac:dyDescent="0.35">
      <c r="A2553" s="145"/>
      <c r="E2553" s="102"/>
      <c r="F2553" s="102"/>
      <c r="G2553" s="102"/>
      <c r="I2553" s="93"/>
      <c r="J2553" s="93"/>
    </row>
    <row r="2554" spans="1:10" s="65" customFormat="1" ht="14" x14ac:dyDescent="0.35">
      <c r="A2554" s="145"/>
      <c r="E2554" s="102"/>
      <c r="F2554" s="102"/>
      <c r="G2554" s="102"/>
      <c r="I2554" s="93"/>
      <c r="J2554" s="93"/>
    </row>
    <row r="2555" spans="1:10" s="65" customFormat="1" ht="14" x14ac:dyDescent="0.35">
      <c r="A2555" s="145"/>
      <c r="E2555" s="102"/>
      <c r="F2555" s="102"/>
      <c r="G2555" s="102"/>
      <c r="I2555" s="93"/>
      <c r="J2555" s="93"/>
    </row>
    <row r="2556" spans="1:10" s="65" customFormat="1" ht="14" x14ac:dyDescent="0.35">
      <c r="A2556" s="145"/>
      <c r="E2556" s="102"/>
      <c r="F2556" s="102"/>
      <c r="G2556" s="102"/>
      <c r="I2556" s="93"/>
      <c r="J2556" s="93"/>
    </row>
    <row r="2557" spans="1:10" s="65" customFormat="1" ht="14" x14ac:dyDescent="0.35">
      <c r="A2557" s="145"/>
      <c r="E2557" s="102"/>
      <c r="F2557" s="102"/>
      <c r="G2557" s="102"/>
      <c r="I2557" s="93"/>
      <c r="J2557" s="93"/>
    </row>
    <row r="2558" spans="1:10" s="65" customFormat="1" ht="14" x14ac:dyDescent="0.35">
      <c r="A2558" s="145"/>
      <c r="E2558" s="102"/>
      <c r="F2558" s="102"/>
      <c r="G2558" s="102"/>
      <c r="I2558" s="93"/>
      <c r="J2558" s="93"/>
    </row>
    <row r="2559" spans="1:10" s="65" customFormat="1" ht="14" x14ac:dyDescent="0.35">
      <c r="A2559" s="145"/>
      <c r="E2559" s="102"/>
      <c r="F2559" s="102"/>
      <c r="G2559" s="102"/>
      <c r="I2559" s="93"/>
      <c r="J2559" s="93"/>
    </row>
    <row r="2560" spans="1:10" s="65" customFormat="1" ht="14" x14ac:dyDescent="0.35">
      <c r="A2560" s="145"/>
      <c r="E2560" s="102"/>
      <c r="F2560" s="102"/>
      <c r="G2560" s="102"/>
      <c r="I2560" s="93"/>
      <c r="J2560" s="93"/>
    </row>
    <row r="2561" spans="1:10" s="65" customFormat="1" ht="14" x14ac:dyDescent="0.35">
      <c r="A2561" s="145"/>
      <c r="E2561" s="102"/>
      <c r="F2561" s="102"/>
      <c r="G2561" s="102"/>
      <c r="I2561" s="93"/>
      <c r="J2561" s="93"/>
    </row>
    <row r="2562" spans="1:10" s="65" customFormat="1" ht="14" x14ac:dyDescent="0.35">
      <c r="A2562" s="145"/>
      <c r="E2562" s="102"/>
      <c r="F2562" s="102"/>
      <c r="G2562" s="102"/>
      <c r="I2562" s="93"/>
      <c r="J2562" s="93"/>
    </row>
    <row r="2563" spans="1:10" s="65" customFormat="1" ht="14" x14ac:dyDescent="0.35">
      <c r="A2563" s="145"/>
      <c r="E2563" s="102"/>
      <c r="F2563" s="102"/>
      <c r="G2563" s="102"/>
      <c r="I2563" s="93"/>
      <c r="J2563" s="93"/>
    </row>
    <row r="2564" spans="1:10" s="65" customFormat="1" ht="14" x14ac:dyDescent="0.35">
      <c r="A2564" s="145"/>
      <c r="E2564" s="102"/>
      <c r="F2564" s="102"/>
      <c r="G2564" s="102"/>
      <c r="I2564" s="93"/>
      <c r="J2564" s="93"/>
    </row>
    <row r="2565" spans="1:10" s="65" customFormat="1" ht="14" x14ac:dyDescent="0.35">
      <c r="A2565" s="145"/>
      <c r="E2565" s="102"/>
      <c r="F2565" s="102"/>
      <c r="G2565" s="102"/>
      <c r="I2565" s="93"/>
      <c r="J2565" s="93"/>
    </row>
    <row r="2566" spans="1:10" s="65" customFormat="1" ht="14" x14ac:dyDescent="0.35">
      <c r="A2566" s="145"/>
      <c r="E2566" s="102"/>
      <c r="F2566" s="102"/>
      <c r="G2566" s="102"/>
      <c r="I2566" s="93"/>
      <c r="J2566" s="93"/>
    </row>
    <row r="2567" spans="1:10" s="65" customFormat="1" ht="14" x14ac:dyDescent="0.35">
      <c r="A2567" s="145"/>
      <c r="E2567" s="102"/>
      <c r="F2567" s="102"/>
      <c r="G2567" s="102"/>
      <c r="I2567" s="93"/>
      <c r="J2567" s="93"/>
    </row>
    <row r="2568" spans="1:10" s="65" customFormat="1" ht="14" x14ac:dyDescent="0.35">
      <c r="A2568" s="145"/>
      <c r="E2568" s="102"/>
      <c r="F2568" s="102"/>
      <c r="G2568" s="102"/>
      <c r="I2568" s="93"/>
      <c r="J2568" s="93"/>
    </row>
    <row r="2569" spans="1:10" s="65" customFormat="1" ht="14" x14ac:dyDescent="0.35">
      <c r="A2569" s="145"/>
      <c r="E2569" s="102"/>
      <c r="F2569" s="102"/>
      <c r="G2569" s="102"/>
      <c r="I2569" s="93"/>
      <c r="J2569" s="93"/>
    </row>
    <row r="2570" spans="1:10" s="65" customFormat="1" ht="14" x14ac:dyDescent="0.35">
      <c r="A2570" s="145"/>
      <c r="E2570" s="102"/>
      <c r="F2570" s="102"/>
      <c r="G2570" s="102"/>
      <c r="I2570" s="93"/>
      <c r="J2570" s="93"/>
    </row>
    <row r="2571" spans="1:10" s="65" customFormat="1" ht="14" x14ac:dyDescent="0.35">
      <c r="A2571" s="145"/>
      <c r="E2571" s="102"/>
      <c r="F2571" s="102"/>
      <c r="G2571" s="102"/>
      <c r="I2571" s="93"/>
      <c r="J2571" s="93"/>
    </row>
    <row r="2572" spans="1:10" s="65" customFormat="1" ht="14" x14ac:dyDescent="0.35">
      <c r="A2572" s="145"/>
      <c r="E2572" s="102"/>
      <c r="F2572" s="102"/>
      <c r="G2572" s="102"/>
      <c r="I2572" s="93"/>
      <c r="J2572" s="93"/>
    </row>
    <row r="2573" spans="1:10" s="65" customFormat="1" ht="14" x14ac:dyDescent="0.35">
      <c r="A2573" s="145"/>
      <c r="E2573" s="102"/>
      <c r="F2573" s="102"/>
      <c r="G2573" s="102"/>
      <c r="I2573" s="93"/>
      <c r="J2573" s="93"/>
    </row>
    <row r="2574" spans="1:10" s="65" customFormat="1" ht="14" x14ac:dyDescent="0.35">
      <c r="A2574" s="145"/>
      <c r="E2574" s="102"/>
      <c r="F2574" s="102"/>
      <c r="G2574" s="102"/>
      <c r="I2574" s="93"/>
      <c r="J2574" s="93"/>
    </row>
    <row r="2575" spans="1:10" s="65" customFormat="1" ht="14" x14ac:dyDescent="0.35">
      <c r="A2575" s="145"/>
      <c r="E2575" s="102"/>
      <c r="F2575" s="102"/>
      <c r="G2575" s="102"/>
      <c r="I2575" s="93"/>
      <c r="J2575" s="93"/>
    </row>
    <row r="2576" spans="1:10" s="65" customFormat="1" ht="14" x14ac:dyDescent="0.35">
      <c r="A2576" s="145"/>
      <c r="E2576" s="102"/>
      <c r="F2576" s="102"/>
      <c r="G2576" s="102"/>
      <c r="I2576" s="93"/>
      <c r="J2576" s="93"/>
    </row>
    <row r="2577" spans="1:10" s="65" customFormat="1" ht="14" x14ac:dyDescent="0.35">
      <c r="A2577" s="145"/>
      <c r="E2577" s="102"/>
      <c r="F2577" s="102"/>
      <c r="G2577" s="102"/>
      <c r="I2577" s="93"/>
      <c r="J2577" s="93"/>
    </row>
    <row r="2578" spans="1:10" s="65" customFormat="1" ht="14" x14ac:dyDescent="0.35">
      <c r="A2578" s="145"/>
      <c r="E2578" s="102"/>
      <c r="F2578" s="102"/>
      <c r="G2578" s="102"/>
      <c r="I2578" s="93"/>
      <c r="J2578" s="93"/>
    </row>
    <row r="2579" spans="1:10" s="65" customFormat="1" ht="14" x14ac:dyDescent="0.35">
      <c r="A2579" s="145"/>
      <c r="E2579" s="102"/>
      <c r="F2579" s="102"/>
      <c r="G2579" s="102"/>
      <c r="I2579" s="93"/>
      <c r="J2579" s="93"/>
    </row>
    <row r="2580" spans="1:10" s="65" customFormat="1" ht="14" x14ac:dyDescent="0.35">
      <c r="A2580" s="145"/>
      <c r="E2580" s="102"/>
      <c r="F2580" s="102"/>
      <c r="G2580" s="102"/>
      <c r="I2580" s="93"/>
      <c r="J2580" s="93"/>
    </row>
    <row r="2581" spans="1:10" s="65" customFormat="1" ht="14" x14ac:dyDescent="0.35">
      <c r="A2581" s="145"/>
      <c r="E2581" s="102"/>
      <c r="F2581" s="102"/>
      <c r="G2581" s="102"/>
      <c r="I2581" s="93"/>
      <c r="J2581" s="93"/>
    </row>
    <row r="2582" spans="1:10" s="65" customFormat="1" ht="14" x14ac:dyDescent="0.35">
      <c r="A2582" s="145"/>
      <c r="E2582" s="102"/>
      <c r="F2582" s="102"/>
      <c r="G2582" s="102"/>
      <c r="I2582" s="93"/>
      <c r="J2582" s="93"/>
    </row>
    <row r="2583" spans="1:10" s="65" customFormat="1" ht="14" x14ac:dyDescent="0.35">
      <c r="A2583" s="145"/>
      <c r="E2583" s="102"/>
      <c r="F2583" s="102"/>
      <c r="G2583" s="102"/>
      <c r="I2583" s="93"/>
      <c r="J2583" s="93"/>
    </row>
    <row r="2584" spans="1:10" s="65" customFormat="1" ht="14" x14ac:dyDescent="0.35">
      <c r="A2584" s="145"/>
      <c r="E2584" s="102"/>
      <c r="F2584" s="102"/>
      <c r="G2584" s="102"/>
      <c r="I2584" s="93"/>
      <c r="J2584" s="93"/>
    </row>
    <row r="2585" spans="1:10" s="65" customFormat="1" ht="14" x14ac:dyDescent="0.35">
      <c r="A2585" s="145"/>
      <c r="E2585" s="102"/>
      <c r="F2585" s="102"/>
      <c r="G2585" s="102"/>
      <c r="I2585" s="93"/>
      <c r="J2585" s="93"/>
    </row>
    <row r="2586" spans="1:10" s="65" customFormat="1" ht="14" x14ac:dyDescent="0.35">
      <c r="A2586" s="145"/>
      <c r="E2586" s="102"/>
      <c r="F2586" s="102"/>
      <c r="G2586" s="102"/>
      <c r="I2586" s="93"/>
      <c r="J2586" s="93"/>
    </row>
    <row r="2587" spans="1:10" s="65" customFormat="1" ht="14" x14ac:dyDescent="0.35">
      <c r="A2587" s="145"/>
      <c r="E2587" s="102"/>
      <c r="F2587" s="102"/>
      <c r="G2587" s="102"/>
      <c r="I2587" s="93"/>
      <c r="J2587" s="93"/>
    </row>
    <row r="2588" spans="1:10" s="65" customFormat="1" ht="14" x14ac:dyDescent="0.35">
      <c r="A2588" s="145"/>
      <c r="E2588" s="102"/>
      <c r="F2588" s="102"/>
      <c r="G2588" s="102"/>
      <c r="I2588" s="93"/>
      <c r="J2588" s="93"/>
    </row>
    <row r="2589" spans="1:10" s="65" customFormat="1" ht="14" x14ac:dyDescent="0.35">
      <c r="A2589" s="145"/>
      <c r="E2589" s="102"/>
      <c r="F2589" s="102"/>
      <c r="G2589" s="102"/>
      <c r="I2589" s="93"/>
      <c r="J2589" s="93"/>
    </row>
    <row r="2590" spans="1:10" s="65" customFormat="1" ht="14" x14ac:dyDescent="0.35">
      <c r="A2590" s="145"/>
      <c r="E2590" s="102"/>
      <c r="F2590" s="102"/>
      <c r="G2590" s="102"/>
      <c r="I2590" s="93"/>
      <c r="J2590" s="93"/>
    </row>
    <row r="2591" spans="1:10" s="65" customFormat="1" ht="14" x14ac:dyDescent="0.35">
      <c r="A2591" s="145"/>
      <c r="E2591" s="102"/>
      <c r="F2591" s="102"/>
      <c r="G2591" s="102"/>
      <c r="I2591" s="93"/>
      <c r="J2591" s="93"/>
    </row>
    <row r="2592" spans="1:10" s="65" customFormat="1" ht="14" x14ac:dyDescent="0.35">
      <c r="A2592" s="145"/>
      <c r="E2592" s="102"/>
      <c r="F2592" s="102"/>
      <c r="G2592" s="102"/>
      <c r="I2592" s="93"/>
      <c r="J2592" s="93"/>
    </row>
    <row r="2593" spans="1:10" s="65" customFormat="1" ht="14" x14ac:dyDescent="0.35">
      <c r="A2593" s="145"/>
      <c r="E2593" s="102"/>
      <c r="F2593" s="102"/>
      <c r="G2593" s="102"/>
      <c r="I2593" s="93"/>
      <c r="J2593" s="93"/>
    </row>
    <row r="2594" spans="1:10" s="65" customFormat="1" ht="14" x14ac:dyDescent="0.35">
      <c r="A2594" s="145"/>
      <c r="E2594" s="102"/>
      <c r="F2594" s="102"/>
      <c r="G2594" s="102"/>
      <c r="I2594" s="93"/>
      <c r="J2594" s="93"/>
    </row>
    <row r="2595" spans="1:10" s="65" customFormat="1" ht="14" x14ac:dyDescent="0.35">
      <c r="A2595" s="145"/>
      <c r="E2595" s="102"/>
      <c r="F2595" s="102"/>
      <c r="G2595" s="102"/>
      <c r="I2595" s="93"/>
      <c r="J2595" s="93"/>
    </row>
    <row r="2596" spans="1:10" s="65" customFormat="1" ht="14" x14ac:dyDescent="0.35">
      <c r="A2596" s="145"/>
      <c r="E2596" s="102"/>
      <c r="F2596" s="102"/>
      <c r="G2596" s="102"/>
      <c r="I2596" s="93"/>
      <c r="J2596" s="93"/>
    </row>
    <row r="2597" spans="1:10" s="65" customFormat="1" ht="14" x14ac:dyDescent="0.35">
      <c r="A2597" s="145"/>
      <c r="E2597" s="102"/>
      <c r="F2597" s="102"/>
      <c r="G2597" s="102"/>
      <c r="I2597" s="93"/>
      <c r="J2597" s="93"/>
    </row>
    <row r="2598" spans="1:10" s="65" customFormat="1" ht="14" x14ac:dyDescent="0.35">
      <c r="A2598" s="145"/>
      <c r="E2598" s="102"/>
      <c r="F2598" s="102"/>
      <c r="G2598" s="102"/>
      <c r="I2598" s="93"/>
      <c r="J2598" s="93"/>
    </row>
    <row r="2599" spans="1:10" s="65" customFormat="1" ht="14" x14ac:dyDescent="0.35">
      <c r="A2599" s="145"/>
      <c r="E2599" s="102"/>
      <c r="F2599" s="102"/>
      <c r="G2599" s="102"/>
      <c r="I2599" s="93"/>
      <c r="J2599" s="93"/>
    </row>
    <row r="2600" spans="1:10" s="65" customFormat="1" ht="14" x14ac:dyDescent="0.35">
      <c r="A2600" s="145"/>
      <c r="E2600" s="102"/>
      <c r="F2600" s="102"/>
      <c r="G2600" s="102"/>
      <c r="I2600" s="93"/>
      <c r="J2600" s="93"/>
    </row>
    <row r="2601" spans="1:10" s="65" customFormat="1" ht="14" x14ac:dyDescent="0.35">
      <c r="A2601" s="145"/>
      <c r="E2601" s="102"/>
      <c r="F2601" s="102"/>
      <c r="G2601" s="102"/>
      <c r="I2601" s="93"/>
      <c r="J2601" s="93"/>
    </row>
    <row r="2602" spans="1:10" s="65" customFormat="1" ht="14" x14ac:dyDescent="0.35">
      <c r="A2602" s="145"/>
      <c r="E2602" s="102"/>
      <c r="F2602" s="102"/>
      <c r="G2602" s="102"/>
      <c r="I2602" s="93"/>
      <c r="J2602" s="93"/>
    </row>
    <row r="2603" spans="1:10" s="65" customFormat="1" ht="14" x14ac:dyDescent="0.35">
      <c r="A2603" s="145"/>
      <c r="E2603" s="102"/>
      <c r="F2603" s="102"/>
      <c r="G2603" s="102"/>
      <c r="I2603" s="93"/>
      <c r="J2603" s="93"/>
    </row>
    <row r="2604" spans="1:10" s="65" customFormat="1" ht="14" x14ac:dyDescent="0.35">
      <c r="A2604" s="145"/>
      <c r="E2604" s="102"/>
      <c r="F2604" s="102"/>
      <c r="G2604" s="102"/>
      <c r="I2604" s="93"/>
      <c r="J2604" s="93"/>
    </row>
    <row r="2605" spans="1:10" s="65" customFormat="1" ht="14" x14ac:dyDescent="0.35">
      <c r="A2605" s="145"/>
      <c r="E2605" s="102"/>
      <c r="F2605" s="102"/>
      <c r="G2605" s="102"/>
      <c r="I2605" s="93"/>
      <c r="J2605" s="93"/>
    </row>
    <row r="2606" spans="1:10" s="65" customFormat="1" ht="14" x14ac:dyDescent="0.35">
      <c r="A2606" s="145"/>
      <c r="E2606" s="102"/>
      <c r="F2606" s="102"/>
      <c r="G2606" s="102"/>
      <c r="I2606" s="93"/>
      <c r="J2606" s="93"/>
    </row>
    <row r="2607" spans="1:10" s="65" customFormat="1" ht="14" x14ac:dyDescent="0.35">
      <c r="A2607" s="145"/>
      <c r="E2607" s="102"/>
      <c r="F2607" s="102"/>
      <c r="G2607" s="102"/>
      <c r="I2607" s="93"/>
      <c r="J2607" s="93"/>
    </row>
    <row r="2608" spans="1:10" s="65" customFormat="1" ht="14" x14ac:dyDescent="0.35">
      <c r="A2608" s="145"/>
      <c r="E2608" s="102"/>
      <c r="F2608" s="102"/>
      <c r="G2608" s="102"/>
      <c r="I2608" s="93"/>
      <c r="J2608" s="93"/>
    </row>
    <row r="2609" spans="1:10" s="65" customFormat="1" ht="14" x14ac:dyDescent="0.35">
      <c r="A2609" s="145"/>
      <c r="E2609" s="102"/>
      <c r="F2609" s="102"/>
      <c r="G2609" s="102"/>
      <c r="I2609" s="93"/>
      <c r="J2609" s="93"/>
    </row>
    <row r="2610" spans="1:10" s="65" customFormat="1" ht="14" x14ac:dyDescent="0.35">
      <c r="A2610" s="145"/>
      <c r="E2610" s="102"/>
      <c r="F2610" s="102"/>
      <c r="G2610" s="102"/>
      <c r="I2610" s="93"/>
      <c r="J2610" s="93"/>
    </row>
    <row r="2611" spans="1:10" s="65" customFormat="1" ht="14" x14ac:dyDescent="0.35">
      <c r="A2611" s="145"/>
      <c r="E2611" s="102"/>
      <c r="F2611" s="102"/>
      <c r="G2611" s="102"/>
      <c r="I2611" s="93"/>
      <c r="J2611" s="93"/>
    </row>
    <row r="2612" spans="1:10" s="65" customFormat="1" ht="14" x14ac:dyDescent="0.35">
      <c r="A2612" s="145"/>
      <c r="E2612" s="102"/>
      <c r="F2612" s="102"/>
      <c r="G2612" s="102"/>
      <c r="I2612" s="93"/>
      <c r="J2612" s="93"/>
    </row>
    <row r="2613" spans="1:10" s="65" customFormat="1" ht="14" x14ac:dyDescent="0.35">
      <c r="A2613" s="145"/>
      <c r="E2613" s="102"/>
      <c r="F2613" s="102"/>
      <c r="G2613" s="102"/>
      <c r="I2613" s="93"/>
      <c r="J2613" s="93"/>
    </row>
    <row r="2614" spans="1:10" s="65" customFormat="1" ht="14" x14ac:dyDescent="0.35">
      <c r="A2614" s="145"/>
      <c r="E2614" s="102"/>
      <c r="F2614" s="102"/>
      <c r="G2614" s="102"/>
      <c r="I2614" s="93"/>
      <c r="J2614" s="93"/>
    </row>
    <row r="2615" spans="1:10" s="65" customFormat="1" ht="14" x14ac:dyDescent="0.35">
      <c r="A2615" s="145"/>
      <c r="E2615" s="102"/>
      <c r="F2615" s="102"/>
      <c r="G2615" s="102"/>
      <c r="I2615" s="93"/>
      <c r="J2615" s="93"/>
    </row>
    <row r="2616" spans="1:10" s="65" customFormat="1" ht="14" x14ac:dyDescent="0.35">
      <c r="A2616" s="145"/>
      <c r="E2616" s="102"/>
      <c r="F2616" s="102"/>
      <c r="G2616" s="102"/>
      <c r="I2616" s="93"/>
      <c r="J2616" s="93"/>
    </row>
    <row r="2617" spans="1:10" s="65" customFormat="1" ht="14" x14ac:dyDescent="0.35">
      <c r="A2617" s="145"/>
      <c r="E2617" s="102"/>
      <c r="F2617" s="102"/>
      <c r="G2617" s="102"/>
      <c r="I2617" s="93"/>
      <c r="J2617" s="93"/>
    </row>
    <row r="2618" spans="1:10" s="65" customFormat="1" ht="14" x14ac:dyDescent="0.35">
      <c r="A2618" s="145"/>
      <c r="E2618" s="102"/>
      <c r="F2618" s="102"/>
      <c r="G2618" s="102"/>
      <c r="I2618" s="93"/>
      <c r="J2618" s="93"/>
    </row>
    <row r="2619" spans="1:10" s="65" customFormat="1" ht="14" x14ac:dyDescent="0.35">
      <c r="A2619" s="145"/>
      <c r="E2619" s="102"/>
      <c r="F2619" s="102"/>
      <c r="G2619" s="102"/>
      <c r="I2619" s="93"/>
      <c r="J2619" s="93"/>
    </row>
    <row r="2620" spans="1:10" s="65" customFormat="1" ht="14" x14ac:dyDescent="0.35">
      <c r="A2620" s="145"/>
      <c r="E2620" s="102"/>
      <c r="F2620" s="102"/>
      <c r="G2620" s="102"/>
      <c r="I2620" s="93"/>
      <c r="J2620" s="93"/>
    </row>
    <row r="2621" spans="1:10" s="65" customFormat="1" ht="14" x14ac:dyDescent="0.35">
      <c r="A2621" s="145"/>
      <c r="E2621" s="102"/>
      <c r="F2621" s="102"/>
      <c r="G2621" s="102"/>
      <c r="I2621" s="93"/>
      <c r="J2621" s="93"/>
    </row>
    <row r="2622" spans="1:10" s="65" customFormat="1" ht="14" x14ac:dyDescent="0.35">
      <c r="A2622" s="145"/>
      <c r="E2622" s="102"/>
      <c r="F2622" s="102"/>
      <c r="G2622" s="102"/>
      <c r="I2622" s="93"/>
      <c r="J2622" s="93"/>
    </row>
    <row r="2623" spans="1:10" s="65" customFormat="1" ht="14" x14ac:dyDescent="0.35">
      <c r="A2623" s="145"/>
      <c r="E2623" s="102"/>
      <c r="F2623" s="102"/>
      <c r="G2623" s="102"/>
      <c r="I2623" s="93"/>
      <c r="J2623" s="93"/>
    </row>
    <row r="2624" spans="1:10" s="65" customFormat="1" ht="14" x14ac:dyDescent="0.35">
      <c r="A2624" s="145"/>
      <c r="E2624" s="102"/>
      <c r="F2624" s="102"/>
      <c r="G2624" s="102"/>
      <c r="I2624" s="93"/>
      <c r="J2624" s="93"/>
    </row>
    <row r="2625" spans="1:10" s="65" customFormat="1" ht="14" x14ac:dyDescent="0.35">
      <c r="A2625" s="145"/>
      <c r="E2625" s="102"/>
      <c r="F2625" s="102"/>
      <c r="G2625" s="102"/>
      <c r="I2625" s="93"/>
      <c r="J2625" s="93"/>
    </row>
    <row r="2626" spans="1:10" s="65" customFormat="1" ht="14" x14ac:dyDescent="0.35">
      <c r="A2626" s="145"/>
      <c r="E2626" s="102"/>
      <c r="F2626" s="102"/>
      <c r="G2626" s="102"/>
      <c r="I2626" s="93"/>
      <c r="J2626" s="93"/>
    </row>
    <row r="2627" spans="1:10" s="65" customFormat="1" ht="14" x14ac:dyDescent="0.35">
      <c r="A2627" s="145"/>
      <c r="E2627" s="102"/>
      <c r="F2627" s="102"/>
      <c r="G2627" s="102"/>
      <c r="I2627" s="93"/>
      <c r="J2627" s="93"/>
    </row>
    <row r="2628" spans="1:10" s="65" customFormat="1" ht="14" x14ac:dyDescent="0.35">
      <c r="A2628" s="145"/>
      <c r="E2628" s="102"/>
      <c r="F2628" s="102"/>
      <c r="G2628" s="102"/>
      <c r="I2628" s="93"/>
      <c r="J2628" s="93"/>
    </row>
    <row r="2629" spans="1:10" s="65" customFormat="1" ht="14" x14ac:dyDescent="0.35">
      <c r="A2629" s="145"/>
      <c r="E2629" s="102"/>
      <c r="F2629" s="102"/>
      <c r="G2629" s="102"/>
      <c r="I2629" s="93"/>
      <c r="J2629" s="93"/>
    </row>
    <row r="2630" spans="1:10" s="65" customFormat="1" ht="14" x14ac:dyDescent="0.35">
      <c r="A2630" s="145"/>
      <c r="E2630" s="102"/>
      <c r="F2630" s="102"/>
      <c r="G2630" s="102"/>
      <c r="I2630" s="93"/>
      <c r="J2630" s="93"/>
    </row>
    <row r="2631" spans="1:10" s="65" customFormat="1" ht="14" x14ac:dyDescent="0.35">
      <c r="A2631" s="145"/>
      <c r="E2631" s="102"/>
      <c r="F2631" s="102"/>
      <c r="G2631" s="102"/>
      <c r="I2631" s="93"/>
      <c r="J2631" s="93"/>
    </row>
    <row r="2632" spans="1:10" s="65" customFormat="1" ht="14" x14ac:dyDescent="0.35">
      <c r="A2632" s="145"/>
      <c r="E2632" s="102"/>
      <c r="F2632" s="102"/>
      <c r="G2632" s="102"/>
      <c r="I2632" s="93"/>
      <c r="J2632" s="93"/>
    </row>
    <row r="2633" spans="1:10" s="65" customFormat="1" ht="14" x14ac:dyDescent="0.35">
      <c r="A2633" s="145"/>
      <c r="E2633" s="102"/>
      <c r="F2633" s="102"/>
      <c r="G2633" s="102"/>
      <c r="I2633" s="93"/>
      <c r="J2633" s="93"/>
    </row>
    <row r="2634" spans="1:10" s="65" customFormat="1" ht="14" x14ac:dyDescent="0.35">
      <c r="A2634" s="145"/>
      <c r="E2634" s="102"/>
      <c r="F2634" s="102"/>
      <c r="G2634" s="102"/>
      <c r="I2634" s="93"/>
      <c r="J2634" s="93"/>
    </row>
    <row r="2635" spans="1:10" s="65" customFormat="1" ht="14" x14ac:dyDescent="0.35">
      <c r="A2635" s="145"/>
      <c r="E2635" s="102"/>
      <c r="F2635" s="102"/>
      <c r="G2635" s="102"/>
      <c r="I2635" s="93"/>
      <c r="J2635" s="93"/>
    </row>
    <row r="2636" spans="1:10" s="65" customFormat="1" ht="14" x14ac:dyDescent="0.35">
      <c r="A2636" s="145"/>
      <c r="E2636" s="102"/>
      <c r="F2636" s="102"/>
      <c r="G2636" s="102"/>
      <c r="I2636" s="93"/>
      <c r="J2636" s="93"/>
    </row>
    <row r="2637" spans="1:10" s="65" customFormat="1" ht="14" x14ac:dyDescent="0.35">
      <c r="A2637" s="145"/>
      <c r="E2637" s="102"/>
      <c r="F2637" s="102"/>
      <c r="G2637" s="102"/>
      <c r="I2637" s="93"/>
      <c r="J2637" s="93"/>
    </row>
    <row r="2638" spans="1:10" s="65" customFormat="1" ht="14" x14ac:dyDescent="0.35">
      <c r="A2638" s="145"/>
      <c r="E2638" s="102"/>
      <c r="F2638" s="102"/>
      <c r="G2638" s="102"/>
      <c r="I2638" s="93"/>
      <c r="J2638" s="93"/>
    </row>
    <row r="2639" spans="1:10" s="65" customFormat="1" ht="14" x14ac:dyDescent="0.35">
      <c r="A2639" s="145"/>
      <c r="E2639" s="102"/>
      <c r="F2639" s="102"/>
      <c r="G2639" s="102"/>
      <c r="I2639" s="93"/>
      <c r="J2639" s="93"/>
    </row>
    <row r="2640" spans="1:10" s="65" customFormat="1" ht="14" x14ac:dyDescent="0.35">
      <c r="A2640" s="145"/>
      <c r="E2640" s="102"/>
      <c r="F2640" s="102"/>
      <c r="G2640" s="102"/>
      <c r="I2640" s="93"/>
      <c r="J2640" s="93"/>
    </row>
    <row r="2641" spans="1:10" s="65" customFormat="1" ht="14" x14ac:dyDescent="0.35">
      <c r="A2641" s="145"/>
      <c r="E2641" s="102"/>
      <c r="F2641" s="102"/>
      <c r="G2641" s="102"/>
      <c r="I2641" s="93"/>
      <c r="J2641" s="93"/>
    </row>
    <row r="2642" spans="1:10" s="65" customFormat="1" ht="14" x14ac:dyDescent="0.35">
      <c r="A2642" s="145"/>
      <c r="E2642" s="102"/>
      <c r="F2642" s="102"/>
      <c r="G2642" s="102"/>
      <c r="I2642" s="93"/>
      <c r="J2642" s="93"/>
    </row>
    <row r="2643" spans="1:10" s="65" customFormat="1" ht="14" x14ac:dyDescent="0.35">
      <c r="A2643" s="145"/>
      <c r="E2643" s="102"/>
      <c r="F2643" s="102"/>
      <c r="G2643" s="102"/>
      <c r="I2643" s="93"/>
      <c r="J2643" s="93"/>
    </row>
    <row r="2644" spans="1:10" s="65" customFormat="1" ht="14" x14ac:dyDescent="0.35">
      <c r="A2644" s="145"/>
      <c r="E2644" s="102"/>
      <c r="F2644" s="102"/>
      <c r="G2644" s="102"/>
      <c r="I2644" s="93"/>
      <c r="J2644" s="93"/>
    </row>
    <row r="2645" spans="1:10" s="65" customFormat="1" ht="14" x14ac:dyDescent="0.35">
      <c r="A2645" s="145"/>
      <c r="E2645" s="102"/>
      <c r="F2645" s="102"/>
      <c r="G2645" s="102"/>
      <c r="I2645" s="93"/>
      <c r="J2645" s="93"/>
    </row>
    <row r="2646" spans="1:10" s="65" customFormat="1" ht="14" x14ac:dyDescent="0.35">
      <c r="A2646" s="145"/>
      <c r="E2646" s="102"/>
      <c r="F2646" s="102"/>
      <c r="G2646" s="102"/>
      <c r="I2646" s="93"/>
      <c r="J2646" s="93"/>
    </row>
    <row r="2647" spans="1:10" s="65" customFormat="1" ht="14" x14ac:dyDescent="0.35">
      <c r="A2647" s="145"/>
      <c r="E2647" s="102"/>
      <c r="F2647" s="102"/>
      <c r="G2647" s="102"/>
      <c r="I2647" s="93"/>
      <c r="J2647" s="93"/>
    </row>
    <row r="2648" spans="1:10" s="65" customFormat="1" ht="14" x14ac:dyDescent="0.35">
      <c r="A2648" s="145"/>
      <c r="E2648" s="102"/>
      <c r="F2648" s="102"/>
      <c r="G2648" s="102"/>
      <c r="I2648" s="93"/>
      <c r="J2648" s="93"/>
    </row>
    <row r="2649" spans="1:10" s="65" customFormat="1" ht="14" x14ac:dyDescent="0.35">
      <c r="A2649" s="145"/>
      <c r="E2649" s="102"/>
      <c r="F2649" s="102"/>
      <c r="G2649" s="102"/>
      <c r="I2649" s="93"/>
      <c r="J2649" s="93"/>
    </row>
    <row r="2650" spans="1:10" s="65" customFormat="1" ht="14" x14ac:dyDescent="0.35">
      <c r="A2650" s="145"/>
      <c r="E2650" s="102"/>
      <c r="F2650" s="102"/>
      <c r="G2650" s="102"/>
      <c r="I2650" s="93"/>
      <c r="J2650" s="93"/>
    </row>
    <row r="2651" spans="1:10" s="65" customFormat="1" ht="14" x14ac:dyDescent="0.35">
      <c r="A2651" s="145"/>
      <c r="E2651" s="102"/>
      <c r="F2651" s="102"/>
      <c r="G2651" s="102"/>
      <c r="I2651" s="93"/>
      <c r="J2651" s="93"/>
    </row>
    <row r="2652" spans="1:10" s="65" customFormat="1" ht="14" x14ac:dyDescent="0.35">
      <c r="A2652" s="145"/>
      <c r="E2652" s="102"/>
      <c r="F2652" s="102"/>
      <c r="G2652" s="102"/>
      <c r="I2652" s="93"/>
      <c r="J2652" s="93"/>
    </row>
    <row r="2653" spans="1:10" s="65" customFormat="1" ht="14" x14ac:dyDescent="0.35">
      <c r="A2653" s="145"/>
      <c r="E2653" s="102"/>
      <c r="F2653" s="102"/>
      <c r="G2653" s="102"/>
      <c r="I2653" s="93"/>
      <c r="J2653" s="93"/>
    </row>
    <row r="2654" spans="1:10" s="65" customFormat="1" ht="14" x14ac:dyDescent="0.35">
      <c r="A2654" s="145"/>
      <c r="E2654" s="102"/>
      <c r="F2654" s="102"/>
      <c r="G2654" s="102"/>
      <c r="I2654" s="93"/>
      <c r="J2654" s="93"/>
    </row>
    <row r="2655" spans="1:10" s="65" customFormat="1" ht="14" x14ac:dyDescent="0.35">
      <c r="A2655" s="145"/>
      <c r="E2655" s="102"/>
      <c r="F2655" s="102"/>
      <c r="G2655" s="102"/>
      <c r="I2655" s="93"/>
      <c r="J2655" s="93"/>
    </row>
    <row r="2656" spans="1:10" s="65" customFormat="1" ht="14" x14ac:dyDescent="0.35">
      <c r="A2656" s="145"/>
      <c r="E2656" s="102"/>
      <c r="F2656" s="102"/>
      <c r="G2656" s="102"/>
      <c r="I2656" s="93"/>
      <c r="J2656" s="93"/>
    </row>
    <row r="2657" spans="1:10" s="65" customFormat="1" ht="14" x14ac:dyDescent="0.35">
      <c r="A2657" s="145"/>
      <c r="E2657" s="102"/>
      <c r="F2657" s="102"/>
      <c r="G2657" s="102"/>
      <c r="I2657" s="93"/>
      <c r="J2657" s="93"/>
    </row>
    <row r="2658" spans="1:10" s="65" customFormat="1" ht="14" x14ac:dyDescent="0.35">
      <c r="A2658" s="145"/>
      <c r="E2658" s="102"/>
      <c r="F2658" s="102"/>
      <c r="G2658" s="102"/>
      <c r="I2658" s="93"/>
      <c r="J2658" s="93"/>
    </row>
    <row r="2659" spans="1:10" s="65" customFormat="1" ht="14" x14ac:dyDescent="0.35">
      <c r="A2659" s="145"/>
      <c r="E2659" s="102"/>
      <c r="F2659" s="102"/>
      <c r="G2659" s="102"/>
      <c r="I2659" s="93"/>
      <c r="J2659" s="93"/>
    </row>
    <row r="2660" spans="1:10" s="65" customFormat="1" ht="14" x14ac:dyDescent="0.35">
      <c r="A2660" s="145"/>
      <c r="E2660" s="102"/>
      <c r="F2660" s="102"/>
      <c r="G2660" s="102"/>
      <c r="I2660" s="93"/>
      <c r="J2660" s="93"/>
    </row>
    <row r="2661" spans="1:10" s="65" customFormat="1" ht="14" x14ac:dyDescent="0.35">
      <c r="A2661" s="145"/>
      <c r="E2661" s="102"/>
      <c r="F2661" s="102"/>
      <c r="G2661" s="102"/>
      <c r="I2661" s="93"/>
      <c r="J2661" s="93"/>
    </row>
    <row r="2662" spans="1:10" s="65" customFormat="1" ht="14" x14ac:dyDescent="0.35">
      <c r="A2662" s="145"/>
      <c r="E2662" s="102"/>
      <c r="F2662" s="102"/>
      <c r="G2662" s="102"/>
      <c r="I2662" s="93"/>
      <c r="J2662" s="93"/>
    </row>
    <row r="2663" spans="1:10" s="65" customFormat="1" ht="14" x14ac:dyDescent="0.35">
      <c r="A2663" s="145"/>
      <c r="E2663" s="102"/>
      <c r="F2663" s="102"/>
      <c r="G2663" s="102"/>
      <c r="I2663" s="93"/>
      <c r="J2663" s="93"/>
    </row>
    <row r="2664" spans="1:10" s="65" customFormat="1" ht="14" x14ac:dyDescent="0.35">
      <c r="A2664" s="145"/>
      <c r="E2664" s="102"/>
      <c r="F2664" s="102"/>
      <c r="G2664" s="102"/>
      <c r="I2664" s="93"/>
      <c r="J2664" s="93"/>
    </row>
    <row r="2665" spans="1:10" s="65" customFormat="1" ht="14" x14ac:dyDescent="0.35">
      <c r="A2665" s="145"/>
      <c r="E2665" s="102"/>
      <c r="F2665" s="102"/>
      <c r="G2665" s="102"/>
      <c r="I2665" s="93"/>
      <c r="J2665" s="93"/>
    </row>
    <row r="2666" spans="1:10" s="65" customFormat="1" ht="14" x14ac:dyDescent="0.35">
      <c r="A2666" s="145"/>
      <c r="E2666" s="102"/>
      <c r="F2666" s="102"/>
      <c r="G2666" s="102"/>
      <c r="I2666" s="93"/>
      <c r="J2666" s="93"/>
    </row>
    <row r="2667" spans="1:10" s="65" customFormat="1" ht="14" x14ac:dyDescent="0.35">
      <c r="A2667" s="145"/>
      <c r="E2667" s="102"/>
      <c r="F2667" s="102"/>
      <c r="G2667" s="102"/>
      <c r="I2667" s="93"/>
      <c r="J2667" s="93"/>
    </row>
    <row r="2668" spans="1:10" s="65" customFormat="1" ht="14" x14ac:dyDescent="0.35">
      <c r="A2668" s="145"/>
      <c r="E2668" s="102"/>
      <c r="F2668" s="102"/>
      <c r="G2668" s="102"/>
      <c r="I2668" s="93"/>
      <c r="J2668" s="93"/>
    </row>
    <row r="2669" spans="1:10" s="65" customFormat="1" ht="14" x14ac:dyDescent="0.35">
      <c r="A2669" s="145"/>
      <c r="E2669" s="102"/>
      <c r="F2669" s="102"/>
      <c r="G2669" s="102"/>
      <c r="I2669" s="93"/>
      <c r="J2669" s="93"/>
    </row>
    <row r="2670" spans="1:10" s="65" customFormat="1" ht="14" x14ac:dyDescent="0.35">
      <c r="A2670" s="145"/>
      <c r="E2670" s="102"/>
      <c r="F2670" s="102"/>
      <c r="G2670" s="102"/>
      <c r="I2670" s="93"/>
      <c r="J2670" s="93"/>
    </row>
    <row r="2671" spans="1:10" s="65" customFormat="1" ht="14" x14ac:dyDescent="0.35">
      <c r="A2671" s="145"/>
      <c r="E2671" s="102"/>
      <c r="F2671" s="102"/>
      <c r="G2671" s="102"/>
      <c r="I2671" s="93"/>
      <c r="J2671" s="93"/>
    </row>
    <row r="2672" spans="1:10" s="65" customFormat="1" ht="14" x14ac:dyDescent="0.35">
      <c r="A2672" s="145"/>
      <c r="E2672" s="102"/>
      <c r="F2672" s="102"/>
      <c r="G2672" s="102"/>
      <c r="I2672" s="93"/>
      <c r="J2672" s="93"/>
    </row>
    <row r="2673" spans="1:10" s="65" customFormat="1" ht="14" x14ac:dyDescent="0.35">
      <c r="A2673" s="145"/>
      <c r="E2673" s="102"/>
      <c r="F2673" s="102"/>
      <c r="G2673" s="102"/>
      <c r="I2673" s="93"/>
      <c r="J2673" s="93"/>
    </row>
    <row r="2674" spans="1:10" s="65" customFormat="1" ht="14" x14ac:dyDescent="0.35">
      <c r="A2674" s="145"/>
      <c r="E2674" s="102"/>
      <c r="F2674" s="102"/>
      <c r="G2674" s="102"/>
      <c r="I2674" s="93"/>
      <c r="J2674" s="93"/>
    </row>
    <row r="2675" spans="1:10" s="65" customFormat="1" ht="14" x14ac:dyDescent="0.35">
      <c r="A2675" s="145"/>
      <c r="E2675" s="102"/>
      <c r="F2675" s="102"/>
      <c r="G2675" s="102"/>
      <c r="I2675" s="93"/>
      <c r="J2675" s="93"/>
    </row>
    <row r="2676" spans="1:10" s="65" customFormat="1" ht="14" x14ac:dyDescent="0.35">
      <c r="A2676" s="145"/>
      <c r="E2676" s="102"/>
      <c r="F2676" s="102"/>
      <c r="G2676" s="102"/>
      <c r="I2676" s="93"/>
      <c r="J2676" s="93"/>
    </row>
    <row r="2677" spans="1:10" s="65" customFormat="1" ht="14" x14ac:dyDescent="0.35">
      <c r="A2677" s="145"/>
      <c r="E2677" s="102"/>
      <c r="F2677" s="102"/>
      <c r="G2677" s="102"/>
      <c r="I2677" s="93"/>
      <c r="J2677" s="93"/>
    </row>
    <row r="2678" spans="1:10" s="65" customFormat="1" ht="14" x14ac:dyDescent="0.35">
      <c r="A2678" s="145"/>
      <c r="E2678" s="102"/>
      <c r="F2678" s="102"/>
      <c r="G2678" s="102"/>
      <c r="I2678" s="93"/>
      <c r="J2678" s="93"/>
    </row>
    <row r="2679" spans="1:10" s="65" customFormat="1" ht="14" x14ac:dyDescent="0.35">
      <c r="A2679" s="145"/>
      <c r="E2679" s="102"/>
      <c r="F2679" s="102"/>
      <c r="G2679" s="102"/>
      <c r="I2679" s="93"/>
      <c r="J2679" s="93"/>
    </row>
    <row r="2680" spans="1:10" s="65" customFormat="1" ht="14" x14ac:dyDescent="0.35">
      <c r="A2680" s="145"/>
      <c r="E2680" s="102"/>
      <c r="F2680" s="102"/>
      <c r="G2680" s="102"/>
      <c r="I2680" s="93"/>
      <c r="J2680" s="93"/>
    </row>
    <row r="2681" spans="1:10" s="65" customFormat="1" ht="14" x14ac:dyDescent="0.35">
      <c r="A2681" s="145"/>
      <c r="E2681" s="102"/>
      <c r="F2681" s="102"/>
      <c r="G2681" s="102"/>
      <c r="I2681" s="93"/>
      <c r="J2681" s="93"/>
    </row>
    <row r="2682" spans="1:10" s="65" customFormat="1" ht="14" x14ac:dyDescent="0.35">
      <c r="A2682" s="145"/>
      <c r="E2682" s="102"/>
      <c r="F2682" s="102"/>
      <c r="G2682" s="102"/>
      <c r="I2682" s="93"/>
      <c r="J2682" s="93"/>
    </row>
    <row r="2683" spans="1:10" s="65" customFormat="1" ht="14" x14ac:dyDescent="0.35">
      <c r="A2683" s="145"/>
      <c r="E2683" s="102"/>
      <c r="F2683" s="102"/>
      <c r="G2683" s="102"/>
      <c r="I2683" s="93"/>
      <c r="J2683" s="93"/>
    </row>
    <row r="2684" spans="1:10" s="65" customFormat="1" ht="14" x14ac:dyDescent="0.35">
      <c r="A2684" s="145"/>
      <c r="E2684" s="102"/>
      <c r="F2684" s="102"/>
      <c r="G2684" s="102"/>
      <c r="I2684" s="93"/>
      <c r="J2684" s="93"/>
    </row>
    <row r="2685" spans="1:10" s="65" customFormat="1" ht="14" x14ac:dyDescent="0.35">
      <c r="A2685" s="145"/>
      <c r="E2685" s="102"/>
      <c r="F2685" s="102"/>
      <c r="G2685" s="102"/>
      <c r="I2685" s="93"/>
      <c r="J2685" s="93"/>
    </row>
    <row r="2686" spans="1:10" s="65" customFormat="1" ht="14" x14ac:dyDescent="0.35">
      <c r="A2686" s="145"/>
      <c r="E2686" s="102"/>
      <c r="F2686" s="102"/>
      <c r="G2686" s="102"/>
      <c r="I2686" s="93"/>
      <c r="J2686" s="93"/>
    </row>
    <row r="2687" spans="1:10" s="65" customFormat="1" ht="14" x14ac:dyDescent="0.35">
      <c r="A2687" s="145"/>
      <c r="E2687" s="102"/>
      <c r="F2687" s="102"/>
      <c r="G2687" s="102"/>
      <c r="I2687" s="93"/>
      <c r="J2687" s="93"/>
    </row>
    <row r="2688" spans="1:10" s="65" customFormat="1" ht="14" x14ac:dyDescent="0.35">
      <c r="A2688" s="145"/>
      <c r="E2688" s="102"/>
      <c r="F2688" s="102"/>
      <c r="G2688" s="102"/>
      <c r="I2688" s="93"/>
      <c r="J2688" s="93"/>
    </row>
    <row r="2689" spans="1:10" s="65" customFormat="1" ht="14" x14ac:dyDescent="0.35">
      <c r="A2689" s="145"/>
      <c r="E2689" s="102"/>
      <c r="F2689" s="102"/>
      <c r="G2689" s="102"/>
      <c r="I2689" s="93"/>
      <c r="J2689" s="93"/>
    </row>
    <row r="2690" spans="1:10" s="65" customFormat="1" ht="14" x14ac:dyDescent="0.35">
      <c r="A2690" s="145"/>
      <c r="E2690" s="102"/>
      <c r="F2690" s="102"/>
      <c r="G2690" s="102"/>
      <c r="I2690" s="93"/>
      <c r="J2690" s="93"/>
    </row>
    <row r="2691" spans="1:10" s="65" customFormat="1" ht="14" x14ac:dyDescent="0.35">
      <c r="A2691" s="145"/>
      <c r="E2691" s="102"/>
      <c r="F2691" s="102"/>
      <c r="G2691" s="102"/>
      <c r="I2691" s="93"/>
      <c r="J2691" s="93"/>
    </row>
    <row r="2692" spans="1:10" s="65" customFormat="1" ht="14" x14ac:dyDescent="0.35">
      <c r="A2692" s="145"/>
      <c r="E2692" s="102"/>
      <c r="F2692" s="102"/>
      <c r="G2692" s="102"/>
      <c r="I2692" s="93"/>
      <c r="J2692" s="93"/>
    </row>
    <row r="2693" spans="1:10" s="65" customFormat="1" ht="14" x14ac:dyDescent="0.35">
      <c r="A2693" s="145"/>
      <c r="E2693" s="102"/>
      <c r="F2693" s="102"/>
      <c r="G2693" s="102"/>
      <c r="I2693" s="93"/>
      <c r="J2693" s="93"/>
    </row>
    <row r="2694" spans="1:10" s="65" customFormat="1" ht="14" x14ac:dyDescent="0.35">
      <c r="A2694" s="145"/>
      <c r="E2694" s="102"/>
      <c r="F2694" s="102"/>
      <c r="G2694" s="102"/>
      <c r="I2694" s="93"/>
      <c r="J2694" s="93"/>
    </row>
    <row r="2695" spans="1:10" s="65" customFormat="1" ht="14" x14ac:dyDescent="0.35">
      <c r="A2695" s="145"/>
      <c r="E2695" s="102"/>
      <c r="F2695" s="102"/>
      <c r="G2695" s="102"/>
      <c r="I2695" s="93"/>
      <c r="J2695" s="93"/>
    </row>
    <row r="2696" spans="1:10" s="65" customFormat="1" ht="14" x14ac:dyDescent="0.35">
      <c r="A2696" s="145"/>
      <c r="E2696" s="102"/>
      <c r="F2696" s="102"/>
      <c r="G2696" s="102"/>
      <c r="I2696" s="93"/>
      <c r="J2696" s="93"/>
    </row>
    <row r="2697" spans="1:10" s="65" customFormat="1" ht="14" x14ac:dyDescent="0.35">
      <c r="A2697" s="145"/>
      <c r="E2697" s="102"/>
      <c r="F2697" s="102"/>
      <c r="G2697" s="102"/>
      <c r="I2697" s="93"/>
      <c r="J2697" s="93"/>
    </row>
    <row r="2698" spans="1:10" s="65" customFormat="1" ht="14" x14ac:dyDescent="0.35">
      <c r="A2698" s="145"/>
      <c r="E2698" s="102"/>
      <c r="F2698" s="102"/>
      <c r="G2698" s="102"/>
      <c r="I2698" s="93"/>
      <c r="J2698" s="93"/>
    </row>
    <row r="2699" spans="1:10" s="65" customFormat="1" ht="14" x14ac:dyDescent="0.35">
      <c r="A2699" s="145"/>
      <c r="E2699" s="102"/>
      <c r="F2699" s="102"/>
      <c r="G2699" s="102"/>
      <c r="I2699" s="93"/>
      <c r="J2699" s="93"/>
    </row>
    <row r="2700" spans="1:10" s="65" customFormat="1" ht="14" x14ac:dyDescent="0.35">
      <c r="A2700" s="145"/>
      <c r="E2700" s="102"/>
      <c r="F2700" s="102"/>
      <c r="G2700" s="102"/>
      <c r="I2700" s="93"/>
      <c r="J2700" s="93"/>
    </row>
    <row r="2701" spans="1:10" s="65" customFormat="1" ht="14" x14ac:dyDescent="0.35">
      <c r="A2701" s="145"/>
      <c r="E2701" s="102"/>
      <c r="F2701" s="102"/>
      <c r="G2701" s="102"/>
      <c r="I2701" s="93"/>
      <c r="J2701" s="93"/>
    </row>
    <row r="2702" spans="1:10" s="65" customFormat="1" ht="14" x14ac:dyDescent="0.35">
      <c r="A2702" s="145"/>
      <c r="E2702" s="102"/>
      <c r="F2702" s="102"/>
      <c r="G2702" s="102"/>
      <c r="I2702" s="93"/>
      <c r="J2702" s="93"/>
    </row>
    <row r="2703" spans="1:10" s="65" customFormat="1" ht="14" x14ac:dyDescent="0.35">
      <c r="A2703" s="145"/>
      <c r="E2703" s="102"/>
      <c r="F2703" s="102"/>
      <c r="G2703" s="102"/>
      <c r="I2703" s="93"/>
      <c r="J2703" s="93"/>
    </row>
    <row r="2704" spans="1:10" s="65" customFormat="1" ht="14" x14ac:dyDescent="0.35">
      <c r="A2704" s="145"/>
      <c r="E2704" s="102"/>
      <c r="F2704" s="102"/>
      <c r="G2704" s="102"/>
      <c r="I2704" s="93"/>
      <c r="J2704" s="93"/>
    </row>
    <row r="2705" spans="1:10" s="65" customFormat="1" ht="14" x14ac:dyDescent="0.35">
      <c r="A2705" s="145"/>
      <c r="E2705" s="102"/>
      <c r="F2705" s="102"/>
      <c r="G2705" s="102"/>
      <c r="I2705" s="93"/>
      <c r="J2705" s="93"/>
    </row>
    <row r="2706" spans="1:10" s="65" customFormat="1" ht="14" x14ac:dyDescent="0.35">
      <c r="A2706" s="145"/>
      <c r="E2706" s="102"/>
      <c r="F2706" s="102"/>
      <c r="G2706" s="102"/>
      <c r="I2706" s="93"/>
      <c r="J2706" s="93"/>
    </row>
    <row r="2707" spans="1:10" s="65" customFormat="1" ht="14" x14ac:dyDescent="0.35">
      <c r="A2707" s="145"/>
      <c r="E2707" s="102"/>
      <c r="F2707" s="102"/>
      <c r="G2707" s="102"/>
      <c r="I2707" s="93"/>
      <c r="J2707" s="93"/>
    </row>
    <row r="2708" spans="1:10" s="65" customFormat="1" ht="14" x14ac:dyDescent="0.35">
      <c r="A2708" s="145"/>
      <c r="E2708" s="102"/>
      <c r="F2708" s="102"/>
      <c r="G2708" s="102"/>
      <c r="I2708" s="93"/>
      <c r="J2708" s="93"/>
    </row>
    <row r="2709" spans="1:10" s="65" customFormat="1" ht="14" x14ac:dyDescent="0.35">
      <c r="A2709" s="145"/>
      <c r="E2709" s="102"/>
      <c r="F2709" s="102"/>
      <c r="G2709" s="102"/>
      <c r="I2709" s="93"/>
      <c r="J2709" s="93"/>
    </row>
    <row r="2710" spans="1:10" s="65" customFormat="1" ht="14" x14ac:dyDescent="0.35">
      <c r="A2710" s="145"/>
      <c r="E2710" s="102"/>
      <c r="F2710" s="102"/>
      <c r="G2710" s="102"/>
      <c r="I2710" s="93"/>
      <c r="J2710" s="93"/>
    </row>
    <row r="2711" spans="1:10" s="65" customFormat="1" ht="14" x14ac:dyDescent="0.35">
      <c r="A2711" s="145"/>
      <c r="E2711" s="102"/>
      <c r="F2711" s="102"/>
      <c r="G2711" s="102"/>
      <c r="I2711" s="93"/>
      <c r="J2711" s="93"/>
    </row>
    <row r="2712" spans="1:10" s="65" customFormat="1" ht="14" x14ac:dyDescent="0.35">
      <c r="A2712" s="145"/>
      <c r="E2712" s="102"/>
      <c r="F2712" s="102"/>
      <c r="G2712" s="102"/>
      <c r="I2712" s="93"/>
      <c r="J2712" s="93"/>
    </row>
    <row r="2713" spans="1:10" s="65" customFormat="1" ht="14" x14ac:dyDescent="0.35">
      <c r="A2713" s="145"/>
      <c r="E2713" s="102"/>
      <c r="F2713" s="102"/>
      <c r="G2713" s="102"/>
      <c r="I2713" s="93"/>
      <c r="J2713" s="93"/>
    </row>
    <row r="2714" spans="1:10" s="65" customFormat="1" ht="14" x14ac:dyDescent="0.35">
      <c r="A2714" s="145"/>
      <c r="E2714" s="102"/>
      <c r="F2714" s="102"/>
      <c r="G2714" s="102"/>
      <c r="I2714" s="93"/>
      <c r="J2714" s="93"/>
    </row>
    <row r="2715" spans="1:10" s="65" customFormat="1" ht="14" x14ac:dyDescent="0.35">
      <c r="A2715" s="145"/>
      <c r="E2715" s="102"/>
      <c r="F2715" s="102"/>
      <c r="G2715" s="102"/>
      <c r="I2715" s="93"/>
      <c r="J2715" s="93"/>
    </row>
    <row r="2716" spans="1:10" s="65" customFormat="1" ht="14" x14ac:dyDescent="0.35">
      <c r="A2716" s="145"/>
      <c r="E2716" s="102"/>
      <c r="F2716" s="102"/>
      <c r="G2716" s="102"/>
      <c r="I2716" s="93"/>
      <c r="J2716" s="93"/>
    </row>
    <row r="2717" spans="1:10" s="65" customFormat="1" ht="14" x14ac:dyDescent="0.35">
      <c r="A2717" s="145"/>
      <c r="E2717" s="102"/>
      <c r="F2717" s="102"/>
      <c r="G2717" s="102"/>
      <c r="I2717" s="93"/>
      <c r="J2717" s="93"/>
    </row>
    <row r="2718" spans="1:10" s="65" customFormat="1" ht="14" x14ac:dyDescent="0.35">
      <c r="A2718" s="145"/>
      <c r="E2718" s="102"/>
      <c r="F2718" s="102"/>
      <c r="G2718" s="102"/>
      <c r="I2718" s="93"/>
      <c r="J2718" s="93"/>
    </row>
    <row r="2719" spans="1:10" s="65" customFormat="1" ht="14" x14ac:dyDescent="0.35">
      <c r="A2719" s="145"/>
      <c r="E2719" s="102"/>
      <c r="F2719" s="102"/>
      <c r="G2719" s="102"/>
      <c r="I2719" s="93"/>
      <c r="J2719" s="93"/>
    </row>
    <row r="2720" spans="1:10" s="65" customFormat="1" ht="14" x14ac:dyDescent="0.35">
      <c r="A2720" s="145"/>
      <c r="E2720" s="102"/>
      <c r="F2720" s="102"/>
      <c r="G2720" s="102"/>
      <c r="I2720" s="93"/>
      <c r="J2720" s="93"/>
    </row>
    <row r="2721" spans="1:10" s="65" customFormat="1" ht="14" x14ac:dyDescent="0.35">
      <c r="A2721" s="145"/>
      <c r="E2721" s="102"/>
      <c r="F2721" s="102"/>
      <c r="G2721" s="102"/>
      <c r="I2721" s="93"/>
      <c r="J2721" s="93"/>
    </row>
    <row r="2722" spans="1:10" s="65" customFormat="1" ht="14" x14ac:dyDescent="0.35">
      <c r="A2722" s="145"/>
      <c r="E2722" s="102"/>
      <c r="F2722" s="102"/>
      <c r="G2722" s="102"/>
      <c r="I2722" s="93"/>
      <c r="J2722" s="93"/>
    </row>
    <row r="2723" spans="1:10" s="65" customFormat="1" ht="14" x14ac:dyDescent="0.35">
      <c r="A2723" s="145"/>
      <c r="E2723" s="102"/>
      <c r="F2723" s="102"/>
      <c r="G2723" s="102"/>
      <c r="I2723" s="93"/>
      <c r="J2723" s="93"/>
    </row>
    <row r="2724" spans="1:10" s="65" customFormat="1" ht="14" x14ac:dyDescent="0.35">
      <c r="A2724" s="145"/>
      <c r="E2724" s="102"/>
      <c r="F2724" s="102"/>
      <c r="G2724" s="102"/>
      <c r="I2724" s="93"/>
      <c r="J2724" s="93"/>
    </row>
    <row r="2725" spans="1:10" s="65" customFormat="1" ht="14" x14ac:dyDescent="0.35">
      <c r="A2725" s="145"/>
      <c r="E2725" s="102"/>
      <c r="F2725" s="102"/>
      <c r="G2725" s="102"/>
      <c r="I2725" s="93"/>
      <c r="J2725" s="93"/>
    </row>
    <row r="2726" spans="1:10" s="65" customFormat="1" ht="14" x14ac:dyDescent="0.35">
      <c r="A2726" s="145"/>
      <c r="E2726" s="102"/>
      <c r="F2726" s="102"/>
      <c r="G2726" s="102"/>
      <c r="I2726" s="93"/>
      <c r="J2726" s="93"/>
    </row>
    <row r="2727" spans="1:10" s="65" customFormat="1" ht="14" x14ac:dyDescent="0.35">
      <c r="A2727" s="145"/>
      <c r="E2727" s="102"/>
      <c r="F2727" s="102"/>
      <c r="G2727" s="102"/>
      <c r="I2727" s="93"/>
      <c r="J2727" s="93"/>
    </row>
    <row r="2728" spans="1:10" s="65" customFormat="1" ht="14" x14ac:dyDescent="0.35">
      <c r="A2728" s="145"/>
      <c r="E2728" s="102"/>
      <c r="F2728" s="102"/>
      <c r="G2728" s="102"/>
      <c r="I2728" s="93"/>
      <c r="J2728" s="93"/>
    </row>
    <row r="2729" spans="1:10" s="65" customFormat="1" ht="14" x14ac:dyDescent="0.35">
      <c r="A2729" s="145"/>
      <c r="E2729" s="102"/>
      <c r="F2729" s="102"/>
      <c r="G2729" s="102"/>
      <c r="I2729" s="93"/>
      <c r="J2729" s="93"/>
    </row>
    <row r="2730" spans="1:10" s="65" customFormat="1" ht="14" x14ac:dyDescent="0.35">
      <c r="A2730" s="145"/>
      <c r="E2730" s="102"/>
      <c r="F2730" s="102"/>
      <c r="G2730" s="102"/>
      <c r="I2730" s="93"/>
      <c r="J2730" s="93"/>
    </row>
    <row r="2731" spans="1:10" s="65" customFormat="1" ht="14" x14ac:dyDescent="0.35">
      <c r="A2731" s="145"/>
      <c r="E2731" s="102"/>
      <c r="F2731" s="102"/>
      <c r="G2731" s="102"/>
      <c r="I2731" s="93"/>
      <c r="J2731" s="93"/>
    </row>
    <row r="2732" spans="1:10" s="65" customFormat="1" ht="14" x14ac:dyDescent="0.35">
      <c r="A2732" s="145"/>
      <c r="E2732" s="102"/>
      <c r="F2732" s="102"/>
      <c r="G2732" s="102"/>
      <c r="I2732" s="93"/>
      <c r="J2732" s="93"/>
    </row>
    <row r="2733" spans="1:10" s="65" customFormat="1" ht="14" x14ac:dyDescent="0.35">
      <c r="A2733" s="145"/>
      <c r="E2733" s="102"/>
      <c r="F2733" s="102"/>
      <c r="G2733" s="102"/>
      <c r="I2733" s="93"/>
      <c r="J2733" s="93"/>
    </row>
    <row r="2734" spans="1:10" s="65" customFormat="1" ht="14" x14ac:dyDescent="0.35">
      <c r="A2734" s="145"/>
      <c r="E2734" s="102"/>
      <c r="F2734" s="102"/>
      <c r="G2734" s="102"/>
      <c r="I2734" s="93"/>
      <c r="J2734" s="93"/>
    </row>
    <row r="2735" spans="1:10" s="65" customFormat="1" ht="14" x14ac:dyDescent="0.35">
      <c r="A2735" s="145"/>
      <c r="E2735" s="102"/>
      <c r="F2735" s="102"/>
      <c r="G2735" s="102"/>
      <c r="I2735" s="93"/>
      <c r="J2735" s="93"/>
    </row>
    <row r="2736" spans="1:10" s="65" customFormat="1" ht="14" x14ac:dyDescent="0.35">
      <c r="A2736" s="145"/>
      <c r="E2736" s="102"/>
      <c r="F2736" s="102"/>
      <c r="G2736" s="102"/>
      <c r="I2736" s="93"/>
      <c r="J2736" s="93"/>
    </row>
    <row r="2737" spans="1:10" s="65" customFormat="1" ht="14" x14ac:dyDescent="0.35">
      <c r="A2737" s="145"/>
      <c r="E2737" s="102"/>
      <c r="F2737" s="102"/>
      <c r="G2737" s="102"/>
      <c r="I2737" s="93"/>
      <c r="J2737" s="93"/>
    </row>
    <row r="2738" spans="1:10" s="65" customFormat="1" ht="14" x14ac:dyDescent="0.35">
      <c r="A2738" s="145"/>
      <c r="E2738" s="102"/>
      <c r="F2738" s="102"/>
      <c r="G2738" s="102"/>
      <c r="I2738" s="93"/>
      <c r="J2738" s="93"/>
    </row>
    <row r="2739" spans="1:10" s="65" customFormat="1" ht="14" x14ac:dyDescent="0.35">
      <c r="A2739" s="145"/>
      <c r="E2739" s="102"/>
      <c r="F2739" s="102"/>
      <c r="G2739" s="102"/>
      <c r="I2739" s="93"/>
      <c r="J2739" s="93"/>
    </row>
    <row r="2740" spans="1:10" s="65" customFormat="1" ht="14" x14ac:dyDescent="0.35">
      <c r="A2740" s="145"/>
      <c r="E2740" s="102"/>
      <c r="F2740" s="102"/>
      <c r="G2740" s="102"/>
      <c r="I2740" s="93"/>
      <c r="J2740" s="93"/>
    </row>
    <row r="2741" spans="1:10" s="65" customFormat="1" ht="14" x14ac:dyDescent="0.35">
      <c r="A2741" s="145"/>
      <c r="E2741" s="102"/>
      <c r="F2741" s="102"/>
      <c r="G2741" s="102"/>
      <c r="I2741" s="93"/>
      <c r="J2741" s="93"/>
    </row>
    <row r="2742" spans="1:10" s="65" customFormat="1" ht="14" x14ac:dyDescent="0.35">
      <c r="A2742" s="145"/>
      <c r="E2742" s="102"/>
      <c r="F2742" s="102"/>
      <c r="G2742" s="102"/>
      <c r="I2742" s="93"/>
      <c r="J2742" s="93"/>
    </row>
    <row r="2743" spans="1:10" s="65" customFormat="1" ht="14" x14ac:dyDescent="0.35">
      <c r="A2743" s="145"/>
      <c r="E2743" s="102"/>
      <c r="F2743" s="102"/>
      <c r="G2743" s="102"/>
      <c r="I2743" s="93"/>
      <c r="J2743" s="93"/>
    </row>
    <row r="2744" spans="1:10" s="65" customFormat="1" ht="14" x14ac:dyDescent="0.35">
      <c r="A2744" s="145"/>
      <c r="E2744" s="102"/>
      <c r="F2744" s="102"/>
      <c r="G2744" s="102"/>
      <c r="I2744" s="93"/>
      <c r="J2744" s="93"/>
    </row>
    <row r="2745" spans="1:10" s="65" customFormat="1" ht="14" x14ac:dyDescent="0.35">
      <c r="A2745" s="145"/>
      <c r="E2745" s="102"/>
      <c r="F2745" s="102"/>
      <c r="G2745" s="102"/>
      <c r="I2745" s="93"/>
      <c r="J2745" s="93"/>
    </row>
    <row r="2746" spans="1:10" s="65" customFormat="1" ht="14" x14ac:dyDescent="0.35">
      <c r="A2746" s="145"/>
      <c r="E2746" s="102"/>
      <c r="F2746" s="102"/>
      <c r="G2746" s="102"/>
      <c r="I2746" s="93"/>
      <c r="J2746" s="93"/>
    </row>
    <row r="2747" spans="1:10" s="65" customFormat="1" ht="14" x14ac:dyDescent="0.35">
      <c r="A2747" s="145"/>
      <c r="E2747" s="102"/>
      <c r="F2747" s="102"/>
      <c r="G2747" s="102"/>
      <c r="I2747" s="93"/>
      <c r="J2747" s="93"/>
    </row>
    <row r="2748" spans="1:10" s="65" customFormat="1" ht="14" x14ac:dyDescent="0.35">
      <c r="A2748" s="145"/>
      <c r="E2748" s="102"/>
      <c r="F2748" s="102"/>
      <c r="G2748" s="102"/>
      <c r="I2748" s="93"/>
      <c r="J2748" s="93"/>
    </row>
    <row r="2749" spans="1:10" s="65" customFormat="1" ht="14" x14ac:dyDescent="0.35">
      <c r="A2749" s="145"/>
      <c r="E2749" s="102"/>
      <c r="F2749" s="102"/>
      <c r="G2749" s="102"/>
      <c r="I2749" s="93"/>
      <c r="J2749" s="93"/>
    </row>
    <row r="2750" spans="1:10" s="65" customFormat="1" ht="14" x14ac:dyDescent="0.35">
      <c r="A2750" s="145"/>
      <c r="E2750" s="102"/>
      <c r="F2750" s="102"/>
      <c r="G2750" s="102"/>
      <c r="I2750" s="93"/>
      <c r="J2750" s="93"/>
    </row>
    <row r="2751" spans="1:10" s="65" customFormat="1" ht="14" x14ac:dyDescent="0.35">
      <c r="A2751" s="145"/>
      <c r="E2751" s="102"/>
      <c r="F2751" s="102"/>
      <c r="G2751" s="102"/>
      <c r="I2751" s="93"/>
      <c r="J2751" s="93"/>
    </row>
    <row r="2752" spans="1:10" s="65" customFormat="1" ht="14" x14ac:dyDescent="0.35">
      <c r="A2752" s="145"/>
      <c r="E2752" s="102"/>
      <c r="F2752" s="102"/>
      <c r="G2752" s="102"/>
      <c r="I2752" s="93"/>
      <c r="J2752" s="93"/>
    </row>
    <row r="2753" spans="1:10" s="65" customFormat="1" ht="14" x14ac:dyDescent="0.35">
      <c r="A2753" s="145"/>
      <c r="E2753" s="102"/>
      <c r="F2753" s="102"/>
      <c r="G2753" s="102"/>
      <c r="I2753" s="93"/>
      <c r="J2753" s="93"/>
    </row>
    <row r="2754" spans="1:10" s="65" customFormat="1" ht="14" x14ac:dyDescent="0.35">
      <c r="A2754" s="145"/>
      <c r="E2754" s="102"/>
      <c r="F2754" s="102"/>
      <c r="G2754" s="102"/>
      <c r="I2754" s="93"/>
      <c r="J2754" s="93"/>
    </row>
    <row r="2755" spans="1:10" s="65" customFormat="1" ht="14" x14ac:dyDescent="0.35">
      <c r="A2755" s="145"/>
      <c r="E2755" s="102"/>
      <c r="F2755" s="102"/>
      <c r="G2755" s="102"/>
      <c r="I2755" s="93"/>
      <c r="J2755" s="93"/>
    </row>
    <row r="2756" spans="1:10" s="65" customFormat="1" ht="14" x14ac:dyDescent="0.35">
      <c r="A2756" s="145"/>
      <c r="E2756" s="102"/>
      <c r="F2756" s="102"/>
      <c r="G2756" s="102"/>
      <c r="I2756" s="93"/>
      <c r="J2756" s="93"/>
    </row>
    <row r="2757" spans="1:10" s="65" customFormat="1" ht="14" x14ac:dyDescent="0.35">
      <c r="A2757" s="145"/>
      <c r="E2757" s="102"/>
      <c r="F2757" s="102"/>
      <c r="G2757" s="102"/>
      <c r="I2757" s="93"/>
      <c r="J2757" s="93"/>
    </row>
    <row r="2758" spans="1:10" s="65" customFormat="1" ht="14" x14ac:dyDescent="0.35">
      <c r="A2758" s="145"/>
      <c r="E2758" s="102"/>
      <c r="F2758" s="102"/>
      <c r="G2758" s="102"/>
      <c r="I2758" s="93"/>
      <c r="J2758" s="93"/>
    </row>
    <row r="2759" spans="1:10" s="65" customFormat="1" ht="14" x14ac:dyDescent="0.35">
      <c r="A2759" s="145"/>
      <c r="E2759" s="102"/>
      <c r="F2759" s="102"/>
      <c r="G2759" s="102"/>
      <c r="I2759" s="93"/>
      <c r="J2759" s="93"/>
    </row>
    <row r="2760" spans="1:10" s="65" customFormat="1" ht="14" x14ac:dyDescent="0.35">
      <c r="A2760" s="145"/>
      <c r="E2760" s="102"/>
      <c r="F2760" s="102"/>
      <c r="G2760" s="102"/>
      <c r="I2760" s="93"/>
      <c r="J2760" s="93"/>
    </row>
    <row r="2761" spans="1:10" s="65" customFormat="1" ht="14" x14ac:dyDescent="0.35">
      <c r="A2761" s="145"/>
      <c r="E2761" s="102"/>
      <c r="F2761" s="102"/>
      <c r="G2761" s="102"/>
      <c r="I2761" s="93"/>
      <c r="J2761" s="93"/>
    </row>
    <row r="2762" spans="1:10" s="65" customFormat="1" ht="14" x14ac:dyDescent="0.35">
      <c r="A2762" s="145"/>
      <c r="E2762" s="102"/>
      <c r="F2762" s="102"/>
      <c r="G2762" s="102"/>
      <c r="I2762" s="93"/>
      <c r="J2762" s="93"/>
    </row>
    <row r="2763" spans="1:10" s="65" customFormat="1" ht="14" x14ac:dyDescent="0.35">
      <c r="A2763" s="145"/>
      <c r="E2763" s="102"/>
      <c r="F2763" s="102"/>
      <c r="G2763" s="102"/>
      <c r="I2763" s="93"/>
      <c r="J2763" s="93"/>
    </row>
    <row r="2764" spans="1:10" s="65" customFormat="1" ht="14" x14ac:dyDescent="0.35">
      <c r="A2764" s="145"/>
      <c r="E2764" s="102"/>
      <c r="F2764" s="102"/>
      <c r="G2764" s="102"/>
      <c r="I2764" s="93"/>
      <c r="J2764" s="93"/>
    </row>
    <row r="2765" spans="1:10" s="65" customFormat="1" ht="14" x14ac:dyDescent="0.35">
      <c r="A2765" s="145"/>
      <c r="E2765" s="102"/>
      <c r="F2765" s="102"/>
      <c r="G2765" s="102"/>
      <c r="I2765" s="93"/>
      <c r="J2765" s="93"/>
    </row>
    <row r="2766" spans="1:10" s="65" customFormat="1" ht="14" x14ac:dyDescent="0.35">
      <c r="A2766" s="145"/>
      <c r="E2766" s="102"/>
      <c r="F2766" s="102"/>
      <c r="G2766" s="102"/>
      <c r="I2766" s="93"/>
      <c r="J2766" s="93"/>
    </row>
    <row r="2767" spans="1:10" s="65" customFormat="1" ht="14" x14ac:dyDescent="0.35">
      <c r="A2767" s="145"/>
      <c r="E2767" s="102"/>
      <c r="F2767" s="102"/>
      <c r="G2767" s="102"/>
      <c r="I2767" s="93"/>
      <c r="J2767" s="93"/>
    </row>
    <row r="2768" spans="1:10" s="65" customFormat="1" ht="14" x14ac:dyDescent="0.35">
      <c r="A2768" s="145"/>
      <c r="E2768" s="102"/>
      <c r="F2768" s="102"/>
      <c r="G2768" s="102"/>
      <c r="I2768" s="93"/>
      <c r="J2768" s="93"/>
    </row>
    <row r="2769" spans="1:10" s="65" customFormat="1" ht="14" x14ac:dyDescent="0.35">
      <c r="A2769" s="145"/>
      <c r="E2769" s="102"/>
      <c r="F2769" s="102"/>
      <c r="G2769" s="102"/>
      <c r="I2769" s="93"/>
      <c r="J2769" s="93"/>
    </row>
    <row r="2770" spans="1:10" s="65" customFormat="1" ht="14" x14ac:dyDescent="0.35">
      <c r="A2770" s="145"/>
      <c r="E2770" s="102"/>
      <c r="F2770" s="102"/>
      <c r="G2770" s="102"/>
      <c r="I2770" s="93"/>
      <c r="J2770" s="93"/>
    </row>
    <row r="2771" spans="1:10" s="65" customFormat="1" ht="14" x14ac:dyDescent="0.35">
      <c r="A2771" s="145"/>
      <c r="E2771" s="102"/>
      <c r="F2771" s="102"/>
      <c r="G2771" s="102"/>
      <c r="I2771" s="93"/>
      <c r="J2771" s="93"/>
    </row>
    <row r="2772" spans="1:10" s="65" customFormat="1" ht="14" x14ac:dyDescent="0.35">
      <c r="A2772" s="145"/>
      <c r="E2772" s="102"/>
      <c r="F2772" s="102"/>
      <c r="G2772" s="102"/>
      <c r="I2772" s="93"/>
      <c r="J2772" s="93"/>
    </row>
    <row r="2773" spans="1:10" s="65" customFormat="1" ht="14" x14ac:dyDescent="0.35">
      <c r="A2773" s="145"/>
      <c r="E2773" s="102"/>
      <c r="F2773" s="102"/>
      <c r="G2773" s="102"/>
      <c r="I2773" s="93"/>
      <c r="J2773" s="93"/>
    </row>
    <row r="2774" spans="1:10" s="65" customFormat="1" ht="14" x14ac:dyDescent="0.35">
      <c r="A2774" s="145"/>
      <c r="E2774" s="102"/>
      <c r="F2774" s="102"/>
      <c r="G2774" s="102"/>
      <c r="I2774" s="93"/>
      <c r="J2774" s="93"/>
    </row>
    <row r="2775" spans="1:10" s="65" customFormat="1" ht="14" x14ac:dyDescent="0.35">
      <c r="A2775" s="145"/>
      <c r="E2775" s="102"/>
      <c r="F2775" s="102"/>
      <c r="G2775" s="102"/>
      <c r="I2775" s="93"/>
      <c r="J2775" s="93"/>
    </row>
    <row r="2776" spans="1:10" s="65" customFormat="1" ht="14" x14ac:dyDescent="0.35">
      <c r="A2776" s="145"/>
      <c r="E2776" s="102"/>
      <c r="F2776" s="102"/>
      <c r="G2776" s="102"/>
      <c r="I2776" s="93"/>
      <c r="J2776" s="93"/>
    </row>
    <row r="2777" spans="1:10" s="65" customFormat="1" ht="14" x14ac:dyDescent="0.35">
      <c r="A2777" s="145"/>
      <c r="E2777" s="102"/>
      <c r="F2777" s="102"/>
      <c r="G2777" s="102"/>
      <c r="I2777" s="93"/>
      <c r="J2777" s="93"/>
    </row>
    <row r="2778" spans="1:10" s="65" customFormat="1" ht="14" x14ac:dyDescent="0.35">
      <c r="A2778" s="145"/>
      <c r="E2778" s="102"/>
      <c r="F2778" s="102"/>
      <c r="G2778" s="102"/>
      <c r="I2778" s="93"/>
      <c r="J2778" s="93"/>
    </row>
    <row r="2779" spans="1:10" s="65" customFormat="1" ht="14" x14ac:dyDescent="0.35">
      <c r="A2779" s="145"/>
      <c r="E2779" s="102"/>
      <c r="F2779" s="102"/>
      <c r="G2779" s="102"/>
      <c r="I2779" s="93"/>
      <c r="J2779" s="93"/>
    </row>
    <row r="2780" spans="1:10" s="65" customFormat="1" ht="14" x14ac:dyDescent="0.35">
      <c r="A2780" s="145"/>
      <c r="E2780" s="102"/>
      <c r="F2780" s="102"/>
      <c r="G2780" s="102"/>
      <c r="I2780" s="93"/>
      <c r="J2780" s="93"/>
    </row>
    <row r="2781" spans="1:10" s="65" customFormat="1" ht="14" x14ac:dyDescent="0.35">
      <c r="A2781" s="145"/>
      <c r="E2781" s="102"/>
      <c r="F2781" s="102"/>
      <c r="G2781" s="102"/>
      <c r="I2781" s="93"/>
      <c r="J2781" s="93"/>
    </row>
    <row r="2782" spans="1:10" s="65" customFormat="1" ht="14" x14ac:dyDescent="0.35">
      <c r="A2782" s="145"/>
      <c r="E2782" s="102"/>
      <c r="F2782" s="102"/>
      <c r="G2782" s="102"/>
      <c r="I2782" s="93"/>
      <c r="J2782" s="93"/>
    </row>
    <row r="2783" spans="1:10" s="65" customFormat="1" ht="14" x14ac:dyDescent="0.35">
      <c r="A2783" s="145"/>
      <c r="E2783" s="102"/>
      <c r="F2783" s="102"/>
      <c r="G2783" s="102"/>
      <c r="I2783" s="93"/>
      <c r="J2783" s="93"/>
    </row>
    <row r="2784" spans="1:10" s="65" customFormat="1" ht="14" x14ac:dyDescent="0.35">
      <c r="A2784" s="145"/>
      <c r="E2784" s="102"/>
      <c r="F2784" s="102"/>
      <c r="G2784" s="102"/>
      <c r="I2784" s="93"/>
      <c r="J2784" s="93"/>
    </row>
    <row r="2785" spans="1:10" s="65" customFormat="1" ht="14" x14ac:dyDescent="0.35">
      <c r="A2785" s="145"/>
      <c r="E2785" s="102"/>
      <c r="F2785" s="102"/>
      <c r="G2785" s="102"/>
      <c r="I2785" s="93"/>
      <c r="J2785" s="93"/>
    </row>
    <row r="2786" spans="1:10" s="65" customFormat="1" ht="14" x14ac:dyDescent="0.35">
      <c r="A2786" s="145"/>
      <c r="E2786" s="102"/>
      <c r="F2786" s="102"/>
      <c r="G2786" s="102"/>
      <c r="I2786" s="93"/>
      <c r="J2786" s="93"/>
    </row>
    <row r="2787" spans="1:10" s="65" customFormat="1" ht="14" x14ac:dyDescent="0.35">
      <c r="A2787" s="145"/>
      <c r="E2787" s="102"/>
      <c r="F2787" s="102"/>
      <c r="G2787" s="102"/>
      <c r="I2787" s="93"/>
      <c r="J2787" s="93"/>
    </row>
    <row r="2788" spans="1:10" s="65" customFormat="1" ht="14" x14ac:dyDescent="0.35">
      <c r="A2788" s="145"/>
      <c r="E2788" s="102"/>
      <c r="F2788" s="102"/>
      <c r="G2788" s="102"/>
      <c r="I2788" s="93"/>
      <c r="J2788" s="93"/>
    </row>
    <row r="2789" spans="1:10" s="65" customFormat="1" ht="14" x14ac:dyDescent="0.35">
      <c r="A2789" s="145"/>
      <c r="E2789" s="102"/>
      <c r="F2789" s="102"/>
      <c r="G2789" s="102"/>
      <c r="I2789" s="93"/>
      <c r="J2789" s="93"/>
    </row>
    <row r="2790" spans="1:10" s="65" customFormat="1" ht="14" x14ac:dyDescent="0.35">
      <c r="A2790" s="145"/>
      <c r="E2790" s="102"/>
      <c r="F2790" s="102"/>
      <c r="G2790" s="102"/>
      <c r="I2790" s="93"/>
      <c r="J2790" s="93"/>
    </row>
    <row r="2791" spans="1:10" s="65" customFormat="1" ht="14" x14ac:dyDescent="0.35">
      <c r="A2791" s="145"/>
      <c r="E2791" s="102"/>
      <c r="F2791" s="102"/>
      <c r="G2791" s="102"/>
      <c r="I2791" s="93"/>
      <c r="J2791" s="93"/>
    </row>
    <row r="2792" spans="1:10" s="65" customFormat="1" ht="14" x14ac:dyDescent="0.35">
      <c r="A2792" s="145"/>
      <c r="E2792" s="102"/>
      <c r="F2792" s="102"/>
      <c r="G2792" s="102"/>
      <c r="I2792" s="93"/>
      <c r="J2792" s="93"/>
    </row>
    <row r="2793" spans="1:10" s="65" customFormat="1" ht="14" x14ac:dyDescent="0.35">
      <c r="A2793" s="145"/>
      <c r="E2793" s="102"/>
      <c r="F2793" s="102"/>
      <c r="G2793" s="102"/>
      <c r="I2793" s="93"/>
      <c r="J2793" s="93"/>
    </row>
    <row r="2794" spans="1:10" s="65" customFormat="1" ht="14" x14ac:dyDescent="0.35">
      <c r="A2794" s="145"/>
      <c r="E2794" s="102"/>
      <c r="F2794" s="102"/>
      <c r="G2794" s="102"/>
      <c r="I2794" s="93"/>
      <c r="J2794" s="93"/>
    </row>
    <row r="2795" spans="1:10" s="65" customFormat="1" ht="14" x14ac:dyDescent="0.35">
      <c r="A2795" s="145"/>
      <c r="E2795" s="102"/>
      <c r="F2795" s="102"/>
      <c r="G2795" s="102"/>
      <c r="I2795" s="93"/>
      <c r="J2795" s="93"/>
    </row>
    <row r="2796" spans="1:10" s="65" customFormat="1" ht="14" x14ac:dyDescent="0.35">
      <c r="A2796" s="145"/>
      <c r="E2796" s="102"/>
      <c r="F2796" s="102"/>
      <c r="G2796" s="102"/>
      <c r="I2796" s="93"/>
      <c r="J2796" s="93"/>
    </row>
    <row r="2797" spans="1:10" s="65" customFormat="1" ht="14" x14ac:dyDescent="0.35">
      <c r="A2797" s="145"/>
      <c r="E2797" s="102"/>
      <c r="F2797" s="102"/>
      <c r="G2797" s="102"/>
      <c r="I2797" s="93"/>
      <c r="J2797" s="93"/>
    </row>
    <row r="2798" spans="1:10" s="65" customFormat="1" ht="14" x14ac:dyDescent="0.35">
      <c r="A2798" s="145"/>
      <c r="E2798" s="102"/>
      <c r="F2798" s="102"/>
      <c r="G2798" s="102"/>
      <c r="I2798" s="93"/>
      <c r="J2798" s="93"/>
    </row>
    <row r="2799" spans="1:10" s="65" customFormat="1" ht="14" x14ac:dyDescent="0.35">
      <c r="A2799" s="145"/>
      <c r="E2799" s="102"/>
      <c r="F2799" s="102"/>
      <c r="G2799" s="102"/>
      <c r="I2799" s="93"/>
      <c r="J2799" s="93"/>
    </row>
    <row r="2800" spans="1:10" s="65" customFormat="1" ht="14" x14ac:dyDescent="0.35">
      <c r="A2800" s="145"/>
      <c r="E2800" s="102"/>
      <c r="F2800" s="102"/>
      <c r="G2800" s="102"/>
      <c r="I2800" s="93"/>
      <c r="J2800" s="93"/>
    </row>
    <row r="2801" spans="1:10" s="65" customFormat="1" ht="14" x14ac:dyDescent="0.35">
      <c r="A2801" s="145"/>
      <c r="E2801" s="102"/>
      <c r="F2801" s="102"/>
      <c r="G2801" s="102"/>
      <c r="I2801" s="93"/>
      <c r="J2801" s="93"/>
    </row>
    <row r="2802" spans="1:10" s="65" customFormat="1" ht="14" x14ac:dyDescent="0.35">
      <c r="A2802" s="145"/>
      <c r="E2802" s="102"/>
      <c r="F2802" s="102"/>
      <c r="G2802" s="102"/>
      <c r="I2802" s="93"/>
      <c r="J2802" s="93"/>
    </row>
    <row r="2803" spans="1:10" s="65" customFormat="1" ht="14" x14ac:dyDescent="0.35">
      <c r="A2803" s="145"/>
      <c r="E2803" s="102"/>
      <c r="F2803" s="102"/>
      <c r="G2803" s="102"/>
      <c r="I2803" s="93"/>
      <c r="J2803" s="93"/>
    </row>
    <row r="2804" spans="1:10" s="65" customFormat="1" ht="14" x14ac:dyDescent="0.35">
      <c r="A2804" s="145"/>
      <c r="E2804" s="102"/>
      <c r="F2804" s="102"/>
      <c r="G2804" s="102"/>
      <c r="I2804" s="93"/>
      <c r="J2804" s="93"/>
    </row>
    <row r="2805" spans="1:10" s="65" customFormat="1" ht="14" x14ac:dyDescent="0.35">
      <c r="A2805" s="145"/>
      <c r="E2805" s="102"/>
      <c r="F2805" s="102"/>
      <c r="G2805" s="102"/>
      <c r="I2805" s="93"/>
      <c r="J2805" s="93"/>
    </row>
    <row r="2806" spans="1:10" s="65" customFormat="1" ht="14" x14ac:dyDescent="0.35">
      <c r="A2806" s="145"/>
      <c r="E2806" s="102"/>
      <c r="F2806" s="102"/>
      <c r="G2806" s="102"/>
      <c r="I2806" s="93"/>
      <c r="J2806" s="93"/>
    </row>
    <row r="2807" spans="1:10" s="65" customFormat="1" ht="14" x14ac:dyDescent="0.35">
      <c r="A2807" s="145"/>
      <c r="E2807" s="102"/>
      <c r="F2807" s="102"/>
      <c r="G2807" s="102"/>
      <c r="I2807" s="93"/>
      <c r="J2807" s="93"/>
    </row>
    <row r="2808" spans="1:10" s="65" customFormat="1" ht="14" x14ac:dyDescent="0.35">
      <c r="A2808" s="145"/>
      <c r="E2808" s="102"/>
      <c r="F2808" s="102"/>
      <c r="G2808" s="102"/>
      <c r="I2808" s="93"/>
      <c r="J2808" s="93"/>
    </row>
    <row r="2809" spans="1:10" s="65" customFormat="1" ht="14" x14ac:dyDescent="0.35">
      <c r="A2809" s="145"/>
      <c r="E2809" s="102"/>
      <c r="F2809" s="102"/>
      <c r="G2809" s="102"/>
      <c r="I2809" s="93"/>
      <c r="J2809" s="93"/>
    </row>
    <row r="2810" spans="1:10" s="65" customFormat="1" ht="14" x14ac:dyDescent="0.35">
      <c r="A2810" s="145"/>
      <c r="E2810" s="102"/>
      <c r="F2810" s="102"/>
      <c r="G2810" s="102"/>
      <c r="I2810" s="93"/>
      <c r="J2810" s="93"/>
    </row>
    <row r="2811" spans="1:10" s="65" customFormat="1" ht="14" x14ac:dyDescent="0.35">
      <c r="A2811" s="145"/>
      <c r="E2811" s="102"/>
      <c r="F2811" s="102"/>
      <c r="G2811" s="102"/>
      <c r="I2811" s="93"/>
      <c r="J2811" s="93"/>
    </row>
    <row r="2812" spans="1:10" s="65" customFormat="1" ht="14" x14ac:dyDescent="0.35">
      <c r="A2812" s="145"/>
      <c r="E2812" s="102"/>
      <c r="F2812" s="102"/>
      <c r="G2812" s="102"/>
      <c r="I2812" s="93"/>
      <c r="J2812" s="93"/>
    </row>
    <row r="2813" spans="1:10" s="65" customFormat="1" ht="14" x14ac:dyDescent="0.35">
      <c r="A2813" s="145"/>
      <c r="E2813" s="102"/>
      <c r="F2813" s="102"/>
      <c r="G2813" s="102"/>
      <c r="I2813" s="93"/>
      <c r="J2813" s="93"/>
    </row>
    <row r="2814" spans="1:10" s="65" customFormat="1" ht="14" x14ac:dyDescent="0.35">
      <c r="A2814" s="145"/>
      <c r="E2814" s="102"/>
      <c r="F2814" s="102"/>
      <c r="G2814" s="102"/>
      <c r="I2814" s="93"/>
      <c r="J2814" s="93"/>
    </row>
    <row r="2815" spans="1:10" s="65" customFormat="1" ht="14" x14ac:dyDescent="0.35">
      <c r="A2815" s="145"/>
      <c r="E2815" s="102"/>
      <c r="F2815" s="102"/>
      <c r="G2815" s="102"/>
      <c r="I2815" s="93"/>
      <c r="J2815" s="93"/>
    </row>
    <row r="2816" spans="1:10" s="65" customFormat="1" ht="14" x14ac:dyDescent="0.35">
      <c r="A2816" s="145"/>
      <c r="E2816" s="102"/>
      <c r="F2816" s="102"/>
      <c r="G2816" s="102"/>
      <c r="I2816" s="93"/>
      <c r="J2816" s="93"/>
    </row>
    <row r="2817" spans="1:10" s="65" customFormat="1" ht="14" x14ac:dyDescent="0.35">
      <c r="A2817" s="145"/>
      <c r="E2817" s="102"/>
      <c r="F2817" s="102"/>
      <c r="G2817" s="102"/>
      <c r="I2817" s="93"/>
      <c r="J2817" s="93"/>
    </row>
    <row r="2818" spans="1:10" s="65" customFormat="1" ht="14" x14ac:dyDescent="0.35">
      <c r="A2818" s="145"/>
      <c r="E2818" s="102"/>
      <c r="F2818" s="102"/>
      <c r="G2818" s="102"/>
      <c r="I2818" s="93"/>
      <c r="J2818" s="93"/>
    </row>
    <row r="2819" spans="1:10" s="65" customFormat="1" ht="14" x14ac:dyDescent="0.35">
      <c r="A2819" s="145"/>
      <c r="E2819" s="102"/>
      <c r="F2819" s="102"/>
      <c r="G2819" s="102"/>
      <c r="I2819" s="93"/>
      <c r="J2819" s="93"/>
    </row>
    <row r="2820" spans="1:10" s="65" customFormat="1" ht="14" x14ac:dyDescent="0.35">
      <c r="A2820" s="145"/>
      <c r="E2820" s="102"/>
      <c r="F2820" s="102"/>
      <c r="G2820" s="102"/>
      <c r="I2820" s="93"/>
      <c r="J2820" s="93"/>
    </row>
    <row r="2821" spans="1:10" s="65" customFormat="1" ht="14" x14ac:dyDescent="0.35">
      <c r="A2821" s="145"/>
      <c r="E2821" s="102"/>
      <c r="F2821" s="102"/>
      <c r="G2821" s="102"/>
      <c r="I2821" s="93"/>
      <c r="J2821" s="93"/>
    </row>
    <row r="2822" spans="1:10" s="65" customFormat="1" ht="14" x14ac:dyDescent="0.35">
      <c r="A2822" s="145"/>
      <c r="E2822" s="102"/>
      <c r="F2822" s="102"/>
      <c r="G2822" s="102"/>
      <c r="I2822" s="93"/>
      <c r="J2822" s="93"/>
    </row>
    <row r="2823" spans="1:10" s="65" customFormat="1" ht="14" x14ac:dyDescent="0.35">
      <c r="A2823" s="145"/>
      <c r="E2823" s="102"/>
      <c r="F2823" s="102"/>
      <c r="G2823" s="102"/>
      <c r="I2823" s="93"/>
      <c r="J2823" s="93"/>
    </row>
    <row r="2824" spans="1:10" s="65" customFormat="1" ht="14" x14ac:dyDescent="0.35">
      <c r="A2824" s="145"/>
      <c r="E2824" s="102"/>
      <c r="F2824" s="102"/>
      <c r="G2824" s="102"/>
      <c r="I2824" s="93"/>
      <c r="J2824" s="93"/>
    </row>
    <row r="2825" spans="1:10" s="65" customFormat="1" ht="14" x14ac:dyDescent="0.35">
      <c r="A2825" s="145"/>
      <c r="E2825" s="102"/>
      <c r="F2825" s="102"/>
      <c r="G2825" s="102"/>
      <c r="I2825" s="93"/>
      <c r="J2825" s="93"/>
    </row>
    <row r="2826" spans="1:10" s="65" customFormat="1" ht="14" x14ac:dyDescent="0.35">
      <c r="A2826" s="145"/>
      <c r="E2826" s="102"/>
      <c r="F2826" s="102"/>
      <c r="G2826" s="102"/>
      <c r="I2826" s="93"/>
      <c r="J2826" s="93"/>
    </row>
    <row r="2827" spans="1:10" s="65" customFormat="1" ht="14" x14ac:dyDescent="0.35">
      <c r="A2827" s="145"/>
      <c r="E2827" s="102"/>
      <c r="F2827" s="102"/>
      <c r="G2827" s="102"/>
      <c r="I2827" s="93"/>
      <c r="J2827" s="93"/>
    </row>
    <row r="2828" spans="1:10" s="65" customFormat="1" ht="14" x14ac:dyDescent="0.35">
      <c r="A2828" s="145"/>
      <c r="E2828" s="102"/>
      <c r="F2828" s="102"/>
      <c r="G2828" s="102"/>
      <c r="I2828" s="93"/>
      <c r="J2828" s="93"/>
    </row>
    <row r="2829" spans="1:10" s="65" customFormat="1" ht="14" x14ac:dyDescent="0.35">
      <c r="A2829" s="145"/>
      <c r="E2829" s="102"/>
      <c r="F2829" s="102"/>
      <c r="G2829" s="102"/>
      <c r="I2829" s="93"/>
      <c r="J2829" s="93"/>
    </row>
    <row r="2830" spans="1:10" s="65" customFormat="1" ht="14" x14ac:dyDescent="0.35">
      <c r="A2830" s="145"/>
      <c r="E2830" s="102"/>
      <c r="F2830" s="102"/>
      <c r="G2830" s="102"/>
      <c r="I2830" s="93"/>
      <c r="J2830" s="93"/>
    </row>
    <row r="2831" spans="1:10" s="65" customFormat="1" ht="14" x14ac:dyDescent="0.35">
      <c r="A2831" s="145"/>
      <c r="E2831" s="102"/>
      <c r="F2831" s="102"/>
      <c r="G2831" s="102"/>
      <c r="I2831" s="93"/>
      <c r="J2831" s="93"/>
    </row>
    <row r="2832" spans="1:10" s="65" customFormat="1" ht="14" x14ac:dyDescent="0.35">
      <c r="A2832" s="145"/>
      <c r="E2832" s="102"/>
      <c r="F2832" s="102"/>
      <c r="G2832" s="102"/>
      <c r="I2832" s="93"/>
      <c r="J2832" s="93"/>
    </row>
    <row r="2833" spans="1:10" s="65" customFormat="1" ht="14" x14ac:dyDescent="0.35">
      <c r="A2833" s="145"/>
      <c r="E2833" s="102"/>
      <c r="F2833" s="102"/>
      <c r="G2833" s="102"/>
      <c r="I2833" s="93"/>
      <c r="J2833" s="93"/>
    </row>
    <row r="2834" spans="1:10" s="65" customFormat="1" ht="14" x14ac:dyDescent="0.35">
      <c r="A2834" s="145"/>
      <c r="E2834" s="102"/>
      <c r="F2834" s="102"/>
      <c r="G2834" s="102"/>
      <c r="I2834" s="93"/>
      <c r="J2834" s="93"/>
    </row>
    <row r="2835" spans="1:10" s="65" customFormat="1" ht="14" x14ac:dyDescent="0.35">
      <c r="A2835" s="145"/>
      <c r="E2835" s="102"/>
      <c r="F2835" s="102"/>
      <c r="G2835" s="102"/>
      <c r="I2835" s="93"/>
      <c r="J2835" s="93"/>
    </row>
    <row r="2836" spans="1:10" s="65" customFormat="1" ht="14" x14ac:dyDescent="0.35">
      <c r="A2836" s="145"/>
      <c r="E2836" s="102"/>
      <c r="F2836" s="102"/>
      <c r="G2836" s="102"/>
      <c r="I2836" s="93"/>
      <c r="J2836" s="93"/>
    </row>
    <row r="2837" spans="1:10" s="65" customFormat="1" ht="14" x14ac:dyDescent="0.35">
      <c r="A2837" s="145"/>
      <c r="E2837" s="102"/>
      <c r="F2837" s="102"/>
      <c r="G2837" s="102"/>
      <c r="I2837" s="93"/>
      <c r="J2837" s="93"/>
    </row>
    <row r="2838" spans="1:10" s="65" customFormat="1" ht="14" x14ac:dyDescent="0.35">
      <c r="A2838" s="145"/>
      <c r="E2838" s="102"/>
      <c r="F2838" s="102"/>
      <c r="G2838" s="102"/>
      <c r="I2838" s="93"/>
      <c r="J2838" s="93"/>
    </row>
    <row r="2839" spans="1:10" s="65" customFormat="1" ht="14" x14ac:dyDescent="0.35">
      <c r="A2839" s="145"/>
      <c r="E2839" s="102"/>
      <c r="F2839" s="102"/>
      <c r="G2839" s="102"/>
      <c r="I2839" s="93"/>
      <c r="J2839" s="93"/>
    </row>
    <row r="2840" spans="1:10" s="65" customFormat="1" ht="14" x14ac:dyDescent="0.35">
      <c r="A2840" s="145"/>
      <c r="E2840" s="102"/>
      <c r="F2840" s="102"/>
      <c r="G2840" s="102"/>
      <c r="I2840" s="93"/>
      <c r="J2840" s="93"/>
    </row>
    <row r="2841" spans="1:10" s="65" customFormat="1" ht="14" x14ac:dyDescent="0.35">
      <c r="A2841" s="145"/>
      <c r="E2841" s="102"/>
      <c r="F2841" s="102"/>
      <c r="G2841" s="102"/>
      <c r="I2841" s="93"/>
      <c r="J2841" s="93"/>
    </row>
    <row r="2842" spans="1:10" s="65" customFormat="1" ht="14" x14ac:dyDescent="0.35">
      <c r="A2842" s="145"/>
      <c r="E2842" s="102"/>
      <c r="F2842" s="102"/>
      <c r="G2842" s="102"/>
      <c r="I2842" s="93"/>
      <c r="J2842" s="93"/>
    </row>
    <row r="2843" spans="1:10" s="65" customFormat="1" ht="14" x14ac:dyDescent="0.35">
      <c r="A2843" s="145"/>
      <c r="E2843" s="102"/>
      <c r="F2843" s="102"/>
      <c r="G2843" s="102"/>
      <c r="I2843" s="93"/>
      <c r="J2843" s="93"/>
    </row>
    <row r="2844" spans="1:10" s="65" customFormat="1" ht="14" x14ac:dyDescent="0.35">
      <c r="A2844" s="145"/>
      <c r="E2844" s="102"/>
      <c r="F2844" s="102"/>
      <c r="G2844" s="102"/>
      <c r="I2844" s="93"/>
      <c r="J2844" s="93"/>
    </row>
    <row r="2845" spans="1:10" s="65" customFormat="1" ht="14" x14ac:dyDescent="0.35">
      <c r="A2845" s="145"/>
      <c r="E2845" s="102"/>
      <c r="F2845" s="102"/>
      <c r="G2845" s="102"/>
      <c r="I2845" s="93"/>
      <c r="J2845" s="93"/>
    </row>
    <row r="2846" spans="1:10" s="65" customFormat="1" ht="14" x14ac:dyDescent="0.35">
      <c r="A2846" s="145"/>
      <c r="E2846" s="102"/>
      <c r="F2846" s="102"/>
      <c r="G2846" s="102"/>
      <c r="I2846" s="93"/>
      <c r="J2846" s="93"/>
    </row>
    <row r="2847" spans="1:10" s="65" customFormat="1" ht="14" x14ac:dyDescent="0.35">
      <c r="A2847" s="145"/>
      <c r="E2847" s="102"/>
      <c r="F2847" s="102"/>
      <c r="G2847" s="102"/>
      <c r="I2847" s="93"/>
      <c r="J2847" s="93"/>
    </row>
    <row r="2848" spans="1:10" s="65" customFormat="1" ht="14" x14ac:dyDescent="0.35">
      <c r="A2848" s="145"/>
      <c r="E2848" s="102"/>
      <c r="F2848" s="102"/>
      <c r="G2848" s="102"/>
      <c r="I2848" s="93"/>
      <c r="J2848" s="93"/>
    </row>
    <row r="2849" spans="1:10" s="65" customFormat="1" ht="14" x14ac:dyDescent="0.35">
      <c r="A2849" s="145"/>
      <c r="E2849" s="102"/>
      <c r="F2849" s="102"/>
      <c r="G2849" s="102"/>
      <c r="I2849" s="93"/>
      <c r="J2849" s="93"/>
    </row>
    <row r="2850" spans="1:10" s="65" customFormat="1" ht="14" x14ac:dyDescent="0.35">
      <c r="A2850" s="145"/>
      <c r="E2850" s="102"/>
      <c r="F2850" s="102"/>
      <c r="G2850" s="102"/>
      <c r="I2850" s="93"/>
      <c r="J2850" s="93"/>
    </row>
    <row r="2851" spans="1:10" s="65" customFormat="1" ht="14" x14ac:dyDescent="0.35">
      <c r="A2851" s="145"/>
      <c r="E2851" s="102"/>
      <c r="F2851" s="102"/>
      <c r="G2851" s="102"/>
      <c r="I2851" s="93"/>
      <c r="J2851" s="93"/>
    </row>
    <row r="2852" spans="1:10" s="65" customFormat="1" ht="14" x14ac:dyDescent="0.35">
      <c r="A2852" s="145"/>
      <c r="E2852" s="102"/>
      <c r="F2852" s="102"/>
      <c r="G2852" s="102"/>
      <c r="I2852" s="93"/>
      <c r="J2852" s="93"/>
    </row>
    <row r="2853" spans="1:10" s="65" customFormat="1" ht="14" x14ac:dyDescent="0.35">
      <c r="A2853" s="145"/>
      <c r="E2853" s="102"/>
      <c r="F2853" s="102"/>
      <c r="G2853" s="102"/>
      <c r="I2853" s="93"/>
      <c r="J2853" s="93"/>
    </row>
    <row r="2854" spans="1:10" s="65" customFormat="1" ht="14" x14ac:dyDescent="0.35">
      <c r="A2854" s="145"/>
      <c r="E2854" s="102"/>
      <c r="F2854" s="102"/>
      <c r="G2854" s="102"/>
      <c r="I2854" s="93"/>
      <c r="J2854" s="93"/>
    </row>
    <row r="2855" spans="1:10" s="65" customFormat="1" ht="14" x14ac:dyDescent="0.35">
      <c r="A2855" s="145"/>
      <c r="E2855" s="102"/>
      <c r="F2855" s="102"/>
      <c r="G2855" s="102"/>
      <c r="I2855" s="93"/>
      <c r="J2855" s="93"/>
    </row>
    <row r="2856" spans="1:10" s="65" customFormat="1" ht="14" x14ac:dyDescent="0.35">
      <c r="A2856" s="145"/>
      <c r="E2856" s="102"/>
      <c r="F2856" s="102"/>
      <c r="G2856" s="102"/>
      <c r="I2856" s="93"/>
      <c r="J2856" s="93"/>
    </row>
    <row r="2857" spans="1:10" s="65" customFormat="1" ht="14" x14ac:dyDescent="0.35">
      <c r="A2857" s="145"/>
      <c r="E2857" s="102"/>
      <c r="F2857" s="102"/>
      <c r="G2857" s="102"/>
      <c r="I2857" s="93"/>
      <c r="J2857" s="93"/>
    </row>
    <row r="2858" spans="1:10" s="65" customFormat="1" ht="14" x14ac:dyDescent="0.35">
      <c r="A2858" s="145"/>
      <c r="E2858" s="102"/>
      <c r="F2858" s="102"/>
      <c r="G2858" s="102"/>
      <c r="I2858" s="93"/>
      <c r="J2858" s="93"/>
    </row>
    <row r="2859" spans="1:10" s="65" customFormat="1" ht="14" x14ac:dyDescent="0.35">
      <c r="A2859" s="145"/>
      <c r="E2859" s="102"/>
      <c r="F2859" s="102"/>
      <c r="G2859" s="102"/>
      <c r="I2859" s="93"/>
      <c r="J2859" s="93"/>
    </row>
    <row r="2860" spans="1:10" s="65" customFormat="1" ht="14" x14ac:dyDescent="0.35">
      <c r="A2860" s="145"/>
      <c r="E2860" s="102"/>
      <c r="F2860" s="102"/>
      <c r="G2860" s="102"/>
      <c r="I2860" s="93"/>
      <c r="J2860" s="93"/>
    </row>
    <row r="2861" spans="1:10" s="65" customFormat="1" ht="14" x14ac:dyDescent="0.35">
      <c r="A2861" s="145"/>
      <c r="E2861" s="102"/>
      <c r="F2861" s="102"/>
      <c r="G2861" s="102"/>
      <c r="I2861" s="93"/>
      <c r="J2861" s="93"/>
    </row>
    <row r="2862" spans="1:10" s="65" customFormat="1" ht="14" x14ac:dyDescent="0.35">
      <c r="A2862" s="145"/>
      <c r="E2862" s="102"/>
      <c r="F2862" s="102"/>
      <c r="G2862" s="102"/>
      <c r="I2862" s="93"/>
      <c r="J2862" s="93"/>
    </row>
    <row r="2863" spans="1:10" s="65" customFormat="1" ht="14" x14ac:dyDescent="0.35">
      <c r="A2863" s="145"/>
      <c r="E2863" s="102"/>
      <c r="F2863" s="102"/>
      <c r="G2863" s="102"/>
      <c r="I2863" s="93"/>
      <c r="J2863" s="93"/>
    </row>
    <row r="2864" spans="1:10" s="65" customFormat="1" ht="14" x14ac:dyDescent="0.35">
      <c r="A2864" s="145"/>
      <c r="E2864" s="102"/>
      <c r="F2864" s="102"/>
      <c r="G2864" s="102"/>
      <c r="I2864" s="93"/>
      <c r="J2864" s="93"/>
    </row>
    <row r="2865" spans="1:10" s="65" customFormat="1" ht="14" x14ac:dyDescent="0.35">
      <c r="A2865" s="145"/>
      <c r="E2865" s="102"/>
      <c r="F2865" s="102"/>
      <c r="G2865" s="102"/>
      <c r="I2865" s="93"/>
      <c r="J2865" s="93"/>
    </row>
    <row r="2866" spans="1:10" s="65" customFormat="1" ht="14" x14ac:dyDescent="0.35">
      <c r="A2866" s="145"/>
      <c r="E2866" s="102"/>
      <c r="F2866" s="102"/>
      <c r="G2866" s="102"/>
      <c r="I2866" s="93"/>
      <c r="J2866" s="93"/>
    </row>
    <row r="2867" spans="1:10" s="65" customFormat="1" ht="14" x14ac:dyDescent="0.35">
      <c r="A2867" s="145"/>
      <c r="E2867" s="102"/>
      <c r="F2867" s="102"/>
      <c r="G2867" s="102"/>
      <c r="I2867" s="93"/>
      <c r="J2867" s="93"/>
    </row>
    <row r="2868" spans="1:10" s="65" customFormat="1" ht="14" x14ac:dyDescent="0.35">
      <c r="A2868" s="145"/>
      <c r="E2868" s="102"/>
      <c r="F2868" s="102"/>
      <c r="G2868" s="102"/>
      <c r="I2868" s="93"/>
      <c r="J2868" s="93"/>
    </row>
    <row r="2869" spans="1:10" s="65" customFormat="1" ht="14" x14ac:dyDescent="0.35">
      <c r="A2869" s="145"/>
      <c r="E2869" s="102"/>
      <c r="F2869" s="102"/>
      <c r="G2869" s="102"/>
      <c r="I2869" s="93"/>
      <c r="J2869" s="93"/>
    </row>
    <row r="2870" spans="1:10" s="65" customFormat="1" ht="14" x14ac:dyDescent="0.35">
      <c r="A2870" s="145"/>
      <c r="E2870" s="102"/>
      <c r="F2870" s="102"/>
      <c r="G2870" s="102"/>
      <c r="I2870" s="93"/>
      <c r="J2870" s="93"/>
    </row>
    <row r="2871" spans="1:10" s="65" customFormat="1" ht="14" x14ac:dyDescent="0.35">
      <c r="A2871" s="145"/>
      <c r="E2871" s="102"/>
      <c r="F2871" s="102"/>
      <c r="G2871" s="102"/>
      <c r="I2871" s="93"/>
      <c r="J2871" s="93"/>
    </row>
    <row r="2872" spans="1:10" s="65" customFormat="1" ht="14" x14ac:dyDescent="0.35">
      <c r="A2872" s="145"/>
      <c r="E2872" s="102"/>
      <c r="F2872" s="102"/>
      <c r="G2872" s="102"/>
      <c r="I2872" s="93"/>
      <c r="J2872" s="93"/>
    </row>
    <row r="2873" spans="1:10" s="65" customFormat="1" ht="14" x14ac:dyDescent="0.35">
      <c r="A2873" s="145"/>
      <c r="E2873" s="102"/>
      <c r="F2873" s="102"/>
      <c r="G2873" s="102"/>
      <c r="I2873" s="93"/>
      <c r="J2873" s="93"/>
    </row>
    <row r="2874" spans="1:10" s="65" customFormat="1" ht="14" x14ac:dyDescent="0.35">
      <c r="A2874" s="145"/>
      <c r="E2874" s="102"/>
      <c r="F2874" s="102"/>
      <c r="G2874" s="102"/>
      <c r="I2874" s="93"/>
      <c r="J2874" s="93"/>
    </row>
    <row r="2875" spans="1:10" s="65" customFormat="1" ht="14" x14ac:dyDescent="0.35">
      <c r="A2875" s="145"/>
      <c r="E2875" s="102"/>
      <c r="F2875" s="102"/>
      <c r="G2875" s="102"/>
      <c r="I2875" s="93"/>
      <c r="J2875" s="93"/>
    </row>
    <row r="2876" spans="1:10" s="65" customFormat="1" ht="14" x14ac:dyDescent="0.35">
      <c r="A2876" s="145"/>
      <c r="E2876" s="102"/>
      <c r="F2876" s="102"/>
      <c r="G2876" s="102"/>
      <c r="I2876" s="93"/>
      <c r="J2876" s="93"/>
    </row>
    <row r="2877" spans="1:10" s="65" customFormat="1" ht="14" x14ac:dyDescent="0.35">
      <c r="A2877" s="145"/>
      <c r="E2877" s="102"/>
      <c r="F2877" s="102"/>
      <c r="G2877" s="102"/>
      <c r="I2877" s="93"/>
      <c r="J2877" s="93"/>
    </row>
    <row r="2878" spans="1:10" s="65" customFormat="1" ht="14" x14ac:dyDescent="0.35">
      <c r="A2878" s="145"/>
      <c r="E2878" s="102"/>
      <c r="F2878" s="102"/>
      <c r="G2878" s="102"/>
      <c r="I2878" s="93"/>
      <c r="J2878" s="93"/>
    </row>
    <row r="2879" spans="1:10" s="65" customFormat="1" ht="14" x14ac:dyDescent="0.35">
      <c r="A2879" s="145"/>
      <c r="E2879" s="102"/>
      <c r="F2879" s="102"/>
      <c r="G2879" s="102"/>
      <c r="I2879" s="93"/>
      <c r="J2879" s="93"/>
    </row>
    <row r="2880" spans="1:10" s="65" customFormat="1" ht="14" x14ac:dyDescent="0.35">
      <c r="A2880" s="145"/>
      <c r="E2880" s="102"/>
      <c r="F2880" s="102"/>
      <c r="G2880" s="102"/>
      <c r="I2880" s="93"/>
      <c r="J2880" s="93"/>
    </row>
    <row r="2881" spans="1:10" s="65" customFormat="1" ht="14" x14ac:dyDescent="0.35">
      <c r="A2881" s="145"/>
      <c r="E2881" s="102"/>
      <c r="F2881" s="102"/>
      <c r="G2881" s="102"/>
      <c r="I2881" s="93"/>
      <c r="J2881" s="93"/>
    </row>
    <row r="2882" spans="1:10" s="65" customFormat="1" ht="14" x14ac:dyDescent="0.35">
      <c r="A2882" s="145"/>
      <c r="E2882" s="102"/>
      <c r="F2882" s="102"/>
      <c r="G2882" s="102"/>
      <c r="I2882" s="93"/>
      <c r="J2882" s="93"/>
    </row>
    <row r="2883" spans="1:10" s="65" customFormat="1" ht="14" x14ac:dyDescent="0.35">
      <c r="A2883" s="145"/>
      <c r="E2883" s="102"/>
      <c r="F2883" s="102"/>
      <c r="G2883" s="102"/>
      <c r="I2883" s="93"/>
      <c r="J2883" s="93"/>
    </row>
    <row r="2884" spans="1:10" s="65" customFormat="1" ht="14" x14ac:dyDescent="0.35">
      <c r="A2884" s="145"/>
      <c r="E2884" s="102"/>
      <c r="F2884" s="102"/>
      <c r="G2884" s="102"/>
      <c r="I2884" s="93"/>
      <c r="J2884" s="93"/>
    </row>
    <row r="2885" spans="1:10" s="65" customFormat="1" ht="14" x14ac:dyDescent="0.35">
      <c r="A2885" s="145"/>
      <c r="E2885" s="102"/>
      <c r="F2885" s="102"/>
      <c r="G2885" s="102"/>
      <c r="I2885" s="93"/>
      <c r="J2885" s="93"/>
    </row>
    <row r="2886" spans="1:10" s="65" customFormat="1" ht="14" x14ac:dyDescent="0.35">
      <c r="A2886" s="145"/>
      <c r="E2886" s="102"/>
      <c r="F2886" s="102"/>
      <c r="G2886" s="102"/>
      <c r="I2886" s="93"/>
      <c r="J2886" s="93"/>
    </row>
    <row r="2887" spans="1:10" s="65" customFormat="1" ht="14" x14ac:dyDescent="0.35">
      <c r="A2887" s="145"/>
      <c r="E2887" s="102"/>
      <c r="F2887" s="102"/>
      <c r="G2887" s="102"/>
      <c r="I2887" s="93"/>
      <c r="J2887" s="93"/>
    </row>
    <row r="2888" spans="1:10" s="65" customFormat="1" ht="14" x14ac:dyDescent="0.35">
      <c r="A2888" s="145"/>
      <c r="E2888" s="102"/>
      <c r="F2888" s="102"/>
      <c r="G2888" s="102"/>
      <c r="I2888" s="93"/>
      <c r="J2888" s="93"/>
    </row>
    <row r="2889" spans="1:10" s="65" customFormat="1" ht="14" x14ac:dyDescent="0.35">
      <c r="A2889" s="145"/>
      <c r="E2889" s="102"/>
      <c r="F2889" s="102"/>
      <c r="G2889" s="102"/>
      <c r="I2889" s="93"/>
      <c r="J2889" s="93"/>
    </row>
    <row r="2890" spans="1:10" s="65" customFormat="1" ht="14" x14ac:dyDescent="0.35">
      <c r="A2890" s="145"/>
      <c r="E2890" s="102"/>
      <c r="F2890" s="102"/>
      <c r="G2890" s="102"/>
      <c r="I2890" s="93"/>
      <c r="J2890" s="93"/>
    </row>
    <row r="2891" spans="1:10" s="65" customFormat="1" ht="14" x14ac:dyDescent="0.35">
      <c r="A2891" s="145"/>
      <c r="E2891" s="102"/>
      <c r="F2891" s="102"/>
      <c r="G2891" s="102"/>
      <c r="I2891" s="93"/>
      <c r="J2891" s="93"/>
    </row>
    <row r="2892" spans="1:10" s="65" customFormat="1" ht="14" x14ac:dyDescent="0.35">
      <c r="A2892" s="145"/>
      <c r="E2892" s="102"/>
      <c r="F2892" s="102"/>
      <c r="G2892" s="102"/>
      <c r="I2892" s="93"/>
      <c r="J2892" s="93"/>
    </row>
    <row r="2893" spans="1:10" s="65" customFormat="1" ht="14" x14ac:dyDescent="0.35">
      <c r="A2893" s="145"/>
      <c r="E2893" s="102"/>
      <c r="F2893" s="102"/>
      <c r="G2893" s="102"/>
      <c r="I2893" s="93"/>
      <c r="J2893" s="93"/>
    </row>
    <row r="2894" spans="1:10" s="65" customFormat="1" ht="14" x14ac:dyDescent="0.35">
      <c r="A2894" s="145"/>
      <c r="E2894" s="102"/>
      <c r="F2894" s="102"/>
      <c r="G2894" s="102"/>
      <c r="I2894" s="93"/>
      <c r="J2894" s="93"/>
    </row>
    <row r="2895" spans="1:10" s="65" customFormat="1" ht="14" x14ac:dyDescent="0.35">
      <c r="A2895" s="145"/>
      <c r="E2895" s="102"/>
      <c r="F2895" s="102"/>
      <c r="G2895" s="102"/>
      <c r="I2895" s="93"/>
      <c r="J2895" s="93"/>
    </row>
    <row r="2896" spans="1:10" s="65" customFormat="1" ht="14" x14ac:dyDescent="0.35">
      <c r="A2896" s="145"/>
      <c r="E2896" s="102"/>
      <c r="F2896" s="102"/>
      <c r="G2896" s="102"/>
      <c r="I2896" s="93"/>
      <c r="J2896" s="93"/>
    </row>
    <row r="2897" spans="1:10" s="65" customFormat="1" ht="14" x14ac:dyDescent="0.35">
      <c r="A2897" s="145"/>
      <c r="E2897" s="102"/>
      <c r="F2897" s="102"/>
      <c r="G2897" s="102"/>
      <c r="I2897" s="93"/>
      <c r="J2897" s="93"/>
    </row>
    <row r="2898" spans="1:10" s="65" customFormat="1" ht="14" x14ac:dyDescent="0.35">
      <c r="A2898" s="145"/>
      <c r="E2898" s="102"/>
      <c r="F2898" s="102"/>
      <c r="G2898" s="102"/>
      <c r="I2898" s="93"/>
      <c r="J2898" s="93"/>
    </row>
    <row r="2899" spans="1:10" s="65" customFormat="1" ht="14" x14ac:dyDescent="0.35">
      <c r="A2899" s="145"/>
      <c r="E2899" s="102"/>
      <c r="F2899" s="102"/>
      <c r="G2899" s="102"/>
      <c r="I2899" s="93"/>
      <c r="J2899" s="93"/>
    </row>
    <row r="2900" spans="1:10" s="65" customFormat="1" ht="14" x14ac:dyDescent="0.35">
      <c r="A2900" s="145"/>
      <c r="E2900" s="102"/>
      <c r="F2900" s="102"/>
      <c r="G2900" s="102"/>
      <c r="I2900" s="93"/>
      <c r="J2900" s="93"/>
    </row>
    <row r="2901" spans="1:10" s="65" customFormat="1" ht="14" x14ac:dyDescent="0.35">
      <c r="A2901" s="145"/>
      <c r="E2901" s="102"/>
      <c r="F2901" s="102"/>
      <c r="G2901" s="102"/>
      <c r="I2901" s="93"/>
      <c r="J2901" s="93"/>
    </row>
    <row r="2902" spans="1:10" s="65" customFormat="1" ht="14" x14ac:dyDescent="0.35">
      <c r="A2902" s="145"/>
      <c r="E2902" s="102"/>
      <c r="F2902" s="102"/>
      <c r="G2902" s="102"/>
      <c r="I2902" s="93"/>
      <c r="J2902" s="93"/>
    </row>
    <row r="2903" spans="1:10" s="65" customFormat="1" ht="14" x14ac:dyDescent="0.35">
      <c r="A2903" s="145"/>
      <c r="E2903" s="102"/>
      <c r="F2903" s="102"/>
      <c r="G2903" s="102"/>
      <c r="I2903" s="93"/>
      <c r="J2903" s="93"/>
    </row>
    <row r="2904" spans="1:10" s="65" customFormat="1" ht="14" x14ac:dyDescent="0.35">
      <c r="A2904" s="145"/>
      <c r="E2904" s="102"/>
      <c r="F2904" s="102"/>
      <c r="G2904" s="102"/>
      <c r="I2904" s="93"/>
      <c r="J2904" s="93"/>
    </row>
    <row r="2905" spans="1:10" s="65" customFormat="1" ht="14" x14ac:dyDescent="0.35">
      <c r="A2905" s="145"/>
      <c r="E2905" s="102"/>
      <c r="F2905" s="102"/>
      <c r="G2905" s="102"/>
      <c r="I2905" s="93"/>
      <c r="J2905" s="93"/>
    </row>
    <row r="2906" spans="1:10" s="65" customFormat="1" ht="14" x14ac:dyDescent="0.35">
      <c r="A2906" s="145"/>
      <c r="E2906" s="102"/>
      <c r="F2906" s="102"/>
      <c r="G2906" s="102"/>
      <c r="I2906" s="93"/>
      <c r="J2906" s="93"/>
    </row>
    <row r="2907" spans="1:10" s="65" customFormat="1" ht="14" x14ac:dyDescent="0.35">
      <c r="A2907" s="145"/>
      <c r="E2907" s="102"/>
      <c r="F2907" s="102"/>
      <c r="G2907" s="102"/>
      <c r="I2907" s="93"/>
      <c r="J2907" s="93"/>
    </row>
    <row r="2908" spans="1:10" s="65" customFormat="1" ht="14" x14ac:dyDescent="0.35">
      <c r="A2908" s="145"/>
      <c r="E2908" s="102"/>
      <c r="F2908" s="102"/>
      <c r="G2908" s="102"/>
      <c r="I2908" s="93"/>
      <c r="J2908" s="93"/>
    </row>
    <row r="2909" spans="1:10" s="65" customFormat="1" ht="14" x14ac:dyDescent="0.35">
      <c r="A2909" s="145"/>
      <c r="E2909" s="102"/>
      <c r="F2909" s="102"/>
      <c r="G2909" s="102"/>
      <c r="I2909" s="93"/>
      <c r="J2909" s="93"/>
    </row>
    <row r="2910" spans="1:10" s="65" customFormat="1" ht="14" x14ac:dyDescent="0.35">
      <c r="A2910" s="145"/>
      <c r="E2910" s="102"/>
      <c r="F2910" s="102"/>
      <c r="G2910" s="102"/>
      <c r="I2910" s="93"/>
      <c r="J2910" s="93"/>
    </row>
    <row r="2911" spans="1:10" s="65" customFormat="1" ht="14" x14ac:dyDescent="0.35">
      <c r="A2911" s="145"/>
      <c r="E2911" s="102"/>
      <c r="F2911" s="102"/>
      <c r="G2911" s="102"/>
      <c r="I2911" s="93"/>
      <c r="J2911" s="93"/>
    </row>
    <row r="2912" spans="1:10" s="65" customFormat="1" ht="14" x14ac:dyDescent="0.35">
      <c r="A2912" s="145"/>
      <c r="E2912" s="102"/>
      <c r="F2912" s="102"/>
      <c r="G2912" s="102"/>
      <c r="I2912" s="93"/>
      <c r="J2912" s="93"/>
    </row>
    <row r="2913" spans="1:10" s="65" customFormat="1" ht="14" x14ac:dyDescent="0.35">
      <c r="A2913" s="145"/>
      <c r="E2913" s="102"/>
      <c r="F2913" s="102"/>
      <c r="G2913" s="102"/>
      <c r="I2913" s="93"/>
      <c r="J2913" s="93"/>
    </row>
    <row r="2914" spans="1:10" s="65" customFormat="1" ht="14" x14ac:dyDescent="0.35">
      <c r="A2914" s="145"/>
      <c r="E2914" s="102"/>
      <c r="F2914" s="102"/>
      <c r="G2914" s="102"/>
      <c r="I2914" s="93"/>
      <c r="J2914" s="93"/>
    </row>
    <row r="2915" spans="1:10" s="65" customFormat="1" ht="14" x14ac:dyDescent="0.35">
      <c r="A2915" s="145"/>
      <c r="E2915" s="102"/>
      <c r="F2915" s="102"/>
      <c r="G2915" s="102"/>
      <c r="I2915" s="93"/>
      <c r="J2915" s="93"/>
    </row>
    <row r="2916" spans="1:10" s="65" customFormat="1" ht="14" x14ac:dyDescent="0.35">
      <c r="A2916" s="145"/>
      <c r="E2916" s="102"/>
      <c r="F2916" s="102"/>
      <c r="G2916" s="102"/>
      <c r="I2916" s="93"/>
      <c r="J2916" s="93"/>
    </row>
    <row r="2917" spans="1:10" s="65" customFormat="1" ht="14" x14ac:dyDescent="0.35">
      <c r="A2917" s="145"/>
      <c r="E2917" s="102"/>
      <c r="F2917" s="102"/>
      <c r="G2917" s="102"/>
      <c r="I2917" s="93"/>
      <c r="J2917" s="93"/>
    </row>
    <row r="2918" spans="1:10" s="65" customFormat="1" ht="14" x14ac:dyDescent="0.35">
      <c r="A2918" s="145"/>
      <c r="E2918" s="102"/>
      <c r="F2918" s="102"/>
      <c r="G2918" s="102"/>
      <c r="I2918" s="93"/>
      <c r="J2918" s="93"/>
    </row>
    <row r="2919" spans="1:10" s="65" customFormat="1" ht="14" x14ac:dyDescent="0.35">
      <c r="A2919" s="145"/>
      <c r="E2919" s="102"/>
      <c r="F2919" s="102"/>
      <c r="G2919" s="102"/>
      <c r="I2919" s="93"/>
      <c r="J2919" s="93"/>
    </row>
    <row r="2920" spans="1:10" s="65" customFormat="1" ht="14" x14ac:dyDescent="0.35">
      <c r="A2920" s="145"/>
      <c r="E2920" s="102"/>
      <c r="F2920" s="102"/>
      <c r="G2920" s="102"/>
      <c r="I2920" s="93"/>
      <c r="J2920" s="93"/>
    </row>
    <row r="2921" spans="1:10" s="65" customFormat="1" ht="14" x14ac:dyDescent="0.35">
      <c r="A2921" s="145"/>
      <c r="E2921" s="102"/>
      <c r="F2921" s="102"/>
      <c r="G2921" s="102"/>
      <c r="I2921" s="93"/>
      <c r="J2921" s="93"/>
    </row>
    <row r="2922" spans="1:10" s="65" customFormat="1" ht="14" x14ac:dyDescent="0.35">
      <c r="A2922" s="145"/>
      <c r="E2922" s="102"/>
      <c r="F2922" s="102"/>
      <c r="G2922" s="102"/>
      <c r="I2922" s="93"/>
      <c r="J2922" s="93"/>
    </row>
    <row r="2923" spans="1:10" s="65" customFormat="1" ht="14" x14ac:dyDescent="0.35">
      <c r="A2923" s="145"/>
      <c r="E2923" s="102"/>
      <c r="F2923" s="102"/>
      <c r="G2923" s="102"/>
      <c r="I2923" s="93"/>
      <c r="J2923" s="93"/>
    </row>
    <row r="2924" spans="1:10" s="65" customFormat="1" ht="14" x14ac:dyDescent="0.35">
      <c r="A2924" s="145"/>
      <c r="E2924" s="102"/>
      <c r="F2924" s="102"/>
      <c r="G2924" s="102"/>
      <c r="I2924" s="93"/>
      <c r="J2924" s="93"/>
    </row>
    <row r="2925" spans="1:10" s="65" customFormat="1" ht="14" x14ac:dyDescent="0.35">
      <c r="A2925" s="145"/>
      <c r="E2925" s="102"/>
      <c r="F2925" s="102"/>
      <c r="G2925" s="102"/>
      <c r="I2925" s="93"/>
      <c r="J2925" s="93"/>
    </row>
    <row r="2926" spans="1:10" s="65" customFormat="1" ht="14" x14ac:dyDescent="0.35">
      <c r="A2926" s="145"/>
      <c r="E2926" s="102"/>
      <c r="F2926" s="102"/>
      <c r="G2926" s="102"/>
      <c r="I2926" s="93"/>
      <c r="J2926" s="93"/>
    </row>
    <row r="2927" spans="1:10" s="65" customFormat="1" ht="14" x14ac:dyDescent="0.35">
      <c r="A2927" s="145"/>
      <c r="E2927" s="102"/>
      <c r="F2927" s="102"/>
      <c r="G2927" s="102"/>
      <c r="I2927" s="93"/>
      <c r="J2927" s="93"/>
    </row>
    <row r="2928" spans="1:10" s="65" customFormat="1" ht="14" x14ac:dyDescent="0.35">
      <c r="A2928" s="145"/>
      <c r="E2928" s="102"/>
      <c r="F2928" s="102"/>
      <c r="G2928" s="102"/>
      <c r="I2928" s="93"/>
      <c r="J2928" s="93"/>
    </row>
    <row r="2929" spans="1:10" s="65" customFormat="1" ht="14" x14ac:dyDescent="0.35">
      <c r="A2929" s="145"/>
      <c r="E2929" s="102"/>
      <c r="F2929" s="102"/>
      <c r="G2929" s="102"/>
      <c r="I2929" s="93"/>
      <c r="J2929" s="93"/>
    </row>
    <row r="2930" spans="1:10" s="65" customFormat="1" ht="14" x14ac:dyDescent="0.35">
      <c r="A2930" s="145"/>
      <c r="E2930" s="102"/>
      <c r="F2930" s="102"/>
      <c r="G2930" s="102"/>
      <c r="I2930" s="93"/>
      <c r="J2930" s="93"/>
    </row>
    <row r="2931" spans="1:10" s="65" customFormat="1" ht="14" x14ac:dyDescent="0.35">
      <c r="A2931" s="145"/>
      <c r="E2931" s="102"/>
      <c r="F2931" s="102"/>
      <c r="G2931" s="102"/>
      <c r="I2931" s="93"/>
      <c r="J2931" s="93"/>
    </row>
    <row r="2932" spans="1:10" s="65" customFormat="1" ht="14" x14ac:dyDescent="0.35">
      <c r="A2932" s="145"/>
      <c r="E2932" s="102"/>
      <c r="F2932" s="102"/>
      <c r="G2932" s="102"/>
      <c r="I2932" s="93"/>
      <c r="J2932" s="93"/>
    </row>
    <row r="2933" spans="1:10" s="65" customFormat="1" ht="14" x14ac:dyDescent="0.35">
      <c r="A2933" s="145"/>
      <c r="E2933" s="102"/>
      <c r="F2933" s="102"/>
      <c r="G2933" s="102"/>
      <c r="I2933" s="93"/>
      <c r="J2933" s="93"/>
    </row>
    <row r="2934" spans="1:10" s="65" customFormat="1" ht="14" x14ac:dyDescent="0.35">
      <c r="A2934" s="145"/>
      <c r="E2934" s="102"/>
      <c r="F2934" s="102"/>
      <c r="G2934" s="102"/>
      <c r="I2934" s="93"/>
      <c r="J2934" s="93"/>
    </row>
    <row r="2935" spans="1:10" s="65" customFormat="1" ht="14" x14ac:dyDescent="0.35">
      <c r="A2935" s="145"/>
      <c r="E2935" s="102"/>
      <c r="F2935" s="102"/>
      <c r="G2935" s="102"/>
      <c r="I2935" s="93"/>
      <c r="J2935" s="93"/>
    </row>
    <row r="2936" spans="1:10" s="65" customFormat="1" ht="14" x14ac:dyDescent="0.35">
      <c r="A2936" s="145"/>
      <c r="E2936" s="102"/>
      <c r="F2936" s="102"/>
      <c r="G2936" s="102"/>
      <c r="I2936" s="93"/>
      <c r="J2936" s="93"/>
    </row>
    <row r="2937" spans="1:10" s="65" customFormat="1" ht="14" x14ac:dyDescent="0.35">
      <c r="A2937" s="145"/>
      <c r="E2937" s="102"/>
      <c r="F2937" s="102"/>
      <c r="G2937" s="102"/>
      <c r="I2937" s="93"/>
      <c r="J2937" s="93"/>
    </row>
    <row r="2938" spans="1:10" s="65" customFormat="1" ht="14" x14ac:dyDescent="0.35">
      <c r="A2938" s="145"/>
      <c r="E2938" s="102"/>
      <c r="F2938" s="102"/>
      <c r="G2938" s="102"/>
      <c r="I2938" s="93"/>
      <c r="J2938" s="93"/>
    </row>
    <row r="2939" spans="1:10" s="65" customFormat="1" ht="14" x14ac:dyDescent="0.35">
      <c r="A2939" s="145"/>
      <c r="E2939" s="102"/>
      <c r="F2939" s="102"/>
      <c r="G2939" s="102"/>
      <c r="I2939" s="93"/>
      <c r="J2939" s="93"/>
    </row>
    <row r="2940" spans="1:10" s="65" customFormat="1" ht="14" x14ac:dyDescent="0.35">
      <c r="A2940" s="145"/>
      <c r="E2940" s="102"/>
      <c r="F2940" s="102"/>
      <c r="G2940" s="102"/>
      <c r="I2940" s="93"/>
      <c r="J2940" s="93"/>
    </row>
    <row r="2941" spans="1:10" s="65" customFormat="1" ht="14" x14ac:dyDescent="0.35">
      <c r="A2941" s="145"/>
      <c r="E2941" s="102"/>
      <c r="F2941" s="102"/>
      <c r="G2941" s="102"/>
      <c r="I2941" s="93"/>
      <c r="J2941" s="93"/>
    </row>
    <row r="2942" spans="1:10" s="65" customFormat="1" ht="14" x14ac:dyDescent="0.35">
      <c r="A2942" s="145"/>
      <c r="E2942" s="102"/>
      <c r="F2942" s="102"/>
      <c r="G2942" s="102"/>
      <c r="I2942" s="93"/>
      <c r="J2942" s="93"/>
    </row>
    <row r="2943" spans="1:10" s="65" customFormat="1" ht="14" x14ac:dyDescent="0.35">
      <c r="A2943" s="145"/>
      <c r="E2943" s="102"/>
      <c r="F2943" s="102"/>
      <c r="G2943" s="102"/>
      <c r="I2943" s="93"/>
      <c r="J2943" s="93"/>
    </row>
    <row r="2944" spans="1:10" s="65" customFormat="1" ht="14" x14ac:dyDescent="0.35">
      <c r="A2944" s="145"/>
      <c r="E2944" s="102"/>
      <c r="F2944" s="102"/>
      <c r="G2944" s="102"/>
      <c r="I2944" s="93"/>
      <c r="J2944" s="93"/>
    </row>
    <row r="2945" spans="1:10" s="65" customFormat="1" ht="14" x14ac:dyDescent="0.35">
      <c r="A2945" s="145"/>
      <c r="E2945" s="102"/>
      <c r="F2945" s="102"/>
      <c r="G2945" s="102"/>
      <c r="I2945" s="93"/>
      <c r="J2945" s="93"/>
    </row>
    <row r="2946" spans="1:10" s="65" customFormat="1" ht="14" x14ac:dyDescent="0.35">
      <c r="A2946" s="145"/>
      <c r="E2946" s="102"/>
      <c r="F2946" s="102"/>
      <c r="G2946" s="102"/>
      <c r="I2946" s="93"/>
      <c r="J2946" s="93"/>
    </row>
    <row r="2947" spans="1:10" s="65" customFormat="1" ht="14" x14ac:dyDescent="0.35">
      <c r="A2947" s="145"/>
      <c r="E2947" s="102"/>
      <c r="F2947" s="102"/>
      <c r="G2947" s="102"/>
      <c r="I2947" s="93"/>
      <c r="J2947" s="93"/>
    </row>
    <row r="2948" spans="1:10" s="65" customFormat="1" ht="14" x14ac:dyDescent="0.35">
      <c r="A2948" s="145"/>
      <c r="E2948" s="102"/>
      <c r="F2948" s="102"/>
      <c r="G2948" s="102"/>
      <c r="I2948" s="93"/>
      <c r="J2948" s="93"/>
    </row>
    <row r="2949" spans="1:10" s="65" customFormat="1" ht="14" x14ac:dyDescent="0.35">
      <c r="A2949" s="145"/>
      <c r="E2949" s="102"/>
      <c r="F2949" s="102"/>
      <c r="G2949" s="102"/>
      <c r="I2949" s="93"/>
      <c r="J2949" s="93"/>
    </row>
    <row r="2950" spans="1:10" s="65" customFormat="1" ht="14" x14ac:dyDescent="0.35">
      <c r="A2950" s="145"/>
      <c r="E2950" s="102"/>
      <c r="F2950" s="102"/>
      <c r="G2950" s="102"/>
      <c r="I2950" s="93"/>
      <c r="J2950" s="93"/>
    </row>
    <row r="2951" spans="1:10" s="65" customFormat="1" ht="14" x14ac:dyDescent="0.35">
      <c r="A2951" s="145"/>
      <c r="E2951" s="102"/>
      <c r="F2951" s="102"/>
      <c r="G2951" s="102"/>
      <c r="I2951" s="93"/>
      <c r="J2951" s="93"/>
    </row>
    <row r="2952" spans="1:10" s="65" customFormat="1" ht="14" x14ac:dyDescent="0.35">
      <c r="A2952" s="145"/>
      <c r="E2952" s="102"/>
      <c r="F2952" s="102"/>
      <c r="G2952" s="102"/>
      <c r="I2952" s="93"/>
      <c r="J2952" s="93"/>
    </row>
    <row r="2953" spans="1:10" s="65" customFormat="1" ht="14" x14ac:dyDescent="0.35">
      <c r="A2953" s="145"/>
      <c r="E2953" s="102"/>
      <c r="F2953" s="102"/>
      <c r="G2953" s="102"/>
      <c r="I2953" s="93"/>
      <c r="J2953" s="93"/>
    </row>
    <row r="2954" spans="1:10" s="65" customFormat="1" ht="14" x14ac:dyDescent="0.35">
      <c r="A2954" s="145"/>
      <c r="E2954" s="102"/>
      <c r="F2954" s="102"/>
      <c r="G2954" s="102"/>
      <c r="I2954" s="93"/>
      <c r="J2954" s="93"/>
    </row>
    <row r="2955" spans="1:10" s="65" customFormat="1" ht="14" x14ac:dyDescent="0.35">
      <c r="A2955" s="145"/>
      <c r="E2955" s="102"/>
      <c r="F2955" s="102"/>
      <c r="G2955" s="102"/>
      <c r="I2955" s="93"/>
      <c r="J2955" s="93"/>
    </row>
    <row r="2956" spans="1:10" s="65" customFormat="1" ht="14" x14ac:dyDescent="0.35">
      <c r="A2956" s="145"/>
      <c r="E2956" s="102"/>
      <c r="F2956" s="102"/>
      <c r="G2956" s="102"/>
      <c r="I2956" s="93"/>
      <c r="J2956" s="93"/>
    </row>
    <row r="2957" spans="1:10" s="65" customFormat="1" ht="14" x14ac:dyDescent="0.35">
      <c r="A2957" s="145"/>
      <c r="E2957" s="102"/>
      <c r="F2957" s="102"/>
      <c r="G2957" s="102"/>
      <c r="I2957" s="93"/>
      <c r="J2957" s="93"/>
    </row>
    <row r="2958" spans="1:10" s="65" customFormat="1" ht="14" x14ac:dyDescent="0.35">
      <c r="A2958" s="145"/>
      <c r="E2958" s="102"/>
      <c r="F2958" s="102"/>
      <c r="G2958" s="102"/>
      <c r="I2958" s="93"/>
      <c r="J2958" s="93"/>
    </row>
    <row r="2959" spans="1:10" s="65" customFormat="1" ht="14" x14ac:dyDescent="0.35">
      <c r="A2959" s="145"/>
      <c r="E2959" s="102"/>
      <c r="F2959" s="102"/>
      <c r="G2959" s="102"/>
      <c r="I2959" s="93"/>
      <c r="J2959" s="93"/>
    </row>
    <row r="2960" spans="1:10" s="65" customFormat="1" ht="14" x14ac:dyDescent="0.35">
      <c r="A2960" s="145"/>
      <c r="E2960" s="102"/>
      <c r="F2960" s="102"/>
      <c r="G2960" s="102"/>
      <c r="I2960" s="93"/>
      <c r="J2960" s="93"/>
    </row>
    <row r="2961" spans="1:10" s="65" customFormat="1" ht="14" x14ac:dyDescent="0.35">
      <c r="A2961" s="145"/>
      <c r="E2961" s="102"/>
      <c r="F2961" s="102"/>
      <c r="G2961" s="102"/>
      <c r="I2961" s="93"/>
      <c r="J2961" s="93"/>
    </row>
    <row r="2962" spans="1:10" s="65" customFormat="1" ht="14" x14ac:dyDescent="0.35">
      <c r="A2962" s="145"/>
      <c r="E2962" s="102"/>
      <c r="F2962" s="102"/>
      <c r="G2962" s="102"/>
      <c r="I2962" s="93"/>
      <c r="J2962" s="93"/>
    </row>
    <row r="2963" spans="1:10" s="65" customFormat="1" ht="14" x14ac:dyDescent="0.35">
      <c r="A2963" s="145"/>
      <c r="E2963" s="102"/>
      <c r="F2963" s="102"/>
      <c r="G2963" s="102"/>
      <c r="I2963" s="93"/>
      <c r="J2963" s="93"/>
    </row>
    <row r="2964" spans="1:10" s="65" customFormat="1" ht="14" x14ac:dyDescent="0.35">
      <c r="A2964" s="145"/>
      <c r="E2964" s="102"/>
      <c r="F2964" s="102"/>
      <c r="G2964" s="102"/>
      <c r="I2964" s="93"/>
      <c r="J2964" s="93"/>
    </row>
    <row r="2965" spans="1:10" s="65" customFormat="1" ht="14" x14ac:dyDescent="0.35">
      <c r="A2965" s="145"/>
      <c r="E2965" s="102"/>
      <c r="F2965" s="102"/>
      <c r="G2965" s="102"/>
      <c r="I2965" s="93"/>
      <c r="J2965" s="93"/>
    </row>
    <row r="2966" spans="1:10" s="65" customFormat="1" ht="14" x14ac:dyDescent="0.35">
      <c r="A2966" s="145"/>
      <c r="E2966" s="102"/>
      <c r="F2966" s="102"/>
      <c r="G2966" s="102"/>
      <c r="I2966" s="93"/>
      <c r="J2966" s="93"/>
    </row>
    <row r="2967" spans="1:10" s="65" customFormat="1" ht="14" x14ac:dyDescent="0.35">
      <c r="A2967" s="145"/>
      <c r="E2967" s="102"/>
      <c r="F2967" s="102"/>
      <c r="G2967" s="102"/>
      <c r="I2967" s="93"/>
      <c r="J2967" s="93"/>
    </row>
    <row r="2968" spans="1:10" s="65" customFormat="1" ht="14" x14ac:dyDescent="0.35">
      <c r="A2968" s="145"/>
      <c r="E2968" s="102"/>
      <c r="F2968" s="102"/>
      <c r="G2968" s="102"/>
      <c r="I2968" s="93"/>
      <c r="J2968" s="93"/>
    </row>
    <row r="2969" spans="1:10" s="65" customFormat="1" ht="14" x14ac:dyDescent="0.35">
      <c r="A2969" s="145"/>
      <c r="E2969" s="102"/>
      <c r="F2969" s="102"/>
      <c r="G2969" s="102"/>
      <c r="I2969" s="93"/>
      <c r="J2969" s="93"/>
    </row>
    <row r="2970" spans="1:10" s="65" customFormat="1" ht="14" x14ac:dyDescent="0.35">
      <c r="A2970" s="145"/>
      <c r="E2970" s="102"/>
      <c r="F2970" s="102"/>
      <c r="G2970" s="102"/>
      <c r="I2970" s="93"/>
      <c r="J2970" s="93"/>
    </row>
    <row r="2971" spans="1:10" s="65" customFormat="1" ht="14" x14ac:dyDescent="0.35">
      <c r="A2971" s="145"/>
      <c r="E2971" s="102"/>
      <c r="F2971" s="102"/>
      <c r="G2971" s="102"/>
      <c r="I2971" s="93"/>
      <c r="J2971" s="93"/>
    </row>
    <row r="2972" spans="1:10" s="65" customFormat="1" ht="14" x14ac:dyDescent="0.35">
      <c r="A2972" s="145"/>
      <c r="E2972" s="102"/>
      <c r="F2972" s="102"/>
      <c r="G2972" s="102"/>
      <c r="I2972" s="93"/>
      <c r="J2972" s="93"/>
    </row>
    <row r="2973" spans="1:10" s="65" customFormat="1" ht="14" x14ac:dyDescent="0.35">
      <c r="A2973" s="145"/>
      <c r="E2973" s="102"/>
      <c r="F2973" s="102"/>
      <c r="G2973" s="102"/>
      <c r="I2973" s="93"/>
      <c r="J2973" s="93"/>
    </row>
    <row r="2974" spans="1:10" s="65" customFormat="1" ht="14" x14ac:dyDescent="0.35">
      <c r="A2974" s="145"/>
      <c r="E2974" s="102"/>
      <c r="F2974" s="102"/>
      <c r="G2974" s="102"/>
      <c r="I2974" s="93"/>
      <c r="J2974" s="93"/>
    </row>
    <row r="2975" spans="1:10" s="65" customFormat="1" ht="14" x14ac:dyDescent="0.35">
      <c r="A2975" s="145"/>
      <c r="E2975" s="102"/>
      <c r="F2975" s="102"/>
      <c r="G2975" s="102"/>
      <c r="I2975" s="93"/>
      <c r="J2975" s="93"/>
    </row>
    <row r="2976" spans="1:10" s="65" customFormat="1" ht="14" x14ac:dyDescent="0.35">
      <c r="A2976" s="145"/>
      <c r="E2976" s="102"/>
      <c r="F2976" s="102"/>
      <c r="G2976" s="102"/>
      <c r="I2976" s="93"/>
      <c r="J2976" s="93"/>
    </row>
    <row r="2977" spans="1:10" s="65" customFormat="1" ht="14" x14ac:dyDescent="0.35">
      <c r="A2977" s="145"/>
      <c r="E2977" s="102"/>
      <c r="F2977" s="102"/>
      <c r="G2977" s="102"/>
      <c r="I2977" s="93"/>
      <c r="J2977" s="93"/>
    </row>
    <row r="2978" spans="1:10" s="65" customFormat="1" ht="14" x14ac:dyDescent="0.35">
      <c r="A2978" s="145"/>
      <c r="E2978" s="102"/>
      <c r="F2978" s="102"/>
      <c r="G2978" s="102"/>
      <c r="I2978" s="93"/>
      <c r="J2978" s="93"/>
    </row>
    <row r="2979" spans="1:10" s="65" customFormat="1" ht="14" x14ac:dyDescent="0.35">
      <c r="A2979" s="145"/>
      <c r="E2979" s="102"/>
      <c r="F2979" s="102"/>
      <c r="G2979" s="102"/>
      <c r="I2979" s="93"/>
      <c r="J2979" s="93"/>
    </row>
    <row r="2980" spans="1:10" s="65" customFormat="1" ht="14" x14ac:dyDescent="0.35">
      <c r="A2980" s="145"/>
      <c r="E2980" s="102"/>
      <c r="F2980" s="102"/>
      <c r="G2980" s="102"/>
      <c r="I2980" s="93"/>
      <c r="J2980" s="93"/>
    </row>
    <row r="2981" spans="1:10" s="65" customFormat="1" ht="14" x14ac:dyDescent="0.35">
      <c r="A2981" s="145"/>
      <c r="E2981" s="102"/>
      <c r="F2981" s="102"/>
      <c r="G2981" s="102"/>
      <c r="I2981" s="93"/>
      <c r="J2981" s="93"/>
    </row>
    <row r="2982" spans="1:10" s="65" customFormat="1" ht="14" x14ac:dyDescent="0.35">
      <c r="A2982" s="145"/>
      <c r="E2982" s="102"/>
      <c r="F2982" s="102"/>
      <c r="G2982" s="102"/>
      <c r="I2982" s="93"/>
      <c r="J2982" s="93"/>
    </row>
    <row r="2983" spans="1:10" s="65" customFormat="1" ht="14" x14ac:dyDescent="0.35">
      <c r="A2983" s="145"/>
      <c r="E2983" s="102"/>
      <c r="F2983" s="102"/>
      <c r="G2983" s="102"/>
      <c r="I2983" s="93"/>
      <c r="J2983" s="93"/>
    </row>
    <row r="2984" spans="1:10" s="65" customFormat="1" ht="14" x14ac:dyDescent="0.35">
      <c r="A2984" s="145"/>
      <c r="E2984" s="102"/>
      <c r="F2984" s="102"/>
      <c r="G2984" s="102"/>
      <c r="I2984" s="93"/>
      <c r="J2984" s="93"/>
    </row>
    <row r="2985" spans="1:10" s="65" customFormat="1" ht="14" x14ac:dyDescent="0.35">
      <c r="A2985" s="145"/>
      <c r="E2985" s="102"/>
      <c r="F2985" s="102"/>
      <c r="G2985" s="102"/>
      <c r="I2985" s="93"/>
      <c r="J2985" s="93"/>
    </row>
    <row r="2986" spans="1:10" s="65" customFormat="1" ht="14" x14ac:dyDescent="0.35">
      <c r="A2986" s="145"/>
      <c r="E2986" s="102"/>
      <c r="F2986" s="102"/>
      <c r="G2986" s="102"/>
      <c r="I2986" s="93"/>
      <c r="J2986" s="93"/>
    </row>
    <row r="2987" spans="1:10" s="65" customFormat="1" ht="14" x14ac:dyDescent="0.35">
      <c r="A2987" s="145"/>
      <c r="E2987" s="102"/>
      <c r="F2987" s="102"/>
      <c r="G2987" s="102"/>
      <c r="I2987" s="93"/>
      <c r="J2987" s="93"/>
    </row>
    <row r="2988" spans="1:10" s="65" customFormat="1" ht="14" x14ac:dyDescent="0.35">
      <c r="A2988" s="145"/>
      <c r="E2988" s="102"/>
      <c r="F2988" s="102"/>
      <c r="G2988" s="102"/>
      <c r="I2988" s="93"/>
      <c r="J2988" s="93"/>
    </row>
    <row r="2989" spans="1:10" s="65" customFormat="1" ht="14" x14ac:dyDescent="0.35">
      <c r="A2989" s="145"/>
      <c r="E2989" s="102"/>
      <c r="F2989" s="102"/>
      <c r="G2989" s="102"/>
      <c r="I2989" s="93"/>
      <c r="J2989" s="93"/>
    </row>
    <row r="2990" spans="1:10" s="65" customFormat="1" ht="14" x14ac:dyDescent="0.35">
      <c r="A2990" s="145"/>
      <c r="E2990" s="102"/>
      <c r="F2990" s="102"/>
      <c r="G2990" s="102"/>
      <c r="I2990" s="93"/>
      <c r="J2990" s="93"/>
    </row>
    <row r="2991" spans="1:10" s="65" customFormat="1" ht="14" x14ac:dyDescent="0.35">
      <c r="A2991" s="145"/>
      <c r="E2991" s="102"/>
      <c r="F2991" s="102"/>
      <c r="G2991" s="102"/>
      <c r="I2991" s="93"/>
      <c r="J2991" s="93"/>
    </row>
    <row r="2992" spans="1:10" s="65" customFormat="1" ht="14" x14ac:dyDescent="0.35">
      <c r="A2992" s="145"/>
      <c r="E2992" s="102"/>
      <c r="F2992" s="102"/>
      <c r="G2992" s="102"/>
      <c r="I2992" s="93"/>
      <c r="J2992" s="93"/>
    </row>
    <row r="2993" spans="1:10" s="65" customFormat="1" ht="14" x14ac:dyDescent="0.35">
      <c r="A2993" s="145"/>
      <c r="E2993" s="102"/>
      <c r="F2993" s="102"/>
      <c r="G2993" s="102"/>
      <c r="I2993" s="93"/>
      <c r="J2993" s="93"/>
    </row>
    <row r="2994" spans="1:10" s="65" customFormat="1" ht="14" x14ac:dyDescent="0.35">
      <c r="A2994" s="145"/>
      <c r="E2994" s="102"/>
      <c r="F2994" s="102"/>
      <c r="G2994" s="102"/>
      <c r="I2994" s="93"/>
      <c r="J2994" s="93"/>
    </row>
    <row r="2995" spans="1:10" s="65" customFormat="1" ht="14" x14ac:dyDescent="0.35">
      <c r="A2995" s="145"/>
      <c r="E2995" s="102"/>
      <c r="F2995" s="102"/>
      <c r="G2995" s="102"/>
      <c r="I2995" s="93"/>
      <c r="J2995" s="93"/>
    </row>
    <row r="2996" spans="1:10" s="65" customFormat="1" ht="14" x14ac:dyDescent="0.35">
      <c r="A2996" s="145"/>
      <c r="E2996" s="102"/>
      <c r="F2996" s="102"/>
      <c r="G2996" s="102"/>
      <c r="I2996" s="93"/>
      <c r="J2996" s="93"/>
    </row>
    <row r="2997" spans="1:10" s="65" customFormat="1" ht="14" x14ac:dyDescent="0.35">
      <c r="A2997" s="145"/>
      <c r="E2997" s="102"/>
      <c r="F2997" s="102"/>
      <c r="G2997" s="102"/>
      <c r="I2997" s="93"/>
      <c r="J2997" s="93"/>
    </row>
    <row r="2998" spans="1:10" s="65" customFormat="1" ht="14" x14ac:dyDescent="0.35">
      <c r="A2998" s="145"/>
      <c r="E2998" s="102"/>
      <c r="F2998" s="102"/>
      <c r="G2998" s="102"/>
      <c r="I2998" s="93"/>
      <c r="J2998" s="93"/>
    </row>
    <row r="2999" spans="1:10" s="65" customFormat="1" ht="14" x14ac:dyDescent="0.35">
      <c r="A2999" s="145"/>
      <c r="E2999" s="102"/>
      <c r="F2999" s="102"/>
      <c r="G2999" s="102"/>
      <c r="I2999" s="93"/>
      <c r="J2999" s="93"/>
    </row>
    <row r="3000" spans="1:10" s="65" customFormat="1" ht="14" x14ac:dyDescent="0.35">
      <c r="A3000" s="145"/>
      <c r="E3000" s="102"/>
      <c r="F3000" s="102"/>
      <c r="G3000" s="102"/>
      <c r="I3000" s="93"/>
      <c r="J3000" s="93"/>
    </row>
    <row r="3001" spans="1:10" s="65" customFormat="1" ht="14" x14ac:dyDescent="0.35">
      <c r="A3001" s="145"/>
      <c r="E3001" s="102"/>
      <c r="F3001" s="102"/>
      <c r="G3001" s="102"/>
      <c r="I3001" s="93"/>
      <c r="J3001" s="93"/>
    </row>
    <row r="3002" spans="1:10" s="65" customFormat="1" ht="14" x14ac:dyDescent="0.35">
      <c r="A3002" s="145"/>
      <c r="E3002" s="102"/>
      <c r="F3002" s="102"/>
      <c r="G3002" s="102"/>
      <c r="I3002" s="93"/>
      <c r="J3002" s="93"/>
    </row>
    <row r="3003" spans="1:10" s="65" customFormat="1" ht="14" x14ac:dyDescent="0.35">
      <c r="A3003" s="145"/>
      <c r="E3003" s="102"/>
      <c r="F3003" s="102"/>
      <c r="G3003" s="102"/>
      <c r="I3003" s="93"/>
      <c r="J3003" s="93"/>
    </row>
    <row r="3004" spans="1:10" s="65" customFormat="1" ht="14" x14ac:dyDescent="0.35">
      <c r="A3004" s="145"/>
      <c r="E3004" s="102"/>
      <c r="F3004" s="102"/>
      <c r="G3004" s="102"/>
      <c r="I3004" s="93"/>
      <c r="J3004" s="93"/>
    </row>
    <row r="3005" spans="1:10" s="65" customFormat="1" ht="14" x14ac:dyDescent="0.35">
      <c r="A3005" s="145"/>
      <c r="E3005" s="102"/>
      <c r="F3005" s="102"/>
      <c r="G3005" s="102"/>
      <c r="I3005" s="93"/>
      <c r="J3005" s="93"/>
    </row>
    <row r="3006" spans="1:10" s="65" customFormat="1" ht="14" x14ac:dyDescent="0.35">
      <c r="A3006" s="145"/>
      <c r="E3006" s="102"/>
      <c r="F3006" s="102"/>
      <c r="G3006" s="102"/>
      <c r="I3006" s="93"/>
      <c r="J3006" s="93"/>
    </row>
    <row r="3007" spans="1:10" s="65" customFormat="1" ht="14" x14ac:dyDescent="0.35">
      <c r="A3007" s="145"/>
      <c r="E3007" s="102"/>
      <c r="F3007" s="102"/>
      <c r="G3007" s="102"/>
      <c r="I3007" s="93"/>
      <c r="J3007" s="93"/>
    </row>
    <row r="3008" spans="1:10" s="65" customFormat="1" ht="14" x14ac:dyDescent="0.35">
      <c r="A3008" s="145"/>
      <c r="E3008" s="102"/>
      <c r="F3008" s="102"/>
      <c r="G3008" s="102"/>
      <c r="I3008" s="93"/>
      <c r="J3008" s="93"/>
    </row>
    <row r="3009" spans="1:10" s="65" customFormat="1" ht="14" x14ac:dyDescent="0.35">
      <c r="A3009" s="145"/>
      <c r="E3009" s="102"/>
      <c r="F3009" s="102"/>
      <c r="G3009" s="102"/>
      <c r="I3009" s="93"/>
      <c r="J3009" s="93"/>
    </row>
    <row r="3010" spans="1:10" s="65" customFormat="1" ht="14" x14ac:dyDescent="0.35">
      <c r="A3010" s="145"/>
      <c r="E3010" s="102"/>
      <c r="F3010" s="102"/>
      <c r="G3010" s="102"/>
      <c r="I3010" s="93"/>
      <c r="J3010" s="93"/>
    </row>
    <row r="3011" spans="1:10" s="65" customFormat="1" ht="14" x14ac:dyDescent="0.35">
      <c r="A3011" s="145"/>
      <c r="E3011" s="102"/>
      <c r="F3011" s="102"/>
      <c r="G3011" s="102"/>
      <c r="I3011" s="93"/>
      <c r="J3011" s="93"/>
    </row>
    <row r="3012" spans="1:10" s="65" customFormat="1" ht="14" x14ac:dyDescent="0.35">
      <c r="A3012" s="145"/>
      <c r="E3012" s="102"/>
      <c r="F3012" s="102"/>
      <c r="G3012" s="102"/>
      <c r="I3012" s="93"/>
      <c r="J3012" s="93"/>
    </row>
    <row r="3013" spans="1:10" s="65" customFormat="1" ht="14" x14ac:dyDescent="0.35">
      <c r="A3013" s="145"/>
      <c r="E3013" s="102"/>
      <c r="F3013" s="102"/>
      <c r="G3013" s="102"/>
      <c r="I3013" s="93"/>
      <c r="J3013" s="93"/>
    </row>
    <row r="3014" spans="1:10" s="65" customFormat="1" ht="14" x14ac:dyDescent="0.35">
      <c r="A3014" s="145"/>
      <c r="E3014" s="102"/>
      <c r="F3014" s="102"/>
      <c r="G3014" s="102"/>
      <c r="I3014" s="93"/>
      <c r="J3014" s="93"/>
    </row>
    <row r="3015" spans="1:10" s="65" customFormat="1" ht="14" x14ac:dyDescent="0.35">
      <c r="A3015" s="145"/>
      <c r="E3015" s="102"/>
      <c r="F3015" s="102"/>
      <c r="G3015" s="102"/>
      <c r="I3015" s="93"/>
      <c r="J3015" s="93"/>
    </row>
    <row r="3016" spans="1:10" s="65" customFormat="1" ht="14" x14ac:dyDescent="0.35">
      <c r="A3016" s="145"/>
      <c r="E3016" s="102"/>
      <c r="F3016" s="102"/>
      <c r="G3016" s="102"/>
      <c r="I3016" s="93"/>
      <c r="J3016" s="93"/>
    </row>
    <row r="3017" spans="1:10" s="65" customFormat="1" ht="14" x14ac:dyDescent="0.35">
      <c r="A3017" s="145"/>
      <c r="E3017" s="102"/>
      <c r="F3017" s="102"/>
      <c r="G3017" s="102"/>
      <c r="I3017" s="93"/>
      <c r="J3017" s="93"/>
    </row>
    <row r="3018" spans="1:10" s="65" customFormat="1" ht="14" x14ac:dyDescent="0.35">
      <c r="A3018" s="145"/>
      <c r="E3018" s="102"/>
      <c r="F3018" s="102"/>
      <c r="G3018" s="102"/>
      <c r="I3018" s="93"/>
      <c r="J3018" s="93"/>
    </row>
    <row r="3019" spans="1:10" s="65" customFormat="1" ht="14" x14ac:dyDescent="0.35">
      <c r="A3019" s="145"/>
      <c r="E3019" s="102"/>
      <c r="F3019" s="102"/>
      <c r="G3019" s="102"/>
      <c r="I3019" s="93"/>
      <c r="J3019" s="93"/>
    </row>
    <row r="3020" spans="1:10" s="65" customFormat="1" ht="14" x14ac:dyDescent="0.35">
      <c r="A3020" s="145"/>
      <c r="E3020" s="102"/>
      <c r="F3020" s="102"/>
      <c r="G3020" s="102"/>
      <c r="I3020" s="93"/>
      <c r="J3020" s="93"/>
    </row>
    <row r="3021" spans="1:10" s="65" customFormat="1" ht="14" x14ac:dyDescent="0.35">
      <c r="A3021" s="145"/>
      <c r="E3021" s="102"/>
      <c r="F3021" s="102"/>
      <c r="G3021" s="102"/>
      <c r="I3021" s="93"/>
      <c r="J3021" s="93"/>
    </row>
    <row r="3022" spans="1:10" s="65" customFormat="1" ht="14" x14ac:dyDescent="0.35">
      <c r="A3022" s="145"/>
      <c r="E3022" s="102"/>
      <c r="F3022" s="102"/>
      <c r="G3022" s="102"/>
      <c r="I3022" s="93"/>
      <c r="J3022" s="93"/>
    </row>
    <row r="3023" spans="1:10" s="65" customFormat="1" ht="14" x14ac:dyDescent="0.35">
      <c r="A3023" s="145"/>
      <c r="E3023" s="102"/>
      <c r="F3023" s="102"/>
      <c r="G3023" s="102"/>
      <c r="I3023" s="93"/>
      <c r="J3023" s="93"/>
    </row>
    <row r="3024" spans="1:10" s="65" customFormat="1" ht="14" x14ac:dyDescent="0.35">
      <c r="A3024" s="145"/>
      <c r="E3024" s="102"/>
      <c r="F3024" s="102"/>
      <c r="G3024" s="102"/>
      <c r="I3024" s="93"/>
      <c r="J3024" s="93"/>
    </row>
    <row r="3025" spans="1:10" s="65" customFormat="1" ht="14" x14ac:dyDescent="0.35">
      <c r="A3025" s="145"/>
      <c r="E3025" s="102"/>
      <c r="F3025" s="102"/>
      <c r="G3025" s="102"/>
      <c r="I3025" s="93"/>
      <c r="J3025" s="93"/>
    </row>
    <row r="3026" spans="1:10" s="65" customFormat="1" ht="14" x14ac:dyDescent="0.35">
      <c r="A3026" s="145"/>
      <c r="E3026" s="102"/>
      <c r="F3026" s="102"/>
      <c r="G3026" s="102"/>
      <c r="I3026" s="93"/>
      <c r="J3026" s="93"/>
    </row>
    <row r="3027" spans="1:10" s="65" customFormat="1" ht="14" x14ac:dyDescent="0.35">
      <c r="A3027" s="145"/>
      <c r="E3027" s="102"/>
      <c r="F3027" s="102"/>
      <c r="G3027" s="102"/>
      <c r="I3027" s="93"/>
      <c r="J3027" s="93"/>
    </row>
    <row r="3028" spans="1:10" s="65" customFormat="1" ht="14" x14ac:dyDescent="0.35">
      <c r="A3028" s="145"/>
      <c r="E3028" s="102"/>
      <c r="F3028" s="102"/>
      <c r="G3028" s="102"/>
      <c r="I3028" s="93"/>
      <c r="J3028" s="93"/>
    </row>
    <row r="3029" spans="1:10" s="65" customFormat="1" ht="14" x14ac:dyDescent="0.35">
      <c r="A3029" s="145"/>
      <c r="E3029" s="102"/>
      <c r="F3029" s="102"/>
      <c r="G3029" s="102"/>
      <c r="I3029" s="93"/>
      <c r="J3029" s="93"/>
    </row>
    <row r="3030" spans="1:10" s="65" customFormat="1" ht="14" x14ac:dyDescent="0.35">
      <c r="A3030" s="145"/>
      <c r="E3030" s="102"/>
      <c r="F3030" s="102"/>
      <c r="G3030" s="102"/>
      <c r="I3030" s="93"/>
      <c r="J3030" s="93"/>
    </row>
    <row r="3031" spans="1:10" s="65" customFormat="1" ht="14" x14ac:dyDescent="0.35">
      <c r="A3031" s="145"/>
      <c r="E3031" s="102"/>
      <c r="F3031" s="102"/>
      <c r="G3031" s="102"/>
      <c r="I3031" s="93"/>
      <c r="J3031" s="93"/>
    </row>
    <row r="3032" spans="1:10" s="65" customFormat="1" ht="14" x14ac:dyDescent="0.35">
      <c r="A3032" s="145"/>
      <c r="E3032" s="102"/>
      <c r="F3032" s="102"/>
      <c r="G3032" s="102"/>
      <c r="I3032" s="93"/>
      <c r="J3032" s="93"/>
    </row>
    <row r="3033" spans="1:10" s="65" customFormat="1" ht="14" x14ac:dyDescent="0.35">
      <c r="A3033" s="145"/>
      <c r="E3033" s="102"/>
      <c r="F3033" s="102"/>
      <c r="G3033" s="102"/>
      <c r="I3033" s="93"/>
      <c r="J3033" s="93"/>
    </row>
    <row r="3034" spans="1:10" s="65" customFormat="1" ht="14" x14ac:dyDescent="0.35">
      <c r="A3034" s="145"/>
      <c r="E3034" s="102"/>
      <c r="F3034" s="102"/>
      <c r="G3034" s="102"/>
      <c r="I3034" s="93"/>
      <c r="J3034" s="93"/>
    </row>
    <row r="3035" spans="1:10" s="65" customFormat="1" ht="14" x14ac:dyDescent="0.35">
      <c r="A3035" s="145"/>
      <c r="E3035" s="102"/>
      <c r="F3035" s="102"/>
      <c r="G3035" s="102"/>
      <c r="I3035" s="93"/>
      <c r="J3035" s="93"/>
    </row>
    <row r="3036" spans="1:10" s="65" customFormat="1" ht="14" x14ac:dyDescent="0.35">
      <c r="A3036" s="145"/>
      <c r="E3036" s="102"/>
      <c r="F3036" s="102"/>
      <c r="G3036" s="102"/>
      <c r="I3036" s="93"/>
      <c r="J3036" s="93"/>
    </row>
    <row r="3037" spans="1:10" s="65" customFormat="1" ht="14" x14ac:dyDescent="0.35">
      <c r="A3037" s="145"/>
      <c r="E3037" s="102"/>
      <c r="F3037" s="102"/>
      <c r="G3037" s="102"/>
      <c r="I3037" s="93"/>
      <c r="J3037" s="93"/>
    </row>
    <row r="3038" spans="1:10" s="65" customFormat="1" ht="14" x14ac:dyDescent="0.35">
      <c r="A3038" s="145"/>
      <c r="E3038" s="102"/>
      <c r="F3038" s="102"/>
      <c r="G3038" s="102"/>
      <c r="I3038" s="93"/>
      <c r="J3038" s="93"/>
    </row>
    <row r="3039" spans="1:10" s="65" customFormat="1" ht="14" x14ac:dyDescent="0.35">
      <c r="A3039" s="145"/>
      <c r="E3039" s="102"/>
      <c r="F3039" s="102"/>
      <c r="G3039" s="102"/>
      <c r="I3039" s="93"/>
      <c r="J3039" s="93"/>
    </row>
    <row r="3040" spans="1:10" s="65" customFormat="1" ht="14" x14ac:dyDescent="0.35">
      <c r="A3040" s="145"/>
      <c r="E3040" s="102"/>
      <c r="F3040" s="102"/>
      <c r="G3040" s="102"/>
      <c r="I3040" s="93"/>
      <c r="J3040" s="93"/>
    </row>
    <row r="3041" spans="1:10" s="65" customFormat="1" ht="14" x14ac:dyDescent="0.35">
      <c r="A3041" s="145"/>
      <c r="E3041" s="102"/>
      <c r="F3041" s="102"/>
      <c r="G3041" s="102"/>
      <c r="I3041" s="93"/>
      <c r="J3041" s="93"/>
    </row>
    <row r="3042" spans="1:10" s="65" customFormat="1" ht="14" x14ac:dyDescent="0.35">
      <c r="A3042" s="145"/>
      <c r="E3042" s="102"/>
      <c r="F3042" s="102"/>
      <c r="G3042" s="102"/>
      <c r="I3042" s="93"/>
      <c r="J3042" s="93"/>
    </row>
    <row r="3043" spans="1:10" s="65" customFormat="1" ht="14" x14ac:dyDescent="0.35">
      <c r="A3043" s="145"/>
      <c r="E3043" s="102"/>
      <c r="F3043" s="102"/>
      <c r="G3043" s="102"/>
      <c r="I3043" s="93"/>
      <c r="J3043" s="93"/>
    </row>
    <row r="3044" spans="1:10" s="65" customFormat="1" ht="14" x14ac:dyDescent="0.35">
      <c r="A3044" s="145"/>
      <c r="E3044" s="102"/>
      <c r="F3044" s="102"/>
      <c r="G3044" s="102"/>
      <c r="I3044" s="93"/>
      <c r="J3044" s="93"/>
    </row>
    <row r="3045" spans="1:10" s="65" customFormat="1" ht="14" x14ac:dyDescent="0.35">
      <c r="A3045" s="145"/>
      <c r="E3045" s="102"/>
      <c r="F3045" s="102"/>
      <c r="G3045" s="102"/>
      <c r="I3045" s="93"/>
      <c r="J3045" s="93"/>
    </row>
    <row r="3046" spans="1:10" s="65" customFormat="1" ht="14" x14ac:dyDescent="0.35">
      <c r="A3046" s="145"/>
      <c r="E3046" s="102"/>
      <c r="F3046" s="102"/>
      <c r="G3046" s="102"/>
      <c r="I3046" s="93"/>
      <c r="J3046" s="93"/>
    </row>
    <row r="3047" spans="1:10" s="65" customFormat="1" ht="14" x14ac:dyDescent="0.35">
      <c r="A3047" s="145"/>
      <c r="E3047" s="102"/>
      <c r="F3047" s="102"/>
      <c r="G3047" s="102"/>
      <c r="I3047" s="93"/>
      <c r="J3047" s="93"/>
    </row>
    <row r="3048" spans="1:10" s="65" customFormat="1" ht="14" x14ac:dyDescent="0.35">
      <c r="A3048" s="145"/>
      <c r="E3048" s="102"/>
      <c r="F3048" s="102"/>
      <c r="G3048" s="102"/>
      <c r="I3048" s="93"/>
      <c r="J3048" s="93"/>
    </row>
    <row r="3049" spans="1:10" s="65" customFormat="1" ht="14" x14ac:dyDescent="0.35">
      <c r="A3049" s="145"/>
      <c r="E3049" s="102"/>
      <c r="F3049" s="102"/>
      <c r="G3049" s="102"/>
      <c r="I3049" s="93"/>
      <c r="J3049" s="93"/>
    </row>
    <row r="3050" spans="1:10" s="65" customFormat="1" ht="14" x14ac:dyDescent="0.35">
      <c r="A3050" s="145"/>
      <c r="E3050" s="102"/>
      <c r="F3050" s="102"/>
      <c r="G3050" s="102"/>
      <c r="I3050" s="93"/>
      <c r="J3050" s="93"/>
    </row>
    <row r="3051" spans="1:10" s="65" customFormat="1" ht="14" x14ac:dyDescent="0.35">
      <c r="A3051" s="145"/>
      <c r="E3051" s="102"/>
      <c r="F3051" s="102"/>
      <c r="G3051" s="102"/>
      <c r="I3051" s="93"/>
      <c r="J3051" s="93"/>
    </row>
    <row r="3052" spans="1:10" s="65" customFormat="1" ht="14" x14ac:dyDescent="0.35">
      <c r="A3052" s="145"/>
      <c r="E3052" s="102"/>
      <c r="F3052" s="102"/>
      <c r="G3052" s="102"/>
      <c r="I3052" s="93"/>
      <c r="J3052" s="93"/>
    </row>
    <row r="3053" spans="1:10" s="65" customFormat="1" ht="14" x14ac:dyDescent="0.35">
      <c r="A3053" s="145"/>
      <c r="E3053" s="102"/>
      <c r="F3053" s="102"/>
      <c r="G3053" s="102"/>
      <c r="I3053" s="93"/>
      <c r="J3053" s="93"/>
    </row>
    <row r="3054" spans="1:10" s="65" customFormat="1" ht="14" x14ac:dyDescent="0.35">
      <c r="A3054" s="145"/>
      <c r="E3054" s="102"/>
      <c r="F3054" s="102"/>
      <c r="G3054" s="102"/>
      <c r="I3054" s="93"/>
      <c r="J3054" s="93"/>
    </row>
    <row r="3055" spans="1:10" s="65" customFormat="1" ht="14" x14ac:dyDescent="0.35">
      <c r="A3055" s="145"/>
      <c r="E3055" s="102"/>
      <c r="F3055" s="102"/>
      <c r="G3055" s="102"/>
      <c r="I3055" s="93"/>
      <c r="J3055" s="93"/>
    </row>
    <row r="3056" spans="1:10" s="65" customFormat="1" ht="14" x14ac:dyDescent="0.35">
      <c r="A3056" s="145"/>
      <c r="E3056" s="102"/>
      <c r="F3056" s="102"/>
      <c r="G3056" s="102"/>
      <c r="I3056" s="93"/>
      <c r="J3056" s="93"/>
    </row>
    <row r="3057" spans="1:10" s="65" customFormat="1" ht="14" x14ac:dyDescent="0.35">
      <c r="A3057" s="145"/>
      <c r="E3057" s="102"/>
      <c r="F3057" s="102"/>
      <c r="G3057" s="102"/>
      <c r="I3057" s="93"/>
      <c r="J3057" s="93"/>
    </row>
    <row r="3058" spans="1:10" s="65" customFormat="1" ht="14" x14ac:dyDescent="0.35">
      <c r="A3058" s="145"/>
      <c r="E3058" s="102"/>
      <c r="F3058" s="102"/>
      <c r="G3058" s="102"/>
      <c r="I3058" s="93"/>
      <c r="J3058" s="93"/>
    </row>
    <row r="3059" spans="1:10" s="65" customFormat="1" ht="14" x14ac:dyDescent="0.35">
      <c r="A3059" s="145"/>
      <c r="E3059" s="102"/>
      <c r="F3059" s="102"/>
      <c r="G3059" s="102"/>
      <c r="I3059" s="93"/>
      <c r="J3059" s="93"/>
    </row>
    <row r="3060" spans="1:10" s="65" customFormat="1" ht="14" x14ac:dyDescent="0.35">
      <c r="A3060" s="145"/>
      <c r="E3060" s="102"/>
      <c r="F3060" s="102"/>
      <c r="G3060" s="102"/>
      <c r="I3060" s="93"/>
      <c r="J3060" s="93"/>
    </row>
    <row r="3061" spans="1:10" s="65" customFormat="1" ht="14" x14ac:dyDescent="0.35">
      <c r="A3061" s="145"/>
      <c r="E3061" s="102"/>
      <c r="F3061" s="102"/>
      <c r="G3061" s="102"/>
      <c r="I3061" s="93"/>
      <c r="J3061" s="93"/>
    </row>
    <row r="3062" spans="1:10" s="65" customFormat="1" ht="14" x14ac:dyDescent="0.35">
      <c r="A3062" s="145"/>
      <c r="E3062" s="102"/>
      <c r="F3062" s="102"/>
      <c r="G3062" s="102"/>
      <c r="I3062" s="93"/>
      <c r="J3062" s="93"/>
    </row>
    <row r="3063" spans="1:10" s="65" customFormat="1" ht="14" x14ac:dyDescent="0.35">
      <c r="A3063" s="145"/>
      <c r="E3063" s="102"/>
      <c r="F3063" s="102"/>
      <c r="G3063" s="102"/>
      <c r="I3063" s="93"/>
      <c r="J3063" s="93"/>
    </row>
    <row r="3064" spans="1:10" s="65" customFormat="1" ht="14" x14ac:dyDescent="0.35">
      <c r="A3064" s="145"/>
      <c r="E3064" s="102"/>
      <c r="F3064" s="102"/>
      <c r="G3064" s="102"/>
      <c r="I3064" s="93"/>
      <c r="J3064" s="93"/>
    </row>
    <row r="3065" spans="1:10" s="65" customFormat="1" ht="14" x14ac:dyDescent="0.35">
      <c r="A3065" s="145"/>
      <c r="E3065" s="102"/>
      <c r="F3065" s="102"/>
      <c r="G3065" s="102"/>
      <c r="I3065" s="93"/>
      <c r="J3065" s="93"/>
    </row>
    <row r="3066" spans="1:10" s="65" customFormat="1" ht="14" x14ac:dyDescent="0.35">
      <c r="A3066" s="145"/>
      <c r="E3066" s="102"/>
      <c r="F3066" s="102"/>
      <c r="G3066" s="102"/>
      <c r="I3066" s="93"/>
      <c r="J3066" s="93"/>
    </row>
    <row r="3067" spans="1:10" s="65" customFormat="1" ht="14" x14ac:dyDescent="0.35">
      <c r="A3067" s="145"/>
      <c r="E3067" s="102"/>
      <c r="F3067" s="102"/>
      <c r="G3067" s="102"/>
      <c r="I3067" s="93"/>
      <c r="J3067" s="93"/>
    </row>
    <row r="3068" spans="1:10" s="65" customFormat="1" ht="14" x14ac:dyDescent="0.35">
      <c r="A3068" s="145"/>
      <c r="E3068" s="102"/>
      <c r="F3068" s="102"/>
      <c r="G3068" s="102"/>
      <c r="I3068" s="93"/>
      <c r="J3068" s="93"/>
    </row>
    <row r="3069" spans="1:10" s="65" customFormat="1" ht="14" x14ac:dyDescent="0.35">
      <c r="A3069" s="145"/>
      <c r="E3069" s="102"/>
      <c r="F3069" s="102"/>
      <c r="G3069" s="102"/>
      <c r="I3069" s="93"/>
      <c r="J3069" s="93"/>
    </row>
    <row r="3070" spans="1:10" s="65" customFormat="1" ht="14" x14ac:dyDescent="0.35">
      <c r="A3070" s="145"/>
      <c r="E3070" s="102"/>
      <c r="F3070" s="102"/>
      <c r="G3070" s="102"/>
      <c r="I3070" s="93"/>
      <c r="J3070" s="93"/>
    </row>
    <row r="3071" spans="1:10" s="65" customFormat="1" ht="14" x14ac:dyDescent="0.35">
      <c r="A3071" s="145"/>
      <c r="E3071" s="102"/>
      <c r="F3071" s="102"/>
      <c r="G3071" s="102"/>
      <c r="I3071" s="93"/>
      <c r="J3071" s="93"/>
    </row>
    <row r="3072" spans="1:10" s="65" customFormat="1" ht="14" x14ac:dyDescent="0.35">
      <c r="A3072" s="145"/>
      <c r="E3072" s="102"/>
      <c r="F3072" s="102"/>
      <c r="G3072" s="102"/>
      <c r="I3072" s="93"/>
      <c r="J3072" s="93"/>
    </row>
    <row r="3073" spans="1:10" s="65" customFormat="1" ht="14" x14ac:dyDescent="0.35">
      <c r="A3073" s="145"/>
      <c r="E3073" s="102"/>
      <c r="F3073" s="102"/>
      <c r="G3073" s="102"/>
      <c r="I3073" s="93"/>
      <c r="J3073" s="93"/>
    </row>
    <row r="3074" spans="1:10" s="65" customFormat="1" ht="14" x14ac:dyDescent="0.35">
      <c r="A3074" s="145"/>
      <c r="E3074" s="102"/>
      <c r="F3074" s="102"/>
      <c r="G3074" s="102"/>
      <c r="I3074" s="93"/>
      <c r="J3074" s="93"/>
    </row>
    <row r="3075" spans="1:10" s="65" customFormat="1" ht="14" x14ac:dyDescent="0.35">
      <c r="A3075" s="145"/>
      <c r="E3075" s="102"/>
      <c r="F3075" s="102"/>
      <c r="G3075" s="102"/>
      <c r="I3075" s="93"/>
      <c r="J3075" s="93"/>
    </row>
    <row r="3076" spans="1:10" s="65" customFormat="1" ht="14" x14ac:dyDescent="0.35">
      <c r="A3076" s="145"/>
      <c r="E3076" s="102"/>
      <c r="F3076" s="102"/>
      <c r="G3076" s="102"/>
      <c r="I3076" s="93"/>
      <c r="J3076" s="93"/>
    </row>
    <row r="3077" spans="1:10" s="65" customFormat="1" ht="14" x14ac:dyDescent="0.35">
      <c r="A3077" s="145"/>
      <c r="E3077" s="102"/>
      <c r="F3077" s="102"/>
      <c r="G3077" s="102"/>
      <c r="I3077" s="93"/>
      <c r="J3077" s="93"/>
    </row>
    <row r="3078" spans="1:10" s="65" customFormat="1" ht="14" x14ac:dyDescent="0.35">
      <c r="A3078" s="145"/>
      <c r="E3078" s="102"/>
      <c r="F3078" s="102"/>
      <c r="G3078" s="102"/>
      <c r="I3078" s="93"/>
      <c r="J3078" s="93"/>
    </row>
    <row r="3079" spans="1:10" s="65" customFormat="1" ht="14" x14ac:dyDescent="0.35">
      <c r="A3079" s="145"/>
      <c r="E3079" s="102"/>
      <c r="F3079" s="102"/>
      <c r="G3079" s="102"/>
      <c r="I3079" s="93"/>
      <c r="J3079" s="93"/>
    </row>
    <row r="3080" spans="1:10" s="65" customFormat="1" ht="14" x14ac:dyDescent="0.35">
      <c r="A3080" s="145"/>
      <c r="E3080" s="102"/>
      <c r="F3080" s="102"/>
      <c r="G3080" s="102"/>
      <c r="I3080" s="93"/>
      <c r="J3080" s="93"/>
    </row>
    <row r="3081" spans="1:10" s="65" customFormat="1" ht="14" x14ac:dyDescent="0.35">
      <c r="A3081" s="145"/>
      <c r="E3081" s="102"/>
      <c r="F3081" s="102"/>
      <c r="G3081" s="102"/>
      <c r="I3081" s="93"/>
      <c r="J3081" s="93"/>
    </row>
    <row r="3082" spans="1:10" s="65" customFormat="1" ht="14" x14ac:dyDescent="0.35">
      <c r="A3082" s="145"/>
      <c r="E3082" s="102"/>
      <c r="F3082" s="102"/>
      <c r="G3082" s="102"/>
      <c r="I3082" s="93"/>
      <c r="J3082" s="93"/>
    </row>
    <row r="3083" spans="1:10" s="65" customFormat="1" ht="14" x14ac:dyDescent="0.35">
      <c r="A3083" s="145"/>
      <c r="E3083" s="102"/>
      <c r="F3083" s="102"/>
      <c r="G3083" s="102"/>
      <c r="I3083" s="93"/>
      <c r="J3083" s="93"/>
    </row>
    <row r="3084" spans="1:10" s="65" customFormat="1" ht="14" x14ac:dyDescent="0.35">
      <c r="A3084" s="145"/>
      <c r="E3084" s="102"/>
      <c r="F3084" s="102"/>
      <c r="G3084" s="102"/>
      <c r="I3084" s="93"/>
      <c r="J3084" s="93"/>
    </row>
    <row r="3085" spans="1:10" s="65" customFormat="1" ht="14" x14ac:dyDescent="0.35">
      <c r="A3085" s="145"/>
      <c r="E3085" s="102"/>
      <c r="F3085" s="102"/>
      <c r="G3085" s="102"/>
      <c r="I3085" s="93"/>
      <c r="J3085" s="93"/>
    </row>
    <row r="3086" spans="1:10" s="65" customFormat="1" ht="14" x14ac:dyDescent="0.35">
      <c r="A3086" s="145"/>
      <c r="E3086" s="102"/>
      <c r="F3086" s="102"/>
      <c r="G3086" s="102"/>
      <c r="I3086" s="93"/>
      <c r="J3086" s="93"/>
    </row>
    <row r="3087" spans="1:10" s="65" customFormat="1" ht="14" x14ac:dyDescent="0.35">
      <c r="A3087" s="145"/>
      <c r="E3087" s="102"/>
      <c r="F3087" s="102"/>
      <c r="G3087" s="102"/>
      <c r="I3087" s="93"/>
      <c r="J3087" s="93"/>
    </row>
    <row r="3088" spans="1:10" s="65" customFormat="1" ht="14" x14ac:dyDescent="0.35">
      <c r="A3088" s="145"/>
      <c r="E3088" s="102"/>
      <c r="F3088" s="102"/>
      <c r="G3088" s="102"/>
      <c r="I3088" s="93"/>
      <c r="J3088" s="93"/>
    </row>
    <row r="3089" spans="1:10" s="65" customFormat="1" ht="14" x14ac:dyDescent="0.35">
      <c r="A3089" s="145"/>
      <c r="E3089" s="102"/>
      <c r="F3089" s="102"/>
      <c r="G3089" s="102"/>
      <c r="I3089" s="93"/>
      <c r="J3089" s="93"/>
    </row>
    <row r="3090" spans="1:10" s="65" customFormat="1" ht="14" x14ac:dyDescent="0.35">
      <c r="A3090" s="145"/>
      <c r="E3090" s="102"/>
      <c r="F3090" s="102"/>
      <c r="G3090" s="102"/>
      <c r="I3090" s="93"/>
      <c r="J3090" s="93"/>
    </row>
    <row r="3091" spans="1:10" s="65" customFormat="1" ht="14" x14ac:dyDescent="0.35">
      <c r="A3091" s="145"/>
      <c r="E3091" s="102"/>
      <c r="F3091" s="102"/>
      <c r="G3091" s="102"/>
      <c r="I3091" s="93"/>
      <c r="J3091" s="93"/>
    </row>
    <row r="3092" spans="1:10" s="65" customFormat="1" ht="14" x14ac:dyDescent="0.35">
      <c r="A3092" s="145"/>
      <c r="E3092" s="102"/>
      <c r="F3092" s="102"/>
      <c r="G3092" s="102"/>
      <c r="I3092" s="93"/>
      <c r="J3092" s="93"/>
    </row>
    <row r="3093" spans="1:10" s="65" customFormat="1" ht="14" x14ac:dyDescent="0.35">
      <c r="A3093" s="145"/>
      <c r="E3093" s="102"/>
      <c r="F3093" s="102"/>
      <c r="G3093" s="102"/>
      <c r="I3093" s="93"/>
      <c r="J3093" s="93"/>
    </row>
    <row r="3094" spans="1:10" s="65" customFormat="1" ht="14" x14ac:dyDescent="0.35">
      <c r="A3094" s="145"/>
      <c r="E3094" s="102"/>
      <c r="F3094" s="102"/>
      <c r="G3094" s="102"/>
      <c r="I3094" s="93"/>
      <c r="J3094" s="93"/>
    </row>
    <row r="3095" spans="1:10" s="65" customFormat="1" ht="14" x14ac:dyDescent="0.35">
      <c r="A3095" s="145"/>
      <c r="E3095" s="102"/>
      <c r="F3095" s="102"/>
      <c r="G3095" s="102"/>
      <c r="I3095" s="93"/>
      <c r="J3095" s="93"/>
    </row>
    <row r="3096" spans="1:10" s="65" customFormat="1" ht="14" x14ac:dyDescent="0.35">
      <c r="A3096" s="145"/>
      <c r="E3096" s="102"/>
      <c r="F3096" s="102"/>
      <c r="G3096" s="102"/>
      <c r="I3096" s="93"/>
      <c r="J3096" s="93"/>
    </row>
    <row r="3097" spans="1:10" s="65" customFormat="1" ht="14" x14ac:dyDescent="0.35">
      <c r="A3097" s="145"/>
      <c r="E3097" s="102"/>
      <c r="F3097" s="102"/>
      <c r="G3097" s="102"/>
      <c r="I3097" s="93"/>
      <c r="J3097" s="93"/>
    </row>
    <row r="3098" spans="1:10" s="65" customFormat="1" ht="14" x14ac:dyDescent="0.35">
      <c r="A3098" s="145"/>
      <c r="E3098" s="102"/>
      <c r="F3098" s="102"/>
      <c r="G3098" s="102"/>
      <c r="I3098" s="93"/>
      <c r="J3098" s="93"/>
    </row>
    <row r="3099" spans="1:10" s="65" customFormat="1" ht="14" x14ac:dyDescent="0.35">
      <c r="A3099" s="145"/>
      <c r="E3099" s="102"/>
      <c r="F3099" s="102"/>
      <c r="G3099" s="102"/>
      <c r="I3099" s="93"/>
      <c r="J3099" s="93"/>
    </row>
    <row r="3100" spans="1:10" s="65" customFormat="1" ht="14" x14ac:dyDescent="0.35">
      <c r="A3100" s="145"/>
      <c r="E3100" s="102"/>
      <c r="F3100" s="102"/>
      <c r="G3100" s="102"/>
      <c r="I3100" s="93"/>
      <c r="J3100" s="93"/>
    </row>
    <row r="3101" spans="1:10" s="65" customFormat="1" ht="14" x14ac:dyDescent="0.35">
      <c r="A3101" s="145"/>
      <c r="E3101" s="102"/>
      <c r="F3101" s="102"/>
      <c r="G3101" s="102"/>
      <c r="I3101" s="93"/>
      <c r="J3101" s="93"/>
    </row>
    <row r="3102" spans="1:10" s="65" customFormat="1" ht="14" x14ac:dyDescent="0.35">
      <c r="A3102" s="145"/>
      <c r="E3102" s="102"/>
      <c r="F3102" s="102"/>
      <c r="G3102" s="102"/>
      <c r="I3102" s="93"/>
      <c r="J3102" s="93"/>
    </row>
    <row r="3103" spans="1:10" s="65" customFormat="1" ht="14" x14ac:dyDescent="0.35">
      <c r="A3103" s="145"/>
      <c r="E3103" s="102"/>
      <c r="F3103" s="102"/>
      <c r="G3103" s="102"/>
      <c r="I3103" s="93"/>
      <c r="J3103" s="93"/>
    </row>
    <row r="3104" spans="1:10" s="65" customFormat="1" ht="14" x14ac:dyDescent="0.35">
      <c r="A3104" s="145"/>
      <c r="E3104" s="102"/>
      <c r="F3104" s="102"/>
      <c r="G3104" s="102"/>
      <c r="I3104" s="93"/>
      <c r="J3104" s="93"/>
    </row>
    <row r="3105" spans="1:10" s="65" customFormat="1" ht="14" x14ac:dyDescent="0.35">
      <c r="A3105" s="145"/>
      <c r="E3105" s="102"/>
      <c r="F3105" s="102"/>
      <c r="G3105" s="102"/>
      <c r="I3105" s="93"/>
      <c r="J3105" s="93"/>
    </row>
    <row r="3106" spans="1:10" s="65" customFormat="1" ht="14" x14ac:dyDescent="0.35">
      <c r="A3106" s="145"/>
      <c r="E3106" s="102"/>
      <c r="F3106" s="102"/>
      <c r="G3106" s="102"/>
      <c r="I3106" s="93"/>
      <c r="J3106" s="93"/>
    </row>
    <row r="3107" spans="1:10" s="65" customFormat="1" ht="14" x14ac:dyDescent="0.35">
      <c r="A3107" s="145"/>
      <c r="E3107" s="102"/>
      <c r="F3107" s="102"/>
      <c r="G3107" s="102"/>
      <c r="I3107" s="93"/>
      <c r="J3107" s="93"/>
    </row>
    <row r="3108" spans="1:10" s="65" customFormat="1" ht="14" x14ac:dyDescent="0.35">
      <c r="A3108" s="145"/>
      <c r="E3108" s="102"/>
      <c r="F3108" s="102"/>
      <c r="G3108" s="102"/>
      <c r="I3108" s="93"/>
      <c r="J3108" s="93"/>
    </row>
    <row r="3109" spans="1:10" s="65" customFormat="1" ht="14" x14ac:dyDescent="0.35">
      <c r="A3109" s="145"/>
      <c r="E3109" s="102"/>
      <c r="F3109" s="102"/>
      <c r="G3109" s="102"/>
      <c r="I3109" s="93"/>
      <c r="J3109" s="93"/>
    </row>
    <row r="3110" spans="1:10" s="65" customFormat="1" ht="14" x14ac:dyDescent="0.35">
      <c r="A3110" s="145"/>
      <c r="E3110" s="102"/>
      <c r="F3110" s="102"/>
      <c r="G3110" s="102"/>
      <c r="I3110" s="93"/>
      <c r="J3110" s="93"/>
    </row>
    <row r="3111" spans="1:10" s="65" customFormat="1" ht="14" x14ac:dyDescent="0.35">
      <c r="A3111" s="145"/>
      <c r="E3111" s="102"/>
      <c r="F3111" s="102"/>
      <c r="G3111" s="102"/>
      <c r="I3111" s="93"/>
      <c r="J3111" s="93"/>
    </row>
    <row r="3112" spans="1:10" s="65" customFormat="1" ht="14" x14ac:dyDescent="0.35">
      <c r="A3112" s="145"/>
      <c r="E3112" s="102"/>
      <c r="F3112" s="102"/>
      <c r="G3112" s="102"/>
      <c r="I3112" s="93"/>
      <c r="J3112" s="93"/>
    </row>
    <row r="3113" spans="1:10" s="65" customFormat="1" ht="14" x14ac:dyDescent="0.35">
      <c r="A3113" s="145"/>
      <c r="E3113" s="102"/>
      <c r="F3113" s="102"/>
      <c r="G3113" s="102"/>
      <c r="I3113" s="93"/>
      <c r="J3113" s="93"/>
    </row>
    <row r="3114" spans="1:10" s="65" customFormat="1" ht="14" x14ac:dyDescent="0.35">
      <c r="A3114" s="145"/>
      <c r="E3114" s="102"/>
      <c r="F3114" s="102"/>
      <c r="G3114" s="102"/>
      <c r="I3114" s="93"/>
      <c r="J3114" s="93"/>
    </row>
    <row r="3115" spans="1:10" s="65" customFormat="1" ht="14" x14ac:dyDescent="0.35">
      <c r="A3115" s="145"/>
      <c r="E3115" s="102"/>
      <c r="F3115" s="102"/>
      <c r="G3115" s="102"/>
      <c r="I3115" s="93"/>
      <c r="J3115" s="93"/>
    </row>
    <row r="3116" spans="1:10" s="65" customFormat="1" ht="14" x14ac:dyDescent="0.35">
      <c r="A3116" s="145"/>
      <c r="E3116" s="102"/>
      <c r="F3116" s="102"/>
      <c r="G3116" s="102"/>
      <c r="I3116" s="93"/>
      <c r="J3116" s="93"/>
    </row>
    <row r="3117" spans="1:10" s="65" customFormat="1" ht="14" x14ac:dyDescent="0.35">
      <c r="A3117" s="145"/>
      <c r="E3117" s="102"/>
      <c r="F3117" s="102"/>
      <c r="G3117" s="102"/>
      <c r="I3117" s="93"/>
      <c r="J3117" s="93"/>
    </row>
    <row r="3118" spans="1:10" s="65" customFormat="1" ht="14" x14ac:dyDescent="0.35">
      <c r="A3118" s="145"/>
      <c r="E3118" s="102"/>
      <c r="F3118" s="102"/>
      <c r="G3118" s="102"/>
      <c r="I3118" s="93"/>
      <c r="J3118" s="93"/>
    </row>
    <row r="3119" spans="1:10" s="65" customFormat="1" ht="14" x14ac:dyDescent="0.35">
      <c r="A3119" s="145"/>
      <c r="E3119" s="102"/>
      <c r="F3119" s="102"/>
      <c r="G3119" s="102"/>
      <c r="I3119" s="93"/>
      <c r="J3119" s="93"/>
    </row>
    <row r="3120" spans="1:10" s="65" customFormat="1" ht="14" x14ac:dyDescent="0.35">
      <c r="A3120" s="145"/>
      <c r="E3120" s="102"/>
      <c r="F3120" s="102"/>
      <c r="G3120" s="102"/>
      <c r="I3120" s="93"/>
      <c r="J3120" s="93"/>
    </row>
    <row r="3121" spans="1:10" s="65" customFormat="1" ht="14" x14ac:dyDescent="0.35">
      <c r="A3121" s="145"/>
      <c r="E3121" s="102"/>
      <c r="F3121" s="102"/>
      <c r="G3121" s="102"/>
      <c r="I3121" s="93"/>
      <c r="J3121" s="93"/>
    </row>
    <row r="3122" spans="1:10" s="65" customFormat="1" ht="14" x14ac:dyDescent="0.35">
      <c r="A3122" s="145"/>
      <c r="E3122" s="102"/>
      <c r="F3122" s="102"/>
      <c r="G3122" s="102"/>
      <c r="I3122" s="93"/>
      <c r="J3122" s="93"/>
    </row>
    <row r="3123" spans="1:10" s="65" customFormat="1" ht="14" x14ac:dyDescent="0.35">
      <c r="A3123" s="145"/>
      <c r="E3123" s="102"/>
      <c r="F3123" s="102"/>
      <c r="G3123" s="102"/>
      <c r="I3123" s="93"/>
      <c r="J3123" s="93"/>
    </row>
    <row r="3124" spans="1:10" s="65" customFormat="1" ht="14" x14ac:dyDescent="0.35">
      <c r="A3124" s="145"/>
      <c r="E3124" s="102"/>
      <c r="F3124" s="102"/>
      <c r="G3124" s="102"/>
      <c r="I3124" s="93"/>
      <c r="J3124" s="93"/>
    </row>
    <row r="3125" spans="1:10" s="65" customFormat="1" ht="14" x14ac:dyDescent="0.35">
      <c r="A3125" s="145"/>
      <c r="E3125" s="102"/>
      <c r="F3125" s="102"/>
      <c r="G3125" s="102"/>
      <c r="I3125" s="93"/>
      <c r="J3125" s="93"/>
    </row>
    <row r="3126" spans="1:10" s="65" customFormat="1" ht="14" x14ac:dyDescent="0.35">
      <c r="A3126" s="145"/>
      <c r="E3126" s="102"/>
      <c r="F3126" s="102"/>
      <c r="G3126" s="102"/>
      <c r="I3126" s="93"/>
      <c r="J3126" s="93"/>
    </row>
    <row r="3127" spans="1:10" s="65" customFormat="1" ht="14" x14ac:dyDescent="0.35">
      <c r="A3127" s="145"/>
      <c r="E3127" s="102"/>
      <c r="F3127" s="102"/>
      <c r="G3127" s="102"/>
      <c r="I3127" s="93"/>
      <c r="J3127" s="93"/>
    </row>
    <row r="3128" spans="1:10" s="65" customFormat="1" ht="14" x14ac:dyDescent="0.35">
      <c r="A3128" s="145"/>
      <c r="E3128" s="102"/>
      <c r="F3128" s="102"/>
      <c r="G3128" s="102"/>
      <c r="I3128" s="93"/>
      <c r="J3128" s="93"/>
    </row>
    <row r="3129" spans="1:10" s="65" customFormat="1" ht="14" x14ac:dyDescent="0.35">
      <c r="A3129" s="145"/>
      <c r="E3129" s="102"/>
      <c r="F3129" s="102"/>
      <c r="G3129" s="102"/>
      <c r="I3129" s="93"/>
      <c r="J3129" s="93"/>
    </row>
    <row r="3130" spans="1:10" s="65" customFormat="1" ht="14" x14ac:dyDescent="0.35">
      <c r="A3130" s="145"/>
      <c r="E3130" s="102"/>
      <c r="F3130" s="102"/>
      <c r="G3130" s="102"/>
      <c r="I3130" s="93"/>
      <c r="J3130" s="93"/>
    </row>
    <row r="3131" spans="1:10" s="65" customFormat="1" ht="14" x14ac:dyDescent="0.35">
      <c r="A3131" s="145"/>
      <c r="E3131" s="102"/>
      <c r="F3131" s="102"/>
      <c r="G3131" s="102"/>
      <c r="I3131" s="93"/>
      <c r="J3131" s="93"/>
    </row>
    <row r="3132" spans="1:10" s="65" customFormat="1" ht="14" x14ac:dyDescent="0.35">
      <c r="A3132" s="145"/>
      <c r="E3132" s="102"/>
      <c r="F3132" s="102"/>
      <c r="G3132" s="102"/>
      <c r="I3132" s="93"/>
      <c r="J3132" s="93"/>
    </row>
    <row r="3133" spans="1:10" s="65" customFormat="1" ht="14" x14ac:dyDescent="0.35">
      <c r="A3133" s="145"/>
      <c r="E3133" s="102"/>
      <c r="F3133" s="102"/>
      <c r="G3133" s="102"/>
      <c r="I3133" s="93"/>
      <c r="J3133" s="93"/>
    </row>
    <row r="3134" spans="1:10" s="65" customFormat="1" ht="14" x14ac:dyDescent="0.35">
      <c r="A3134" s="145"/>
      <c r="E3134" s="102"/>
      <c r="F3134" s="102"/>
      <c r="G3134" s="102"/>
      <c r="I3134" s="93"/>
      <c r="J3134" s="93"/>
    </row>
    <row r="3135" spans="1:10" s="65" customFormat="1" ht="14" x14ac:dyDescent="0.35">
      <c r="A3135" s="145"/>
      <c r="E3135" s="102"/>
      <c r="F3135" s="102"/>
      <c r="G3135" s="102"/>
      <c r="I3135" s="93"/>
      <c r="J3135" s="93"/>
    </row>
    <row r="3136" spans="1:10" s="65" customFormat="1" ht="14" x14ac:dyDescent="0.35">
      <c r="A3136" s="145"/>
      <c r="E3136" s="102"/>
      <c r="F3136" s="102"/>
      <c r="G3136" s="102"/>
      <c r="I3136" s="93"/>
      <c r="J3136" s="93"/>
    </row>
    <row r="3137" spans="1:10" s="65" customFormat="1" ht="14" x14ac:dyDescent="0.35">
      <c r="A3137" s="145"/>
      <c r="E3137" s="102"/>
      <c r="F3137" s="102"/>
      <c r="G3137" s="102"/>
      <c r="I3137" s="93"/>
      <c r="J3137" s="93"/>
    </row>
    <row r="3138" spans="1:10" s="65" customFormat="1" ht="14" x14ac:dyDescent="0.35">
      <c r="A3138" s="145"/>
      <c r="E3138" s="102"/>
      <c r="F3138" s="102"/>
      <c r="G3138" s="102"/>
      <c r="I3138" s="93"/>
      <c r="J3138" s="93"/>
    </row>
    <row r="3139" spans="1:10" s="65" customFormat="1" ht="14" x14ac:dyDescent="0.35">
      <c r="A3139" s="145"/>
      <c r="E3139" s="102"/>
      <c r="F3139" s="102"/>
      <c r="G3139" s="102"/>
      <c r="I3139" s="93"/>
      <c r="J3139" s="93"/>
    </row>
    <row r="3140" spans="1:10" s="65" customFormat="1" ht="14" x14ac:dyDescent="0.35">
      <c r="A3140" s="145"/>
      <c r="E3140" s="102"/>
      <c r="F3140" s="102"/>
      <c r="G3140" s="102"/>
      <c r="I3140" s="93"/>
      <c r="J3140" s="93"/>
    </row>
    <row r="3141" spans="1:10" s="65" customFormat="1" ht="14" x14ac:dyDescent="0.35">
      <c r="A3141" s="145"/>
      <c r="E3141" s="102"/>
      <c r="F3141" s="102"/>
      <c r="G3141" s="102"/>
      <c r="I3141" s="93"/>
      <c r="J3141" s="93"/>
    </row>
    <row r="3142" spans="1:10" s="65" customFormat="1" ht="14" x14ac:dyDescent="0.35">
      <c r="A3142" s="145"/>
      <c r="E3142" s="102"/>
      <c r="F3142" s="102"/>
      <c r="G3142" s="102"/>
      <c r="I3142" s="93"/>
      <c r="J3142" s="93"/>
    </row>
    <row r="3143" spans="1:10" s="65" customFormat="1" ht="14" x14ac:dyDescent="0.35">
      <c r="A3143" s="145"/>
      <c r="E3143" s="102"/>
      <c r="F3143" s="102"/>
      <c r="G3143" s="102"/>
      <c r="I3143" s="93"/>
      <c r="J3143" s="93"/>
    </row>
    <row r="3144" spans="1:10" s="65" customFormat="1" ht="14" x14ac:dyDescent="0.35">
      <c r="A3144" s="145"/>
      <c r="E3144" s="102"/>
      <c r="F3144" s="102"/>
      <c r="G3144" s="102"/>
      <c r="I3144" s="93"/>
      <c r="J3144" s="93"/>
    </row>
    <row r="3145" spans="1:10" s="65" customFormat="1" ht="14" x14ac:dyDescent="0.35">
      <c r="A3145" s="145"/>
      <c r="E3145" s="102"/>
      <c r="F3145" s="102"/>
      <c r="G3145" s="102"/>
      <c r="I3145" s="93"/>
      <c r="J3145" s="93"/>
    </row>
    <row r="3146" spans="1:10" s="65" customFormat="1" ht="14" x14ac:dyDescent="0.35">
      <c r="A3146" s="145"/>
      <c r="E3146" s="102"/>
      <c r="F3146" s="102"/>
      <c r="G3146" s="102"/>
      <c r="I3146" s="93"/>
      <c r="J3146" s="93"/>
    </row>
    <row r="3147" spans="1:10" s="65" customFormat="1" ht="14" x14ac:dyDescent="0.35">
      <c r="A3147" s="145"/>
      <c r="E3147" s="102"/>
      <c r="F3147" s="102"/>
      <c r="G3147" s="102"/>
      <c r="I3147" s="93"/>
      <c r="J3147" s="93"/>
    </row>
    <row r="3148" spans="1:10" s="65" customFormat="1" ht="14" x14ac:dyDescent="0.35">
      <c r="A3148" s="145"/>
      <c r="E3148" s="102"/>
      <c r="F3148" s="102"/>
      <c r="G3148" s="102"/>
      <c r="I3148" s="93"/>
      <c r="J3148" s="93"/>
    </row>
    <row r="3149" spans="1:10" s="65" customFormat="1" ht="14" x14ac:dyDescent="0.35">
      <c r="A3149" s="145"/>
      <c r="E3149" s="102"/>
      <c r="F3149" s="102"/>
      <c r="G3149" s="102"/>
      <c r="I3149" s="93"/>
      <c r="J3149" s="93"/>
    </row>
    <row r="3150" spans="1:10" s="65" customFormat="1" ht="14" x14ac:dyDescent="0.35">
      <c r="A3150" s="145"/>
      <c r="E3150" s="102"/>
      <c r="F3150" s="102"/>
      <c r="G3150" s="102"/>
      <c r="I3150" s="93"/>
      <c r="J3150" s="93"/>
    </row>
    <row r="3151" spans="1:10" s="65" customFormat="1" ht="14" x14ac:dyDescent="0.35">
      <c r="A3151" s="145"/>
      <c r="E3151" s="102"/>
      <c r="F3151" s="102"/>
      <c r="G3151" s="102"/>
      <c r="I3151" s="93"/>
      <c r="J3151" s="93"/>
    </row>
    <row r="3152" spans="1:10" s="65" customFormat="1" ht="14" x14ac:dyDescent="0.35">
      <c r="A3152" s="145"/>
      <c r="E3152" s="102"/>
      <c r="F3152" s="102"/>
      <c r="G3152" s="102"/>
      <c r="I3152" s="93"/>
      <c r="J3152" s="93"/>
    </row>
    <row r="3153" spans="1:10" s="65" customFormat="1" ht="14" x14ac:dyDescent="0.35">
      <c r="A3153" s="145"/>
      <c r="E3153" s="102"/>
      <c r="F3153" s="102"/>
      <c r="G3153" s="102"/>
      <c r="I3153" s="93"/>
      <c r="J3153" s="93"/>
    </row>
    <row r="3154" spans="1:10" s="65" customFormat="1" ht="14" x14ac:dyDescent="0.35">
      <c r="A3154" s="145"/>
      <c r="E3154" s="102"/>
      <c r="F3154" s="102"/>
      <c r="G3154" s="102"/>
      <c r="I3154" s="93"/>
      <c r="J3154" s="93"/>
    </row>
    <row r="3155" spans="1:10" s="65" customFormat="1" ht="14" x14ac:dyDescent="0.35">
      <c r="A3155" s="145"/>
      <c r="E3155" s="102"/>
      <c r="F3155" s="102"/>
      <c r="G3155" s="102"/>
      <c r="I3155" s="93"/>
      <c r="J3155" s="93"/>
    </row>
    <row r="3156" spans="1:10" s="65" customFormat="1" ht="14" x14ac:dyDescent="0.35">
      <c r="A3156" s="145"/>
      <c r="E3156" s="102"/>
      <c r="F3156" s="102"/>
      <c r="G3156" s="102"/>
      <c r="I3156" s="93"/>
      <c r="J3156" s="93"/>
    </row>
    <row r="3157" spans="1:10" s="65" customFormat="1" ht="14" x14ac:dyDescent="0.35">
      <c r="A3157" s="145"/>
      <c r="E3157" s="102"/>
      <c r="F3157" s="102"/>
      <c r="G3157" s="102"/>
      <c r="I3157" s="93"/>
      <c r="J3157" s="93"/>
    </row>
    <row r="3158" spans="1:10" s="65" customFormat="1" ht="14" x14ac:dyDescent="0.35">
      <c r="A3158" s="145"/>
      <c r="E3158" s="102"/>
      <c r="F3158" s="102"/>
      <c r="G3158" s="102"/>
      <c r="I3158" s="93"/>
      <c r="J3158" s="93"/>
    </row>
    <row r="3159" spans="1:10" s="65" customFormat="1" ht="14" x14ac:dyDescent="0.35">
      <c r="A3159" s="145"/>
      <c r="E3159" s="102"/>
      <c r="F3159" s="102"/>
      <c r="G3159" s="102"/>
      <c r="I3159" s="93"/>
      <c r="J3159" s="93"/>
    </row>
    <row r="3160" spans="1:10" s="65" customFormat="1" ht="14" x14ac:dyDescent="0.35">
      <c r="A3160" s="145"/>
      <c r="E3160" s="102"/>
      <c r="F3160" s="102"/>
      <c r="G3160" s="102"/>
      <c r="I3160" s="93"/>
      <c r="J3160" s="93"/>
    </row>
    <row r="3161" spans="1:10" s="65" customFormat="1" ht="14" x14ac:dyDescent="0.35">
      <c r="A3161" s="145"/>
      <c r="E3161" s="102"/>
      <c r="F3161" s="102"/>
      <c r="G3161" s="102"/>
      <c r="I3161" s="93"/>
      <c r="J3161" s="93"/>
    </row>
    <row r="3162" spans="1:10" s="65" customFormat="1" ht="14" x14ac:dyDescent="0.35">
      <c r="A3162" s="145"/>
      <c r="E3162" s="102"/>
      <c r="F3162" s="102"/>
      <c r="G3162" s="102"/>
      <c r="I3162" s="93"/>
      <c r="J3162" s="93"/>
    </row>
    <row r="3163" spans="1:10" s="65" customFormat="1" ht="14" x14ac:dyDescent="0.35">
      <c r="A3163" s="145"/>
      <c r="E3163" s="102"/>
      <c r="F3163" s="102"/>
      <c r="G3163" s="102"/>
      <c r="I3163" s="93"/>
      <c r="J3163" s="93"/>
    </row>
    <row r="3164" spans="1:10" s="65" customFormat="1" ht="14" x14ac:dyDescent="0.35">
      <c r="A3164" s="145"/>
      <c r="E3164" s="102"/>
      <c r="F3164" s="102"/>
      <c r="G3164" s="102"/>
      <c r="I3164" s="93"/>
      <c r="J3164" s="93"/>
    </row>
    <row r="3165" spans="1:10" s="65" customFormat="1" ht="14" x14ac:dyDescent="0.35">
      <c r="A3165" s="145"/>
      <c r="E3165" s="102"/>
      <c r="F3165" s="102"/>
      <c r="G3165" s="102"/>
      <c r="I3165" s="93"/>
      <c r="J3165" s="93"/>
    </row>
    <row r="3166" spans="1:10" s="65" customFormat="1" ht="14" x14ac:dyDescent="0.35">
      <c r="A3166" s="145"/>
      <c r="E3166" s="102"/>
      <c r="F3166" s="102"/>
      <c r="G3166" s="102"/>
      <c r="I3166" s="93"/>
      <c r="J3166" s="93"/>
    </row>
    <row r="3167" spans="1:10" s="65" customFormat="1" ht="14" x14ac:dyDescent="0.35">
      <c r="A3167" s="145"/>
      <c r="E3167" s="102"/>
      <c r="F3167" s="102"/>
      <c r="G3167" s="102"/>
      <c r="I3167" s="93"/>
      <c r="J3167" s="93"/>
    </row>
    <row r="3168" spans="1:10" s="65" customFormat="1" ht="14" x14ac:dyDescent="0.35">
      <c r="A3168" s="145"/>
      <c r="E3168" s="102"/>
      <c r="F3168" s="102"/>
      <c r="G3168" s="102"/>
      <c r="I3168" s="93"/>
      <c r="J3168" s="93"/>
    </row>
    <row r="3169" spans="1:10" s="65" customFormat="1" ht="14" x14ac:dyDescent="0.35">
      <c r="A3169" s="145"/>
      <c r="E3169" s="102"/>
      <c r="F3169" s="102"/>
      <c r="G3169" s="102"/>
      <c r="I3169" s="93"/>
      <c r="J3169" s="93"/>
    </row>
    <row r="3170" spans="1:10" s="65" customFormat="1" ht="14" x14ac:dyDescent="0.35">
      <c r="A3170" s="145"/>
      <c r="E3170" s="102"/>
      <c r="F3170" s="102"/>
      <c r="G3170" s="102"/>
      <c r="I3170" s="93"/>
      <c r="J3170" s="93"/>
    </row>
    <row r="3171" spans="1:10" s="65" customFormat="1" ht="14" x14ac:dyDescent="0.35">
      <c r="A3171" s="145"/>
      <c r="E3171" s="102"/>
      <c r="F3171" s="102"/>
      <c r="G3171" s="102"/>
      <c r="I3171" s="93"/>
      <c r="J3171" s="93"/>
    </row>
    <row r="3172" spans="1:10" s="65" customFormat="1" ht="14" x14ac:dyDescent="0.35">
      <c r="A3172" s="145"/>
      <c r="E3172" s="102"/>
      <c r="F3172" s="102"/>
      <c r="G3172" s="102"/>
      <c r="I3172" s="93"/>
      <c r="J3172" s="93"/>
    </row>
    <row r="3173" spans="1:10" s="65" customFormat="1" ht="14" x14ac:dyDescent="0.35">
      <c r="A3173" s="145"/>
      <c r="E3173" s="102"/>
      <c r="F3173" s="102"/>
      <c r="G3173" s="102"/>
      <c r="I3173" s="93"/>
      <c r="J3173" s="93"/>
    </row>
    <row r="3174" spans="1:10" s="65" customFormat="1" ht="14" x14ac:dyDescent="0.35">
      <c r="A3174" s="145"/>
      <c r="E3174" s="102"/>
      <c r="F3174" s="102"/>
      <c r="G3174" s="102"/>
      <c r="I3174" s="93"/>
      <c r="J3174" s="93"/>
    </row>
    <row r="3175" spans="1:10" s="65" customFormat="1" ht="14" x14ac:dyDescent="0.35">
      <c r="A3175" s="145"/>
      <c r="E3175" s="102"/>
      <c r="F3175" s="102"/>
      <c r="G3175" s="102"/>
      <c r="I3175" s="93"/>
      <c r="J3175" s="93"/>
    </row>
    <row r="3176" spans="1:10" s="65" customFormat="1" ht="14" x14ac:dyDescent="0.35">
      <c r="A3176" s="145"/>
      <c r="E3176" s="102"/>
      <c r="F3176" s="102"/>
      <c r="G3176" s="102"/>
      <c r="I3176" s="93"/>
      <c r="J3176" s="93"/>
    </row>
    <row r="3177" spans="1:10" s="65" customFormat="1" ht="14" x14ac:dyDescent="0.35">
      <c r="A3177" s="145"/>
      <c r="E3177" s="102"/>
      <c r="F3177" s="102"/>
      <c r="G3177" s="102"/>
      <c r="I3177" s="93"/>
      <c r="J3177" s="93"/>
    </row>
    <row r="3178" spans="1:10" s="65" customFormat="1" ht="14" x14ac:dyDescent="0.35">
      <c r="A3178" s="145"/>
      <c r="E3178" s="102"/>
      <c r="F3178" s="102"/>
      <c r="G3178" s="102"/>
      <c r="I3178" s="93"/>
      <c r="J3178" s="93"/>
    </row>
    <row r="3179" spans="1:10" s="65" customFormat="1" ht="14" x14ac:dyDescent="0.35">
      <c r="A3179" s="145"/>
      <c r="E3179" s="102"/>
      <c r="F3179" s="102"/>
      <c r="G3179" s="102"/>
      <c r="I3179" s="93"/>
      <c r="J3179" s="93"/>
    </row>
    <row r="3180" spans="1:10" s="65" customFormat="1" ht="14" x14ac:dyDescent="0.35">
      <c r="A3180" s="145"/>
      <c r="E3180" s="102"/>
      <c r="F3180" s="102"/>
      <c r="G3180" s="102"/>
      <c r="I3180" s="93"/>
      <c r="J3180" s="93"/>
    </row>
    <row r="3181" spans="1:10" s="65" customFormat="1" ht="14" x14ac:dyDescent="0.35">
      <c r="A3181" s="145"/>
      <c r="E3181" s="102"/>
      <c r="F3181" s="102"/>
      <c r="G3181" s="102"/>
      <c r="I3181" s="93"/>
      <c r="J3181" s="93"/>
    </row>
    <row r="3182" spans="1:10" s="65" customFormat="1" ht="14" x14ac:dyDescent="0.35">
      <c r="A3182" s="145"/>
      <c r="E3182" s="102"/>
      <c r="F3182" s="102"/>
      <c r="G3182" s="102"/>
      <c r="I3182" s="93"/>
      <c r="J3182" s="93"/>
    </row>
    <row r="3183" spans="1:10" s="65" customFormat="1" ht="14" x14ac:dyDescent="0.35">
      <c r="A3183" s="145"/>
      <c r="E3183" s="102"/>
      <c r="F3183" s="102"/>
      <c r="G3183" s="102"/>
      <c r="I3183" s="93"/>
      <c r="J3183" s="93"/>
    </row>
    <row r="3184" spans="1:10" s="65" customFormat="1" ht="14" x14ac:dyDescent="0.35">
      <c r="A3184" s="145"/>
      <c r="E3184" s="102"/>
      <c r="F3184" s="102"/>
      <c r="G3184" s="102"/>
      <c r="I3184" s="93"/>
      <c r="J3184" s="93"/>
    </row>
    <row r="3185" spans="1:10" s="65" customFormat="1" ht="14" x14ac:dyDescent="0.35">
      <c r="A3185" s="145"/>
      <c r="E3185" s="102"/>
      <c r="F3185" s="102"/>
      <c r="G3185" s="102"/>
      <c r="I3185" s="93"/>
      <c r="J3185" s="93"/>
    </row>
    <row r="3186" spans="1:10" s="65" customFormat="1" ht="14" x14ac:dyDescent="0.35">
      <c r="A3186" s="145"/>
      <c r="E3186" s="102"/>
      <c r="F3186" s="102"/>
      <c r="G3186" s="102"/>
      <c r="I3186" s="93"/>
      <c r="J3186" s="93"/>
    </row>
    <row r="3187" spans="1:10" s="65" customFormat="1" ht="14" x14ac:dyDescent="0.35">
      <c r="A3187" s="145"/>
      <c r="E3187" s="102"/>
      <c r="F3187" s="102"/>
      <c r="G3187" s="102"/>
      <c r="I3187" s="93"/>
      <c r="J3187" s="93"/>
    </row>
    <row r="3188" spans="1:10" s="65" customFormat="1" ht="14" x14ac:dyDescent="0.35">
      <c r="A3188" s="145"/>
      <c r="E3188" s="102"/>
      <c r="F3188" s="102"/>
      <c r="G3188" s="102"/>
      <c r="I3188" s="93"/>
      <c r="J3188" s="93"/>
    </row>
    <row r="3189" spans="1:10" s="65" customFormat="1" ht="14" x14ac:dyDescent="0.35">
      <c r="A3189" s="145"/>
      <c r="E3189" s="102"/>
      <c r="F3189" s="102"/>
      <c r="G3189" s="102"/>
      <c r="I3189" s="93"/>
      <c r="J3189" s="93"/>
    </row>
    <row r="3190" spans="1:10" s="65" customFormat="1" ht="14" x14ac:dyDescent="0.35">
      <c r="A3190" s="145"/>
      <c r="E3190" s="102"/>
      <c r="F3190" s="102"/>
      <c r="G3190" s="102"/>
      <c r="I3190" s="93"/>
      <c r="J3190" s="93"/>
    </row>
    <row r="3191" spans="1:10" s="65" customFormat="1" ht="14" x14ac:dyDescent="0.35">
      <c r="A3191" s="145"/>
      <c r="E3191" s="102"/>
      <c r="F3191" s="102"/>
      <c r="G3191" s="102"/>
      <c r="I3191" s="93"/>
      <c r="J3191" s="93"/>
    </row>
    <row r="3192" spans="1:10" s="65" customFormat="1" ht="14" x14ac:dyDescent="0.35">
      <c r="A3192" s="145"/>
      <c r="E3192" s="102"/>
      <c r="F3192" s="102"/>
      <c r="G3192" s="102"/>
      <c r="I3192" s="93"/>
      <c r="J3192" s="93"/>
    </row>
    <row r="3193" spans="1:10" s="65" customFormat="1" ht="14" x14ac:dyDescent="0.35">
      <c r="A3193" s="145"/>
      <c r="E3193" s="102"/>
      <c r="F3193" s="102"/>
      <c r="G3193" s="102"/>
      <c r="I3193" s="93"/>
      <c r="J3193" s="93"/>
    </row>
    <row r="3194" spans="1:10" s="65" customFormat="1" ht="14" x14ac:dyDescent="0.35">
      <c r="A3194" s="145"/>
      <c r="E3194" s="102"/>
      <c r="F3194" s="102"/>
      <c r="G3194" s="102"/>
      <c r="I3194" s="93"/>
      <c r="J3194" s="93"/>
    </row>
    <row r="3195" spans="1:10" s="65" customFormat="1" ht="14" x14ac:dyDescent="0.35">
      <c r="A3195" s="145"/>
      <c r="E3195" s="102"/>
      <c r="F3195" s="102"/>
      <c r="G3195" s="102"/>
      <c r="I3195" s="93"/>
      <c r="J3195" s="93"/>
    </row>
    <row r="3196" spans="1:10" s="65" customFormat="1" ht="14" x14ac:dyDescent="0.35">
      <c r="A3196" s="145"/>
      <c r="E3196" s="102"/>
      <c r="F3196" s="102"/>
      <c r="G3196" s="102"/>
      <c r="I3196" s="93"/>
      <c r="J3196" s="93"/>
    </row>
    <row r="3197" spans="1:10" s="65" customFormat="1" ht="14" x14ac:dyDescent="0.35">
      <c r="A3197" s="145"/>
      <c r="E3197" s="102"/>
      <c r="F3197" s="102"/>
      <c r="G3197" s="102"/>
      <c r="I3197" s="93"/>
      <c r="J3197" s="93"/>
    </row>
    <row r="3198" spans="1:10" s="65" customFormat="1" ht="14" x14ac:dyDescent="0.35">
      <c r="A3198" s="145"/>
      <c r="E3198" s="102"/>
      <c r="F3198" s="102"/>
      <c r="G3198" s="102"/>
      <c r="I3198" s="93"/>
      <c r="J3198" s="93"/>
    </row>
    <row r="3199" spans="1:10" s="65" customFormat="1" ht="14" x14ac:dyDescent="0.35">
      <c r="A3199" s="145"/>
      <c r="E3199" s="102"/>
      <c r="F3199" s="102"/>
      <c r="G3199" s="102"/>
      <c r="I3199" s="93"/>
      <c r="J3199" s="93"/>
    </row>
    <row r="3200" spans="1:10" s="65" customFormat="1" ht="14" x14ac:dyDescent="0.35">
      <c r="A3200" s="145"/>
      <c r="E3200" s="102"/>
      <c r="F3200" s="102"/>
      <c r="G3200" s="102"/>
      <c r="I3200" s="93"/>
      <c r="J3200" s="93"/>
    </row>
    <row r="3201" spans="1:10" s="65" customFormat="1" ht="14" x14ac:dyDescent="0.35">
      <c r="A3201" s="145"/>
      <c r="E3201" s="102"/>
      <c r="F3201" s="102"/>
      <c r="G3201" s="102"/>
      <c r="I3201" s="93"/>
      <c r="J3201" s="93"/>
    </row>
    <row r="3202" spans="1:10" s="65" customFormat="1" ht="14" x14ac:dyDescent="0.35">
      <c r="A3202" s="145"/>
      <c r="E3202" s="102"/>
      <c r="F3202" s="102"/>
      <c r="G3202" s="102"/>
      <c r="I3202" s="93"/>
      <c r="J3202" s="93"/>
    </row>
    <row r="3203" spans="1:10" s="65" customFormat="1" ht="14" x14ac:dyDescent="0.35">
      <c r="A3203" s="145"/>
      <c r="E3203" s="102"/>
      <c r="F3203" s="102"/>
      <c r="G3203" s="102"/>
      <c r="I3203" s="93"/>
      <c r="J3203" s="93"/>
    </row>
    <row r="3204" spans="1:10" s="65" customFormat="1" ht="14" x14ac:dyDescent="0.35">
      <c r="A3204" s="145"/>
      <c r="E3204" s="102"/>
      <c r="F3204" s="102"/>
      <c r="G3204" s="102"/>
      <c r="I3204" s="93"/>
      <c r="J3204" s="93"/>
    </row>
    <row r="3205" spans="1:10" s="65" customFormat="1" ht="14" x14ac:dyDescent="0.35">
      <c r="A3205" s="145"/>
      <c r="E3205" s="102"/>
      <c r="F3205" s="102"/>
      <c r="G3205" s="102"/>
      <c r="I3205" s="93"/>
      <c r="J3205" s="93"/>
    </row>
    <row r="3206" spans="1:10" s="65" customFormat="1" ht="14" x14ac:dyDescent="0.35">
      <c r="A3206" s="145"/>
      <c r="E3206" s="102"/>
      <c r="F3206" s="102"/>
      <c r="G3206" s="102"/>
      <c r="I3206" s="93"/>
      <c r="J3206" s="93"/>
    </row>
    <row r="3207" spans="1:10" s="65" customFormat="1" ht="14" x14ac:dyDescent="0.35">
      <c r="A3207" s="145"/>
      <c r="E3207" s="102"/>
      <c r="F3207" s="102"/>
      <c r="G3207" s="102"/>
      <c r="I3207" s="93"/>
      <c r="J3207" s="93"/>
    </row>
    <row r="3208" spans="1:10" s="65" customFormat="1" ht="14" x14ac:dyDescent="0.35">
      <c r="A3208" s="145"/>
      <c r="E3208" s="102"/>
      <c r="F3208" s="102"/>
      <c r="G3208" s="102"/>
      <c r="I3208" s="93"/>
      <c r="J3208" s="93"/>
    </row>
    <row r="3209" spans="1:10" s="65" customFormat="1" ht="14" x14ac:dyDescent="0.35">
      <c r="A3209" s="145"/>
      <c r="E3209" s="102"/>
      <c r="F3209" s="102"/>
      <c r="G3209" s="102"/>
      <c r="I3209" s="93"/>
      <c r="J3209" s="93"/>
    </row>
    <row r="3210" spans="1:10" s="65" customFormat="1" ht="14" x14ac:dyDescent="0.35">
      <c r="A3210" s="145"/>
      <c r="E3210" s="102"/>
      <c r="F3210" s="102"/>
      <c r="G3210" s="102"/>
      <c r="I3210" s="93"/>
      <c r="J3210" s="93"/>
    </row>
    <row r="3211" spans="1:10" s="65" customFormat="1" ht="14" x14ac:dyDescent="0.35">
      <c r="A3211" s="145"/>
      <c r="E3211" s="102"/>
      <c r="F3211" s="102"/>
      <c r="G3211" s="102"/>
      <c r="I3211" s="93"/>
      <c r="J3211" s="93"/>
    </row>
    <row r="3212" spans="1:10" s="65" customFormat="1" ht="14" x14ac:dyDescent="0.35">
      <c r="A3212" s="145"/>
      <c r="E3212" s="102"/>
      <c r="F3212" s="102"/>
      <c r="G3212" s="102"/>
      <c r="I3212" s="93"/>
      <c r="J3212" s="93"/>
    </row>
    <row r="3213" spans="1:10" s="65" customFormat="1" ht="14" x14ac:dyDescent="0.35">
      <c r="A3213" s="145"/>
      <c r="E3213" s="102"/>
      <c r="F3213" s="102"/>
      <c r="G3213" s="102"/>
      <c r="I3213" s="93"/>
      <c r="J3213" s="93"/>
    </row>
    <row r="3214" spans="1:10" s="65" customFormat="1" ht="14" x14ac:dyDescent="0.35">
      <c r="A3214" s="145"/>
      <c r="E3214" s="102"/>
      <c r="F3214" s="102"/>
      <c r="G3214" s="102"/>
      <c r="I3214" s="93"/>
      <c r="J3214" s="93"/>
    </row>
    <row r="3215" spans="1:10" s="65" customFormat="1" ht="14" x14ac:dyDescent="0.35">
      <c r="A3215" s="145"/>
      <c r="E3215" s="102"/>
      <c r="F3215" s="102"/>
      <c r="G3215" s="102"/>
      <c r="I3215" s="93"/>
      <c r="J3215" s="93"/>
    </row>
    <row r="3216" spans="1:10" s="65" customFormat="1" ht="14" x14ac:dyDescent="0.35">
      <c r="A3216" s="145"/>
      <c r="E3216" s="102"/>
      <c r="F3216" s="102"/>
      <c r="G3216" s="102"/>
      <c r="I3216" s="93"/>
      <c r="J3216" s="93"/>
    </row>
    <row r="3217" spans="1:10" s="65" customFormat="1" ht="14" x14ac:dyDescent="0.35">
      <c r="A3217" s="145"/>
      <c r="E3217" s="102"/>
      <c r="F3217" s="102"/>
      <c r="G3217" s="102"/>
      <c r="I3217" s="93"/>
      <c r="J3217" s="93"/>
    </row>
    <row r="3218" spans="1:10" s="65" customFormat="1" ht="14" x14ac:dyDescent="0.35">
      <c r="A3218" s="145"/>
      <c r="E3218" s="102"/>
      <c r="F3218" s="102"/>
      <c r="G3218" s="102"/>
      <c r="I3218" s="93"/>
      <c r="J3218" s="93"/>
    </row>
    <row r="3219" spans="1:10" s="65" customFormat="1" ht="14" x14ac:dyDescent="0.35">
      <c r="A3219" s="145"/>
      <c r="E3219" s="102"/>
      <c r="F3219" s="102"/>
      <c r="G3219" s="102"/>
      <c r="I3219" s="93"/>
      <c r="J3219" s="93"/>
    </row>
    <row r="3220" spans="1:10" s="65" customFormat="1" ht="14" x14ac:dyDescent="0.35">
      <c r="A3220" s="145"/>
      <c r="E3220" s="102"/>
      <c r="F3220" s="102"/>
      <c r="G3220" s="102"/>
      <c r="I3220" s="93"/>
      <c r="J3220" s="93"/>
    </row>
    <row r="3221" spans="1:10" s="65" customFormat="1" ht="14" x14ac:dyDescent="0.35">
      <c r="A3221" s="145"/>
      <c r="E3221" s="102"/>
      <c r="F3221" s="102"/>
      <c r="G3221" s="102"/>
      <c r="I3221" s="93"/>
      <c r="J3221" s="93"/>
    </row>
    <row r="3222" spans="1:10" s="65" customFormat="1" ht="14" x14ac:dyDescent="0.35">
      <c r="A3222" s="145"/>
      <c r="E3222" s="102"/>
      <c r="F3222" s="102"/>
      <c r="G3222" s="102"/>
      <c r="I3222" s="93"/>
      <c r="J3222" s="93"/>
    </row>
    <row r="3223" spans="1:10" s="65" customFormat="1" ht="14" x14ac:dyDescent="0.35">
      <c r="A3223" s="145"/>
      <c r="E3223" s="102"/>
      <c r="F3223" s="102"/>
      <c r="G3223" s="102"/>
      <c r="I3223" s="93"/>
      <c r="J3223" s="93"/>
    </row>
    <row r="3224" spans="1:10" s="65" customFormat="1" ht="14" x14ac:dyDescent="0.35">
      <c r="A3224" s="145"/>
      <c r="E3224" s="102"/>
      <c r="F3224" s="102"/>
      <c r="G3224" s="102"/>
      <c r="I3224" s="93"/>
      <c r="J3224" s="93"/>
    </row>
    <row r="3225" spans="1:10" s="65" customFormat="1" ht="14" x14ac:dyDescent="0.35">
      <c r="A3225" s="145"/>
      <c r="E3225" s="102"/>
      <c r="F3225" s="102"/>
      <c r="G3225" s="102"/>
      <c r="I3225" s="93"/>
      <c r="J3225" s="93"/>
    </row>
    <row r="3226" spans="1:10" s="65" customFormat="1" ht="14" x14ac:dyDescent="0.35">
      <c r="A3226" s="145"/>
      <c r="E3226" s="102"/>
      <c r="F3226" s="102"/>
      <c r="G3226" s="102"/>
      <c r="I3226" s="93"/>
      <c r="J3226" s="93"/>
    </row>
    <row r="3227" spans="1:10" s="65" customFormat="1" ht="14" x14ac:dyDescent="0.35">
      <c r="A3227" s="145"/>
      <c r="E3227" s="102"/>
      <c r="F3227" s="102"/>
      <c r="G3227" s="102"/>
      <c r="I3227" s="93"/>
      <c r="J3227" s="93"/>
    </row>
    <row r="3228" spans="1:10" s="65" customFormat="1" ht="14" x14ac:dyDescent="0.35">
      <c r="A3228" s="145"/>
      <c r="E3228" s="102"/>
      <c r="F3228" s="102"/>
      <c r="G3228" s="102"/>
      <c r="I3228" s="93"/>
      <c r="J3228" s="93"/>
    </row>
    <row r="3229" spans="1:10" s="65" customFormat="1" ht="14" x14ac:dyDescent="0.35">
      <c r="A3229" s="145"/>
      <c r="E3229" s="102"/>
      <c r="F3229" s="102"/>
      <c r="G3229" s="102"/>
      <c r="I3229" s="93"/>
      <c r="J3229" s="93"/>
    </row>
    <row r="3230" spans="1:10" s="65" customFormat="1" ht="14" x14ac:dyDescent="0.35">
      <c r="A3230" s="145"/>
      <c r="E3230" s="102"/>
      <c r="F3230" s="102"/>
      <c r="G3230" s="102"/>
      <c r="I3230" s="93"/>
      <c r="J3230" s="93"/>
    </row>
    <row r="3231" spans="1:10" s="65" customFormat="1" ht="14" x14ac:dyDescent="0.35">
      <c r="A3231" s="145"/>
      <c r="E3231" s="102"/>
      <c r="F3231" s="102"/>
      <c r="G3231" s="102"/>
      <c r="I3231" s="93"/>
      <c r="J3231" s="93"/>
    </row>
    <row r="3232" spans="1:10" s="65" customFormat="1" ht="14" x14ac:dyDescent="0.35">
      <c r="A3232" s="145"/>
      <c r="E3232" s="102"/>
      <c r="F3232" s="102"/>
      <c r="G3232" s="102"/>
      <c r="I3232" s="93"/>
      <c r="J3232" s="93"/>
    </row>
    <row r="3233" spans="1:10" s="65" customFormat="1" ht="14" x14ac:dyDescent="0.35">
      <c r="A3233" s="145"/>
      <c r="E3233" s="102"/>
      <c r="F3233" s="102"/>
      <c r="G3233" s="102"/>
      <c r="I3233" s="93"/>
      <c r="J3233" s="93"/>
    </row>
    <row r="3234" spans="1:10" s="65" customFormat="1" ht="14" x14ac:dyDescent="0.35">
      <c r="A3234" s="145"/>
      <c r="E3234" s="102"/>
      <c r="F3234" s="102"/>
      <c r="G3234" s="102"/>
      <c r="I3234" s="93"/>
      <c r="J3234" s="93"/>
    </row>
    <row r="3235" spans="1:10" s="65" customFormat="1" ht="14" x14ac:dyDescent="0.35">
      <c r="A3235" s="145"/>
      <c r="E3235" s="102"/>
      <c r="F3235" s="102"/>
      <c r="G3235" s="102"/>
      <c r="I3235" s="93"/>
      <c r="J3235" s="93"/>
    </row>
    <row r="3236" spans="1:10" s="65" customFormat="1" ht="14" x14ac:dyDescent="0.35">
      <c r="A3236" s="145"/>
      <c r="E3236" s="102"/>
      <c r="F3236" s="102"/>
      <c r="G3236" s="102"/>
      <c r="I3236" s="93"/>
      <c r="J3236" s="93"/>
    </row>
    <row r="3237" spans="1:10" s="65" customFormat="1" ht="14" x14ac:dyDescent="0.35">
      <c r="A3237" s="145"/>
      <c r="E3237" s="102"/>
      <c r="F3237" s="102"/>
      <c r="G3237" s="102"/>
      <c r="I3237" s="93"/>
      <c r="J3237" s="93"/>
    </row>
    <row r="3238" spans="1:10" s="65" customFormat="1" ht="14" x14ac:dyDescent="0.35">
      <c r="A3238" s="145"/>
      <c r="E3238" s="102"/>
      <c r="F3238" s="102"/>
      <c r="G3238" s="102"/>
      <c r="I3238" s="93"/>
      <c r="J3238" s="93"/>
    </row>
    <row r="3239" spans="1:10" s="65" customFormat="1" ht="14" x14ac:dyDescent="0.35">
      <c r="A3239" s="145"/>
      <c r="E3239" s="102"/>
      <c r="F3239" s="102"/>
      <c r="G3239" s="102"/>
      <c r="I3239" s="93"/>
      <c r="J3239" s="93"/>
    </row>
    <row r="3240" spans="1:10" s="65" customFormat="1" ht="14" x14ac:dyDescent="0.35">
      <c r="A3240" s="145"/>
      <c r="E3240" s="102"/>
      <c r="F3240" s="102"/>
      <c r="G3240" s="102"/>
      <c r="I3240" s="93"/>
      <c r="J3240" s="93"/>
    </row>
    <row r="3241" spans="1:10" s="65" customFormat="1" ht="14" x14ac:dyDescent="0.35">
      <c r="A3241" s="145"/>
      <c r="E3241" s="102"/>
      <c r="F3241" s="102"/>
      <c r="G3241" s="102"/>
      <c r="I3241" s="93"/>
      <c r="J3241" s="93"/>
    </row>
    <row r="3242" spans="1:10" s="65" customFormat="1" ht="14" x14ac:dyDescent="0.35">
      <c r="A3242" s="145"/>
      <c r="E3242" s="102"/>
      <c r="F3242" s="102"/>
      <c r="G3242" s="102"/>
      <c r="I3242" s="93"/>
      <c r="J3242" s="93"/>
    </row>
    <row r="3243" spans="1:10" s="65" customFormat="1" ht="14" x14ac:dyDescent="0.35">
      <c r="A3243" s="145"/>
      <c r="E3243" s="102"/>
      <c r="F3243" s="102"/>
      <c r="G3243" s="102"/>
      <c r="I3243" s="93"/>
      <c r="J3243" s="93"/>
    </row>
    <row r="3244" spans="1:10" s="65" customFormat="1" ht="14" x14ac:dyDescent="0.35">
      <c r="A3244" s="145"/>
      <c r="E3244" s="102"/>
      <c r="F3244" s="102"/>
      <c r="G3244" s="102"/>
      <c r="I3244" s="93"/>
      <c r="J3244" s="93"/>
    </row>
    <row r="3245" spans="1:10" s="65" customFormat="1" ht="14" x14ac:dyDescent="0.35">
      <c r="A3245" s="145"/>
      <c r="E3245" s="102"/>
      <c r="F3245" s="102"/>
      <c r="G3245" s="102"/>
      <c r="I3245" s="93"/>
      <c r="J3245" s="93"/>
    </row>
    <row r="3246" spans="1:10" s="65" customFormat="1" ht="14" x14ac:dyDescent="0.35">
      <c r="A3246" s="145"/>
      <c r="E3246" s="102"/>
      <c r="F3246" s="102"/>
      <c r="G3246" s="102"/>
      <c r="I3246" s="93"/>
      <c r="J3246" s="93"/>
    </row>
    <row r="3247" spans="1:10" s="65" customFormat="1" ht="14" x14ac:dyDescent="0.35">
      <c r="A3247" s="145"/>
      <c r="E3247" s="102"/>
      <c r="F3247" s="102"/>
      <c r="G3247" s="102"/>
      <c r="I3247" s="93"/>
      <c r="J3247" s="93"/>
    </row>
    <row r="3248" spans="1:10" s="65" customFormat="1" ht="14" x14ac:dyDescent="0.35">
      <c r="A3248" s="145"/>
      <c r="E3248" s="102"/>
      <c r="F3248" s="102"/>
      <c r="G3248" s="102"/>
      <c r="I3248" s="93"/>
      <c r="J3248" s="93"/>
    </row>
    <row r="3249" spans="1:10" s="65" customFormat="1" ht="14" x14ac:dyDescent="0.35">
      <c r="A3249" s="145"/>
      <c r="E3249" s="102"/>
      <c r="F3249" s="102"/>
      <c r="G3249" s="102"/>
      <c r="I3249" s="93"/>
      <c r="J3249" s="93"/>
    </row>
    <row r="3250" spans="1:10" s="65" customFormat="1" ht="14" x14ac:dyDescent="0.35">
      <c r="A3250" s="145"/>
      <c r="E3250" s="102"/>
      <c r="F3250" s="102"/>
      <c r="G3250" s="102"/>
      <c r="I3250" s="93"/>
      <c r="J3250" s="93"/>
    </row>
    <row r="3251" spans="1:10" s="65" customFormat="1" ht="14" x14ac:dyDescent="0.35">
      <c r="A3251" s="145"/>
      <c r="E3251" s="102"/>
      <c r="F3251" s="102"/>
      <c r="G3251" s="102"/>
      <c r="I3251" s="93"/>
      <c r="J3251" s="93"/>
    </row>
    <row r="3252" spans="1:10" s="65" customFormat="1" ht="14" x14ac:dyDescent="0.35">
      <c r="A3252" s="145"/>
      <c r="E3252" s="102"/>
      <c r="F3252" s="102"/>
      <c r="G3252" s="102"/>
      <c r="I3252" s="93"/>
      <c r="J3252" s="93"/>
    </row>
    <row r="3253" spans="1:10" s="65" customFormat="1" ht="14" x14ac:dyDescent="0.35">
      <c r="A3253" s="145"/>
      <c r="E3253" s="102"/>
      <c r="F3253" s="102"/>
      <c r="G3253" s="102"/>
      <c r="I3253" s="93"/>
      <c r="J3253" s="93"/>
    </row>
    <row r="3254" spans="1:10" s="65" customFormat="1" ht="14" x14ac:dyDescent="0.35">
      <c r="A3254" s="145"/>
      <c r="E3254" s="102"/>
      <c r="F3254" s="102"/>
      <c r="G3254" s="102"/>
      <c r="I3254" s="93"/>
      <c r="J3254" s="93"/>
    </row>
    <row r="3255" spans="1:10" s="65" customFormat="1" ht="14" x14ac:dyDescent="0.35">
      <c r="A3255" s="145"/>
      <c r="E3255" s="102"/>
      <c r="F3255" s="102"/>
      <c r="G3255" s="102"/>
      <c r="I3255" s="93"/>
      <c r="J3255" s="93"/>
    </row>
    <row r="3256" spans="1:10" s="65" customFormat="1" ht="14" x14ac:dyDescent="0.35">
      <c r="A3256" s="145"/>
      <c r="E3256" s="102"/>
      <c r="F3256" s="102"/>
      <c r="G3256" s="102"/>
      <c r="I3256" s="93"/>
      <c r="J3256" s="93"/>
    </row>
    <row r="3257" spans="1:10" s="65" customFormat="1" ht="14" x14ac:dyDescent="0.35">
      <c r="A3257" s="145"/>
      <c r="E3257" s="102"/>
      <c r="F3257" s="102"/>
      <c r="G3257" s="102"/>
      <c r="I3257" s="93"/>
      <c r="J3257" s="93"/>
    </row>
    <row r="3258" spans="1:10" s="65" customFormat="1" ht="14" x14ac:dyDescent="0.35">
      <c r="A3258" s="145"/>
      <c r="E3258" s="102"/>
      <c r="F3258" s="102"/>
      <c r="G3258" s="102"/>
      <c r="I3258" s="93"/>
      <c r="J3258" s="93"/>
    </row>
    <row r="3259" spans="1:10" s="65" customFormat="1" ht="14" x14ac:dyDescent="0.35">
      <c r="A3259" s="145"/>
      <c r="E3259" s="102"/>
      <c r="F3259" s="102"/>
      <c r="G3259" s="102"/>
      <c r="I3259" s="93"/>
      <c r="J3259" s="93"/>
    </row>
    <row r="3260" spans="1:10" s="65" customFormat="1" ht="14" x14ac:dyDescent="0.35">
      <c r="A3260" s="145"/>
      <c r="E3260" s="102"/>
      <c r="F3260" s="102"/>
      <c r="G3260" s="102"/>
      <c r="I3260" s="93"/>
      <c r="J3260" s="93"/>
    </row>
    <row r="3261" spans="1:10" s="65" customFormat="1" ht="14" x14ac:dyDescent="0.35">
      <c r="A3261" s="145"/>
      <c r="E3261" s="102"/>
      <c r="F3261" s="102"/>
      <c r="G3261" s="102"/>
      <c r="I3261" s="93"/>
      <c r="J3261" s="93"/>
    </row>
    <row r="3262" spans="1:10" s="65" customFormat="1" ht="14" x14ac:dyDescent="0.35">
      <c r="A3262" s="145"/>
      <c r="E3262" s="102"/>
      <c r="F3262" s="102"/>
      <c r="G3262" s="102"/>
      <c r="I3262" s="93"/>
      <c r="J3262" s="93"/>
    </row>
    <row r="3263" spans="1:10" s="65" customFormat="1" ht="14" x14ac:dyDescent="0.35">
      <c r="A3263" s="145"/>
      <c r="E3263" s="102"/>
      <c r="F3263" s="102"/>
      <c r="G3263" s="102"/>
      <c r="I3263" s="93"/>
      <c r="J3263" s="93"/>
    </row>
    <row r="3264" spans="1:10" s="65" customFormat="1" ht="14" x14ac:dyDescent="0.35">
      <c r="A3264" s="145"/>
      <c r="E3264" s="102"/>
      <c r="F3264" s="102"/>
      <c r="G3264" s="102"/>
      <c r="I3264" s="93"/>
      <c r="J3264" s="93"/>
    </row>
    <row r="3265" spans="1:10" s="65" customFormat="1" ht="14" x14ac:dyDescent="0.35">
      <c r="A3265" s="145"/>
      <c r="E3265" s="102"/>
      <c r="F3265" s="102"/>
      <c r="G3265" s="102"/>
      <c r="I3265" s="93"/>
      <c r="J3265" s="93"/>
    </row>
    <row r="3266" spans="1:10" s="65" customFormat="1" ht="14" x14ac:dyDescent="0.35">
      <c r="A3266" s="145"/>
      <c r="E3266" s="102"/>
      <c r="F3266" s="102"/>
      <c r="G3266" s="102"/>
      <c r="I3266" s="93"/>
      <c r="J3266" s="93"/>
    </row>
    <row r="3267" spans="1:10" s="65" customFormat="1" ht="14" x14ac:dyDescent="0.35">
      <c r="A3267" s="145"/>
      <c r="E3267" s="102"/>
      <c r="F3267" s="102"/>
      <c r="G3267" s="102"/>
      <c r="I3267" s="93"/>
      <c r="J3267" s="93"/>
    </row>
    <row r="3268" spans="1:10" s="65" customFormat="1" ht="14" x14ac:dyDescent="0.35">
      <c r="A3268" s="145"/>
      <c r="E3268" s="102"/>
      <c r="F3268" s="102"/>
      <c r="G3268" s="102"/>
      <c r="I3268" s="93"/>
      <c r="J3268" s="93"/>
    </row>
    <row r="3269" spans="1:10" s="65" customFormat="1" ht="14" x14ac:dyDescent="0.35">
      <c r="A3269" s="145"/>
      <c r="E3269" s="102"/>
      <c r="F3269" s="102"/>
      <c r="G3269" s="102"/>
      <c r="I3269" s="93"/>
      <c r="J3269" s="93"/>
    </row>
    <row r="3270" spans="1:10" s="65" customFormat="1" ht="14" x14ac:dyDescent="0.35">
      <c r="A3270" s="145"/>
      <c r="E3270" s="102"/>
      <c r="F3270" s="102"/>
      <c r="G3270" s="102"/>
      <c r="I3270" s="93"/>
      <c r="J3270" s="93"/>
    </row>
    <row r="3271" spans="1:10" s="65" customFormat="1" ht="14" x14ac:dyDescent="0.35">
      <c r="A3271" s="145"/>
      <c r="E3271" s="102"/>
      <c r="F3271" s="102"/>
      <c r="G3271" s="102"/>
      <c r="I3271" s="93"/>
      <c r="J3271" s="93"/>
    </row>
    <row r="3272" spans="1:10" s="65" customFormat="1" ht="14" x14ac:dyDescent="0.35">
      <c r="A3272" s="145"/>
      <c r="E3272" s="102"/>
      <c r="F3272" s="102"/>
      <c r="G3272" s="102"/>
      <c r="I3272" s="93"/>
      <c r="J3272" s="93"/>
    </row>
    <row r="3273" spans="1:10" s="65" customFormat="1" ht="14" x14ac:dyDescent="0.35">
      <c r="A3273" s="145"/>
      <c r="E3273" s="102"/>
      <c r="F3273" s="102"/>
      <c r="G3273" s="102"/>
      <c r="I3273" s="93"/>
      <c r="J3273" s="93"/>
    </row>
    <row r="3274" spans="1:10" s="65" customFormat="1" ht="14" x14ac:dyDescent="0.35">
      <c r="A3274" s="145"/>
      <c r="E3274" s="102"/>
      <c r="F3274" s="102"/>
      <c r="G3274" s="102"/>
      <c r="I3274" s="93"/>
      <c r="J3274" s="93"/>
    </row>
    <row r="3275" spans="1:10" s="65" customFormat="1" ht="14" x14ac:dyDescent="0.35">
      <c r="A3275" s="145"/>
      <c r="E3275" s="102"/>
      <c r="F3275" s="102"/>
      <c r="G3275" s="102"/>
      <c r="I3275" s="93"/>
      <c r="J3275" s="93"/>
    </row>
    <row r="3276" spans="1:10" s="65" customFormat="1" ht="14" x14ac:dyDescent="0.35">
      <c r="A3276" s="145"/>
      <c r="E3276" s="102"/>
      <c r="F3276" s="102"/>
      <c r="G3276" s="102"/>
      <c r="I3276" s="93"/>
      <c r="J3276" s="93"/>
    </row>
    <row r="3277" spans="1:10" s="65" customFormat="1" ht="14" x14ac:dyDescent="0.35">
      <c r="A3277" s="145"/>
      <c r="E3277" s="102"/>
      <c r="F3277" s="102"/>
      <c r="G3277" s="102"/>
      <c r="I3277" s="93"/>
      <c r="J3277" s="93"/>
    </row>
    <row r="3278" spans="1:10" s="65" customFormat="1" ht="14" x14ac:dyDescent="0.35">
      <c r="A3278" s="145"/>
      <c r="E3278" s="102"/>
      <c r="F3278" s="102"/>
      <c r="G3278" s="102"/>
      <c r="I3278" s="93"/>
      <c r="J3278" s="93"/>
    </row>
    <row r="3279" spans="1:10" s="65" customFormat="1" ht="14" x14ac:dyDescent="0.35">
      <c r="A3279" s="145"/>
      <c r="E3279" s="102"/>
      <c r="F3279" s="102"/>
      <c r="G3279" s="102"/>
      <c r="I3279" s="93"/>
      <c r="J3279" s="93"/>
    </row>
    <row r="3280" spans="1:10" s="65" customFormat="1" ht="14" x14ac:dyDescent="0.35">
      <c r="A3280" s="145"/>
      <c r="E3280" s="102"/>
      <c r="F3280" s="102"/>
      <c r="G3280" s="102"/>
      <c r="I3280" s="93"/>
      <c r="J3280" s="93"/>
    </row>
    <row r="3281" spans="1:10" s="65" customFormat="1" ht="14" x14ac:dyDescent="0.35">
      <c r="A3281" s="145"/>
      <c r="E3281" s="102"/>
      <c r="F3281" s="102"/>
      <c r="G3281" s="102"/>
      <c r="I3281" s="93"/>
      <c r="J3281" s="93"/>
    </row>
    <row r="3282" spans="1:10" s="65" customFormat="1" ht="14" x14ac:dyDescent="0.35">
      <c r="A3282" s="145"/>
      <c r="E3282" s="102"/>
      <c r="F3282" s="102"/>
      <c r="G3282" s="102"/>
      <c r="I3282" s="93"/>
      <c r="J3282" s="93"/>
    </row>
    <row r="3283" spans="1:10" s="65" customFormat="1" ht="14" x14ac:dyDescent="0.35">
      <c r="A3283" s="145"/>
      <c r="E3283" s="102"/>
      <c r="F3283" s="102"/>
      <c r="G3283" s="102"/>
      <c r="I3283" s="93"/>
      <c r="J3283" s="93"/>
    </row>
    <row r="3284" spans="1:10" s="65" customFormat="1" ht="14" x14ac:dyDescent="0.35">
      <c r="A3284" s="145"/>
      <c r="E3284" s="102"/>
      <c r="F3284" s="102"/>
      <c r="G3284" s="102"/>
      <c r="I3284" s="93"/>
      <c r="J3284" s="93"/>
    </row>
    <row r="3285" spans="1:10" s="65" customFormat="1" ht="14" x14ac:dyDescent="0.35">
      <c r="A3285" s="145"/>
      <c r="E3285" s="102"/>
      <c r="F3285" s="102"/>
      <c r="G3285" s="102"/>
      <c r="I3285" s="93"/>
      <c r="J3285" s="93"/>
    </row>
    <row r="3286" spans="1:10" s="65" customFormat="1" ht="14" x14ac:dyDescent="0.35">
      <c r="A3286" s="145"/>
      <c r="E3286" s="102"/>
      <c r="F3286" s="102"/>
      <c r="G3286" s="102"/>
      <c r="I3286" s="93"/>
      <c r="J3286" s="93"/>
    </row>
    <row r="3287" spans="1:10" s="65" customFormat="1" ht="14" x14ac:dyDescent="0.35">
      <c r="A3287" s="145"/>
      <c r="E3287" s="102"/>
      <c r="F3287" s="102"/>
      <c r="G3287" s="102"/>
      <c r="I3287" s="93"/>
      <c r="J3287" s="93"/>
    </row>
    <row r="3288" spans="1:10" s="65" customFormat="1" ht="14" x14ac:dyDescent="0.35">
      <c r="A3288" s="145"/>
      <c r="E3288" s="102"/>
      <c r="F3288" s="102"/>
      <c r="G3288" s="102"/>
      <c r="I3288" s="93"/>
      <c r="J3288" s="93"/>
    </row>
    <row r="3289" spans="1:10" s="65" customFormat="1" ht="14" x14ac:dyDescent="0.35">
      <c r="A3289" s="145"/>
      <c r="E3289" s="102"/>
      <c r="F3289" s="102"/>
      <c r="G3289" s="102"/>
      <c r="I3289" s="93"/>
      <c r="J3289" s="93"/>
    </row>
    <row r="3290" spans="1:10" s="65" customFormat="1" ht="14" x14ac:dyDescent="0.35">
      <c r="A3290" s="145"/>
      <c r="E3290" s="102"/>
      <c r="F3290" s="102"/>
      <c r="G3290" s="102"/>
      <c r="I3290" s="93"/>
      <c r="J3290" s="93"/>
    </row>
    <row r="3291" spans="1:10" s="65" customFormat="1" ht="14" x14ac:dyDescent="0.35">
      <c r="A3291" s="145"/>
      <c r="E3291" s="102"/>
      <c r="F3291" s="102"/>
      <c r="G3291" s="102"/>
      <c r="I3291" s="93"/>
      <c r="J3291" s="93"/>
    </row>
    <row r="3292" spans="1:10" s="65" customFormat="1" ht="14" x14ac:dyDescent="0.35">
      <c r="A3292" s="145"/>
      <c r="E3292" s="102"/>
      <c r="F3292" s="102"/>
      <c r="G3292" s="102"/>
      <c r="I3292" s="93"/>
      <c r="J3292" s="93"/>
    </row>
    <row r="3293" spans="1:10" s="65" customFormat="1" ht="14" x14ac:dyDescent="0.35">
      <c r="A3293" s="145"/>
      <c r="E3293" s="102"/>
      <c r="F3293" s="102"/>
      <c r="G3293" s="102"/>
      <c r="I3293" s="93"/>
      <c r="J3293" s="93"/>
    </row>
    <row r="3294" spans="1:10" s="65" customFormat="1" ht="14" x14ac:dyDescent="0.35">
      <c r="A3294" s="145"/>
      <c r="E3294" s="102"/>
      <c r="F3294" s="102"/>
      <c r="G3294" s="102"/>
      <c r="I3294" s="93"/>
      <c r="J3294" s="93"/>
    </row>
    <row r="3295" spans="1:10" s="65" customFormat="1" ht="14" x14ac:dyDescent="0.35">
      <c r="A3295" s="145"/>
      <c r="E3295" s="102"/>
      <c r="F3295" s="102"/>
      <c r="G3295" s="102"/>
      <c r="I3295" s="93"/>
      <c r="J3295" s="93"/>
    </row>
    <row r="3296" spans="1:10" s="65" customFormat="1" ht="14" x14ac:dyDescent="0.35">
      <c r="A3296" s="145"/>
      <c r="E3296" s="102"/>
      <c r="F3296" s="102"/>
      <c r="G3296" s="102"/>
      <c r="I3296" s="93"/>
      <c r="J3296" s="93"/>
    </row>
    <row r="3297" spans="1:10" s="65" customFormat="1" ht="14" x14ac:dyDescent="0.35">
      <c r="A3297" s="145"/>
      <c r="E3297" s="102"/>
      <c r="F3297" s="102"/>
      <c r="G3297" s="102"/>
      <c r="I3297" s="93"/>
      <c r="J3297" s="93"/>
    </row>
    <row r="3298" spans="1:10" s="65" customFormat="1" ht="14" x14ac:dyDescent="0.35">
      <c r="A3298" s="145"/>
      <c r="E3298" s="102"/>
      <c r="F3298" s="102"/>
      <c r="G3298" s="102"/>
      <c r="I3298" s="93"/>
      <c r="J3298" s="93"/>
    </row>
    <row r="3299" spans="1:10" s="65" customFormat="1" ht="14" x14ac:dyDescent="0.35">
      <c r="A3299" s="145"/>
      <c r="E3299" s="102"/>
      <c r="F3299" s="102"/>
      <c r="G3299" s="102"/>
      <c r="I3299" s="93"/>
      <c r="J3299" s="93"/>
    </row>
    <row r="3300" spans="1:10" s="65" customFormat="1" ht="14" x14ac:dyDescent="0.35">
      <c r="A3300" s="145"/>
      <c r="E3300" s="102"/>
      <c r="F3300" s="102"/>
      <c r="G3300" s="102"/>
      <c r="I3300" s="93"/>
      <c r="J3300" s="93"/>
    </row>
    <row r="3301" spans="1:10" s="65" customFormat="1" ht="14" x14ac:dyDescent="0.35">
      <c r="A3301" s="145"/>
      <c r="E3301" s="102"/>
      <c r="F3301" s="102"/>
      <c r="G3301" s="102"/>
      <c r="I3301" s="93"/>
      <c r="J3301" s="93"/>
    </row>
    <row r="3302" spans="1:10" s="65" customFormat="1" ht="14" x14ac:dyDescent="0.35">
      <c r="A3302" s="145"/>
      <c r="E3302" s="102"/>
      <c r="F3302" s="102"/>
      <c r="G3302" s="102"/>
      <c r="I3302" s="93"/>
      <c r="J3302" s="93"/>
    </row>
    <row r="3303" spans="1:10" s="65" customFormat="1" ht="14" x14ac:dyDescent="0.35">
      <c r="A3303" s="145"/>
      <c r="E3303" s="102"/>
      <c r="F3303" s="102"/>
      <c r="G3303" s="102"/>
      <c r="I3303" s="93"/>
      <c r="J3303" s="93"/>
    </row>
    <row r="3304" spans="1:10" s="65" customFormat="1" ht="14" x14ac:dyDescent="0.35">
      <c r="A3304" s="145"/>
      <c r="E3304" s="102"/>
      <c r="F3304" s="102"/>
      <c r="G3304" s="102"/>
      <c r="I3304" s="93"/>
      <c r="J3304" s="93"/>
    </row>
    <row r="3305" spans="1:10" s="65" customFormat="1" ht="14" x14ac:dyDescent="0.35">
      <c r="A3305" s="145"/>
      <c r="E3305" s="102"/>
      <c r="F3305" s="102"/>
      <c r="G3305" s="102"/>
      <c r="I3305" s="93"/>
      <c r="J3305" s="93"/>
    </row>
    <row r="3306" spans="1:10" s="65" customFormat="1" ht="14" x14ac:dyDescent="0.35">
      <c r="A3306" s="145"/>
      <c r="E3306" s="102"/>
      <c r="F3306" s="102"/>
      <c r="G3306" s="102"/>
      <c r="I3306" s="93"/>
      <c r="J3306" s="93"/>
    </row>
    <row r="3307" spans="1:10" s="65" customFormat="1" ht="14" x14ac:dyDescent="0.35">
      <c r="A3307" s="145"/>
      <c r="E3307" s="102"/>
      <c r="F3307" s="102"/>
      <c r="G3307" s="102"/>
      <c r="I3307" s="93"/>
      <c r="J3307" s="93"/>
    </row>
    <row r="3308" spans="1:10" s="65" customFormat="1" ht="14" x14ac:dyDescent="0.35">
      <c r="A3308" s="145"/>
      <c r="E3308" s="102"/>
      <c r="F3308" s="102"/>
      <c r="G3308" s="102"/>
      <c r="I3308" s="93"/>
      <c r="J3308" s="93"/>
    </row>
    <row r="3309" spans="1:10" s="65" customFormat="1" ht="14" x14ac:dyDescent="0.35">
      <c r="A3309" s="145"/>
      <c r="E3309" s="102"/>
      <c r="F3309" s="102"/>
      <c r="G3309" s="102"/>
      <c r="I3309" s="93"/>
      <c r="J3309" s="93"/>
    </row>
    <row r="3310" spans="1:10" s="65" customFormat="1" ht="14" x14ac:dyDescent="0.35">
      <c r="A3310" s="145"/>
      <c r="E3310" s="102"/>
      <c r="F3310" s="102"/>
      <c r="G3310" s="102"/>
      <c r="I3310" s="93"/>
      <c r="J3310" s="93"/>
    </row>
    <row r="3311" spans="1:10" s="65" customFormat="1" ht="14" x14ac:dyDescent="0.35">
      <c r="A3311" s="145"/>
      <c r="E3311" s="102"/>
      <c r="F3311" s="102"/>
      <c r="G3311" s="102"/>
      <c r="I3311" s="93"/>
      <c r="J3311" s="93"/>
    </row>
    <row r="3312" spans="1:10" s="65" customFormat="1" ht="14" x14ac:dyDescent="0.35">
      <c r="A3312" s="145"/>
      <c r="E3312" s="102"/>
      <c r="F3312" s="102"/>
      <c r="G3312" s="102"/>
      <c r="I3312" s="93"/>
      <c r="J3312" s="93"/>
    </row>
    <row r="3313" spans="1:10" s="65" customFormat="1" ht="14" x14ac:dyDescent="0.35">
      <c r="A3313" s="145"/>
      <c r="E3313" s="102"/>
      <c r="F3313" s="102"/>
      <c r="G3313" s="102"/>
      <c r="I3313" s="93"/>
      <c r="J3313" s="93"/>
    </row>
    <row r="3314" spans="1:10" s="65" customFormat="1" ht="14" x14ac:dyDescent="0.35">
      <c r="A3314" s="145"/>
      <c r="E3314" s="102"/>
      <c r="F3314" s="102"/>
      <c r="G3314" s="102"/>
      <c r="I3314" s="93"/>
      <c r="J3314" s="93"/>
    </row>
    <row r="3315" spans="1:10" s="65" customFormat="1" ht="14" x14ac:dyDescent="0.35">
      <c r="A3315" s="145"/>
      <c r="E3315" s="102"/>
      <c r="F3315" s="102"/>
      <c r="G3315" s="102"/>
      <c r="I3315" s="93"/>
      <c r="J3315" s="93"/>
    </row>
    <row r="3316" spans="1:10" s="65" customFormat="1" ht="14" x14ac:dyDescent="0.35">
      <c r="A3316" s="145"/>
      <c r="E3316" s="102"/>
      <c r="F3316" s="102"/>
      <c r="G3316" s="102"/>
      <c r="I3316" s="93"/>
      <c r="J3316" s="93"/>
    </row>
    <row r="3317" spans="1:10" s="65" customFormat="1" ht="14" x14ac:dyDescent="0.35">
      <c r="A3317" s="145"/>
      <c r="E3317" s="102"/>
      <c r="F3317" s="102"/>
      <c r="G3317" s="102"/>
      <c r="I3317" s="93"/>
      <c r="J3317" s="93"/>
    </row>
    <row r="3318" spans="1:10" s="65" customFormat="1" ht="14" x14ac:dyDescent="0.35">
      <c r="A3318" s="145"/>
      <c r="E3318" s="102"/>
      <c r="F3318" s="102"/>
      <c r="G3318" s="102"/>
      <c r="I3318" s="93"/>
      <c r="J3318" s="93"/>
    </row>
    <row r="3319" spans="1:10" s="65" customFormat="1" ht="14" x14ac:dyDescent="0.35">
      <c r="A3319" s="145"/>
      <c r="E3319" s="102"/>
      <c r="F3319" s="102"/>
      <c r="G3319" s="102"/>
      <c r="I3319" s="93"/>
      <c r="J3319" s="93"/>
    </row>
    <row r="3320" spans="1:10" s="65" customFormat="1" ht="14" x14ac:dyDescent="0.35">
      <c r="A3320" s="145"/>
      <c r="E3320" s="102"/>
      <c r="F3320" s="102"/>
      <c r="G3320" s="102"/>
      <c r="I3320" s="93"/>
      <c r="J3320" s="93"/>
    </row>
    <row r="3321" spans="1:10" s="65" customFormat="1" ht="14" x14ac:dyDescent="0.35">
      <c r="A3321" s="145"/>
      <c r="E3321" s="102"/>
      <c r="F3321" s="102"/>
      <c r="G3321" s="102"/>
      <c r="I3321" s="93"/>
      <c r="J3321" s="93"/>
    </row>
    <row r="3322" spans="1:10" s="65" customFormat="1" ht="14" x14ac:dyDescent="0.35">
      <c r="A3322" s="145"/>
      <c r="E3322" s="102"/>
      <c r="F3322" s="102"/>
      <c r="G3322" s="102"/>
      <c r="I3322" s="93"/>
      <c r="J3322" s="93"/>
    </row>
    <row r="3323" spans="1:10" s="65" customFormat="1" ht="14" x14ac:dyDescent="0.35">
      <c r="A3323" s="145"/>
      <c r="E3323" s="102"/>
      <c r="F3323" s="102"/>
      <c r="G3323" s="102"/>
      <c r="I3323" s="93"/>
      <c r="J3323" s="93"/>
    </row>
    <row r="3324" spans="1:10" s="65" customFormat="1" ht="14" x14ac:dyDescent="0.35">
      <c r="A3324" s="145"/>
      <c r="E3324" s="102"/>
      <c r="F3324" s="102"/>
      <c r="G3324" s="102"/>
      <c r="I3324" s="93"/>
      <c r="J3324" s="93"/>
    </row>
    <row r="3325" spans="1:10" s="65" customFormat="1" ht="14" x14ac:dyDescent="0.35">
      <c r="A3325" s="145"/>
      <c r="E3325" s="102"/>
      <c r="F3325" s="102"/>
      <c r="G3325" s="102"/>
      <c r="I3325" s="93"/>
      <c r="J3325" s="93"/>
    </row>
    <row r="3326" spans="1:10" s="65" customFormat="1" ht="14" x14ac:dyDescent="0.35">
      <c r="A3326" s="145"/>
      <c r="E3326" s="102"/>
      <c r="F3326" s="102"/>
      <c r="G3326" s="102"/>
      <c r="I3326" s="93"/>
      <c r="J3326" s="93"/>
    </row>
    <row r="3327" spans="1:10" s="65" customFormat="1" ht="14" x14ac:dyDescent="0.35">
      <c r="A3327" s="145"/>
      <c r="E3327" s="102"/>
      <c r="F3327" s="102"/>
      <c r="G3327" s="102"/>
      <c r="I3327" s="93"/>
      <c r="J3327" s="93"/>
    </row>
    <row r="3328" spans="1:10" s="65" customFormat="1" ht="14" x14ac:dyDescent="0.35">
      <c r="A3328" s="145"/>
      <c r="E3328" s="102"/>
      <c r="F3328" s="102"/>
      <c r="G3328" s="102"/>
      <c r="I3328" s="93"/>
      <c r="J3328" s="93"/>
    </row>
    <row r="3329" spans="1:10" s="65" customFormat="1" ht="14" x14ac:dyDescent="0.35">
      <c r="A3329" s="145"/>
      <c r="E3329" s="102"/>
      <c r="F3329" s="102"/>
      <c r="G3329" s="102"/>
      <c r="I3329" s="93"/>
      <c r="J3329" s="93"/>
    </row>
    <row r="3330" spans="1:10" s="65" customFormat="1" ht="14" x14ac:dyDescent="0.35">
      <c r="A3330" s="145"/>
      <c r="E3330" s="102"/>
      <c r="F3330" s="102"/>
      <c r="G3330" s="102"/>
      <c r="I3330" s="93"/>
      <c r="J3330" s="93"/>
    </row>
    <row r="3331" spans="1:10" s="65" customFormat="1" ht="14" x14ac:dyDescent="0.35">
      <c r="A3331" s="145"/>
      <c r="E3331" s="102"/>
      <c r="F3331" s="102"/>
      <c r="G3331" s="102"/>
      <c r="I3331" s="93"/>
      <c r="J3331" s="93"/>
    </row>
    <row r="3332" spans="1:10" s="65" customFormat="1" ht="14" x14ac:dyDescent="0.35">
      <c r="A3332" s="145"/>
      <c r="E3332" s="102"/>
      <c r="F3332" s="102"/>
      <c r="G3332" s="102"/>
      <c r="I3332" s="93"/>
      <c r="J3332" s="93"/>
    </row>
    <row r="3333" spans="1:10" s="65" customFormat="1" ht="14" x14ac:dyDescent="0.35">
      <c r="A3333" s="145"/>
      <c r="E3333" s="102"/>
      <c r="F3333" s="102"/>
      <c r="G3333" s="102"/>
      <c r="I3333" s="93"/>
      <c r="J3333" s="93"/>
    </row>
    <row r="3334" spans="1:10" s="65" customFormat="1" ht="14" x14ac:dyDescent="0.35">
      <c r="A3334" s="145"/>
      <c r="E3334" s="102"/>
      <c r="F3334" s="102"/>
      <c r="G3334" s="102"/>
      <c r="I3334" s="93"/>
      <c r="J3334" s="93"/>
    </row>
    <row r="3335" spans="1:10" s="65" customFormat="1" ht="14" x14ac:dyDescent="0.35">
      <c r="A3335" s="145"/>
      <c r="E3335" s="102"/>
      <c r="F3335" s="102"/>
      <c r="G3335" s="102"/>
      <c r="I3335" s="93"/>
      <c r="J3335" s="93"/>
    </row>
    <row r="3336" spans="1:10" s="65" customFormat="1" ht="14" x14ac:dyDescent="0.35">
      <c r="A3336" s="145"/>
      <c r="E3336" s="102"/>
      <c r="F3336" s="102"/>
      <c r="G3336" s="102"/>
      <c r="I3336" s="93"/>
      <c r="J3336" s="93"/>
    </row>
    <row r="3337" spans="1:10" s="65" customFormat="1" ht="14" x14ac:dyDescent="0.35">
      <c r="A3337" s="145"/>
      <c r="E3337" s="102"/>
      <c r="F3337" s="102"/>
      <c r="G3337" s="102"/>
      <c r="I3337" s="93"/>
      <c r="J3337" s="93"/>
    </row>
    <row r="3338" spans="1:10" s="65" customFormat="1" ht="14" x14ac:dyDescent="0.35">
      <c r="A3338" s="145"/>
      <c r="E3338" s="102"/>
      <c r="F3338" s="102"/>
      <c r="G3338" s="102"/>
      <c r="I3338" s="93"/>
      <c r="J3338" s="93"/>
    </row>
    <row r="3339" spans="1:10" s="65" customFormat="1" ht="14" x14ac:dyDescent="0.35">
      <c r="A3339" s="145"/>
      <c r="E3339" s="102"/>
      <c r="F3339" s="102"/>
      <c r="G3339" s="102"/>
      <c r="I3339" s="93"/>
      <c r="J3339" s="93"/>
    </row>
    <row r="3340" spans="1:10" s="65" customFormat="1" ht="14" x14ac:dyDescent="0.35">
      <c r="A3340" s="145"/>
      <c r="E3340" s="102"/>
      <c r="F3340" s="102"/>
      <c r="G3340" s="102"/>
      <c r="I3340" s="93"/>
      <c r="J3340" s="93"/>
    </row>
    <row r="3341" spans="1:10" s="65" customFormat="1" ht="14" x14ac:dyDescent="0.35">
      <c r="A3341" s="145"/>
      <c r="E3341" s="102"/>
      <c r="F3341" s="102"/>
      <c r="G3341" s="102"/>
      <c r="I3341" s="93"/>
      <c r="J3341" s="93"/>
    </row>
    <row r="3342" spans="1:10" s="65" customFormat="1" ht="14" x14ac:dyDescent="0.35">
      <c r="A3342" s="145"/>
      <c r="E3342" s="102"/>
      <c r="F3342" s="102"/>
      <c r="G3342" s="102"/>
      <c r="I3342" s="93"/>
      <c r="J3342" s="93"/>
    </row>
    <row r="3343" spans="1:10" s="65" customFormat="1" ht="14" x14ac:dyDescent="0.35">
      <c r="A3343" s="145"/>
      <c r="E3343" s="102"/>
      <c r="F3343" s="102"/>
      <c r="G3343" s="102"/>
      <c r="I3343" s="93"/>
      <c r="J3343" s="93"/>
    </row>
    <row r="3344" spans="1:10" s="65" customFormat="1" ht="14" x14ac:dyDescent="0.35">
      <c r="A3344" s="145"/>
      <c r="E3344" s="102"/>
      <c r="F3344" s="102"/>
      <c r="G3344" s="102"/>
      <c r="I3344" s="93"/>
      <c r="J3344" s="93"/>
    </row>
    <row r="3345" spans="1:10" s="65" customFormat="1" ht="14" x14ac:dyDescent="0.35">
      <c r="A3345" s="145"/>
      <c r="E3345" s="102"/>
      <c r="F3345" s="102"/>
      <c r="G3345" s="102"/>
      <c r="I3345" s="93"/>
      <c r="J3345" s="93"/>
    </row>
    <row r="3346" spans="1:10" s="65" customFormat="1" ht="14" x14ac:dyDescent="0.35">
      <c r="A3346" s="145"/>
      <c r="E3346" s="102"/>
      <c r="F3346" s="102"/>
      <c r="G3346" s="102"/>
      <c r="I3346" s="93"/>
      <c r="J3346" s="93"/>
    </row>
    <row r="3347" spans="1:10" s="65" customFormat="1" ht="14" x14ac:dyDescent="0.35">
      <c r="A3347" s="145"/>
      <c r="E3347" s="102"/>
      <c r="F3347" s="102"/>
      <c r="G3347" s="102"/>
      <c r="I3347" s="93"/>
      <c r="J3347" s="93"/>
    </row>
    <row r="3348" spans="1:10" s="65" customFormat="1" ht="14" x14ac:dyDescent="0.35">
      <c r="A3348" s="145"/>
      <c r="E3348" s="102"/>
      <c r="F3348" s="102"/>
      <c r="G3348" s="102"/>
      <c r="I3348" s="93"/>
      <c r="J3348" s="93"/>
    </row>
    <row r="3349" spans="1:10" s="65" customFormat="1" ht="14" x14ac:dyDescent="0.35">
      <c r="A3349" s="145"/>
      <c r="E3349" s="102"/>
      <c r="F3349" s="102"/>
      <c r="G3349" s="102"/>
      <c r="I3349" s="93"/>
      <c r="J3349" s="93"/>
    </row>
    <row r="3350" spans="1:10" s="65" customFormat="1" ht="14" x14ac:dyDescent="0.35">
      <c r="A3350" s="145"/>
      <c r="E3350" s="102"/>
      <c r="F3350" s="102"/>
      <c r="G3350" s="102"/>
      <c r="I3350" s="93"/>
      <c r="J3350" s="93"/>
    </row>
    <row r="3351" spans="1:10" s="65" customFormat="1" ht="14" x14ac:dyDescent="0.35">
      <c r="A3351" s="145"/>
      <c r="E3351" s="102"/>
      <c r="F3351" s="102"/>
      <c r="G3351" s="102"/>
      <c r="I3351" s="93"/>
      <c r="J3351" s="93"/>
    </row>
    <row r="3352" spans="1:10" s="65" customFormat="1" ht="14" x14ac:dyDescent="0.35">
      <c r="A3352" s="145"/>
      <c r="E3352" s="102"/>
      <c r="F3352" s="102"/>
      <c r="G3352" s="102"/>
      <c r="I3352" s="93"/>
      <c r="J3352" s="93"/>
    </row>
    <row r="3353" spans="1:10" s="65" customFormat="1" ht="14" x14ac:dyDescent="0.35">
      <c r="A3353" s="145"/>
      <c r="E3353" s="102"/>
      <c r="F3353" s="102"/>
      <c r="G3353" s="102"/>
      <c r="I3353" s="93"/>
      <c r="J3353" s="93"/>
    </row>
    <row r="3354" spans="1:10" s="65" customFormat="1" ht="14" x14ac:dyDescent="0.35">
      <c r="A3354" s="145"/>
      <c r="E3354" s="102"/>
      <c r="F3354" s="102"/>
      <c r="G3354" s="102"/>
      <c r="I3354" s="93"/>
      <c r="J3354" s="93"/>
    </row>
    <row r="3355" spans="1:10" s="65" customFormat="1" ht="14" x14ac:dyDescent="0.35">
      <c r="A3355" s="145"/>
      <c r="E3355" s="102"/>
      <c r="F3355" s="102"/>
      <c r="G3355" s="102"/>
      <c r="I3355" s="93"/>
      <c r="J3355" s="93"/>
    </row>
    <row r="3356" spans="1:10" s="65" customFormat="1" ht="14" x14ac:dyDescent="0.35">
      <c r="A3356" s="145"/>
      <c r="E3356" s="102"/>
      <c r="F3356" s="102"/>
      <c r="G3356" s="102"/>
      <c r="I3356" s="93"/>
      <c r="J3356" s="93"/>
    </row>
    <row r="3357" spans="1:10" s="65" customFormat="1" ht="14" x14ac:dyDescent="0.35">
      <c r="A3357" s="145"/>
      <c r="E3357" s="102"/>
      <c r="F3357" s="102"/>
      <c r="G3357" s="102"/>
      <c r="I3357" s="93"/>
      <c r="J3357" s="93"/>
    </row>
    <row r="3358" spans="1:10" s="65" customFormat="1" ht="14" x14ac:dyDescent="0.35">
      <c r="A3358" s="145"/>
      <c r="E3358" s="102"/>
      <c r="F3358" s="102"/>
      <c r="G3358" s="102"/>
      <c r="I3358" s="93"/>
      <c r="J3358" s="93"/>
    </row>
    <row r="3359" spans="1:10" s="65" customFormat="1" ht="14" x14ac:dyDescent="0.35">
      <c r="A3359" s="145"/>
      <c r="E3359" s="102"/>
      <c r="F3359" s="102"/>
      <c r="G3359" s="102"/>
      <c r="I3359" s="93"/>
      <c r="J3359" s="93"/>
    </row>
    <row r="3360" spans="1:10" s="65" customFormat="1" ht="14" x14ac:dyDescent="0.35">
      <c r="A3360" s="145"/>
      <c r="E3360" s="102"/>
      <c r="F3360" s="102"/>
      <c r="G3360" s="102"/>
      <c r="I3360" s="93"/>
      <c r="J3360" s="93"/>
    </row>
    <row r="3361" spans="1:10" s="65" customFormat="1" ht="14" x14ac:dyDescent="0.35">
      <c r="A3361" s="145"/>
      <c r="E3361" s="102"/>
      <c r="F3361" s="102"/>
      <c r="G3361" s="102"/>
      <c r="I3361" s="93"/>
      <c r="J3361" s="93"/>
    </row>
    <row r="3362" spans="1:10" s="65" customFormat="1" ht="14" x14ac:dyDescent="0.35">
      <c r="A3362" s="145"/>
      <c r="E3362" s="102"/>
      <c r="F3362" s="102"/>
      <c r="G3362" s="102"/>
      <c r="I3362" s="93"/>
      <c r="J3362" s="93"/>
    </row>
    <row r="3363" spans="1:10" s="65" customFormat="1" ht="14" x14ac:dyDescent="0.35">
      <c r="A3363" s="145"/>
      <c r="E3363" s="102"/>
      <c r="F3363" s="102"/>
      <c r="G3363" s="102"/>
      <c r="I3363" s="93"/>
      <c r="J3363" s="93"/>
    </row>
    <row r="3364" spans="1:10" s="65" customFormat="1" ht="14" x14ac:dyDescent="0.35">
      <c r="A3364" s="145"/>
      <c r="E3364" s="102"/>
      <c r="F3364" s="102"/>
      <c r="G3364" s="102"/>
      <c r="I3364" s="93"/>
      <c r="J3364" s="93"/>
    </row>
    <row r="3365" spans="1:10" s="65" customFormat="1" ht="14" x14ac:dyDescent="0.35">
      <c r="A3365" s="145"/>
      <c r="E3365" s="102"/>
      <c r="F3365" s="102"/>
      <c r="G3365" s="102"/>
      <c r="I3365" s="93"/>
      <c r="J3365" s="93"/>
    </row>
    <row r="3366" spans="1:10" s="65" customFormat="1" ht="14" x14ac:dyDescent="0.35">
      <c r="A3366" s="145"/>
      <c r="E3366" s="102"/>
      <c r="F3366" s="102"/>
      <c r="G3366" s="102"/>
      <c r="I3366" s="93"/>
      <c r="J3366" s="93"/>
    </row>
    <row r="3367" spans="1:10" s="65" customFormat="1" ht="14" x14ac:dyDescent="0.35">
      <c r="A3367" s="145"/>
      <c r="E3367" s="102"/>
      <c r="F3367" s="102"/>
      <c r="G3367" s="102"/>
      <c r="I3367" s="93"/>
      <c r="J3367" s="93"/>
    </row>
    <row r="3368" spans="1:10" s="65" customFormat="1" ht="14" x14ac:dyDescent="0.35">
      <c r="A3368" s="145"/>
      <c r="E3368" s="102"/>
      <c r="F3368" s="102"/>
      <c r="G3368" s="102"/>
      <c r="I3368" s="93"/>
      <c r="J3368" s="93"/>
    </row>
    <row r="3369" spans="1:10" s="65" customFormat="1" ht="14" x14ac:dyDescent="0.35">
      <c r="A3369" s="145"/>
      <c r="E3369" s="102"/>
      <c r="F3369" s="102"/>
      <c r="G3369" s="102"/>
      <c r="I3369" s="93"/>
      <c r="J3369" s="93"/>
    </row>
    <row r="3370" spans="1:10" s="65" customFormat="1" ht="14" x14ac:dyDescent="0.35">
      <c r="A3370" s="145"/>
      <c r="E3370" s="102"/>
      <c r="F3370" s="102"/>
      <c r="G3370" s="102"/>
      <c r="I3370" s="93"/>
      <c r="J3370" s="93"/>
    </row>
    <row r="3371" spans="1:10" s="65" customFormat="1" ht="14" x14ac:dyDescent="0.35">
      <c r="A3371" s="145"/>
      <c r="E3371" s="102"/>
      <c r="F3371" s="102"/>
      <c r="G3371" s="102"/>
      <c r="I3371" s="93"/>
      <c r="J3371" s="93"/>
    </row>
    <row r="3372" spans="1:10" s="65" customFormat="1" ht="14" x14ac:dyDescent="0.35">
      <c r="A3372" s="145"/>
      <c r="E3372" s="102"/>
      <c r="F3372" s="102"/>
      <c r="G3372" s="102"/>
      <c r="I3372" s="93"/>
      <c r="J3372" s="93"/>
    </row>
    <row r="3373" spans="1:10" s="65" customFormat="1" ht="14" x14ac:dyDescent="0.35">
      <c r="A3373" s="145"/>
      <c r="E3373" s="102"/>
      <c r="F3373" s="102"/>
      <c r="G3373" s="102"/>
      <c r="I3373" s="93"/>
      <c r="J3373" s="93"/>
    </row>
    <row r="3374" spans="1:10" s="65" customFormat="1" ht="14" x14ac:dyDescent="0.35">
      <c r="A3374" s="145"/>
      <c r="E3374" s="102"/>
      <c r="F3374" s="102"/>
      <c r="G3374" s="102"/>
      <c r="I3374" s="93"/>
      <c r="J3374" s="93"/>
    </row>
    <row r="3375" spans="1:10" s="65" customFormat="1" ht="14" x14ac:dyDescent="0.35">
      <c r="A3375" s="145"/>
      <c r="E3375" s="102"/>
      <c r="F3375" s="102"/>
      <c r="G3375" s="102"/>
      <c r="I3375" s="93"/>
      <c r="J3375" s="93"/>
    </row>
    <row r="3376" spans="1:10" s="65" customFormat="1" ht="14" x14ac:dyDescent="0.35">
      <c r="A3376" s="145"/>
      <c r="E3376" s="102"/>
      <c r="F3376" s="102"/>
      <c r="G3376" s="102"/>
      <c r="I3376" s="93"/>
      <c r="J3376" s="93"/>
    </row>
    <row r="3377" spans="1:10" s="65" customFormat="1" ht="14" x14ac:dyDescent="0.35">
      <c r="A3377" s="145"/>
      <c r="E3377" s="102"/>
      <c r="F3377" s="102"/>
      <c r="G3377" s="102"/>
      <c r="I3377" s="93"/>
      <c r="J3377" s="93"/>
    </row>
    <row r="3378" spans="1:10" s="65" customFormat="1" ht="14" x14ac:dyDescent="0.35">
      <c r="A3378" s="145"/>
      <c r="E3378" s="102"/>
      <c r="F3378" s="102"/>
      <c r="G3378" s="102"/>
      <c r="I3378" s="93"/>
      <c r="J3378" s="93"/>
    </row>
    <row r="3379" spans="1:10" s="65" customFormat="1" ht="14" x14ac:dyDescent="0.35">
      <c r="A3379" s="145"/>
      <c r="E3379" s="102"/>
      <c r="F3379" s="102"/>
      <c r="G3379" s="102"/>
      <c r="I3379" s="93"/>
      <c r="J3379" s="93"/>
    </row>
    <row r="3380" spans="1:10" s="65" customFormat="1" ht="14" x14ac:dyDescent="0.35">
      <c r="A3380" s="145"/>
      <c r="E3380" s="102"/>
      <c r="F3380" s="102"/>
      <c r="G3380" s="102"/>
      <c r="I3380" s="93"/>
      <c r="J3380" s="93"/>
    </row>
    <row r="3381" spans="1:10" s="65" customFormat="1" ht="14" x14ac:dyDescent="0.35">
      <c r="A3381" s="145"/>
      <c r="E3381" s="102"/>
      <c r="F3381" s="102"/>
      <c r="G3381" s="102"/>
      <c r="I3381" s="93"/>
      <c r="J3381" s="93"/>
    </row>
    <row r="3382" spans="1:10" s="65" customFormat="1" ht="14" x14ac:dyDescent="0.35">
      <c r="A3382" s="145"/>
      <c r="E3382" s="102"/>
      <c r="F3382" s="102"/>
      <c r="G3382" s="102"/>
      <c r="I3382" s="93"/>
      <c r="J3382" s="93"/>
    </row>
    <row r="3383" spans="1:10" s="65" customFormat="1" ht="14" x14ac:dyDescent="0.35">
      <c r="A3383" s="145"/>
      <c r="E3383" s="102"/>
      <c r="F3383" s="102"/>
      <c r="G3383" s="102"/>
      <c r="I3383" s="93"/>
      <c r="J3383" s="93"/>
    </row>
    <row r="3384" spans="1:10" s="65" customFormat="1" ht="14" x14ac:dyDescent="0.35">
      <c r="A3384" s="145"/>
      <c r="E3384" s="102"/>
      <c r="F3384" s="102"/>
      <c r="G3384" s="102"/>
      <c r="I3384" s="93"/>
      <c r="J3384" s="93"/>
    </row>
    <row r="3385" spans="1:10" s="65" customFormat="1" ht="14" x14ac:dyDescent="0.35">
      <c r="A3385" s="145"/>
      <c r="E3385" s="102"/>
      <c r="F3385" s="102"/>
      <c r="G3385" s="102"/>
      <c r="I3385" s="93"/>
      <c r="J3385" s="93"/>
    </row>
    <row r="3386" spans="1:10" s="65" customFormat="1" ht="14" x14ac:dyDescent="0.35">
      <c r="A3386" s="145"/>
      <c r="E3386" s="102"/>
      <c r="F3386" s="102"/>
      <c r="G3386" s="102"/>
      <c r="I3386" s="93"/>
      <c r="J3386" s="93"/>
    </row>
    <row r="3387" spans="1:10" s="65" customFormat="1" ht="14" x14ac:dyDescent="0.35">
      <c r="A3387" s="145"/>
      <c r="E3387" s="102"/>
      <c r="F3387" s="102"/>
      <c r="G3387" s="102"/>
      <c r="I3387" s="93"/>
      <c r="J3387" s="93"/>
    </row>
    <row r="3388" spans="1:10" s="65" customFormat="1" ht="14" x14ac:dyDescent="0.35">
      <c r="A3388" s="145"/>
      <c r="E3388" s="102"/>
      <c r="F3388" s="102"/>
      <c r="G3388" s="102"/>
      <c r="I3388" s="93"/>
      <c r="J3388" s="93"/>
    </row>
    <row r="3389" spans="1:10" s="65" customFormat="1" ht="14" x14ac:dyDescent="0.35">
      <c r="A3389" s="145"/>
      <c r="E3389" s="102"/>
      <c r="F3389" s="102"/>
      <c r="G3389" s="102"/>
      <c r="I3389" s="93"/>
      <c r="J3389" s="93"/>
    </row>
    <row r="3390" spans="1:10" s="65" customFormat="1" ht="14" x14ac:dyDescent="0.35">
      <c r="A3390" s="145"/>
      <c r="E3390" s="102"/>
      <c r="F3390" s="102"/>
      <c r="G3390" s="102"/>
      <c r="I3390" s="93"/>
      <c r="J3390" s="93"/>
    </row>
    <row r="3391" spans="1:10" s="65" customFormat="1" ht="14" x14ac:dyDescent="0.35">
      <c r="A3391" s="145"/>
      <c r="E3391" s="102"/>
      <c r="F3391" s="102"/>
      <c r="G3391" s="102"/>
      <c r="I3391" s="93"/>
      <c r="J3391" s="93"/>
    </row>
    <row r="3392" spans="1:10" s="65" customFormat="1" ht="14" x14ac:dyDescent="0.35">
      <c r="A3392" s="145"/>
      <c r="E3392" s="102"/>
      <c r="F3392" s="102"/>
      <c r="G3392" s="102"/>
      <c r="I3392" s="93"/>
      <c r="J3392" s="93"/>
    </row>
    <row r="3393" spans="1:10" s="65" customFormat="1" ht="14" x14ac:dyDescent="0.35">
      <c r="A3393" s="145"/>
      <c r="E3393" s="102"/>
      <c r="F3393" s="102"/>
      <c r="G3393" s="102"/>
      <c r="I3393" s="93"/>
      <c r="J3393" s="93"/>
    </row>
    <row r="3394" spans="1:10" s="65" customFormat="1" ht="14" x14ac:dyDescent="0.35">
      <c r="A3394" s="145"/>
      <c r="E3394" s="102"/>
      <c r="F3394" s="102"/>
      <c r="G3394" s="102"/>
      <c r="I3394" s="93"/>
      <c r="J3394" s="93"/>
    </row>
    <row r="3395" spans="1:10" s="65" customFormat="1" ht="14" x14ac:dyDescent="0.35">
      <c r="A3395" s="145"/>
      <c r="E3395" s="102"/>
      <c r="F3395" s="102"/>
      <c r="G3395" s="102"/>
      <c r="I3395" s="93"/>
      <c r="J3395" s="93"/>
    </row>
    <row r="3396" spans="1:10" s="65" customFormat="1" ht="14" x14ac:dyDescent="0.35">
      <c r="A3396" s="145"/>
      <c r="E3396" s="102"/>
      <c r="F3396" s="102"/>
      <c r="G3396" s="102"/>
      <c r="I3396" s="93"/>
      <c r="J3396" s="93"/>
    </row>
    <row r="3397" spans="1:10" s="65" customFormat="1" ht="14" x14ac:dyDescent="0.35">
      <c r="A3397" s="145"/>
      <c r="E3397" s="102"/>
      <c r="F3397" s="102"/>
      <c r="G3397" s="102"/>
      <c r="I3397" s="93"/>
      <c r="J3397" s="93"/>
    </row>
    <row r="3398" spans="1:10" s="65" customFormat="1" ht="14" x14ac:dyDescent="0.35">
      <c r="A3398" s="145"/>
      <c r="E3398" s="102"/>
      <c r="F3398" s="102"/>
      <c r="G3398" s="102"/>
      <c r="I3398" s="93"/>
      <c r="J3398" s="93"/>
    </row>
    <row r="3399" spans="1:10" s="65" customFormat="1" ht="14" x14ac:dyDescent="0.35">
      <c r="A3399" s="145"/>
      <c r="E3399" s="102"/>
      <c r="F3399" s="102"/>
      <c r="G3399" s="102"/>
      <c r="I3399" s="93"/>
      <c r="J3399" s="93"/>
    </row>
    <row r="3400" spans="1:10" s="65" customFormat="1" ht="14" x14ac:dyDescent="0.35">
      <c r="A3400" s="145"/>
      <c r="E3400" s="102"/>
      <c r="F3400" s="102"/>
      <c r="G3400" s="102"/>
      <c r="I3400" s="93"/>
      <c r="J3400" s="93"/>
    </row>
    <row r="3401" spans="1:10" s="65" customFormat="1" ht="14" x14ac:dyDescent="0.35">
      <c r="A3401" s="145"/>
      <c r="E3401" s="102"/>
      <c r="F3401" s="102"/>
      <c r="G3401" s="102"/>
      <c r="I3401" s="93"/>
      <c r="J3401" s="93"/>
    </row>
    <row r="3402" spans="1:10" s="65" customFormat="1" ht="14" x14ac:dyDescent="0.35">
      <c r="A3402" s="145"/>
      <c r="E3402" s="102"/>
      <c r="F3402" s="102"/>
      <c r="G3402" s="102"/>
      <c r="I3402" s="93"/>
      <c r="J3402" s="93"/>
    </row>
    <row r="3403" spans="1:10" s="65" customFormat="1" ht="14" x14ac:dyDescent="0.35">
      <c r="A3403" s="145"/>
      <c r="E3403" s="102"/>
      <c r="F3403" s="102"/>
      <c r="G3403" s="102"/>
      <c r="I3403" s="93"/>
      <c r="J3403" s="93"/>
    </row>
    <row r="3404" spans="1:10" s="65" customFormat="1" ht="14" x14ac:dyDescent="0.35">
      <c r="A3404" s="145"/>
      <c r="E3404" s="102"/>
      <c r="F3404" s="102"/>
      <c r="G3404" s="102"/>
      <c r="I3404" s="93"/>
      <c r="J3404" s="93"/>
    </row>
    <row r="3405" spans="1:10" s="65" customFormat="1" ht="14" x14ac:dyDescent="0.35">
      <c r="A3405" s="145"/>
      <c r="E3405" s="102"/>
      <c r="F3405" s="102"/>
      <c r="G3405" s="102"/>
      <c r="I3405" s="93"/>
      <c r="J3405" s="93"/>
    </row>
    <row r="3406" spans="1:10" s="65" customFormat="1" ht="14" x14ac:dyDescent="0.35">
      <c r="A3406" s="145"/>
      <c r="E3406" s="102"/>
      <c r="F3406" s="102"/>
      <c r="G3406" s="102"/>
      <c r="I3406" s="93"/>
      <c r="J3406" s="93"/>
    </row>
    <row r="3407" spans="1:10" s="65" customFormat="1" ht="14" x14ac:dyDescent="0.35">
      <c r="A3407" s="145"/>
      <c r="E3407" s="102"/>
      <c r="F3407" s="102"/>
      <c r="G3407" s="102"/>
      <c r="I3407" s="93"/>
      <c r="J3407" s="93"/>
    </row>
    <row r="3408" spans="1:10" s="65" customFormat="1" ht="14" x14ac:dyDescent="0.35">
      <c r="A3408" s="145"/>
      <c r="E3408" s="102"/>
      <c r="F3408" s="102"/>
      <c r="G3408" s="102"/>
      <c r="I3408" s="93"/>
      <c r="J3408" s="93"/>
    </row>
    <row r="3409" spans="1:10" s="65" customFormat="1" ht="14" x14ac:dyDescent="0.35">
      <c r="A3409" s="145"/>
      <c r="E3409" s="102"/>
      <c r="F3409" s="102"/>
      <c r="G3409" s="102"/>
      <c r="I3409" s="93"/>
      <c r="J3409" s="93"/>
    </row>
    <row r="3410" spans="1:10" s="65" customFormat="1" ht="14" x14ac:dyDescent="0.35">
      <c r="A3410" s="145"/>
      <c r="E3410" s="102"/>
      <c r="F3410" s="102"/>
      <c r="G3410" s="102"/>
      <c r="I3410" s="93"/>
      <c r="J3410" s="93"/>
    </row>
    <row r="3411" spans="1:10" s="65" customFormat="1" ht="14" x14ac:dyDescent="0.35">
      <c r="A3411" s="145"/>
      <c r="E3411" s="102"/>
      <c r="F3411" s="102"/>
      <c r="G3411" s="102"/>
      <c r="I3411" s="93"/>
      <c r="J3411" s="93"/>
    </row>
    <row r="3412" spans="1:10" s="65" customFormat="1" ht="14" x14ac:dyDescent="0.35">
      <c r="A3412" s="145"/>
      <c r="E3412" s="102"/>
      <c r="F3412" s="102"/>
      <c r="G3412" s="102"/>
      <c r="I3412" s="93"/>
      <c r="J3412" s="93"/>
    </row>
    <row r="3413" spans="1:10" s="65" customFormat="1" ht="14" x14ac:dyDescent="0.35">
      <c r="A3413" s="145"/>
      <c r="E3413" s="102"/>
      <c r="F3413" s="102"/>
      <c r="G3413" s="102"/>
      <c r="I3413" s="93"/>
      <c r="J3413" s="93"/>
    </row>
    <row r="3414" spans="1:10" s="65" customFormat="1" ht="14" x14ac:dyDescent="0.35">
      <c r="A3414" s="145"/>
      <c r="E3414" s="102"/>
      <c r="F3414" s="102"/>
      <c r="G3414" s="102"/>
      <c r="I3414" s="93"/>
      <c r="J3414" s="93"/>
    </row>
    <row r="3415" spans="1:10" s="65" customFormat="1" ht="14" x14ac:dyDescent="0.35">
      <c r="A3415" s="145"/>
      <c r="E3415" s="102"/>
      <c r="F3415" s="102"/>
      <c r="G3415" s="102"/>
      <c r="I3415" s="93"/>
      <c r="J3415" s="93"/>
    </row>
    <row r="3416" spans="1:10" s="65" customFormat="1" ht="14" x14ac:dyDescent="0.35">
      <c r="A3416" s="145"/>
      <c r="E3416" s="102"/>
      <c r="F3416" s="102"/>
      <c r="G3416" s="102"/>
      <c r="I3416" s="93"/>
      <c r="J3416" s="93"/>
    </row>
    <row r="3417" spans="1:10" s="65" customFormat="1" ht="14" x14ac:dyDescent="0.35">
      <c r="A3417" s="145"/>
      <c r="E3417" s="102"/>
      <c r="F3417" s="102"/>
      <c r="G3417" s="102"/>
      <c r="I3417" s="93"/>
      <c r="J3417" s="93"/>
    </row>
    <row r="3418" spans="1:10" s="65" customFormat="1" ht="14" x14ac:dyDescent="0.35">
      <c r="A3418" s="145"/>
      <c r="E3418" s="102"/>
      <c r="F3418" s="102"/>
      <c r="G3418" s="102"/>
      <c r="I3418" s="93"/>
      <c r="J3418" s="93"/>
    </row>
    <row r="3419" spans="1:10" s="65" customFormat="1" ht="14" x14ac:dyDescent="0.35">
      <c r="A3419" s="145"/>
      <c r="E3419" s="102"/>
      <c r="F3419" s="102"/>
      <c r="G3419" s="102"/>
      <c r="I3419" s="93"/>
      <c r="J3419" s="93"/>
    </row>
    <row r="3420" spans="1:10" s="65" customFormat="1" ht="14" x14ac:dyDescent="0.35">
      <c r="A3420" s="145"/>
      <c r="E3420" s="102"/>
      <c r="F3420" s="102"/>
      <c r="G3420" s="102"/>
      <c r="I3420" s="93"/>
      <c r="J3420" s="93"/>
    </row>
    <row r="3421" spans="1:10" s="65" customFormat="1" ht="14" x14ac:dyDescent="0.35">
      <c r="A3421" s="145"/>
      <c r="E3421" s="102"/>
      <c r="F3421" s="102"/>
      <c r="G3421" s="102"/>
      <c r="I3421" s="93"/>
      <c r="J3421" s="93"/>
    </row>
    <row r="3422" spans="1:10" s="65" customFormat="1" ht="14" x14ac:dyDescent="0.35">
      <c r="A3422" s="145"/>
      <c r="E3422" s="102"/>
      <c r="F3422" s="102"/>
      <c r="G3422" s="102"/>
      <c r="I3422" s="93"/>
      <c r="J3422" s="93"/>
    </row>
    <row r="3423" spans="1:10" s="65" customFormat="1" ht="14" x14ac:dyDescent="0.35">
      <c r="A3423" s="145"/>
      <c r="E3423" s="102"/>
      <c r="F3423" s="102"/>
      <c r="G3423" s="102"/>
      <c r="I3423" s="93"/>
      <c r="J3423" s="93"/>
    </row>
    <row r="3424" spans="1:10" s="65" customFormat="1" ht="14" x14ac:dyDescent="0.35">
      <c r="A3424" s="145"/>
      <c r="E3424" s="102"/>
      <c r="F3424" s="102"/>
      <c r="G3424" s="102"/>
      <c r="I3424" s="93"/>
      <c r="J3424" s="93"/>
    </row>
    <row r="3425" spans="1:10" s="65" customFormat="1" ht="14" x14ac:dyDescent="0.35">
      <c r="A3425" s="145"/>
      <c r="E3425" s="102"/>
      <c r="F3425" s="102"/>
      <c r="G3425" s="102"/>
      <c r="I3425" s="93"/>
      <c r="J3425" s="93"/>
    </row>
    <row r="3426" spans="1:10" s="65" customFormat="1" ht="14" x14ac:dyDescent="0.35">
      <c r="A3426" s="145"/>
      <c r="E3426" s="102"/>
      <c r="F3426" s="102"/>
      <c r="G3426" s="102"/>
      <c r="I3426" s="93"/>
      <c r="J3426" s="93"/>
    </row>
    <row r="3427" spans="1:10" s="65" customFormat="1" ht="14" x14ac:dyDescent="0.35">
      <c r="A3427" s="145"/>
      <c r="E3427" s="102"/>
      <c r="F3427" s="102"/>
      <c r="G3427" s="102"/>
      <c r="I3427" s="93"/>
      <c r="J3427" s="93"/>
    </row>
    <row r="3428" spans="1:10" s="65" customFormat="1" ht="14" x14ac:dyDescent="0.35">
      <c r="A3428" s="145"/>
      <c r="E3428" s="102"/>
      <c r="F3428" s="102"/>
      <c r="G3428" s="102"/>
      <c r="I3428" s="93"/>
      <c r="J3428" s="93"/>
    </row>
    <row r="3429" spans="1:10" s="65" customFormat="1" ht="14" x14ac:dyDescent="0.35">
      <c r="A3429" s="145"/>
      <c r="E3429" s="102"/>
      <c r="F3429" s="102"/>
      <c r="G3429" s="102"/>
      <c r="I3429" s="93"/>
      <c r="J3429" s="93"/>
    </row>
    <row r="3430" spans="1:10" s="65" customFormat="1" ht="14" x14ac:dyDescent="0.35">
      <c r="A3430" s="145"/>
      <c r="E3430" s="102"/>
      <c r="F3430" s="102"/>
      <c r="G3430" s="102"/>
      <c r="I3430" s="93"/>
      <c r="J3430" s="93"/>
    </row>
    <row r="3431" spans="1:10" s="65" customFormat="1" ht="14" x14ac:dyDescent="0.35">
      <c r="A3431" s="145"/>
      <c r="E3431" s="102"/>
      <c r="F3431" s="102"/>
      <c r="G3431" s="102"/>
      <c r="I3431" s="93"/>
      <c r="J3431" s="93"/>
    </row>
    <row r="3432" spans="1:10" s="65" customFormat="1" ht="14" x14ac:dyDescent="0.35">
      <c r="A3432" s="145"/>
      <c r="E3432" s="102"/>
      <c r="F3432" s="102"/>
      <c r="G3432" s="102"/>
      <c r="I3432" s="93"/>
      <c r="J3432" s="93"/>
    </row>
    <row r="3433" spans="1:10" s="65" customFormat="1" ht="14" x14ac:dyDescent="0.35">
      <c r="A3433" s="145"/>
      <c r="E3433" s="102"/>
      <c r="F3433" s="102"/>
      <c r="G3433" s="102"/>
      <c r="I3433" s="93"/>
      <c r="J3433" s="93"/>
    </row>
    <row r="3434" spans="1:10" s="65" customFormat="1" ht="14" x14ac:dyDescent="0.35">
      <c r="A3434" s="145"/>
      <c r="E3434" s="102"/>
      <c r="F3434" s="102"/>
      <c r="G3434" s="102"/>
      <c r="I3434" s="93"/>
      <c r="J3434" s="93"/>
    </row>
    <row r="3435" spans="1:10" s="65" customFormat="1" ht="14" x14ac:dyDescent="0.35">
      <c r="A3435" s="145"/>
      <c r="E3435" s="102"/>
      <c r="F3435" s="102"/>
      <c r="G3435" s="102"/>
      <c r="I3435" s="93"/>
      <c r="J3435" s="93"/>
    </row>
    <row r="3436" spans="1:10" s="65" customFormat="1" ht="14" x14ac:dyDescent="0.35">
      <c r="A3436" s="145"/>
      <c r="E3436" s="102"/>
      <c r="F3436" s="102"/>
      <c r="G3436" s="102"/>
      <c r="I3436" s="93"/>
      <c r="J3436" s="93"/>
    </row>
    <row r="3437" spans="1:10" s="65" customFormat="1" ht="14" x14ac:dyDescent="0.35">
      <c r="A3437" s="145"/>
      <c r="E3437" s="102"/>
      <c r="F3437" s="102"/>
      <c r="G3437" s="102"/>
      <c r="I3437" s="93"/>
      <c r="J3437" s="93"/>
    </row>
    <row r="3438" spans="1:10" s="65" customFormat="1" ht="14" x14ac:dyDescent="0.35">
      <c r="A3438" s="145"/>
      <c r="E3438" s="102"/>
      <c r="F3438" s="102"/>
      <c r="G3438" s="102"/>
      <c r="I3438" s="93"/>
      <c r="J3438" s="93"/>
    </row>
    <row r="3439" spans="1:10" s="65" customFormat="1" ht="14" x14ac:dyDescent="0.35">
      <c r="A3439" s="145"/>
      <c r="E3439" s="102"/>
      <c r="F3439" s="102"/>
      <c r="G3439" s="102"/>
      <c r="I3439" s="93"/>
      <c r="J3439" s="93"/>
    </row>
    <row r="3440" spans="1:10" s="65" customFormat="1" ht="14" x14ac:dyDescent="0.35">
      <c r="A3440" s="145"/>
      <c r="E3440" s="102"/>
      <c r="F3440" s="102"/>
      <c r="G3440" s="102"/>
      <c r="I3440" s="93"/>
      <c r="J3440" s="93"/>
    </row>
    <row r="3441" spans="1:10" s="65" customFormat="1" ht="14" x14ac:dyDescent="0.35">
      <c r="A3441" s="145"/>
      <c r="E3441" s="102"/>
      <c r="F3441" s="102"/>
      <c r="G3441" s="102"/>
      <c r="I3441" s="93"/>
      <c r="J3441" s="93"/>
    </row>
    <row r="3442" spans="1:10" s="65" customFormat="1" ht="14" x14ac:dyDescent="0.35">
      <c r="A3442" s="145"/>
      <c r="E3442" s="102"/>
      <c r="F3442" s="102"/>
      <c r="G3442" s="102"/>
      <c r="I3442" s="93"/>
      <c r="J3442" s="93"/>
    </row>
    <row r="3443" spans="1:10" s="65" customFormat="1" ht="14" x14ac:dyDescent="0.35">
      <c r="A3443" s="145"/>
      <c r="E3443" s="102"/>
      <c r="F3443" s="102"/>
      <c r="G3443" s="102"/>
      <c r="I3443" s="93"/>
      <c r="J3443" s="93"/>
    </row>
    <row r="3444" spans="1:10" s="65" customFormat="1" ht="14" x14ac:dyDescent="0.35">
      <c r="A3444" s="145"/>
      <c r="E3444" s="102"/>
      <c r="F3444" s="102"/>
      <c r="G3444" s="102"/>
      <c r="I3444" s="93"/>
      <c r="J3444" s="93"/>
    </row>
    <row r="3445" spans="1:10" s="65" customFormat="1" ht="14" x14ac:dyDescent="0.35">
      <c r="A3445" s="145"/>
      <c r="E3445" s="102"/>
      <c r="F3445" s="102"/>
      <c r="G3445" s="102"/>
      <c r="I3445" s="93"/>
      <c r="J3445" s="93"/>
    </row>
    <row r="3446" spans="1:10" s="65" customFormat="1" ht="14" x14ac:dyDescent="0.35">
      <c r="A3446" s="145"/>
      <c r="E3446" s="102"/>
      <c r="F3446" s="102"/>
      <c r="G3446" s="102"/>
      <c r="I3446" s="93"/>
      <c r="J3446" s="93"/>
    </row>
    <row r="3447" spans="1:10" s="65" customFormat="1" ht="14" x14ac:dyDescent="0.35">
      <c r="A3447" s="145"/>
      <c r="E3447" s="102"/>
      <c r="F3447" s="102"/>
      <c r="G3447" s="102"/>
      <c r="I3447" s="93"/>
      <c r="J3447" s="93"/>
    </row>
    <row r="3448" spans="1:10" s="65" customFormat="1" ht="14" x14ac:dyDescent="0.35">
      <c r="A3448" s="145"/>
      <c r="E3448" s="102"/>
      <c r="F3448" s="102"/>
      <c r="G3448" s="102"/>
      <c r="I3448" s="93"/>
      <c r="J3448" s="93"/>
    </row>
    <row r="3449" spans="1:10" s="65" customFormat="1" ht="14" x14ac:dyDescent="0.35">
      <c r="A3449" s="145"/>
      <c r="E3449" s="102"/>
      <c r="F3449" s="102"/>
      <c r="G3449" s="102"/>
      <c r="I3449" s="93"/>
      <c r="J3449" s="93"/>
    </row>
    <row r="3450" spans="1:10" s="65" customFormat="1" ht="14" x14ac:dyDescent="0.35">
      <c r="A3450" s="145"/>
      <c r="E3450" s="102"/>
      <c r="F3450" s="102"/>
      <c r="G3450" s="102"/>
      <c r="I3450" s="93"/>
      <c r="J3450" s="93"/>
    </row>
    <row r="3451" spans="1:10" s="65" customFormat="1" ht="14" x14ac:dyDescent="0.35">
      <c r="A3451" s="145"/>
      <c r="E3451" s="102"/>
      <c r="F3451" s="102"/>
      <c r="G3451" s="102"/>
      <c r="I3451" s="93"/>
      <c r="J3451" s="93"/>
    </row>
    <row r="3452" spans="1:10" s="65" customFormat="1" ht="14" x14ac:dyDescent="0.35">
      <c r="A3452" s="145"/>
      <c r="E3452" s="102"/>
      <c r="F3452" s="102"/>
      <c r="G3452" s="102"/>
      <c r="I3452" s="93"/>
      <c r="J3452" s="93"/>
    </row>
    <row r="3453" spans="1:10" s="65" customFormat="1" ht="14" x14ac:dyDescent="0.35">
      <c r="A3453" s="145"/>
      <c r="E3453" s="102"/>
      <c r="F3453" s="102"/>
      <c r="G3453" s="102"/>
      <c r="I3453" s="93"/>
      <c r="J3453" s="93"/>
    </row>
    <row r="3454" spans="1:10" s="65" customFormat="1" ht="14" x14ac:dyDescent="0.35">
      <c r="A3454" s="145"/>
      <c r="E3454" s="102"/>
      <c r="F3454" s="102"/>
      <c r="G3454" s="102"/>
      <c r="I3454" s="93"/>
      <c r="J3454" s="93"/>
    </row>
    <row r="3455" spans="1:10" s="65" customFormat="1" ht="14" x14ac:dyDescent="0.35">
      <c r="A3455" s="145"/>
      <c r="E3455" s="102"/>
      <c r="F3455" s="102"/>
      <c r="G3455" s="102"/>
      <c r="I3455" s="93"/>
      <c r="J3455" s="93"/>
    </row>
    <row r="3456" spans="1:10" s="65" customFormat="1" ht="14" x14ac:dyDescent="0.35">
      <c r="A3456" s="145"/>
      <c r="E3456" s="102"/>
      <c r="F3456" s="102"/>
      <c r="G3456" s="102"/>
      <c r="I3456" s="93"/>
      <c r="J3456" s="93"/>
    </row>
    <row r="3457" spans="1:10" s="65" customFormat="1" ht="14" x14ac:dyDescent="0.35">
      <c r="A3457" s="145"/>
      <c r="E3457" s="102"/>
      <c r="F3457" s="102"/>
      <c r="G3457" s="102"/>
      <c r="I3457" s="93"/>
      <c r="J3457" s="93"/>
    </row>
    <row r="3458" spans="1:10" s="65" customFormat="1" ht="14" x14ac:dyDescent="0.35">
      <c r="A3458" s="145"/>
      <c r="E3458" s="102"/>
      <c r="F3458" s="102"/>
      <c r="G3458" s="102"/>
      <c r="I3458" s="93"/>
      <c r="J3458" s="93"/>
    </row>
    <row r="3459" spans="1:10" s="65" customFormat="1" ht="14" x14ac:dyDescent="0.35">
      <c r="A3459" s="145"/>
      <c r="E3459" s="102"/>
      <c r="F3459" s="102"/>
      <c r="G3459" s="102"/>
      <c r="I3459" s="93"/>
      <c r="J3459" s="93"/>
    </row>
    <row r="3460" spans="1:10" s="65" customFormat="1" ht="14" x14ac:dyDescent="0.35">
      <c r="A3460" s="145"/>
      <c r="E3460" s="102"/>
      <c r="F3460" s="102"/>
      <c r="G3460" s="102"/>
      <c r="I3460" s="93"/>
      <c r="J3460" s="93"/>
    </row>
    <row r="3461" spans="1:10" s="65" customFormat="1" ht="14" x14ac:dyDescent="0.35">
      <c r="A3461" s="145"/>
      <c r="E3461" s="102"/>
      <c r="F3461" s="102"/>
      <c r="G3461" s="102"/>
      <c r="I3461" s="93"/>
      <c r="J3461" s="93"/>
    </row>
    <row r="3462" spans="1:10" s="65" customFormat="1" ht="14" x14ac:dyDescent="0.35">
      <c r="A3462" s="145"/>
      <c r="E3462" s="102"/>
      <c r="F3462" s="102"/>
      <c r="G3462" s="102"/>
      <c r="I3462" s="93"/>
      <c r="J3462" s="93"/>
    </row>
    <row r="3463" spans="1:10" s="65" customFormat="1" ht="14" x14ac:dyDescent="0.35">
      <c r="A3463" s="145"/>
      <c r="E3463" s="102"/>
      <c r="F3463" s="102"/>
      <c r="G3463" s="102"/>
      <c r="I3463" s="93"/>
      <c r="J3463" s="93"/>
    </row>
    <row r="3464" spans="1:10" s="65" customFormat="1" ht="14" x14ac:dyDescent="0.35">
      <c r="A3464" s="145"/>
      <c r="E3464" s="102"/>
      <c r="F3464" s="102"/>
      <c r="G3464" s="102"/>
      <c r="I3464" s="93"/>
      <c r="J3464" s="93"/>
    </row>
    <row r="3465" spans="1:10" s="65" customFormat="1" ht="14" x14ac:dyDescent="0.35">
      <c r="A3465" s="145"/>
      <c r="E3465" s="102"/>
      <c r="F3465" s="102"/>
      <c r="G3465" s="102"/>
      <c r="I3465" s="93"/>
      <c r="J3465" s="93"/>
    </row>
    <row r="3466" spans="1:10" s="65" customFormat="1" ht="14" x14ac:dyDescent="0.35">
      <c r="A3466" s="145"/>
      <c r="E3466" s="102"/>
      <c r="F3466" s="102"/>
      <c r="G3466" s="102"/>
      <c r="I3466" s="93"/>
      <c r="J3466" s="93"/>
    </row>
    <row r="3467" spans="1:10" s="65" customFormat="1" ht="14" x14ac:dyDescent="0.35">
      <c r="A3467" s="145"/>
      <c r="E3467" s="102"/>
      <c r="F3467" s="102"/>
      <c r="G3467" s="102"/>
      <c r="I3467" s="93"/>
      <c r="J3467" s="93"/>
    </row>
    <row r="3468" spans="1:10" s="65" customFormat="1" ht="14" x14ac:dyDescent="0.35">
      <c r="A3468" s="145"/>
      <c r="E3468" s="102"/>
      <c r="F3468" s="102"/>
      <c r="G3468" s="102"/>
      <c r="I3468" s="93"/>
      <c r="J3468" s="93"/>
    </row>
    <row r="3469" spans="1:10" s="65" customFormat="1" ht="14" x14ac:dyDescent="0.35">
      <c r="A3469" s="145"/>
      <c r="E3469" s="102"/>
      <c r="F3469" s="102"/>
      <c r="G3469" s="102"/>
      <c r="I3469" s="93"/>
      <c r="J3469" s="93"/>
    </row>
    <row r="3470" spans="1:10" s="65" customFormat="1" ht="14" x14ac:dyDescent="0.35">
      <c r="A3470" s="145"/>
      <c r="E3470" s="102"/>
      <c r="F3470" s="102"/>
      <c r="G3470" s="102"/>
      <c r="I3470" s="93"/>
      <c r="J3470" s="93"/>
    </row>
    <row r="3471" spans="1:10" s="65" customFormat="1" ht="14" x14ac:dyDescent="0.35">
      <c r="A3471" s="145"/>
      <c r="E3471" s="102"/>
      <c r="F3471" s="102"/>
      <c r="G3471" s="102"/>
      <c r="I3471" s="93"/>
      <c r="J3471" s="93"/>
    </row>
    <row r="3472" spans="1:10" s="65" customFormat="1" ht="14" x14ac:dyDescent="0.35">
      <c r="A3472" s="145"/>
      <c r="E3472" s="102"/>
      <c r="F3472" s="102"/>
      <c r="G3472" s="102"/>
      <c r="I3472" s="93"/>
      <c r="J3472" s="93"/>
    </row>
    <row r="3473" spans="1:10" s="65" customFormat="1" ht="14" x14ac:dyDescent="0.35">
      <c r="A3473" s="145"/>
      <c r="E3473" s="102"/>
      <c r="F3473" s="102"/>
      <c r="G3473" s="102"/>
      <c r="I3473" s="93"/>
      <c r="J3473" s="93"/>
    </row>
    <row r="3474" spans="1:10" s="65" customFormat="1" ht="14" x14ac:dyDescent="0.35">
      <c r="A3474" s="145"/>
      <c r="E3474" s="102"/>
      <c r="F3474" s="102"/>
      <c r="G3474" s="102"/>
      <c r="I3474" s="93"/>
      <c r="J3474" s="93"/>
    </row>
    <row r="3475" spans="1:10" s="65" customFormat="1" ht="14" x14ac:dyDescent="0.35">
      <c r="A3475" s="145"/>
      <c r="E3475" s="102"/>
      <c r="F3475" s="102"/>
      <c r="G3475" s="102"/>
      <c r="I3475" s="93"/>
      <c r="J3475" s="93"/>
    </row>
    <row r="3476" spans="1:10" s="65" customFormat="1" ht="14" x14ac:dyDescent="0.35">
      <c r="A3476" s="145"/>
      <c r="E3476" s="102"/>
      <c r="F3476" s="102"/>
      <c r="G3476" s="102"/>
      <c r="I3476" s="93"/>
      <c r="J3476" s="93"/>
    </row>
    <row r="3477" spans="1:10" s="65" customFormat="1" ht="14" x14ac:dyDescent="0.35">
      <c r="A3477" s="145"/>
      <c r="E3477" s="102"/>
      <c r="F3477" s="102"/>
      <c r="G3477" s="102"/>
      <c r="I3477" s="93"/>
      <c r="J3477" s="93"/>
    </row>
    <row r="3478" spans="1:10" s="65" customFormat="1" ht="14" x14ac:dyDescent="0.35">
      <c r="A3478" s="145"/>
      <c r="E3478" s="102"/>
      <c r="F3478" s="102"/>
      <c r="G3478" s="102"/>
      <c r="I3478" s="93"/>
      <c r="J3478" s="93"/>
    </row>
    <row r="3479" spans="1:10" s="65" customFormat="1" ht="14" x14ac:dyDescent="0.35">
      <c r="A3479" s="145"/>
      <c r="E3479" s="102"/>
      <c r="F3479" s="102"/>
      <c r="G3479" s="102"/>
      <c r="I3479" s="93"/>
      <c r="J3479" s="93"/>
    </row>
    <row r="3480" spans="1:10" s="65" customFormat="1" ht="14" x14ac:dyDescent="0.35">
      <c r="A3480" s="145"/>
      <c r="E3480" s="102"/>
      <c r="F3480" s="102"/>
      <c r="G3480" s="102"/>
      <c r="I3480" s="93"/>
      <c r="J3480" s="93"/>
    </row>
    <row r="3481" spans="1:10" s="65" customFormat="1" ht="14" x14ac:dyDescent="0.35">
      <c r="A3481" s="145"/>
      <c r="E3481" s="102"/>
      <c r="F3481" s="102"/>
      <c r="G3481" s="102"/>
      <c r="I3481" s="93"/>
      <c r="J3481" s="93"/>
    </row>
    <row r="3482" spans="1:10" s="65" customFormat="1" ht="14" x14ac:dyDescent="0.35">
      <c r="A3482" s="145"/>
      <c r="E3482" s="102"/>
      <c r="F3482" s="102"/>
      <c r="G3482" s="102"/>
      <c r="I3482" s="93"/>
      <c r="J3482" s="93"/>
    </row>
    <row r="3483" spans="1:10" s="65" customFormat="1" ht="14" x14ac:dyDescent="0.35">
      <c r="A3483" s="145"/>
      <c r="E3483" s="102"/>
      <c r="F3483" s="102"/>
      <c r="G3483" s="102"/>
      <c r="I3483" s="93"/>
      <c r="J3483" s="93"/>
    </row>
    <row r="3484" spans="1:10" s="65" customFormat="1" ht="14" x14ac:dyDescent="0.35">
      <c r="A3484" s="145"/>
      <c r="E3484" s="102"/>
      <c r="F3484" s="102"/>
      <c r="G3484" s="102"/>
      <c r="I3484" s="93"/>
      <c r="J3484" s="93"/>
    </row>
    <row r="3485" spans="1:10" s="65" customFormat="1" ht="14" x14ac:dyDescent="0.35">
      <c r="A3485" s="145"/>
      <c r="E3485" s="102"/>
      <c r="F3485" s="102"/>
      <c r="G3485" s="102"/>
      <c r="I3485" s="93"/>
      <c r="J3485" s="93"/>
    </row>
    <row r="3486" spans="1:10" s="65" customFormat="1" ht="14" x14ac:dyDescent="0.35">
      <c r="A3486" s="145"/>
      <c r="E3486" s="102"/>
      <c r="F3486" s="102"/>
      <c r="G3486" s="102"/>
      <c r="I3486" s="93"/>
      <c r="J3486" s="93"/>
    </row>
    <row r="3487" spans="1:10" s="65" customFormat="1" ht="14" x14ac:dyDescent="0.35">
      <c r="A3487" s="145"/>
      <c r="E3487" s="102"/>
      <c r="F3487" s="102"/>
      <c r="G3487" s="102"/>
      <c r="I3487" s="93"/>
      <c r="J3487" s="93"/>
    </row>
    <row r="3488" spans="1:10" s="65" customFormat="1" ht="14" x14ac:dyDescent="0.35">
      <c r="A3488" s="145"/>
      <c r="E3488" s="102"/>
      <c r="F3488" s="102"/>
      <c r="G3488" s="102"/>
      <c r="I3488" s="93"/>
      <c r="J3488" s="93"/>
    </row>
    <row r="3489" spans="1:10" s="65" customFormat="1" ht="14" x14ac:dyDescent="0.35">
      <c r="A3489" s="145"/>
      <c r="E3489" s="102"/>
      <c r="F3489" s="102"/>
      <c r="G3489" s="102"/>
      <c r="I3489" s="93"/>
      <c r="J3489" s="93"/>
    </row>
    <row r="3490" spans="1:10" s="65" customFormat="1" ht="14" x14ac:dyDescent="0.35">
      <c r="A3490" s="145"/>
      <c r="E3490" s="102"/>
      <c r="F3490" s="102"/>
      <c r="G3490" s="102"/>
      <c r="I3490" s="93"/>
      <c r="J3490" s="93"/>
    </row>
    <row r="3491" spans="1:10" s="65" customFormat="1" ht="14" x14ac:dyDescent="0.35">
      <c r="A3491" s="145"/>
      <c r="E3491" s="102"/>
      <c r="F3491" s="102"/>
      <c r="G3491" s="102"/>
      <c r="I3491" s="93"/>
      <c r="J3491" s="93"/>
    </row>
    <row r="3492" spans="1:10" s="65" customFormat="1" ht="14" x14ac:dyDescent="0.35">
      <c r="A3492" s="145"/>
      <c r="E3492" s="102"/>
      <c r="F3492" s="102"/>
      <c r="G3492" s="102"/>
      <c r="I3492" s="93"/>
      <c r="J3492" s="93"/>
    </row>
    <row r="3493" spans="1:10" s="65" customFormat="1" ht="14" x14ac:dyDescent="0.35">
      <c r="A3493" s="145"/>
      <c r="E3493" s="102"/>
      <c r="F3493" s="102"/>
      <c r="G3493" s="102"/>
      <c r="I3493" s="93"/>
      <c r="J3493" s="93"/>
    </row>
    <row r="3494" spans="1:10" s="65" customFormat="1" ht="14" x14ac:dyDescent="0.35">
      <c r="A3494" s="145"/>
      <c r="E3494" s="102"/>
      <c r="F3494" s="102"/>
      <c r="G3494" s="102"/>
      <c r="I3494" s="93"/>
      <c r="J3494" s="93"/>
    </row>
    <row r="3495" spans="1:10" s="65" customFormat="1" ht="14" x14ac:dyDescent="0.35">
      <c r="A3495" s="145"/>
      <c r="E3495" s="102"/>
      <c r="F3495" s="102"/>
      <c r="G3495" s="102"/>
      <c r="I3495" s="93"/>
      <c r="J3495" s="93"/>
    </row>
    <row r="3496" spans="1:10" s="65" customFormat="1" ht="14" x14ac:dyDescent="0.35">
      <c r="A3496" s="145"/>
      <c r="E3496" s="102"/>
      <c r="F3496" s="102"/>
      <c r="G3496" s="102"/>
      <c r="I3496" s="93"/>
      <c r="J3496" s="93"/>
    </row>
    <row r="3497" spans="1:10" s="65" customFormat="1" ht="14" x14ac:dyDescent="0.35">
      <c r="A3497" s="145"/>
      <c r="E3497" s="102"/>
      <c r="F3497" s="102"/>
      <c r="G3497" s="102"/>
      <c r="I3497" s="93"/>
      <c r="J3497" s="93"/>
    </row>
    <row r="3498" spans="1:10" s="65" customFormat="1" ht="14" x14ac:dyDescent="0.35">
      <c r="A3498" s="145"/>
      <c r="E3498" s="102"/>
      <c r="F3498" s="102"/>
      <c r="G3498" s="102"/>
      <c r="I3498" s="93"/>
      <c r="J3498" s="93"/>
    </row>
    <row r="3499" spans="1:10" s="65" customFormat="1" ht="14" x14ac:dyDescent="0.35">
      <c r="A3499" s="145"/>
      <c r="E3499" s="102"/>
      <c r="F3499" s="102"/>
      <c r="G3499" s="102"/>
      <c r="I3499" s="93"/>
      <c r="J3499" s="93"/>
    </row>
    <row r="3500" spans="1:10" s="65" customFormat="1" ht="14" x14ac:dyDescent="0.35">
      <c r="A3500" s="145"/>
      <c r="E3500" s="102"/>
      <c r="F3500" s="102"/>
      <c r="G3500" s="102"/>
      <c r="I3500" s="93"/>
      <c r="J3500" s="93"/>
    </row>
    <row r="3501" spans="1:10" s="65" customFormat="1" ht="14" x14ac:dyDescent="0.35">
      <c r="A3501" s="145"/>
      <c r="E3501" s="102"/>
      <c r="F3501" s="102"/>
      <c r="G3501" s="102"/>
      <c r="I3501" s="93"/>
      <c r="J3501" s="93"/>
    </row>
    <row r="3502" spans="1:10" s="65" customFormat="1" ht="14" x14ac:dyDescent="0.35">
      <c r="A3502" s="145"/>
      <c r="E3502" s="102"/>
      <c r="F3502" s="102"/>
      <c r="G3502" s="102"/>
      <c r="I3502" s="93"/>
      <c r="J3502" s="93"/>
    </row>
    <row r="3503" spans="1:10" s="65" customFormat="1" ht="14" x14ac:dyDescent="0.35">
      <c r="A3503" s="145"/>
      <c r="E3503" s="102"/>
      <c r="F3503" s="102"/>
      <c r="G3503" s="102"/>
      <c r="I3503" s="93"/>
      <c r="J3503" s="93"/>
    </row>
    <row r="3504" spans="1:10" s="65" customFormat="1" ht="14" x14ac:dyDescent="0.35">
      <c r="A3504" s="145"/>
      <c r="E3504" s="102"/>
      <c r="F3504" s="102"/>
      <c r="G3504" s="102"/>
      <c r="I3504" s="93"/>
      <c r="J3504" s="93"/>
    </row>
    <row r="3505" spans="1:10" s="65" customFormat="1" ht="14" x14ac:dyDescent="0.35">
      <c r="A3505" s="145"/>
      <c r="E3505" s="102"/>
      <c r="F3505" s="102"/>
      <c r="G3505" s="102"/>
      <c r="I3505" s="93"/>
      <c r="J3505" s="93"/>
    </row>
    <row r="3506" spans="1:10" s="65" customFormat="1" ht="14" x14ac:dyDescent="0.35">
      <c r="A3506" s="145"/>
      <c r="E3506" s="102"/>
      <c r="F3506" s="102"/>
      <c r="G3506" s="102"/>
      <c r="I3506" s="93"/>
      <c r="J3506" s="93"/>
    </row>
    <row r="3507" spans="1:10" s="65" customFormat="1" ht="14" x14ac:dyDescent="0.35">
      <c r="A3507" s="145"/>
      <c r="E3507" s="102"/>
      <c r="F3507" s="102"/>
      <c r="G3507" s="102"/>
      <c r="I3507" s="93"/>
      <c r="J3507" s="93"/>
    </row>
    <row r="3508" spans="1:10" s="65" customFormat="1" ht="14" x14ac:dyDescent="0.35">
      <c r="A3508" s="145"/>
      <c r="E3508" s="102"/>
      <c r="F3508" s="102"/>
      <c r="G3508" s="102"/>
      <c r="I3508" s="93"/>
      <c r="J3508" s="93"/>
    </row>
    <row r="3509" spans="1:10" s="65" customFormat="1" ht="14" x14ac:dyDescent="0.35">
      <c r="A3509" s="145"/>
      <c r="E3509" s="102"/>
      <c r="F3509" s="102"/>
      <c r="G3509" s="102"/>
      <c r="I3509" s="93"/>
      <c r="J3509" s="93"/>
    </row>
    <row r="3510" spans="1:10" s="65" customFormat="1" ht="14" x14ac:dyDescent="0.35">
      <c r="A3510" s="145"/>
      <c r="E3510" s="102"/>
      <c r="F3510" s="102"/>
      <c r="G3510" s="102"/>
      <c r="I3510" s="93"/>
      <c r="J3510" s="93"/>
    </row>
    <row r="3511" spans="1:10" s="65" customFormat="1" ht="14" x14ac:dyDescent="0.35">
      <c r="A3511" s="145"/>
      <c r="E3511" s="102"/>
      <c r="F3511" s="102"/>
      <c r="G3511" s="102"/>
      <c r="I3511" s="93"/>
      <c r="J3511" s="93"/>
    </row>
    <row r="3512" spans="1:10" s="65" customFormat="1" ht="14" x14ac:dyDescent="0.35">
      <c r="A3512" s="145"/>
      <c r="E3512" s="102"/>
      <c r="F3512" s="102"/>
      <c r="G3512" s="102"/>
      <c r="I3512" s="93"/>
      <c r="J3512" s="93"/>
    </row>
    <row r="3513" spans="1:10" s="65" customFormat="1" ht="14" x14ac:dyDescent="0.35">
      <c r="A3513" s="145"/>
      <c r="E3513" s="102"/>
      <c r="F3513" s="102"/>
      <c r="G3513" s="102"/>
      <c r="I3513" s="93"/>
      <c r="J3513" s="93"/>
    </row>
    <row r="3514" spans="1:10" s="65" customFormat="1" ht="14" x14ac:dyDescent="0.35">
      <c r="A3514" s="145"/>
      <c r="E3514" s="102"/>
      <c r="F3514" s="102"/>
      <c r="G3514" s="102"/>
      <c r="I3514" s="93"/>
      <c r="J3514" s="93"/>
    </row>
    <row r="3515" spans="1:10" s="65" customFormat="1" ht="14" x14ac:dyDescent="0.35">
      <c r="A3515" s="145"/>
      <c r="E3515" s="102"/>
      <c r="F3515" s="102"/>
      <c r="G3515" s="102"/>
      <c r="I3515" s="93"/>
      <c r="J3515" s="93"/>
    </row>
    <row r="3516" spans="1:10" s="65" customFormat="1" ht="14" x14ac:dyDescent="0.35">
      <c r="A3516" s="145"/>
      <c r="E3516" s="102"/>
      <c r="F3516" s="102"/>
      <c r="G3516" s="102"/>
      <c r="I3516" s="93"/>
      <c r="J3516" s="93"/>
    </row>
    <row r="3517" spans="1:10" s="65" customFormat="1" ht="14" x14ac:dyDescent="0.35">
      <c r="A3517" s="145"/>
      <c r="E3517" s="102"/>
      <c r="F3517" s="102"/>
      <c r="G3517" s="102"/>
      <c r="I3517" s="93"/>
      <c r="J3517" s="93"/>
    </row>
    <row r="3518" spans="1:10" s="65" customFormat="1" ht="14" x14ac:dyDescent="0.35">
      <c r="A3518" s="145"/>
      <c r="E3518" s="102"/>
      <c r="F3518" s="102"/>
      <c r="G3518" s="102"/>
      <c r="I3518" s="93"/>
      <c r="J3518" s="93"/>
    </row>
    <row r="3519" spans="1:10" s="65" customFormat="1" ht="14" x14ac:dyDescent="0.35">
      <c r="A3519" s="145"/>
      <c r="E3519" s="102"/>
      <c r="F3519" s="102"/>
      <c r="G3519" s="102"/>
      <c r="I3519" s="93"/>
      <c r="J3519" s="93"/>
    </row>
    <row r="3520" spans="1:10" s="65" customFormat="1" ht="14" x14ac:dyDescent="0.35">
      <c r="A3520" s="145"/>
      <c r="E3520" s="102"/>
      <c r="F3520" s="102"/>
      <c r="G3520" s="102"/>
      <c r="I3520" s="93"/>
      <c r="J3520" s="93"/>
    </row>
    <row r="3521" spans="1:10" s="65" customFormat="1" ht="14" x14ac:dyDescent="0.35">
      <c r="A3521" s="145"/>
      <c r="E3521" s="102"/>
      <c r="F3521" s="102"/>
      <c r="G3521" s="102"/>
      <c r="I3521" s="93"/>
      <c r="J3521" s="93"/>
    </row>
    <row r="3522" spans="1:10" s="65" customFormat="1" ht="14" x14ac:dyDescent="0.35">
      <c r="A3522" s="145"/>
      <c r="E3522" s="102"/>
      <c r="F3522" s="102"/>
      <c r="G3522" s="102"/>
      <c r="I3522" s="93"/>
      <c r="J3522" s="93"/>
    </row>
    <row r="3523" spans="1:10" s="65" customFormat="1" ht="14" x14ac:dyDescent="0.35">
      <c r="A3523" s="145"/>
      <c r="E3523" s="102"/>
      <c r="F3523" s="102"/>
      <c r="G3523" s="102"/>
      <c r="I3523" s="93"/>
      <c r="J3523" s="93"/>
    </row>
    <row r="3524" spans="1:10" s="65" customFormat="1" ht="14" x14ac:dyDescent="0.35">
      <c r="A3524" s="145"/>
      <c r="E3524" s="102"/>
      <c r="F3524" s="102"/>
      <c r="G3524" s="102"/>
      <c r="I3524" s="93"/>
      <c r="J3524" s="93"/>
    </row>
    <row r="3525" spans="1:10" s="65" customFormat="1" ht="14" x14ac:dyDescent="0.35">
      <c r="A3525" s="145"/>
      <c r="E3525" s="102"/>
      <c r="F3525" s="102"/>
      <c r="G3525" s="102"/>
      <c r="I3525" s="93"/>
      <c r="J3525" s="93"/>
    </row>
    <row r="3526" spans="1:10" s="65" customFormat="1" ht="14" x14ac:dyDescent="0.35">
      <c r="A3526" s="145"/>
      <c r="E3526" s="102"/>
      <c r="F3526" s="102"/>
      <c r="G3526" s="102"/>
      <c r="I3526" s="93"/>
      <c r="J3526" s="93"/>
    </row>
    <row r="3527" spans="1:10" s="65" customFormat="1" ht="14" x14ac:dyDescent="0.35">
      <c r="A3527" s="145"/>
      <c r="E3527" s="102"/>
      <c r="F3527" s="102"/>
      <c r="G3527" s="102"/>
      <c r="I3527" s="93"/>
      <c r="J3527" s="93"/>
    </row>
    <row r="3528" spans="1:10" s="65" customFormat="1" ht="14" x14ac:dyDescent="0.35">
      <c r="A3528" s="145"/>
      <c r="E3528" s="102"/>
      <c r="F3528" s="102"/>
      <c r="G3528" s="102"/>
      <c r="I3528" s="93"/>
      <c r="J3528" s="93"/>
    </row>
    <row r="3529" spans="1:10" s="65" customFormat="1" ht="14" x14ac:dyDescent="0.35">
      <c r="A3529" s="145"/>
      <c r="E3529" s="102"/>
      <c r="F3529" s="102"/>
      <c r="G3529" s="102"/>
      <c r="I3529" s="93"/>
      <c r="J3529" s="93"/>
    </row>
    <row r="3530" spans="1:10" s="65" customFormat="1" ht="14" x14ac:dyDescent="0.35">
      <c r="A3530" s="145"/>
      <c r="E3530" s="102"/>
      <c r="F3530" s="102"/>
      <c r="G3530" s="102"/>
      <c r="I3530" s="93"/>
      <c r="J3530" s="93"/>
    </row>
    <row r="3531" spans="1:10" s="65" customFormat="1" ht="14" x14ac:dyDescent="0.35">
      <c r="A3531" s="145"/>
      <c r="E3531" s="102"/>
      <c r="F3531" s="102"/>
      <c r="G3531" s="102"/>
      <c r="I3531" s="93"/>
      <c r="J3531" s="93"/>
    </row>
    <row r="3532" spans="1:10" s="65" customFormat="1" ht="14" x14ac:dyDescent="0.35">
      <c r="A3532" s="145"/>
      <c r="E3532" s="102"/>
      <c r="F3532" s="102"/>
      <c r="G3532" s="102"/>
      <c r="I3532" s="93"/>
      <c r="J3532" s="93"/>
    </row>
    <row r="3533" spans="1:10" s="65" customFormat="1" ht="14" x14ac:dyDescent="0.35">
      <c r="A3533" s="145"/>
      <c r="E3533" s="102"/>
      <c r="F3533" s="102"/>
      <c r="G3533" s="102"/>
      <c r="I3533" s="93"/>
      <c r="J3533" s="93"/>
    </row>
    <row r="3534" spans="1:10" s="65" customFormat="1" ht="14" x14ac:dyDescent="0.35">
      <c r="A3534" s="145"/>
      <c r="E3534" s="102"/>
      <c r="F3534" s="102"/>
      <c r="G3534" s="102"/>
      <c r="I3534" s="93"/>
      <c r="J3534" s="93"/>
    </row>
    <row r="3535" spans="1:10" s="65" customFormat="1" ht="14" x14ac:dyDescent="0.35">
      <c r="A3535" s="145"/>
      <c r="E3535" s="102"/>
      <c r="F3535" s="102"/>
      <c r="G3535" s="102"/>
      <c r="I3535" s="93"/>
      <c r="J3535" s="93"/>
    </row>
    <row r="3536" spans="1:10" s="65" customFormat="1" ht="14" x14ac:dyDescent="0.35">
      <c r="A3536" s="145"/>
      <c r="E3536" s="102"/>
      <c r="F3536" s="102"/>
      <c r="G3536" s="102"/>
      <c r="I3536" s="93"/>
      <c r="J3536" s="93"/>
    </row>
    <row r="3537" spans="1:10" s="65" customFormat="1" ht="14" x14ac:dyDescent="0.35">
      <c r="A3537" s="145"/>
      <c r="E3537" s="102"/>
      <c r="F3537" s="102"/>
      <c r="G3537" s="102"/>
      <c r="I3537" s="93"/>
      <c r="J3537" s="93"/>
    </row>
    <row r="3538" spans="1:10" s="65" customFormat="1" ht="14" x14ac:dyDescent="0.35">
      <c r="A3538" s="145"/>
      <c r="E3538" s="102"/>
      <c r="F3538" s="102"/>
      <c r="G3538" s="102"/>
      <c r="I3538" s="93"/>
      <c r="J3538" s="93"/>
    </row>
    <row r="3539" spans="1:10" s="65" customFormat="1" ht="14" x14ac:dyDescent="0.35">
      <c r="A3539" s="145"/>
      <c r="E3539" s="102"/>
      <c r="F3539" s="102"/>
      <c r="G3539" s="102"/>
      <c r="I3539" s="93"/>
      <c r="J3539" s="93"/>
    </row>
    <row r="3540" spans="1:10" s="65" customFormat="1" ht="14" x14ac:dyDescent="0.35">
      <c r="A3540" s="145"/>
      <c r="E3540" s="102"/>
      <c r="F3540" s="102"/>
      <c r="G3540" s="102"/>
      <c r="I3540" s="93"/>
      <c r="J3540" s="93"/>
    </row>
    <row r="3541" spans="1:10" s="65" customFormat="1" ht="14" x14ac:dyDescent="0.35">
      <c r="A3541" s="145"/>
      <c r="E3541" s="102"/>
      <c r="F3541" s="102"/>
      <c r="G3541" s="102"/>
      <c r="I3541" s="93"/>
      <c r="J3541" s="93"/>
    </row>
    <row r="3542" spans="1:10" s="65" customFormat="1" ht="14" x14ac:dyDescent="0.35">
      <c r="A3542" s="145"/>
      <c r="E3542" s="102"/>
      <c r="F3542" s="102"/>
      <c r="G3542" s="102"/>
      <c r="I3542" s="93"/>
      <c r="J3542" s="93"/>
    </row>
    <row r="3543" spans="1:10" s="65" customFormat="1" ht="14" x14ac:dyDescent="0.35">
      <c r="A3543" s="145"/>
      <c r="E3543" s="102"/>
      <c r="F3543" s="102"/>
      <c r="G3543" s="102"/>
      <c r="I3543" s="93"/>
      <c r="J3543" s="93"/>
    </row>
    <row r="3544" spans="1:10" s="65" customFormat="1" ht="14" x14ac:dyDescent="0.35">
      <c r="A3544" s="145"/>
      <c r="E3544" s="102"/>
      <c r="F3544" s="102"/>
      <c r="G3544" s="102"/>
      <c r="I3544" s="93"/>
      <c r="J3544" s="93"/>
    </row>
    <row r="3545" spans="1:10" s="65" customFormat="1" ht="14" x14ac:dyDescent="0.35">
      <c r="A3545" s="145"/>
      <c r="E3545" s="102"/>
      <c r="F3545" s="102"/>
      <c r="G3545" s="102"/>
      <c r="I3545" s="93"/>
      <c r="J3545" s="93"/>
    </row>
    <row r="3546" spans="1:10" s="65" customFormat="1" ht="14" x14ac:dyDescent="0.35">
      <c r="A3546" s="145"/>
      <c r="E3546" s="102"/>
      <c r="F3546" s="102"/>
      <c r="G3546" s="102"/>
      <c r="I3546" s="93"/>
      <c r="J3546" s="93"/>
    </row>
    <row r="3547" spans="1:10" s="65" customFormat="1" ht="14" x14ac:dyDescent="0.35">
      <c r="A3547" s="145"/>
      <c r="E3547" s="102"/>
      <c r="F3547" s="102"/>
      <c r="G3547" s="102"/>
      <c r="I3547" s="93"/>
      <c r="J3547" s="93"/>
    </row>
    <row r="3548" spans="1:10" s="65" customFormat="1" ht="14" x14ac:dyDescent="0.35">
      <c r="A3548" s="145"/>
      <c r="E3548" s="102"/>
      <c r="F3548" s="102"/>
      <c r="G3548" s="102"/>
      <c r="I3548" s="93"/>
      <c r="J3548" s="93"/>
    </row>
    <row r="3549" spans="1:10" s="65" customFormat="1" ht="14" x14ac:dyDescent="0.35">
      <c r="A3549" s="145"/>
      <c r="E3549" s="102"/>
      <c r="F3549" s="102"/>
      <c r="G3549" s="102"/>
      <c r="I3549" s="93"/>
      <c r="J3549" s="93"/>
    </row>
    <row r="3550" spans="1:10" s="65" customFormat="1" ht="14" x14ac:dyDescent="0.35">
      <c r="A3550" s="145"/>
      <c r="E3550" s="102"/>
      <c r="F3550" s="102"/>
      <c r="G3550" s="102"/>
      <c r="I3550" s="93"/>
      <c r="J3550" s="93"/>
    </row>
    <row r="3551" spans="1:10" s="65" customFormat="1" ht="14" x14ac:dyDescent="0.35">
      <c r="A3551" s="145"/>
      <c r="E3551" s="102"/>
      <c r="F3551" s="102"/>
      <c r="G3551" s="102"/>
      <c r="I3551" s="93"/>
      <c r="J3551" s="93"/>
    </row>
    <row r="3552" spans="1:10" s="65" customFormat="1" ht="14" x14ac:dyDescent="0.35">
      <c r="A3552" s="145"/>
      <c r="E3552" s="102"/>
      <c r="F3552" s="102"/>
      <c r="G3552" s="102"/>
      <c r="I3552" s="93"/>
      <c r="J3552" s="93"/>
    </row>
    <row r="3553" spans="1:10" s="65" customFormat="1" ht="14" x14ac:dyDescent="0.35">
      <c r="A3553" s="145"/>
      <c r="E3553" s="102"/>
      <c r="F3553" s="102"/>
      <c r="G3553" s="102"/>
      <c r="I3553" s="93"/>
      <c r="J3553" s="93"/>
    </row>
    <row r="3554" spans="1:10" s="65" customFormat="1" ht="14" x14ac:dyDescent="0.35">
      <c r="A3554" s="145"/>
      <c r="E3554" s="102"/>
      <c r="F3554" s="102"/>
      <c r="G3554" s="102"/>
      <c r="I3554" s="93"/>
      <c r="J3554" s="93"/>
    </row>
    <row r="3555" spans="1:10" s="65" customFormat="1" ht="14" x14ac:dyDescent="0.35">
      <c r="A3555" s="145"/>
      <c r="E3555" s="102"/>
      <c r="F3555" s="102"/>
      <c r="G3555" s="102"/>
      <c r="I3555" s="93"/>
      <c r="J3555" s="93"/>
    </row>
    <row r="3556" spans="1:10" s="65" customFormat="1" ht="14" x14ac:dyDescent="0.35">
      <c r="A3556" s="145"/>
      <c r="E3556" s="102"/>
      <c r="F3556" s="102"/>
      <c r="G3556" s="102"/>
      <c r="I3556" s="93"/>
      <c r="J3556" s="93"/>
    </row>
    <row r="3557" spans="1:10" s="65" customFormat="1" ht="14" x14ac:dyDescent="0.35">
      <c r="A3557" s="145"/>
      <c r="E3557" s="102"/>
      <c r="F3557" s="102"/>
      <c r="G3557" s="102"/>
      <c r="I3557" s="93"/>
      <c r="J3557" s="93"/>
    </row>
    <row r="3558" spans="1:10" s="65" customFormat="1" ht="14" x14ac:dyDescent="0.35">
      <c r="A3558" s="145"/>
      <c r="E3558" s="102"/>
      <c r="F3558" s="102"/>
      <c r="G3558" s="102"/>
      <c r="I3558" s="93"/>
      <c r="J3558" s="93"/>
    </row>
    <row r="3559" spans="1:10" s="65" customFormat="1" ht="14" x14ac:dyDescent="0.35">
      <c r="A3559" s="145"/>
      <c r="E3559" s="102"/>
      <c r="F3559" s="102"/>
      <c r="G3559" s="102"/>
      <c r="I3559" s="93"/>
      <c r="J3559" s="93"/>
    </row>
    <row r="3560" spans="1:10" s="65" customFormat="1" ht="14" x14ac:dyDescent="0.35">
      <c r="A3560" s="145"/>
      <c r="E3560" s="102"/>
      <c r="F3560" s="102"/>
      <c r="G3560" s="102"/>
      <c r="I3560" s="93"/>
      <c r="J3560" s="93"/>
    </row>
    <row r="3561" spans="1:10" s="65" customFormat="1" ht="14" x14ac:dyDescent="0.35">
      <c r="A3561" s="145"/>
      <c r="E3561" s="102"/>
      <c r="F3561" s="102"/>
      <c r="G3561" s="102"/>
      <c r="I3561" s="93"/>
      <c r="J3561" s="93"/>
    </row>
    <row r="3562" spans="1:10" s="65" customFormat="1" ht="14" x14ac:dyDescent="0.35">
      <c r="A3562" s="145"/>
      <c r="E3562" s="102"/>
      <c r="F3562" s="102"/>
      <c r="G3562" s="102"/>
      <c r="I3562" s="93"/>
      <c r="J3562" s="93"/>
    </row>
    <row r="3563" spans="1:10" s="65" customFormat="1" ht="14" x14ac:dyDescent="0.35">
      <c r="A3563" s="145"/>
      <c r="E3563" s="102"/>
      <c r="F3563" s="102"/>
      <c r="G3563" s="102"/>
      <c r="I3563" s="93"/>
      <c r="J3563" s="93"/>
    </row>
    <row r="3564" spans="1:10" s="65" customFormat="1" ht="14" x14ac:dyDescent="0.35">
      <c r="A3564" s="145"/>
      <c r="E3564" s="102"/>
      <c r="F3564" s="102"/>
      <c r="G3564" s="102"/>
      <c r="I3564" s="93"/>
      <c r="J3564" s="93"/>
    </row>
    <row r="3565" spans="1:10" s="65" customFormat="1" ht="14" x14ac:dyDescent="0.35">
      <c r="A3565" s="145"/>
      <c r="E3565" s="102"/>
      <c r="F3565" s="102"/>
      <c r="G3565" s="102"/>
      <c r="I3565" s="93"/>
      <c r="J3565" s="93"/>
    </row>
    <row r="3566" spans="1:10" s="65" customFormat="1" ht="14" x14ac:dyDescent="0.35">
      <c r="A3566" s="145"/>
      <c r="E3566" s="102"/>
      <c r="F3566" s="102"/>
      <c r="G3566" s="102"/>
      <c r="I3566" s="93"/>
      <c r="J3566" s="93"/>
    </row>
    <row r="3567" spans="1:10" s="65" customFormat="1" ht="14" x14ac:dyDescent="0.35">
      <c r="A3567" s="145"/>
      <c r="E3567" s="102"/>
      <c r="F3567" s="102"/>
      <c r="G3567" s="102"/>
      <c r="I3567" s="93"/>
      <c r="J3567" s="93"/>
    </row>
    <row r="3568" spans="1:10" s="65" customFormat="1" ht="14" x14ac:dyDescent="0.35">
      <c r="A3568" s="145"/>
      <c r="E3568" s="102"/>
      <c r="F3568" s="102"/>
      <c r="G3568" s="102"/>
      <c r="I3568" s="93"/>
      <c r="J3568" s="93"/>
    </row>
    <row r="3569" spans="1:10" s="65" customFormat="1" ht="14" x14ac:dyDescent="0.35">
      <c r="A3569" s="145"/>
      <c r="E3569" s="102"/>
      <c r="F3569" s="102"/>
      <c r="G3569" s="102"/>
      <c r="I3569" s="93"/>
      <c r="J3569" s="93"/>
    </row>
    <row r="3570" spans="1:10" s="65" customFormat="1" ht="14" x14ac:dyDescent="0.35">
      <c r="A3570" s="145"/>
      <c r="E3570" s="102"/>
      <c r="F3570" s="102"/>
      <c r="G3570" s="102"/>
      <c r="I3570" s="93"/>
      <c r="J3570" s="93"/>
    </row>
    <row r="3571" spans="1:10" s="65" customFormat="1" ht="14" x14ac:dyDescent="0.35">
      <c r="A3571" s="145"/>
      <c r="E3571" s="102"/>
      <c r="F3571" s="102"/>
      <c r="G3571" s="102"/>
      <c r="I3571" s="93"/>
      <c r="J3571" s="93"/>
    </row>
    <row r="3572" spans="1:10" s="65" customFormat="1" ht="14" x14ac:dyDescent="0.35">
      <c r="A3572" s="145"/>
      <c r="E3572" s="102"/>
      <c r="F3572" s="102"/>
      <c r="G3572" s="102"/>
      <c r="I3572" s="93"/>
      <c r="J3572" s="93"/>
    </row>
    <row r="3573" spans="1:10" s="65" customFormat="1" ht="14" x14ac:dyDescent="0.35">
      <c r="A3573" s="145"/>
      <c r="E3573" s="102"/>
      <c r="F3573" s="102"/>
      <c r="G3573" s="102"/>
      <c r="I3573" s="93"/>
      <c r="J3573" s="93"/>
    </row>
    <row r="3574" spans="1:10" s="65" customFormat="1" ht="14" x14ac:dyDescent="0.35">
      <c r="A3574" s="145"/>
      <c r="E3574" s="102"/>
      <c r="F3574" s="102"/>
      <c r="G3574" s="102"/>
      <c r="I3574" s="93"/>
      <c r="J3574" s="93"/>
    </row>
    <row r="3575" spans="1:10" s="65" customFormat="1" ht="14" x14ac:dyDescent="0.35">
      <c r="A3575" s="145"/>
      <c r="E3575" s="102"/>
      <c r="F3575" s="102"/>
      <c r="G3575" s="102"/>
      <c r="I3575" s="93"/>
      <c r="J3575" s="93"/>
    </row>
    <row r="3576" spans="1:10" s="65" customFormat="1" ht="14" x14ac:dyDescent="0.35">
      <c r="A3576" s="145"/>
      <c r="E3576" s="102"/>
      <c r="F3576" s="102"/>
      <c r="G3576" s="102"/>
      <c r="I3576" s="93"/>
      <c r="J3576" s="93"/>
    </row>
    <row r="3577" spans="1:10" s="65" customFormat="1" ht="14" x14ac:dyDescent="0.35">
      <c r="A3577" s="145"/>
      <c r="E3577" s="102"/>
      <c r="F3577" s="102"/>
      <c r="G3577" s="102"/>
      <c r="I3577" s="93"/>
      <c r="J3577" s="93"/>
    </row>
    <row r="3578" spans="1:10" s="65" customFormat="1" ht="14" x14ac:dyDescent="0.35">
      <c r="A3578" s="145"/>
      <c r="E3578" s="102"/>
      <c r="F3578" s="102"/>
      <c r="G3578" s="102"/>
      <c r="I3578" s="93"/>
      <c r="J3578" s="93"/>
    </row>
    <row r="3579" spans="1:10" s="65" customFormat="1" ht="14" x14ac:dyDescent="0.35">
      <c r="A3579" s="145"/>
      <c r="E3579" s="102"/>
      <c r="F3579" s="102"/>
      <c r="G3579" s="102"/>
      <c r="I3579" s="93"/>
      <c r="J3579" s="93"/>
    </row>
    <row r="3580" spans="1:10" s="65" customFormat="1" ht="14" x14ac:dyDescent="0.35">
      <c r="A3580" s="145"/>
      <c r="E3580" s="102"/>
      <c r="F3580" s="102"/>
      <c r="G3580" s="102"/>
      <c r="I3580" s="93"/>
      <c r="J3580" s="93"/>
    </row>
    <row r="3581" spans="1:10" s="65" customFormat="1" ht="14" x14ac:dyDescent="0.35">
      <c r="A3581" s="145"/>
      <c r="E3581" s="102"/>
      <c r="F3581" s="102"/>
      <c r="G3581" s="102"/>
      <c r="I3581" s="93"/>
      <c r="J3581" s="93"/>
    </row>
    <row r="3582" spans="1:10" s="65" customFormat="1" ht="14" x14ac:dyDescent="0.35">
      <c r="A3582" s="145"/>
      <c r="E3582" s="102"/>
      <c r="F3582" s="102"/>
      <c r="G3582" s="102"/>
      <c r="I3582" s="93"/>
      <c r="J3582" s="93"/>
    </row>
    <row r="3583" spans="1:10" s="65" customFormat="1" ht="14" x14ac:dyDescent="0.35">
      <c r="A3583" s="145"/>
      <c r="E3583" s="102"/>
      <c r="F3583" s="102"/>
      <c r="G3583" s="102"/>
      <c r="I3583" s="93"/>
      <c r="J3583" s="93"/>
    </row>
    <row r="3584" spans="1:10" s="65" customFormat="1" ht="14" x14ac:dyDescent="0.35">
      <c r="A3584" s="145"/>
      <c r="E3584" s="102"/>
      <c r="F3584" s="102"/>
      <c r="G3584" s="102"/>
      <c r="I3584" s="93"/>
      <c r="J3584" s="93"/>
    </row>
    <row r="3585" spans="1:10" s="65" customFormat="1" ht="14" x14ac:dyDescent="0.35">
      <c r="A3585" s="145"/>
      <c r="E3585" s="102"/>
      <c r="F3585" s="102"/>
      <c r="G3585" s="102"/>
      <c r="I3585" s="93"/>
      <c r="J3585" s="93"/>
    </row>
    <row r="3586" spans="1:10" s="65" customFormat="1" ht="14" x14ac:dyDescent="0.35">
      <c r="A3586" s="145"/>
      <c r="E3586" s="102"/>
      <c r="F3586" s="102"/>
      <c r="G3586" s="102"/>
      <c r="I3586" s="93"/>
      <c r="J3586" s="93"/>
    </row>
    <row r="3587" spans="1:10" s="65" customFormat="1" ht="14" x14ac:dyDescent="0.35">
      <c r="A3587" s="145"/>
      <c r="E3587" s="102"/>
      <c r="F3587" s="102"/>
      <c r="G3587" s="102"/>
      <c r="I3587" s="93"/>
      <c r="J3587" s="93"/>
    </row>
    <row r="3588" spans="1:10" s="65" customFormat="1" ht="14" x14ac:dyDescent="0.35">
      <c r="A3588" s="145"/>
      <c r="E3588" s="102"/>
      <c r="F3588" s="102"/>
      <c r="G3588" s="102"/>
      <c r="I3588" s="93"/>
      <c r="J3588" s="93"/>
    </row>
    <row r="3589" spans="1:10" s="65" customFormat="1" ht="14" x14ac:dyDescent="0.35">
      <c r="A3589" s="145"/>
      <c r="E3589" s="102"/>
      <c r="F3589" s="102"/>
      <c r="G3589" s="102"/>
      <c r="I3589" s="93"/>
      <c r="J3589" s="93"/>
    </row>
    <row r="3590" spans="1:10" s="65" customFormat="1" ht="14" x14ac:dyDescent="0.35">
      <c r="A3590" s="145"/>
      <c r="E3590" s="102"/>
      <c r="F3590" s="102"/>
      <c r="G3590" s="102"/>
      <c r="I3590" s="93"/>
      <c r="J3590" s="93"/>
    </row>
    <row r="3591" spans="1:10" s="65" customFormat="1" ht="14" x14ac:dyDescent="0.35">
      <c r="A3591" s="145"/>
      <c r="E3591" s="102"/>
      <c r="F3591" s="102"/>
      <c r="G3591" s="102"/>
      <c r="I3591" s="93"/>
      <c r="J3591" s="93"/>
    </row>
    <row r="3592" spans="1:10" s="65" customFormat="1" ht="14" x14ac:dyDescent="0.35">
      <c r="A3592" s="145"/>
      <c r="E3592" s="102"/>
      <c r="F3592" s="102"/>
      <c r="G3592" s="102"/>
      <c r="I3592" s="93"/>
      <c r="J3592" s="93"/>
    </row>
    <row r="3593" spans="1:10" s="65" customFormat="1" ht="14" x14ac:dyDescent="0.35">
      <c r="A3593" s="145"/>
      <c r="E3593" s="102"/>
      <c r="F3593" s="102"/>
      <c r="G3593" s="102"/>
      <c r="I3593" s="93"/>
      <c r="J3593" s="93"/>
    </row>
    <row r="3594" spans="1:10" s="65" customFormat="1" ht="14" x14ac:dyDescent="0.35">
      <c r="A3594" s="145"/>
      <c r="E3594" s="102"/>
      <c r="F3594" s="102"/>
      <c r="G3594" s="102"/>
      <c r="I3594" s="93"/>
      <c r="J3594" s="93"/>
    </row>
    <row r="3595" spans="1:10" s="65" customFormat="1" ht="14" x14ac:dyDescent="0.35">
      <c r="A3595" s="145"/>
      <c r="E3595" s="102"/>
      <c r="F3595" s="102"/>
      <c r="G3595" s="102"/>
      <c r="I3595" s="93"/>
      <c r="J3595" s="93"/>
    </row>
    <row r="3596" spans="1:10" s="65" customFormat="1" ht="14" x14ac:dyDescent="0.35">
      <c r="A3596" s="145"/>
      <c r="E3596" s="102"/>
      <c r="F3596" s="102"/>
      <c r="G3596" s="102"/>
      <c r="I3596" s="93"/>
      <c r="J3596" s="93"/>
    </row>
    <row r="3597" spans="1:10" s="65" customFormat="1" ht="14" x14ac:dyDescent="0.35">
      <c r="A3597" s="145"/>
      <c r="E3597" s="102"/>
      <c r="F3597" s="102"/>
      <c r="G3597" s="102"/>
      <c r="I3597" s="93"/>
      <c r="J3597" s="93"/>
    </row>
    <row r="3598" spans="1:10" s="65" customFormat="1" ht="14" x14ac:dyDescent="0.35">
      <c r="A3598" s="145"/>
      <c r="E3598" s="102"/>
      <c r="F3598" s="102"/>
      <c r="G3598" s="102"/>
      <c r="I3598" s="93"/>
      <c r="J3598" s="93"/>
    </row>
    <row r="3599" spans="1:10" s="65" customFormat="1" ht="14" x14ac:dyDescent="0.35">
      <c r="A3599" s="145"/>
      <c r="E3599" s="102"/>
      <c r="F3599" s="102"/>
      <c r="G3599" s="102"/>
      <c r="I3599" s="93"/>
      <c r="J3599" s="93"/>
    </row>
    <row r="3600" spans="1:10" s="65" customFormat="1" ht="14" x14ac:dyDescent="0.35">
      <c r="A3600" s="145"/>
      <c r="E3600" s="102"/>
      <c r="F3600" s="102"/>
      <c r="G3600" s="102"/>
      <c r="I3600" s="93"/>
      <c r="J3600" s="93"/>
    </row>
    <row r="3601" spans="1:10" s="65" customFormat="1" ht="14" x14ac:dyDescent="0.35">
      <c r="A3601" s="145"/>
      <c r="E3601" s="102"/>
      <c r="F3601" s="102"/>
      <c r="G3601" s="102"/>
      <c r="I3601" s="93"/>
      <c r="J3601" s="93"/>
    </row>
    <row r="3602" spans="1:10" s="65" customFormat="1" ht="14" x14ac:dyDescent="0.35">
      <c r="A3602" s="145"/>
      <c r="E3602" s="102"/>
      <c r="F3602" s="102"/>
      <c r="G3602" s="102"/>
      <c r="I3602" s="93"/>
      <c r="J3602" s="93"/>
    </row>
    <row r="3603" spans="1:10" s="65" customFormat="1" ht="14" x14ac:dyDescent="0.35">
      <c r="A3603" s="145"/>
      <c r="E3603" s="102"/>
      <c r="F3603" s="102"/>
      <c r="G3603" s="102"/>
      <c r="I3603" s="93"/>
      <c r="J3603" s="93"/>
    </row>
    <row r="3604" spans="1:10" s="65" customFormat="1" ht="14" x14ac:dyDescent="0.35">
      <c r="A3604" s="145"/>
      <c r="E3604" s="102"/>
      <c r="F3604" s="102"/>
      <c r="G3604" s="102"/>
      <c r="I3604" s="93"/>
      <c r="J3604" s="93"/>
    </row>
    <row r="3605" spans="1:10" s="65" customFormat="1" ht="14" x14ac:dyDescent="0.35">
      <c r="A3605" s="145"/>
      <c r="E3605" s="102"/>
      <c r="F3605" s="102"/>
      <c r="G3605" s="102"/>
      <c r="I3605" s="93"/>
      <c r="J3605" s="93"/>
    </row>
    <row r="3606" spans="1:10" s="65" customFormat="1" ht="14" x14ac:dyDescent="0.35">
      <c r="A3606" s="145"/>
      <c r="E3606" s="102"/>
      <c r="F3606" s="102"/>
      <c r="G3606" s="102"/>
      <c r="I3606" s="93"/>
      <c r="J3606" s="93"/>
    </row>
    <row r="3607" spans="1:10" s="65" customFormat="1" ht="14" x14ac:dyDescent="0.35">
      <c r="A3607" s="145"/>
      <c r="E3607" s="102"/>
      <c r="F3607" s="102"/>
      <c r="G3607" s="102"/>
      <c r="I3607" s="93"/>
      <c r="J3607" s="93"/>
    </row>
    <row r="3608" spans="1:10" s="65" customFormat="1" ht="14" x14ac:dyDescent="0.35">
      <c r="A3608" s="145"/>
      <c r="E3608" s="102"/>
      <c r="F3608" s="102"/>
      <c r="G3608" s="102"/>
      <c r="I3608" s="93"/>
      <c r="J3608" s="93"/>
    </row>
    <row r="3609" spans="1:10" s="65" customFormat="1" ht="14" x14ac:dyDescent="0.35">
      <c r="A3609" s="145"/>
      <c r="E3609" s="102"/>
      <c r="F3609" s="102"/>
      <c r="G3609" s="102"/>
      <c r="I3609" s="93"/>
      <c r="J3609" s="93"/>
    </row>
    <row r="3610" spans="1:10" s="65" customFormat="1" ht="14" x14ac:dyDescent="0.35">
      <c r="A3610" s="145"/>
      <c r="E3610" s="102"/>
      <c r="F3610" s="102"/>
      <c r="G3610" s="102"/>
      <c r="I3610" s="93"/>
      <c r="J3610" s="93"/>
    </row>
    <row r="3611" spans="1:10" s="65" customFormat="1" ht="14" x14ac:dyDescent="0.35">
      <c r="A3611" s="145"/>
      <c r="E3611" s="102"/>
      <c r="F3611" s="102"/>
      <c r="G3611" s="102"/>
      <c r="I3611" s="93"/>
      <c r="J3611" s="93"/>
    </row>
    <row r="3612" spans="1:10" s="65" customFormat="1" ht="14" x14ac:dyDescent="0.35">
      <c r="A3612" s="145"/>
      <c r="E3612" s="102"/>
      <c r="F3612" s="102"/>
      <c r="G3612" s="102"/>
      <c r="I3612" s="93"/>
      <c r="J3612" s="93"/>
    </row>
    <row r="3613" spans="1:10" s="65" customFormat="1" ht="14" x14ac:dyDescent="0.35">
      <c r="A3613" s="145"/>
      <c r="E3613" s="102"/>
      <c r="F3613" s="102"/>
      <c r="G3613" s="102"/>
      <c r="I3613" s="93"/>
      <c r="J3613" s="93"/>
    </row>
    <row r="3614" spans="1:10" s="65" customFormat="1" ht="14" x14ac:dyDescent="0.35">
      <c r="A3614" s="145"/>
      <c r="E3614" s="102"/>
      <c r="F3614" s="102"/>
      <c r="G3614" s="102"/>
      <c r="I3614" s="93"/>
      <c r="J3614" s="93"/>
    </row>
    <row r="3615" spans="1:10" s="65" customFormat="1" ht="14" x14ac:dyDescent="0.35">
      <c r="A3615" s="145"/>
      <c r="E3615" s="102"/>
      <c r="F3615" s="102"/>
      <c r="G3615" s="102"/>
      <c r="I3615" s="93"/>
      <c r="J3615" s="93"/>
    </row>
    <row r="3616" spans="1:10" s="65" customFormat="1" ht="14" x14ac:dyDescent="0.35">
      <c r="A3616" s="145"/>
      <c r="E3616" s="102"/>
      <c r="F3616" s="102"/>
      <c r="G3616" s="102"/>
      <c r="I3616" s="93"/>
      <c r="J3616" s="93"/>
    </row>
    <row r="3617" spans="1:10" s="65" customFormat="1" ht="14" x14ac:dyDescent="0.35">
      <c r="A3617" s="145"/>
      <c r="E3617" s="102"/>
      <c r="F3617" s="102"/>
      <c r="G3617" s="102"/>
      <c r="I3617" s="93"/>
      <c r="J3617" s="93"/>
    </row>
    <row r="3618" spans="1:10" s="65" customFormat="1" ht="14" x14ac:dyDescent="0.35">
      <c r="A3618" s="145"/>
      <c r="E3618" s="102"/>
      <c r="F3618" s="102"/>
      <c r="G3618" s="102"/>
      <c r="I3618" s="93"/>
      <c r="J3618" s="93"/>
    </row>
    <row r="3619" spans="1:10" s="65" customFormat="1" ht="14" x14ac:dyDescent="0.35">
      <c r="A3619" s="145"/>
      <c r="E3619" s="102"/>
      <c r="F3619" s="102"/>
      <c r="G3619" s="102"/>
      <c r="I3619" s="93"/>
      <c r="J3619" s="93"/>
    </row>
    <row r="3620" spans="1:10" s="65" customFormat="1" ht="14" x14ac:dyDescent="0.35">
      <c r="A3620" s="145"/>
      <c r="E3620" s="102"/>
      <c r="F3620" s="102"/>
      <c r="G3620" s="102"/>
      <c r="I3620" s="93"/>
      <c r="J3620" s="93"/>
    </row>
    <row r="3621" spans="1:10" s="65" customFormat="1" ht="14" x14ac:dyDescent="0.35">
      <c r="A3621" s="145"/>
      <c r="E3621" s="102"/>
      <c r="F3621" s="102"/>
      <c r="G3621" s="102"/>
      <c r="I3621" s="93"/>
      <c r="J3621" s="93"/>
    </row>
    <row r="3622" spans="1:10" s="65" customFormat="1" ht="14" x14ac:dyDescent="0.35">
      <c r="A3622" s="145"/>
      <c r="E3622" s="102"/>
      <c r="F3622" s="102"/>
      <c r="G3622" s="102"/>
      <c r="I3622" s="93"/>
      <c r="J3622" s="93"/>
    </row>
    <row r="3623" spans="1:10" s="65" customFormat="1" ht="14" x14ac:dyDescent="0.35">
      <c r="A3623" s="145"/>
      <c r="E3623" s="102"/>
      <c r="F3623" s="102"/>
      <c r="G3623" s="102"/>
      <c r="I3623" s="93"/>
      <c r="J3623" s="93"/>
    </row>
    <row r="3624" spans="1:10" s="65" customFormat="1" ht="14" x14ac:dyDescent="0.35">
      <c r="A3624" s="145"/>
      <c r="E3624" s="102"/>
      <c r="F3624" s="102"/>
      <c r="G3624" s="102"/>
      <c r="I3624" s="93"/>
      <c r="J3624" s="93"/>
    </row>
    <row r="3625" spans="1:10" s="65" customFormat="1" ht="14" x14ac:dyDescent="0.35">
      <c r="A3625" s="145"/>
      <c r="E3625" s="102"/>
      <c r="F3625" s="102"/>
      <c r="G3625" s="102"/>
      <c r="I3625" s="93"/>
      <c r="J3625" s="93"/>
    </row>
    <row r="3626" spans="1:10" s="65" customFormat="1" ht="14" x14ac:dyDescent="0.35">
      <c r="A3626" s="145"/>
      <c r="E3626" s="102"/>
      <c r="F3626" s="102"/>
      <c r="G3626" s="102"/>
      <c r="I3626" s="93"/>
      <c r="J3626" s="93"/>
    </row>
    <row r="3627" spans="1:10" s="65" customFormat="1" ht="14" x14ac:dyDescent="0.35">
      <c r="A3627" s="145"/>
      <c r="E3627" s="102"/>
      <c r="F3627" s="102"/>
      <c r="G3627" s="102"/>
      <c r="I3627" s="93"/>
      <c r="J3627" s="93"/>
    </row>
    <row r="3628" spans="1:10" s="65" customFormat="1" ht="14" x14ac:dyDescent="0.35">
      <c r="A3628" s="145"/>
      <c r="E3628" s="102"/>
      <c r="F3628" s="102"/>
      <c r="G3628" s="102"/>
      <c r="I3628" s="93"/>
      <c r="J3628" s="93"/>
    </row>
    <row r="3629" spans="1:10" s="65" customFormat="1" ht="14" x14ac:dyDescent="0.35">
      <c r="A3629" s="145"/>
      <c r="E3629" s="102"/>
      <c r="F3629" s="102"/>
      <c r="G3629" s="102"/>
      <c r="I3629" s="93"/>
      <c r="J3629" s="93"/>
    </row>
    <row r="3630" spans="1:10" s="65" customFormat="1" ht="14" x14ac:dyDescent="0.35">
      <c r="A3630" s="145"/>
      <c r="E3630" s="102"/>
      <c r="F3630" s="102"/>
      <c r="G3630" s="102"/>
      <c r="I3630" s="93"/>
      <c r="J3630" s="93"/>
    </row>
    <row r="3631" spans="1:10" s="65" customFormat="1" ht="14" x14ac:dyDescent="0.35">
      <c r="A3631" s="145"/>
      <c r="E3631" s="102"/>
      <c r="F3631" s="102"/>
      <c r="G3631" s="102"/>
      <c r="I3631" s="93"/>
      <c r="J3631" s="93"/>
    </row>
    <row r="3632" spans="1:10" s="65" customFormat="1" ht="14" x14ac:dyDescent="0.35">
      <c r="A3632" s="145"/>
      <c r="E3632" s="102"/>
      <c r="F3632" s="102"/>
      <c r="G3632" s="102"/>
      <c r="I3632" s="93"/>
      <c r="J3632" s="93"/>
    </row>
    <row r="3633" spans="1:10" s="65" customFormat="1" ht="14" x14ac:dyDescent="0.35">
      <c r="A3633" s="145"/>
      <c r="E3633" s="102"/>
      <c r="F3633" s="102"/>
      <c r="G3633" s="102"/>
      <c r="I3633" s="93"/>
      <c r="J3633" s="93"/>
    </row>
    <row r="3634" spans="1:10" s="65" customFormat="1" ht="14" x14ac:dyDescent="0.35">
      <c r="A3634" s="145"/>
      <c r="E3634" s="102"/>
      <c r="F3634" s="102"/>
      <c r="G3634" s="102"/>
      <c r="I3634" s="93"/>
      <c r="J3634" s="93"/>
    </row>
    <row r="3635" spans="1:10" s="65" customFormat="1" ht="14" x14ac:dyDescent="0.35">
      <c r="A3635" s="145"/>
      <c r="E3635" s="102"/>
      <c r="F3635" s="102"/>
      <c r="G3635" s="102"/>
      <c r="I3635" s="93"/>
      <c r="J3635" s="93"/>
    </row>
    <row r="3636" spans="1:10" s="65" customFormat="1" ht="14" x14ac:dyDescent="0.35">
      <c r="A3636" s="145"/>
      <c r="E3636" s="102"/>
      <c r="F3636" s="102"/>
      <c r="G3636" s="102"/>
      <c r="I3636" s="93"/>
      <c r="J3636" s="93"/>
    </row>
    <row r="3637" spans="1:10" s="65" customFormat="1" ht="14" x14ac:dyDescent="0.35">
      <c r="A3637" s="145"/>
      <c r="E3637" s="102"/>
      <c r="F3637" s="102"/>
      <c r="G3637" s="102"/>
      <c r="I3637" s="93"/>
      <c r="J3637" s="93"/>
    </row>
    <row r="3638" spans="1:10" s="65" customFormat="1" ht="14" x14ac:dyDescent="0.35">
      <c r="A3638" s="145"/>
      <c r="E3638" s="102"/>
      <c r="F3638" s="102"/>
      <c r="G3638" s="102"/>
      <c r="I3638" s="93"/>
      <c r="J3638" s="93"/>
    </row>
    <row r="3639" spans="1:10" s="65" customFormat="1" ht="14" x14ac:dyDescent="0.35">
      <c r="A3639" s="145"/>
      <c r="E3639" s="102"/>
      <c r="F3639" s="102"/>
      <c r="G3639" s="102"/>
      <c r="I3639" s="93"/>
      <c r="J3639" s="93"/>
    </row>
    <row r="3640" spans="1:10" s="65" customFormat="1" ht="14" x14ac:dyDescent="0.35">
      <c r="A3640" s="145"/>
      <c r="E3640" s="102"/>
      <c r="F3640" s="102"/>
      <c r="G3640" s="102"/>
      <c r="I3640" s="93"/>
      <c r="J3640" s="93"/>
    </row>
    <row r="3641" spans="1:10" s="65" customFormat="1" ht="14" x14ac:dyDescent="0.35">
      <c r="A3641" s="145"/>
      <c r="E3641" s="102"/>
      <c r="F3641" s="102"/>
      <c r="G3641" s="102"/>
      <c r="I3641" s="93"/>
      <c r="J3641" s="93"/>
    </row>
    <row r="3642" spans="1:10" s="65" customFormat="1" ht="14" x14ac:dyDescent="0.35">
      <c r="A3642" s="145"/>
      <c r="E3642" s="102"/>
      <c r="F3642" s="102"/>
      <c r="G3642" s="102"/>
      <c r="I3642" s="93"/>
      <c r="J3642" s="93"/>
    </row>
    <row r="3643" spans="1:10" s="65" customFormat="1" ht="14" x14ac:dyDescent="0.35">
      <c r="A3643" s="145"/>
      <c r="E3643" s="102"/>
      <c r="F3643" s="102"/>
      <c r="G3643" s="102"/>
      <c r="I3643" s="93"/>
      <c r="J3643" s="93"/>
    </row>
    <row r="3644" spans="1:10" s="65" customFormat="1" ht="14" x14ac:dyDescent="0.35">
      <c r="A3644" s="145"/>
      <c r="E3644" s="102"/>
      <c r="F3644" s="102"/>
      <c r="G3644" s="102"/>
      <c r="I3644" s="93"/>
      <c r="J3644" s="93"/>
    </row>
    <row r="3645" spans="1:10" s="65" customFormat="1" ht="14" x14ac:dyDescent="0.35">
      <c r="A3645" s="145"/>
      <c r="E3645" s="102"/>
      <c r="F3645" s="102"/>
      <c r="G3645" s="102"/>
      <c r="I3645" s="93"/>
      <c r="J3645" s="93"/>
    </row>
    <row r="3646" spans="1:10" s="65" customFormat="1" ht="14" x14ac:dyDescent="0.35">
      <c r="A3646" s="145"/>
      <c r="E3646" s="102"/>
      <c r="F3646" s="102"/>
      <c r="G3646" s="102"/>
      <c r="I3646" s="93"/>
      <c r="J3646" s="93"/>
    </row>
    <row r="3647" spans="1:10" s="65" customFormat="1" ht="14" x14ac:dyDescent="0.35">
      <c r="A3647" s="145"/>
      <c r="E3647" s="102"/>
      <c r="F3647" s="102"/>
      <c r="G3647" s="102"/>
      <c r="I3647" s="93"/>
      <c r="J3647" s="93"/>
    </row>
    <row r="3648" spans="1:10" s="65" customFormat="1" ht="14" x14ac:dyDescent="0.35">
      <c r="A3648" s="145"/>
      <c r="E3648" s="102"/>
      <c r="F3648" s="102"/>
      <c r="G3648" s="102"/>
      <c r="I3648" s="93"/>
      <c r="J3648" s="93"/>
    </row>
    <row r="3649" spans="1:10" s="65" customFormat="1" ht="14" x14ac:dyDescent="0.35">
      <c r="A3649" s="145"/>
      <c r="E3649" s="102"/>
      <c r="F3649" s="102"/>
      <c r="G3649" s="102"/>
      <c r="I3649" s="93"/>
      <c r="J3649" s="93"/>
    </row>
    <row r="3650" spans="1:10" s="65" customFormat="1" ht="14" x14ac:dyDescent="0.35">
      <c r="A3650" s="145"/>
      <c r="E3650" s="102"/>
      <c r="F3650" s="102"/>
      <c r="G3650" s="102"/>
      <c r="I3650" s="93"/>
      <c r="J3650" s="93"/>
    </row>
    <row r="3651" spans="1:10" s="65" customFormat="1" ht="14" x14ac:dyDescent="0.35">
      <c r="A3651" s="145"/>
      <c r="E3651" s="102"/>
      <c r="F3651" s="102"/>
      <c r="G3651" s="102"/>
      <c r="I3651" s="93"/>
      <c r="J3651" s="93"/>
    </row>
    <row r="3652" spans="1:10" s="65" customFormat="1" ht="14" x14ac:dyDescent="0.35">
      <c r="A3652" s="145"/>
      <c r="E3652" s="102"/>
      <c r="F3652" s="102"/>
      <c r="G3652" s="102"/>
      <c r="I3652" s="93"/>
      <c r="J3652" s="93"/>
    </row>
    <row r="3653" spans="1:10" s="65" customFormat="1" ht="14" x14ac:dyDescent="0.35">
      <c r="A3653" s="145"/>
      <c r="E3653" s="102"/>
      <c r="F3653" s="102"/>
      <c r="G3653" s="102"/>
      <c r="I3653" s="93"/>
      <c r="J3653" s="93"/>
    </row>
    <row r="3654" spans="1:10" s="65" customFormat="1" ht="14" x14ac:dyDescent="0.35">
      <c r="A3654" s="145"/>
      <c r="E3654" s="102"/>
      <c r="F3654" s="102"/>
      <c r="G3654" s="102"/>
      <c r="I3654" s="93"/>
      <c r="J3654" s="93"/>
    </row>
    <row r="3655" spans="1:10" s="65" customFormat="1" ht="14" x14ac:dyDescent="0.35">
      <c r="A3655" s="145"/>
      <c r="E3655" s="102"/>
      <c r="F3655" s="102"/>
      <c r="G3655" s="102"/>
      <c r="I3655" s="93"/>
      <c r="J3655" s="93"/>
    </row>
    <row r="3656" spans="1:10" s="65" customFormat="1" ht="14" x14ac:dyDescent="0.35">
      <c r="A3656" s="145"/>
      <c r="E3656" s="102"/>
      <c r="F3656" s="102"/>
      <c r="G3656" s="102"/>
      <c r="I3656" s="93"/>
      <c r="J3656" s="93"/>
    </row>
    <row r="3657" spans="1:10" s="65" customFormat="1" ht="14" x14ac:dyDescent="0.35">
      <c r="A3657" s="145"/>
      <c r="E3657" s="102"/>
      <c r="F3657" s="102"/>
      <c r="G3657" s="102"/>
      <c r="I3657" s="93"/>
      <c r="J3657" s="93"/>
    </row>
    <row r="3658" spans="1:10" s="65" customFormat="1" ht="14" x14ac:dyDescent="0.35">
      <c r="A3658" s="145"/>
      <c r="E3658" s="102"/>
      <c r="F3658" s="102"/>
      <c r="G3658" s="102"/>
      <c r="I3658" s="93"/>
      <c r="J3658" s="93"/>
    </row>
    <row r="3659" spans="1:10" s="65" customFormat="1" ht="14" x14ac:dyDescent="0.35">
      <c r="A3659" s="145"/>
      <c r="E3659" s="102"/>
      <c r="F3659" s="102"/>
      <c r="G3659" s="102"/>
      <c r="I3659" s="93"/>
      <c r="J3659" s="93"/>
    </row>
    <row r="3660" spans="1:10" s="65" customFormat="1" ht="14" x14ac:dyDescent="0.35">
      <c r="A3660" s="145"/>
      <c r="E3660" s="102"/>
      <c r="F3660" s="102"/>
      <c r="G3660" s="102"/>
      <c r="I3660" s="93"/>
      <c r="J3660" s="93"/>
    </row>
    <row r="3661" spans="1:10" s="65" customFormat="1" ht="14" x14ac:dyDescent="0.35">
      <c r="A3661" s="145"/>
      <c r="E3661" s="102"/>
      <c r="F3661" s="102"/>
      <c r="G3661" s="102"/>
      <c r="I3661" s="93"/>
      <c r="J3661" s="93"/>
    </row>
    <row r="3662" spans="1:10" s="65" customFormat="1" ht="14" x14ac:dyDescent="0.35">
      <c r="A3662" s="145"/>
      <c r="E3662" s="102"/>
      <c r="F3662" s="102"/>
      <c r="G3662" s="102"/>
      <c r="I3662" s="93"/>
      <c r="J3662" s="93"/>
    </row>
    <row r="3663" spans="1:10" s="65" customFormat="1" ht="14" x14ac:dyDescent="0.35">
      <c r="A3663" s="145"/>
      <c r="E3663" s="102"/>
      <c r="F3663" s="102"/>
      <c r="G3663" s="102"/>
      <c r="I3663" s="93"/>
      <c r="J3663" s="93"/>
    </row>
    <row r="3664" spans="1:10" s="65" customFormat="1" ht="14" x14ac:dyDescent="0.35">
      <c r="A3664" s="145"/>
      <c r="E3664" s="102"/>
      <c r="F3664" s="102"/>
      <c r="G3664" s="102"/>
      <c r="I3664" s="93"/>
      <c r="J3664" s="93"/>
    </row>
    <row r="3665" spans="1:10" s="65" customFormat="1" ht="14" x14ac:dyDescent="0.35">
      <c r="A3665" s="145"/>
      <c r="E3665" s="102"/>
      <c r="F3665" s="102"/>
      <c r="G3665" s="102"/>
      <c r="I3665" s="93"/>
      <c r="J3665" s="93"/>
    </row>
    <row r="3666" spans="1:10" s="65" customFormat="1" ht="14" x14ac:dyDescent="0.35">
      <c r="A3666" s="145"/>
      <c r="E3666" s="102"/>
      <c r="F3666" s="102"/>
      <c r="G3666" s="102"/>
      <c r="I3666" s="93"/>
      <c r="J3666" s="93"/>
    </row>
    <row r="3667" spans="1:10" s="65" customFormat="1" ht="14" x14ac:dyDescent="0.35">
      <c r="A3667" s="145"/>
      <c r="E3667" s="102"/>
      <c r="F3667" s="102"/>
      <c r="G3667" s="102"/>
      <c r="I3667" s="93"/>
      <c r="J3667" s="93"/>
    </row>
    <row r="3668" spans="1:10" s="65" customFormat="1" ht="14" x14ac:dyDescent="0.35">
      <c r="A3668" s="145"/>
      <c r="E3668" s="102"/>
      <c r="F3668" s="102"/>
      <c r="G3668" s="102"/>
      <c r="I3668" s="93"/>
      <c r="J3668" s="93"/>
    </row>
    <row r="3669" spans="1:10" s="65" customFormat="1" ht="14" x14ac:dyDescent="0.35">
      <c r="A3669" s="145"/>
      <c r="E3669" s="102"/>
      <c r="F3669" s="102"/>
      <c r="G3669" s="102"/>
      <c r="I3669" s="93"/>
      <c r="J3669" s="93"/>
    </row>
    <row r="3670" spans="1:10" s="65" customFormat="1" ht="14" x14ac:dyDescent="0.35">
      <c r="A3670" s="145"/>
      <c r="E3670" s="102"/>
      <c r="F3670" s="102"/>
      <c r="G3670" s="102"/>
      <c r="I3670" s="93"/>
      <c r="J3670" s="93"/>
    </row>
    <row r="3671" spans="1:10" s="65" customFormat="1" ht="14" x14ac:dyDescent="0.35">
      <c r="A3671" s="145"/>
      <c r="E3671" s="102"/>
      <c r="F3671" s="102"/>
      <c r="G3671" s="102"/>
      <c r="I3671" s="93"/>
      <c r="J3671" s="93"/>
    </row>
    <row r="3672" spans="1:10" s="65" customFormat="1" ht="14" x14ac:dyDescent="0.35">
      <c r="A3672" s="145"/>
      <c r="E3672" s="102"/>
      <c r="F3672" s="102"/>
      <c r="G3672" s="102"/>
      <c r="I3672" s="93"/>
      <c r="J3672" s="93"/>
    </row>
    <row r="3673" spans="1:10" s="65" customFormat="1" ht="14" x14ac:dyDescent="0.35">
      <c r="A3673" s="145"/>
      <c r="E3673" s="102"/>
      <c r="F3673" s="102"/>
      <c r="G3673" s="102"/>
      <c r="I3673" s="93"/>
      <c r="J3673" s="93"/>
    </row>
    <row r="3674" spans="1:10" s="65" customFormat="1" ht="14" x14ac:dyDescent="0.35">
      <c r="A3674" s="145"/>
      <c r="E3674" s="102"/>
      <c r="F3674" s="102"/>
      <c r="G3674" s="102"/>
      <c r="I3674" s="93"/>
      <c r="J3674" s="93"/>
    </row>
    <row r="3675" spans="1:10" s="65" customFormat="1" ht="14" x14ac:dyDescent="0.35">
      <c r="A3675" s="145"/>
      <c r="E3675" s="102"/>
      <c r="F3675" s="102"/>
      <c r="G3675" s="102"/>
      <c r="I3675" s="93"/>
      <c r="J3675" s="93"/>
    </row>
    <row r="3676" spans="1:10" s="65" customFormat="1" ht="14" x14ac:dyDescent="0.35">
      <c r="A3676" s="145"/>
      <c r="E3676" s="102"/>
      <c r="F3676" s="102"/>
      <c r="G3676" s="102"/>
      <c r="I3676" s="93"/>
      <c r="J3676" s="93"/>
    </row>
    <row r="3677" spans="1:10" s="65" customFormat="1" ht="14" x14ac:dyDescent="0.35">
      <c r="A3677" s="145"/>
      <c r="E3677" s="102"/>
      <c r="F3677" s="102"/>
      <c r="G3677" s="102"/>
      <c r="I3677" s="93"/>
      <c r="J3677" s="93"/>
    </row>
    <row r="3678" spans="1:10" s="65" customFormat="1" ht="14" x14ac:dyDescent="0.35">
      <c r="A3678" s="145"/>
      <c r="E3678" s="102"/>
      <c r="F3678" s="102"/>
      <c r="G3678" s="102"/>
      <c r="I3678" s="93"/>
      <c r="J3678" s="93"/>
    </row>
    <row r="3679" spans="1:10" s="65" customFormat="1" ht="14" x14ac:dyDescent="0.35">
      <c r="A3679" s="145"/>
      <c r="E3679" s="102"/>
      <c r="F3679" s="102"/>
      <c r="G3679" s="102"/>
      <c r="I3679" s="93"/>
      <c r="J3679" s="93"/>
    </row>
    <row r="3680" spans="1:10" s="65" customFormat="1" ht="14" x14ac:dyDescent="0.35">
      <c r="A3680" s="145"/>
      <c r="E3680" s="102"/>
      <c r="F3680" s="102"/>
      <c r="G3680" s="102"/>
      <c r="I3680" s="93"/>
      <c r="J3680" s="93"/>
    </row>
    <row r="3681" spans="1:10" s="65" customFormat="1" ht="14" x14ac:dyDescent="0.35">
      <c r="A3681" s="145"/>
      <c r="E3681" s="102"/>
      <c r="F3681" s="102"/>
      <c r="G3681" s="102"/>
      <c r="I3681" s="93"/>
      <c r="J3681" s="93"/>
    </row>
    <row r="3682" spans="1:10" s="65" customFormat="1" ht="14" x14ac:dyDescent="0.35">
      <c r="A3682" s="145"/>
      <c r="E3682" s="102"/>
      <c r="F3682" s="102"/>
      <c r="G3682" s="102"/>
      <c r="I3682" s="93"/>
      <c r="J3682" s="93"/>
    </row>
    <row r="3683" spans="1:10" s="65" customFormat="1" ht="14" x14ac:dyDescent="0.35">
      <c r="A3683" s="145"/>
      <c r="E3683" s="102"/>
      <c r="F3683" s="102"/>
      <c r="G3683" s="102"/>
      <c r="I3683" s="93"/>
      <c r="J3683" s="93"/>
    </row>
    <row r="3684" spans="1:10" s="65" customFormat="1" ht="14" x14ac:dyDescent="0.35">
      <c r="A3684" s="145"/>
      <c r="E3684" s="102"/>
      <c r="F3684" s="102"/>
      <c r="G3684" s="102"/>
      <c r="I3684" s="93"/>
      <c r="J3684" s="93"/>
    </row>
    <row r="3685" spans="1:10" s="65" customFormat="1" ht="14" x14ac:dyDescent="0.35">
      <c r="A3685" s="145"/>
      <c r="E3685" s="102"/>
      <c r="F3685" s="102"/>
      <c r="G3685" s="102"/>
      <c r="I3685" s="93"/>
      <c r="J3685" s="93"/>
    </row>
    <row r="3686" spans="1:10" s="65" customFormat="1" ht="14" x14ac:dyDescent="0.35">
      <c r="A3686" s="145"/>
      <c r="E3686" s="102"/>
      <c r="F3686" s="102"/>
      <c r="G3686" s="102"/>
      <c r="I3686" s="93"/>
      <c r="J3686" s="93"/>
    </row>
    <row r="3687" spans="1:10" s="65" customFormat="1" ht="14" x14ac:dyDescent="0.35">
      <c r="A3687" s="145"/>
      <c r="E3687" s="102"/>
      <c r="F3687" s="102"/>
      <c r="G3687" s="102"/>
      <c r="I3687" s="93"/>
      <c r="J3687" s="93"/>
    </row>
    <row r="3688" spans="1:10" s="65" customFormat="1" ht="14" x14ac:dyDescent="0.35">
      <c r="A3688" s="145"/>
      <c r="E3688" s="102"/>
      <c r="F3688" s="102"/>
      <c r="G3688" s="102"/>
      <c r="I3688" s="93"/>
      <c r="J3688" s="93"/>
    </row>
    <row r="3689" spans="1:10" s="65" customFormat="1" ht="14" x14ac:dyDescent="0.35">
      <c r="A3689" s="145"/>
      <c r="E3689" s="102"/>
      <c r="F3689" s="102"/>
      <c r="G3689" s="102"/>
      <c r="I3689" s="93"/>
      <c r="J3689" s="93"/>
    </row>
    <row r="3690" spans="1:10" s="65" customFormat="1" ht="14" x14ac:dyDescent="0.35">
      <c r="A3690" s="145"/>
      <c r="E3690" s="102"/>
      <c r="F3690" s="102"/>
      <c r="G3690" s="102"/>
      <c r="I3690" s="93"/>
      <c r="J3690" s="93"/>
    </row>
    <row r="3691" spans="1:10" s="65" customFormat="1" ht="14" x14ac:dyDescent="0.35">
      <c r="A3691" s="145"/>
      <c r="E3691" s="102"/>
      <c r="F3691" s="102"/>
      <c r="G3691" s="102"/>
      <c r="I3691" s="93"/>
      <c r="J3691" s="93"/>
    </row>
    <row r="3692" spans="1:10" s="65" customFormat="1" ht="14" x14ac:dyDescent="0.35">
      <c r="A3692" s="145"/>
      <c r="E3692" s="102"/>
      <c r="F3692" s="102"/>
      <c r="G3692" s="102"/>
      <c r="I3692" s="93"/>
      <c r="J3692" s="93"/>
    </row>
    <row r="3693" spans="1:10" s="65" customFormat="1" ht="14" x14ac:dyDescent="0.35">
      <c r="A3693" s="145"/>
      <c r="E3693" s="102"/>
      <c r="F3693" s="102"/>
      <c r="G3693" s="102"/>
      <c r="I3693" s="93"/>
      <c r="J3693" s="93"/>
    </row>
    <row r="3694" spans="1:10" s="65" customFormat="1" ht="14" x14ac:dyDescent="0.35">
      <c r="A3694" s="145"/>
      <c r="E3694" s="102"/>
      <c r="F3694" s="102"/>
      <c r="G3694" s="102"/>
      <c r="I3694" s="93"/>
      <c r="J3694" s="93"/>
    </row>
    <row r="3695" spans="1:10" s="65" customFormat="1" ht="14" x14ac:dyDescent="0.35">
      <c r="A3695" s="145"/>
      <c r="E3695" s="102"/>
      <c r="F3695" s="102"/>
      <c r="G3695" s="102"/>
      <c r="I3695" s="93"/>
      <c r="J3695" s="93"/>
    </row>
    <row r="3696" spans="1:10" s="65" customFormat="1" ht="14" x14ac:dyDescent="0.35">
      <c r="A3696" s="145"/>
      <c r="E3696" s="102"/>
      <c r="F3696" s="102"/>
      <c r="G3696" s="102"/>
      <c r="I3696" s="93"/>
      <c r="J3696" s="93"/>
    </row>
    <row r="3697" spans="1:24" s="65" customFormat="1" ht="14" x14ac:dyDescent="0.35">
      <c r="A3697" s="145"/>
      <c r="E3697" s="102"/>
      <c r="F3697" s="102"/>
      <c r="G3697" s="102"/>
      <c r="I3697" s="93"/>
      <c r="J3697" s="93"/>
    </row>
    <row r="3698" spans="1:24" s="65" customFormat="1" x14ac:dyDescent="0.35">
      <c r="A3698" s="145"/>
      <c r="E3698" s="102"/>
      <c r="F3698" s="102"/>
      <c r="G3698" s="102"/>
      <c r="I3698" s="93"/>
      <c r="J3698" s="93"/>
      <c r="R3698" s="103"/>
      <c r="S3698" s="103"/>
      <c r="T3698" s="103"/>
    </row>
    <row r="3699" spans="1:24" s="65" customFormat="1" x14ac:dyDescent="0.35">
      <c r="A3699" s="145"/>
      <c r="E3699" s="102"/>
      <c r="F3699" s="102"/>
      <c r="G3699" s="102"/>
      <c r="I3699" s="93"/>
      <c r="J3699" s="93"/>
      <c r="R3699" s="103"/>
      <c r="S3699" s="103"/>
      <c r="T3699" s="103"/>
    </row>
    <row r="3700" spans="1:24" s="65" customFormat="1" x14ac:dyDescent="0.35">
      <c r="A3700" s="145"/>
      <c r="E3700" s="102"/>
      <c r="F3700" s="102"/>
      <c r="G3700" s="102"/>
      <c r="I3700" s="93"/>
      <c r="J3700" s="93"/>
      <c r="R3700" s="103"/>
      <c r="S3700" s="103"/>
      <c r="T3700" s="103"/>
    </row>
    <row r="3701" spans="1:24" s="65" customFormat="1" x14ac:dyDescent="0.35">
      <c r="A3701" s="145"/>
      <c r="E3701" s="102"/>
      <c r="F3701" s="102"/>
      <c r="G3701" s="102"/>
      <c r="I3701" s="93"/>
      <c r="J3701" s="93"/>
      <c r="R3701" s="103"/>
      <c r="S3701" s="103"/>
      <c r="T3701" s="103"/>
    </row>
    <row r="3702" spans="1:24" s="65" customFormat="1" x14ac:dyDescent="0.35">
      <c r="A3702" s="145"/>
      <c r="E3702" s="102"/>
      <c r="F3702" s="102"/>
      <c r="G3702" s="102"/>
      <c r="I3702" s="93"/>
      <c r="J3702" s="93"/>
      <c r="R3702" s="103"/>
      <c r="S3702" s="103"/>
      <c r="T3702" s="103"/>
    </row>
    <row r="3703" spans="1:24" s="65" customFormat="1" x14ac:dyDescent="0.35">
      <c r="A3703" s="145"/>
      <c r="E3703" s="102"/>
      <c r="F3703" s="102"/>
      <c r="G3703" s="102"/>
      <c r="I3703" s="93"/>
      <c r="J3703" s="93"/>
      <c r="R3703" s="103"/>
      <c r="S3703" s="103"/>
      <c r="T3703" s="103"/>
      <c r="U3703" s="103"/>
    </row>
    <row r="3704" spans="1:24" s="65" customFormat="1" x14ac:dyDescent="0.35">
      <c r="A3704" s="145"/>
      <c r="E3704" s="102"/>
      <c r="F3704" s="102"/>
      <c r="G3704" s="102"/>
      <c r="I3704" s="93"/>
      <c r="J3704" s="93"/>
      <c r="R3704" s="103"/>
      <c r="S3704" s="103"/>
      <c r="T3704" s="103"/>
      <c r="U3704" s="103"/>
    </row>
    <row r="3705" spans="1:24" s="65" customFormat="1" x14ac:dyDescent="0.35">
      <c r="A3705" s="145"/>
      <c r="E3705" s="102"/>
      <c r="F3705" s="102"/>
      <c r="G3705" s="102"/>
      <c r="I3705" s="93"/>
      <c r="J3705" s="93"/>
      <c r="R3705" s="103"/>
      <c r="S3705" s="103"/>
      <c r="T3705" s="103"/>
      <c r="U3705" s="103"/>
      <c r="V3705" s="103"/>
      <c r="W3705" s="103"/>
      <c r="X3705" s="103"/>
    </row>
    <row r="3706" spans="1:24" x14ac:dyDescent="0.35">
      <c r="B3706" s="65"/>
      <c r="C3706" s="65"/>
      <c r="D3706" s="65"/>
      <c r="E3706" s="102"/>
      <c r="F3706" s="102"/>
      <c r="G3706" s="102"/>
      <c r="H3706" s="65"/>
      <c r="I3706" s="93"/>
      <c r="J3706" s="93"/>
      <c r="K3706" s="65"/>
      <c r="L3706" s="65"/>
      <c r="M3706" s="65"/>
      <c r="N3706" s="65"/>
      <c r="O3706" s="65"/>
      <c r="P3706" s="65"/>
    </row>
    <row r="3707" spans="1:24" x14ac:dyDescent="0.35">
      <c r="B3707" s="65"/>
      <c r="C3707" s="65"/>
      <c r="D3707" s="65"/>
      <c r="E3707" s="102"/>
      <c r="F3707" s="102"/>
      <c r="G3707" s="102"/>
      <c r="H3707" s="65"/>
      <c r="I3707" s="93"/>
      <c r="J3707" s="93"/>
      <c r="K3707" s="65"/>
      <c r="L3707" s="65"/>
      <c r="M3707" s="65"/>
      <c r="N3707" s="65"/>
      <c r="O3707" s="65"/>
      <c r="P3707" s="65"/>
    </row>
    <row r="3708" spans="1:24" x14ac:dyDescent="0.35">
      <c r="B3708" s="65"/>
      <c r="C3708" s="65"/>
      <c r="D3708" s="65"/>
      <c r="E3708" s="102"/>
      <c r="F3708" s="102"/>
      <c r="G3708" s="102"/>
      <c r="H3708" s="65"/>
      <c r="I3708" s="93"/>
      <c r="J3708" s="93"/>
      <c r="K3708" s="65"/>
      <c r="L3708" s="65"/>
      <c r="M3708" s="65"/>
      <c r="N3708" s="65"/>
      <c r="O3708" s="65"/>
      <c r="P3708" s="65"/>
    </row>
  </sheetData>
  <mergeCells count="5">
    <mergeCell ref="B56:P56"/>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3713"/>
  <sheetViews>
    <sheetView showGridLines="0" zoomScaleNormal="100" workbookViewId="0">
      <pane xSplit="2" ySplit="3" topLeftCell="C31" activePane="bottomRight" state="frozen"/>
      <selection activeCell="A4" sqref="A4:H4"/>
      <selection pane="topRight" activeCell="A4" sqref="A4:H4"/>
      <selection pane="bottomLeft" activeCell="A4" sqref="A4:H4"/>
      <selection pane="bottomRight" activeCell="A4" sqref="A4:H4"/>
    </sheetView>
  </sheetViews>
  <sheetFormatPr defaultRowHeight="15.5" x14ac:dyDescent="0.35"/>
  <cols>
    <col min="1" max="1" width="10.81640625" style="48" hidden="1" customWidth="1"/>
    <col min="2" max="2" width="22.54296875" style="103" customWidth="1"/>
    <col min="3" max="3" width="2.45312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9.1796875" style="103"/>
    <col min="19" max="20" width="9.1796875" style="104"/>
    <col min="21" max="256" width="9.1796875" style="103"/>
    <col min="257" max="257" width="0" style="103" hidden="1" customWidth="1"/>
    <col min="258" max="258" width="22.54296875" style="103" customWidth="1"/>
    <col min="259" max="259" width="2.453125" style="103" customWidth="1"/>
    <col min="260" max="260" width="11.26953125" style="103" customWidth="1"/>
    <col min="261" max="261" width="12.81640625" style="103" customWidth="1"/>
    <col min="262" max="262" width="12.26953125" style="103" customWidth="1"/>
    <col min="263" max="263" width="13.26953125" style="103" customWidth="1"/>
    <col min="264" max="264" width="16.81640625" style="103" bestFit="1" customWidth="1"/>
    <col min="265" max="266" width="12.1796875" style="103" customWidth="1"/>
    <col min="267" max="269" width="13.1796875" style="103" customWidth="1"/>
    <col min="270" max="270" width="13.54296875" style="103" customWidth="1"/>
    <col min="271" max="271" width="12.7265625" style="103" customWidth="1"/>
    <col min="272" max="272" width="11.1796875" style="103" customWidth="1"/>
    <col min="273" max="273" width="7.54296875" style="103" customWidth="1"/>
    <col min="274" max="512" width="9.1796875" style="103"/>
    <col min="513" max="513" width="0" style="103" hidden="1" customWidth="1"/>
    <col min="514" max="514" width="22.54296875" style="103" customWidth="1"/>
    <col min="515" max="515" width="2.453125" style="103" customWidth="1"/>
    <col min="516" max="516" width="11.26953125" style="103" customWidth="1"/>
    <col min="517" max="517" width="12.81640625" style="103" customWidth="1"/>
    <col min="518" max="518" width="12.26953125" style="103" customWidth="1"/>
    <col min="519" max="519" width="13.26953125" style="103" customWidth="1"/>
    <col min="520" max="520" width="16.81640625" style="103" bestFit="1" customWidth="1"/>
    <col min="521" max="522" width="12.1796875" style="103" customWidth="1"/>
    <col min="523" max="525" width="13.1796875" style="103" customWidth="1"/>
    <col min="526" max="526" width="13.54296875" style="103" customWidth="1"/>
    <col min="527" max="527" width="12.7265625" style="103" customWidth="1"/>
    <col min="528" max="528" width="11.1796875" style="103" customWidth="1"/>
    <col min="529" max="529" width="7.54296875" style="103" customWidth="1"/>
    <col min="530" max="768" width="9.1796875" style="103"/>
    <col min="769" max="769" width="0" style="103" hidden="1" customWidth="1"/>
    <col min="770" max="770" width="22.54296875" style="103" customWidth="1"/>
    <col min="771" max="771" width="2.453125" style="103" customWidth="1"/>
    <col min="772" max="772" width="11.26953125" style="103" customWidth="1"/>
    <col min="773" max="773" width="12.81640625" style="103" customWidth="1"/>
    <col min="774" max="774" width="12.26953125" style="103" customWidth="1"/>
    <col min="775" max="775" width="13.26953125" style="103" customWidth="1"/>
    <col min="776" max="776" width="16.81640625" style="103" bestFit="1" customWidth="1"/>
    <col min="777" max="778" width="12.1796875" style="103" customWidth="1"/>
    <col min="779" max="781" width="13.1796875" style="103" customWidth="1"/>
    <col min="782" max="782" width="13.54296875" style="103" customWidth="1"/>
    <col min="783" max="783" width="12.7265625" style="103" customWidth="1"/>
    <col min="784" max="784" width="11.1796875" style="103" customWidth="1"/>
    <col min="785" max="785" width="7.54296875" style="103" customWidth="1"/>
    <col min="786" max="1024" width="9.1796875" style="103"/>
    <col min="1025" max="1025" width="0" style="103" hidden="1" customWidth="1"/>
    <col min="1026" max="1026" width="22.54296875" style="103" customWidth="1"/>
    <col min="1027" max="1027" width="2.453125" style="103" customWidth="1"/>
    <col min="1028" max="1028" width="11.26953125" style="103" customWidth="1"/>
    <col min="1029" max="1029" width="12.81640625" style="103" customWidth="1"/>
    <col min="1030" max="1030" width="12.26953125" style="103" customWidth="1"/>
    <col min="1031" max="1031" width="13.26953125" style="103" customWidth="1"/>
    <col min="1032" max="1032" width="16.81640625" style="103" bestFit="1" customWidth="1"/>
    <col min="1033" max="1034" width="12.1796875" style="103" customWidth="1"/>
    <col min="1035" max="1037" width="13.1796875" style="103" customWidth="1"/>
    <col min="1038" max="1038" width="13.54296875" style="103" customWidth="1"/>
    <col min="1039" max="1039" width="12.7265625" style="103" customWidth="1"/>
    <col min="1040" max="1040" width="11.1796875" style="103" customWidth="1"/>
    <col min="1041" max="1041" width="7.54296875" style="103" customWidth="1"/>
    <col min="1042" max="1280" width="9.1796875" style="103"/>
    <col min="1281" max="1281" width="0" style="103" hidden="1" customWidth="1"/>
    <col min="1282" max="1282" width="22.54296875" style="103" customWidth="1"/>
    <col min="1283" max="1283" width="2.453125" style="103" customWidth="1"/>
    <col min="1284" max="1284" width="11.26953125" style="103" customWidth="1"/>
    <col min="1285" max="1285" width="12.81640625" style="103" customWidth="1"/>
    <col min="1286" max="1286" width="12.26953125" style="103" customWidth="1"/>
    <col min="1287" max="1287" width="13.26953125" style="103" customWidth="1"/>
    <col min="1288" max="1288" width="16.81640625" style="103" bestFit="1" customWidth="1"/>
    <col min="1289" max="1290" width="12.1796875" style="103" customWidth="1"/>
    <col min="1291" max="1293" width="13.1796875" style="103" customWidth="1"/>
    <col min="1294" max="1294" width="13.54296875" style="103" customWidth="1"/>
    <col min="1295" max="1295" width="12.7265625" style="103" customWidth="1"/>
    <col min="1296" max="1296" width="11.1796875" style="103" customWidth="1"/>
    <col min="1297" max="1297" width="7.54296875" style="103" customWidth="1"/>
    <col min="1298" max="1536" width="9.1796875" style="103"/>
    <col min="1537" max="1537" width="0" style="103" hidden="1" customWidth="1"/>
    <col min="1538" max="1538" width="22.54296875" style="103" customWidth="1"/>
    <col min="1539" max="1539" width="2.453125" style="103" customWidth="1"/>
    <col min="1540" max="1540" width="11.26953125" style="103" customWidth="1"/>
    <col min="1541" max="1541" width="12.81640625" style="103" customWidth="1"/>
    <col min="1542" max="1542" width="12.26953125" style="103" customWidth="1"/>
    <col min="1543" max="1543" width="13.26953125" style="103" customWidth="1"/>
    <col min="1544" max="1544" width="16.81640625" style="103" bestFit="1" customWidth="1"/>
    <col min="1545" max="1546" width="12.1796875" style="103" customWidth="1"/>
    <col min="1547" max="1549" width="13.1796875" style="103" customWidth="1"/>
    <col min="1550" max="1550" width="13.54296875" style="103" customWidth="1"/>
    <col min="1551" max="1551" width="12.7265625" style="103" customWidth="1"/>
    <col min="1552" max="1552" width="11.1796875" style="103" customWidth="1"/>
    <col min="1553" max="1553" width="7.54296875" style="103" customWidth="1"/>
    <col min="1554" max="1792" width="9.1796875" style="103"/>
    <col min="1793" max="1793" width="0" style="103" hidden="1" customWidth="1"/>
    <col min="1794" max="1794" width="22.54296875" style="103" customWidth="1"/>
    <col min="1795" max="1795" width="2.453125" style="103" customWidth="1"/>
    <col min="1796" max="1796" width="11.26953125" style="103" customWidth="1"/>
    <col min="1797" max="1797" width="12.81640625" style="103" customWidth="1"/>
    <col min="1798" max="1798" width="12.26953125" style="103" customWidth="1"/>
    <col min="1799" max="1799" width="13.26953125" style="103" customWidth="1"/>
    <col min="1800" max="1800" width="16.81640625" style="103" bestFit="1" customWidth="1"/>
    <col min="1801" max="1802" width="12.1796875" style="103" customWidth="1"/>
    <col min="1803" max="1805" width="13.1796875" style="103" customWidth="1"/>
    <col min="1806" max="1806" width="13.54296875" style="103" customWidth="1"/>
    <col min="1807" max="1807" width="12.7265625" style="103" customWidth="1"/>
    <col min="1808" max="1808" width="11.1796875" style="103" customWidth="1"/>
    <col min="1809" max="1809" width="7.54296875" style="103" customWidth="1"/>
    <col min="1810" max="2048" width="9.1796875" style="103"/>
    <col min="2049" max="2049" width="0" style="103" hidden="1" customWidth="1"/>
    <col min="2050" max="2050" width="22.54296875" style="103" customWidth="1"/>
    <col min="2051" max="2051" width="2.453125" style="103" customWidth="1"/>
    <col min="2052" max="2052" width="11.26953125" style="103" customWidth="1"/>
    <col min="2053" max="2053" width="12.81640625" style="103" customWidth="1"/>
    <col min="2054" max="2054" width="12.26953125" style="103" customWidth="1"/>
    <col min="2055" max="2055" width="13.26953125" style="103" customWidth="1"/>
    <col min="2056" max="2056" width="16.81640625" style="103" bestFit="1" customWidth="1"/>
    <col min="2057" max="2058" width="12.1796875" style="103" customWidth="1"/>
    <col min="2059" max="2061" width="13.1796875" style="103" customWidth="1"/>
    <col min="2062" max="2062" width="13.54296875" style="103" customWidth="1"/>
    <col min="2063" max="2063" width="12.7265625" style="103" customWidth="1"/>
    <col min="2064" max="2064" width="11.1796875" style="103" customWidth="1"/>
    <col min="2065" max="2065" width="7.54296875" style="103" customWidth="1"/>
    <col min="2066" max="2304" width="9.1796875" style="103"/>
    <col min="2305" max="2305" width="0" style="103" hidden="1" customWidth="1"/>
    <col min="2306" max="2306" width="22.54296875" style="103" customWidth="1"/>
    <col min="2307" max="2307" width="2.453125" style="103" customWidth="1"/>
    <col min="2308" max="2308" width="11.26953125" style="103" customWidth="1"/>
    <col min="2309" max="2309" width="12.81640625" style="103" customWidth="1"/>
    <col min="2310" max="2310" width="12.26953125" style="103" customWidth="1"/>
    <col min="2311" max="2311" width="13.26953125" style="103" customWidth="1"/>
    <col min="2312" max="2312" width="16.81640625" style="103" bestFit="1" customWidth="1"/>
    <col min="2313" max="2314" width="12.1796875" style="103" customWidth="1"/>
    <col min="2315" max="2317" width="13.1796875" style="103" customWidth="1"/>
    <col min="2318" max="2318" width="13.54296875" style="103" customWidth="1"/>
    <col min="2319" max="2319" width="12.7265625" style="103" customWidth="1"/>
    <col min="2320" max="2320" width="11.1796875" style="103" customWidth="1"/>
    <col min="2321" max="2321" width="7.54296875" style="103" customWidth="1"/>
    <col min="2322" max="2560" width="9.1796875" style="103"/>
    <col min="2561" max="2561" width="0" style="103" hidden="1" customWidth="1"/>
    <col min="2562" max="2562" width="22.54296875" style="103" customWidth="1"/>
    <col min="2563" max="2563" width="2.453125" style="103" customWidth="1"/>
    <col min="2564" max="2564" width="11.26953125" style="103" customWidth="1"/>
    <col min="2565" max="2565" width="12.81640625" style="103" customWidth="1"/>
    <col min="2566" max="2566" width="12.26953125" style="103" customWidth="1"/>
    <col min="2567" max="2567" width="13.26953125" style="103" customWidth="1"/>
    <col min="2568" max="2568" width="16.81640625" style="103" bestFit="1" customWidth="1"/>
    <col min="2569" max="2570" width="12.1796875" style="103" customWidth="1"/>
    <col min="2571" max="2573" width="13.1796875" style="103" customWidth="1"/>
    <col min="2574" max="2574" width="13.54296875" style="103" customWidth="1"/>
    <col min="2575" max="2575" width="12.7265625" style="103" customWidth="1"/>
    <col min="2576" max="2576" width="11.1796875" style="103" customWidth="1"/>
    <col min="2577" max="2577" width="7.54296875" style="103" customWidth="1"/>
    <col min="2578" max="2816" width="9.1796875" style="103"/>
    <col min="2817" max="2817" width="0" style="103" hidden="1" customWidth="1"/>
    <col min="2818" max="2818" width="22.54296875" style="103" customWidth="1"/>
    <col min="2819" max="2819" width="2.453125" style="103" customWidth="1"/>
    <col min="2820" max="2820" width="11.26953125" style="103" customWidth="1"/>
    <col min="2821" max="2821" width="12.81640625" style="103" customWidth="1"/>
    <col min="2822" max="2822" width="12.26953125" style="103" customWidth="1"/>
    <col min="2823" max="2823" width="13.26953125" style="103" customWidth="1"/>
    <col min="2824" max="2824" width="16.81640625" style="103" bestFit="1" customWidth="1"/>
    <col min="2825" max="2826" width="12.1796875" style="103" customWidth="1"/>
    <col min="2827" max="2829" width="13.1796875" style="103" customWidth="1"/>
    <col min="2830" max="2830" width="13.54296875" style="103" customWidth="1"/>
    <col min="2831" max="2831" width="12.7265625" style="103" customWidth="1"/>
    <col min="2832" max="2832" width="11.1796875" style="103" customWidth="1"/>
    <col min="2833" max="2833" width="7.54296875" style="103" customWidth="1"/>
    <col min="2834" max="3072" width="9.1796875" style="103"/>
    <col min="3073" max="3073" width="0" style="103" hidden="1" customWidth="1"/>
    <col min="3074" max="3074" width="22.54296875" style="103" customWidth="1"/>
    <col min="3075" max="3075" width="2.453125" style="103" customWidth="1"/>
    <col min="3076" max="3076" width="11.26953125" style="103" customWidth="1"/>
    <col min="3077" max="3077" width="12.81640625" style="103" customWidth="1"/>
    <col min="3078" max="3078" width="12.26953125" style="103" customWidth="1"/>
    <col min="3079" max="3079" width="13.26953125" style="103" customWidth="1"/>
    <col min="3080" max="3080" width="16.81640625" style="103" bestFit="1" customWidth="1"/>
    <col min="3081" max="3082" width="12.1796875" style="103" customWidth="1"/>
    <col min="3083" max="3085" width="13.1796875" style="103" customWidth="1"/>
    <col min="3086" max="3086" width="13.54296875" style="103" customWidth="1"/>
    <col min="3087" max="3087" width="12.7265625" style="103" customWidth="1"/>
    <col min="3088" max="3088" width="11.1796875" style="103" customWidth="1"/>
    <col min="3089" max="3089" width="7.54296875" style="103" customWidth="1"/>
    <col min="3090" max="3328" width="9.1796875" style="103"/>
    <col min="3329" max="3329" width="0" style="103" hidden="1" customWidth="1"/>
    <col min="3330" max="3330" width="22.54296875" style="103" customWidth="1"/>
    <col min="3331" max="3331" width="2.453125" style="103" customWidth="1"/>
    <col min="3332" max="3332" width="11.26953125" style="103" customWidth="1"/>
    <col min="3333" max="3333" width="12.81640625" style="103" customWidth="1"/>
    <col min="3334" max="3334" width="12.26953125" style="103" customWidth="1"/>
    <col min="3335" max="3335" width="13.26953125" style="103" customWidth="1"/>
    <col min="3336" max="3336" width="16.81640625" style="103" bestFit="1" customWidth="1"/>
    <col min="3337" max="3338" width="12.1796875" style="103" customWidth="1"/>
    <col min="3339" max="3341" width="13.1796875" style="103" customWidth="1"/>
    <col min="3342" max="3342" width="13.54296875" style="103" customWidth="1"/>
    <col min="3343" max="3343" width="12.7265625" style="103" customWidth="1"/>
    <col min="3344" max="3344" width="11.1796875" style="103" customWidth="1"/>
    <col min="3345" max="3345" width="7.54296875" style="103" customWidth="1"/>
    <col min="3346" max="3584" width="9.1796875" style="103"/>
    <col min="3585" max="3585" width="0" style="103" hidden="1" customWidth="1"/>
    <col min="3586" max="3586" width="22.54296875" style="103" customWidth="1"/>
    <col min="3587" max="3587" width="2.453125" style="103" customWidth="1"/>
    <col min="3588" max="3588" width="11.26953125" style="103" customWidth="1"/>
    <col min="3589" max="3589" width="12.81640625" style="103" customWidth="1"/>
    <col min="3590" max="3590" width="12.26953125" style="103" customWidth="1"/>
    <col min="3591" max="3591" width="13.26953125" style="103" customWidth="1"/>
    <col min="3592" max="3592" width="16.81640625" style="103" bestFit="1" customWidth="1"/>
    <col min="3593" max="3594" width="12.1796875" style="103" customWidth="1"/>
    <col min="3595" max="3597" width="13.1796875" style="103" customWidth="1"/>
    <col min="3598" max="3598" width="13.54296875" style="103" customWidth="1"/>
    <col min="3599" max="3599" width="12.7265625" style="103" customWidth="1"/>
    <col min="3600" max="3600" width="11.1796875" style="103" customWidth="1"/>
    <col min="3601" max="3601" width="7.54296875" style="103" customWidth="1"/>
    <col min="3602" max="3840" width="9.1796875" style="103"/>
    <col min="3841" max="3841" width="0" style="103" hidden="1" customWidth="1"/>
    <col min="3842" max="3842" width="22.54296875" style="103" customWidth="1"/>
    <col min="3843" max="3843" width="2.453125" style="103" customWidth="1"/>
    <col min="3844" max="3844" width="11.26953125" style="103" customWidth="1"/>
    <col min="3845" max="3845" width="12.81640625" style="103" customWidth="1"/>
    <col min="3846" max="3846" width="12.26953125" style="103" customWidth="1"/>
    <col min="3847" max="3847" width="13.26953125" style="103" customWidth="1"/>
    <col min="3848" max="3848" width="16.81640625" style="103" bestFit="1" customWidth="1"/>
    <col min="3849" max="3850" width="12.1796875" style="103" customWidth="1"/>
    <col min="3851" max="3853" width="13.1796875" style="103" customWidth="1"/>
    <col min="3854" max="3854" width="13.54296875" style="103" customWidth="1"/>
    <col min="3855" max="3855" width="12.7265625" style="103" customWidth="1"/>
    <col min="3856" max="3856" width="11.1796875" style="103" customWidth="1"/>
    <col min="3857" max="3857" width="7.54296875" style="103" customWidth="1"/>
    <col min="3858" max="4096" width="9.1796875" style="103"/>
    <col min="4097" max="4097" width="0" style="103" hidden="1" customWidth="1"/>
    <col min="4098" max="4098" width="22.54296875" style="103" customWidth="1"/>
    <col min="4099" max="4099" width="2.453125" style="103" customWidth="1"/>
    <col min="4100" max="4100" width="11.26953125" style="103" customWidth="1"/>
    <col min="4101" max="4101" width="12.81640625" style="103" customWidth="1"/>
    <col min="4102" max="4102" width="12.26953125" style="103" customWidth="1"/>
    <col min="4103" max="4103" width="13.26953125" style="103" customWidth="1"/>
    <col min="4104" max="4104" width="16.81640625" style="103" bestFit="1" customWidth="1"/>
    <col min="4105" max="4106" width="12.1796875" style="103" customWidth="1"/>
    <col min="4107" max="4109" width="13.1796875" style="103" customWidth="1"/>
    <col min="4110" max="4110" width="13.54296875" style="103" customWidth="1"/>
    <col min="4111" max="4111" width="12.7265625" style="103" customWidth="1"/>
    <col min="4112" max="4112" width="11.1796875" style="103" customWidth="1"/>
    <col min="4113" max="4113" width="7.54296875" style="103" customWidth="1"/>
    <col min="4114" max="4352" width="9.1796875" style="103"/>
    <col min="4353" max="4353" width="0" style="103" hidden="1" customWidth="1"/>
    <col min="4354" max="4354" width="22.54296875" style="103" customWidth="1"/>
    <col min="4355" max="4355" width="2.453125" style="103" customWidth="1"/>
    <col min="4356" max="4356" width="11.26953125" style="103" customWidth="1"/>
    <col min="4357" max="4357" width="12.81640625" style="103" customWidth="1"/>
    <col min="4358" max="4358" width="12.26953125" style="103" customWidth="1"/>
    <col min="4359" max="4359" width="13.26953125" style="103" customWidth="1"/>
    <col min="4360" max="4360" width="16.81640625" style="103" bestFit="1" customWidth="1"/>
    <col min="4361" max="4362" width="12.1796875" style="103" customWidth="1"/>
    <col min="4363" max="4365" width="13.1796875" style="103" customWidth="1"/>
    <col min="4366" max="4366" width="13.54296875" style="103" customWidth="1"/>
    <col min="4367" max="4367" width="12.7265625" style="103" customWidth="1"/>
    <col min="4368" max="4368" width="11.1796875" style="103" customWidth="1"/>
    <col min="4369" max="4369" width="7.54296875" style="103" customWidth="1"/>
    <col min="4370" max="4608" width="9.1796875" style="103"/>
    <col min="4609" max="4609" width="0" style="103" hidden="1" customWidth="1"/>
    <col min="4610" max="4610" width="22.54296875" style="103" customWidth="1"/>
    <col min="4611" max="4611" width="2.453125" style="103" customWidth="1"/>
    <col min="4612" max="4612" width="11.26953125" style="103" customWidth="1"/>
    <col min="4613" max="4613" width="12.81640625" style="103" customWidth="1"/>
    <col min="4614" max="4614" width="12.26953125" style="103" customWidth="1"/>
    <col min="4615" max="4615" width="13.26953125" style="103" customWidth="1"/>
    <col min="4616" max="4616" width="16.81640625" style="103" bestFit="1" customWidth="1"/>
    <col min="4617" max="4618" width="12.1796875" style="103" customWidth="1"/>
    <col min="4619" max="4621" width="13.1796875" style="103" customWidth="1"/>
    <col min="4622" max="4622" width="13.54296875" style="103" customWidth="1"/>
    <col min="4623" max="4623" width="12.7265625" style="103" customWidth="1"/>
    <col min="4624" max="4624" width="11.1796875" style="103" customWidth="1"/>
    <col min="4625" max="4625" width="7.54296875" style="103" customWidth="1"/>
    <col min="4626" max="4864" width="9.1796875" style="103"/>
    <col min="4865" max="4865" width="0" style="103" hidden="1" customWidth="1"/>
    <col min="4866" max="4866" width="22.54296875" style="103" customWidth="1"/>
    <col min="4867" max="4867" width="2.453125" style="103" customWidth="1"/>
    <col min="4868" max="4868" width="11.26953125" style="103" customWidth="1"/>
    <col min="4869" max="4869" width="12.81640625" style="103" customWidth="1"/>
    <col min="4870" max="4870" width="12.26953125" style="103" customWidth="1"/>
    <col min="4871" max="4871" width="13.26953125" style="103" customWidth="1"/>
    <col min="4872" max="4872" width="16.81640625" style="103" bestFit="1" customWidth="1"/>
    <col min="4873" max="4874" width="12.1796875" style="103" customWidth="1"/>
    <col min="4875" max="4877" width="13.1796875" style="103" customWidth="1"/>
    <col min="4878" max="4878" width="13.54296875" style="103" customWidth="1"/>
    <col min="4879" max="4879" width="12.7265625" style="103" customWidth="1"/>
    <col min="4880" max="4880" width="11.1796875" style="103" customWidth="1"/>
    <col min="4881" max="4881" width="7.54296875" style="103" customWidth="1"/>
    <col min="4882" max="5120" width="9.1796875" style="103"/>
    <col min="5121" max="5121" width="0" style="103" hidden="1" customWidth="1"/>
    <col min="5122" max="5122" width="22.54296875" style="103" customWidth="1"/>
    <col min="5123" max="5123" width="2.453125" style="103" customWidth="1"/>
    <col min="5124" max="5124" width="11.26953125" style="103" customWidth="1"/>
    <col min="5125" max="5125" width="12.81640625" style="103" customWidth="1"/>
    <col min="5126" max="5126" width="12.26953125" style="103" customWidth="1"/>
    <col min="5127" max="5127" width="13.26953125" style="103" customWidth="1"/>
    <col min="5128" max="5128" width="16.81640625" style="103" bestFit="1" customWidth="1"/>
    <col min="5129" max="5130" width="12.1796875" style="103" customWidth="1"/>
    <col min="5131" max="5133" width="13.1796875" style="103" customWidth="1"/>
    <col min="5134" max="5134" width="13.54296875" style="103" customWidth="1"/>
    <col min="5135" max="5135" width="12.7265625" style="103" customWidth="1"/>
    <col min="5136" max="5136" width="11.1796875" style="103" customWidth="1"/>
    <col min="5137" max="5137" width="7.54296875" style="103" customWidth="1"/>
    <col min="5138" max="5376" width="9.1796875" style="103"/>
    <col min="5377" max="5377" width="0" style="103" hidden="1" customWidth="1"/>
    <col min="5378" max="5378" width="22.54296875" style="103" customWidth="1"/>
    <col min="5379" max="5379" width="2.453125" style="103" customWidth="1"/>
    <col min="5380" max="5380" width="11.26953125" style="103" customWidth="1"/>
    <col min="5381" max="5381" width="12.81640625" style="103" customWidth="1"/>
    <col min="5382" max="5382" width="12.26953125" style="103" customWidth="1"/>
    <col min="5383" max="5383" width="13.26953125" style="103" customWidth="1"/>
    <col min="5384" max="5384" width="16.81640625" style="103" bestFit="1" customWidth="1"/>
    <col min="5385" max="5386" width="12.1796875" style="103" customWidth="1"/>
    <col min="5387" max="5389" width="13.1796875" style="103" customWidth="1"/>
    <col min="5390" max="5390" width="13.54296875" style="103" customWidth="1"/>
    <col min="5391" max="5391" width="12.7265625" style="103" customWidth="1"/>
    <col min="5392" max="5392" width="11.1796875" style="103" customWidth="1"/>
    <col min="5393" max="5393" width="7.54296875" style="103" customWidth="1"/>
    <col min="5394" max="5632" width="9.1796875" style="103"/>
    <col min="5633" max="5633" width="0" style="103" hidden="1" customWidth="1"/>
    <col min="5634" max="5634" width="22.54296875" style="103" customWidth="1"/>
    <col min="5635" max="5635" width="2.453125" style="103" customWidth="1"/>
    <col min="5636" max="5636" width="11.26953125" style="103" customWidth="1"/>
    <col min="5637" max="5637" width="12.81640625" style="103" customWidth="1"/>
    <col min="5638" max="5638" width="12.26953125" style="103" customWidth="1"/>
    <col min="5639" max="5639" width="13.26953125" style="103" customWidth="1"/>
    <col min="5640" max="5640" width="16.81640625" style="103" bestFit="1" customWidth="1"/>
    <col min="5641" max="5642" width="12.1796875" style="103" customWidth="1"/>
    <col min="5643" max="5645" width="13.1796875" style="103" customWidth="1"/>
    <col min="5646" max="5646" width="13.54296875" style="103" customWidth="1"/>
    <col min="5647" max="5647" width="12.7265625" style="103" customWidth="1"/>
    <col min="5648" max="5648" width="11.1796875" style="103" customWidth="1"/>
    <col min="5649" max="5649" width="7.54296875" style="103" customWidth="1"/>
    <col min="5650" max="5888" width="9.1796875" style="103"/>
    <col min="5889" max="5889" width="0" style="103" hidden="1" customWidth="1"/>
    <col min="5890" max="5890" width="22.54296875" style="103" customWidth="1"/>
    <col min="5891" max="5891" width="2.453125" style="103" customWidth="1"/>
    <col min="5892" max="5892" width="11.26953125" style="103" customWidth="1"/>
    <col min="5893" max="5893" width="12.81640625" style="103" customWidth="1"/>
    <col min="5894" max="5894" width="12.26953125" style="103" customWidth="1"/>
    <col min="5895" max="5895" width="13.26953125" style="103" customWidth="1"/>
    <col min="5896" max="5896" width="16.81640625" style="103" bestFit="1" customWidth="1"/>
    <col min="5897" max="5898" width="12.1796875" style="103" customWidth="1"/>
    <col min="5899" max="5901" width="13.1796875" style="103" customWidth="1"/>
    <col min="5902" max="5902" width="13.54296875" style="103" customWidth="1"/>
    <col min="5903" max="5903" width="12.7265625" style="103" customWidth="1"/>
    <col min="5904" max="5904" width="11.1796875" style="103" customWidth="1"/>
    <col min="5905" max="5905" width="7.54296875" style="103" customWidth="1"/>
    <col min="5906" max="6144" width="9.1796875" style="103"/>
    <col min="6145" max="6145" width="0" style="103" hidden="1" customWidth="1"/>
    <col min="6146" max="6146" width="22.54296875" style="103" customWidth="1"/>
    <col min="6147" max="6147" width="2.453125" style="103" customWidth="1"/>
    <col min="6148" max="6148" width="11.26953125" style="103" customWidth="1"/>
    <col min="6149" max="6149" width="12.81640625" style="103" customWidth="1"/>
    <col min="6150" max="6150" width="12.26953125" style="103" customWidth="1"/>
    <col min="6151" max="6151" width="13.26953125" style="103" customWidth="1"/>
    <col min="6152" max="6152" width="16.81640625" style="103" bestFit="1" customWidth="1"/>
    <col min="6153" max="6154" width="12.1796875" style="103" customWidth="1"/>
    <col min="6155" max="6157" width="13.1796875" style="103" customWidth="1"/>
    <col min="6158" max="6158" width="13.54296875" style="103" customWidth="1"/>
    <col min="6159" max="6159" width="12.7265625" style="103" customWidth="1"/>
    <col min="6160" max="6160" width="11.1796875" style="103" customWidth="1"/>
    <col min="6161" max="6161" width="7.54296875" style="103" customWidth="1"/>
    <col min="6162" max="6400" width="9.1796875" style="103"/>
    <col min="6401" max="6401" width="0" style="103" hidden="1" customWidth="1"/>
    <col min="6402" max="6402" width="22.54296875" style="103" customWidth="1"/>
    <col min="6403" max="6403" width="2.453125" style="103" customWidth="1"/>
    <col min="6404" max="6404" width="11.26953125" style="103" customWidth="1"/>
    <col min="6405" max="6405" width="12.81640625" style="103" customWidth="1"/>
    <col min="6406" max="6406" width="12.26953125" style="103" customWidth="1"/>
    <col min="6407" max="6407" width="13.26953125" style="103" customWidth="1"/>
    <col min="6408" max="6408" width="16.81640625" style="103" bestFit="1" customWidth="1"/>
    <col min="6409" max="6410" width="12.1796875" style="103" customWidth="1"/>
    <col min="6411" max="6413" width="13.1796875" style="103" customWidth="1"/>
    <col min="6414" max="6414" width="13.54296875" style="103" customWidth="1"/>
    <col min="6415" max="6415" width="12.7265625" style="103" customWidth="1"/>
    <col min="6416" max="6416" width="11.1796875" style="103" customWidth="1"/>
    <col min="6417" max="6417" width="7.54296875" style="103" customWidth="1"/>
    <col min="6418" max="6656" width="9.1796875" style="103"/>
    <col min="6657" max="6657" width="0" style="103" hidden="1" customWidth="1"/>
    <col min="6658" max="6658" width="22.54296875" style="103" customWidth="1"/>
    <col min="6659" max="6659" width="2.453125" style="103" customWidth="1"/>
    <col min="6660" max="6660" width="11.26953125" style="103" customWidth="1"/>
    <col min="6661" max="6661" width="12.81640625" style="103" customWidth="1"/>
    <col min="6662" max="6662" width="12.26953125" style="103" customWidth="1"/>
    <col min="6663" max="6663" width="13.26953125" style="103" customWidth="1"/>
    <col min="6664" max="6664" width="16.81640625" style="103" bestFit="1" customWidth="1"/>
    <col min="6665" max="6666" width="12.1796875" style="103" customWidth="1"/>
    <col min="6667" max="6669" width="13.1796875" style="103" customWidth="1"/>
    <col min="6670" max="6670" width="13.54296875" style="103" customWidth="1"/>
    <col min="6671" max="6671" width="12.7265625" style="103" customWidth="1"/>
    <col min="6672" max="6672" width="11.1796875" style="103" customWidth="1"/>
    <col min="6673" max="6673" width="7.54296875" style="103" customWidth="1"/>
    <col min="6674" max="6912" width="9.1796875" style="103"/>
    <col min="6913" max="6913" width="0" style="103" hidden="1" customWidth="1"/>
    <col min="6914" max="6914" width="22.54296875" style="103" customWidth="1"/>
    <col min="6915" max="6915" width="2.453125" style="103" customWidth="1"/>
    <col min="6916" max="6916" width="11.26953125" style="103" customWidth="1"/>
    <col min="6917" max="6917" width="12.81640625" style="103" customWidth="1"/>
    <col min="6918" max="6918" width="12.26953125" style="103" customWidth="1"/>
    <col min="6919" max="6919" width="13.26953125" style="103" customWidth="1"/>
    <col min="6920" max="6920" width="16.81640625" style="103" bestFit="1" customWidth="1"/>
    <col min="6921" max="6922" width="12.1796875" style="103" customWidth="1"/>
    <col min="6923" max="6925" width="13.1796875" style="103" customWidth="1"/>
    <col min="6926" max="6926" width="13.54296875" style="103" customWidth="1"/>
    <col min="6927" max="6927" width="12.7265625" style="103" customWidth="1"/>
    <col min="6928" max="6928" width="11.1796875" style="103" customWidth="1"/>
    <col min="6929" max="6929" width="7.54296875" style="103" customWidth="1"/>
    <col min="6930" max="7168" width="9.1796875" style="103"/>
    <col min="7169" max="7169" width="0" style="103" hidden="1" customWidth="1"/>
    <col min="7170" max="7170" width="22.54296875" style="103" customWidth="1"/>
    <col min="7171" max="7171" width="2.453125" style="103" customWidth="1"/>
    <col min="7172" max="7172" width="11.26953125" style="103" customWidth="1"/>
    <col min="7173" max="7173" width="12.81640625" style="103" customWidth="1"/>
    <col min="7174" max="7174" width="12.26953125" style="103" customWidth="1"/>
    <col min="7175" max="7175" width="13.26953125" style="103" customWidth="1"/>
    <col min="7176" max="7176" width="16.81640625" style="103" bestFit="1" customWidth="1"/>
    <col min="7177" max="7178" width="12.1796875" style="103" customWidth="1"/>
    <col min="7179" max="7181" width="13.1796875" style="103" customWidth="1"/>
    <col min="7182" max="7182" width="13.54296875" style="103" customWidth="1"/>
    <col min="7183" max="7183" width="12.7265625" style="103" customWidth="1"/>
    <col min="7184" max="7184" width="11.1796875" style="103" customWidth="1"/>
    <col min="7185" max="7185" width="7.54296875" style="103" customWidth="1"/>
    <col min="7186" max="7424" width="9.1796875" style="103"/>
    <col min="7425" max="7425" width="0" style="103" hidden="1" customWidth="1"/>
    <col min="7426" max="7426" width="22.54296875" style="103" customWidth="1"/>
    <col min="7427" max="7427" width="2.453125" style="103" customWidth="1"/>
    <col min="7428" max="7428" width="11.26953125" style="103" customWidth="1"/>
    <col min="7429" max="7429" width="12.81640625" style="103" customWidth="1"/>
    <col min="7430" max="7430" width="12.26953125" style="103" customWidth="1"/>
    <col min="7431" max="7431" width="13.26953125" style="103" customWidth="1"/>
    <col min="7432" max="7432" width="16.81640625" style="103" bestFit="1" customWidth="1"/>
    <col min="7433" max="7434" width="12.1796875" style="103" customWidth="1"/>
    <col min="7435" max="7437" width="13.1796875" style="103" customWidth="1"/>
    <col min="7438" max="7438" width="13.54296875" style="103" customWidth="1"/>
    <col min="7439" max="7439" width="12.7265625" style="103" customWidth="1"/>
    <col min="7440" max="7440" width="11.1796875" style="103" customWidth="1"/>
    <col min="7441" max="7441" width="7.54296875" style="103" customWidth="1"/>
    <col min="7442" max="7680" width="9.1796875" style="103"/>
    <col min="7681" max="7681" width="0" style="103" hidden="1" customWidth="1"/>
    <col min="7682" max="7682" width="22.54296875" style="103" customWidth="1"/>
    <col min="7683" max="7683" width="2.453125" style="103" customWidth="1"/>
    <col min="7684" max="7684" width="11.26953125" style="103" customWidth="1"/>
    <col min="7685" max="7685" width="12.81640625" style="103" customWidth="1"/>
    <col min="7686" max="7686" width="12.26953125" style="103" customWidth="1"/>
    <col min="7687" max="7687" width="13.26953125" style="103" customWidth="1"/>
    <col min="7688" max="7688" width="16.81640625" style="103" bestFit="1" customWidth="1"/>
    <col min="7689" max="7690" width="12.1796875" style="103" customWidth="1"/>
    <col min="7691" max="7693" width="13.1796875" style="103" customWidth="1"/>
    <col min="7694" max="7694" width="13.54296875" style="103" customWidth="1"/>
    <col min="7695" max="7695" width="12.7265625" style="103" customWidth="1"/>
    <col min="7696" max="7696" width="11.1796875" style="103" customWidth="1"/>
    <col min="7697" max="7697" width="7.54296875" style="103" customWidth="1"/>
    <col min="7698" max="7936" width="9.1796875" style="103"/>
    <col min="7937" max="7937" width="0" style="103" hidden="1" customWidth="1"/>
    <col min="7938" max="7938" width="22.54296875" style="103" customWidth="1"/>
    <col min="7939" max="7939" width="2.453125" style="103" customWidth="1"/>
    <col min="7940" max="7940" width="11.26953125" style="103" customWidth="1"/>
    <col min="7941" max="7941" width="12.81640625" style="103" customWidth="1"/>
    <col min="7942" max="7942" width="12.26953125" style="103" customWidth="1"/>
    <col min="7943" max="7943" width="13.26953125" style="103" customWidth="1"/>
    <col min="7944" max="7944" width="16.81640625" style="103" bestFit="1" customWidth="1"/>
    <col min="7945" max="7946" width="12.1796875" style="103" customWidth="1"/>
    <col min="7947" max="7949" width="13.1796875" style="103" customWidth="1"/>
    <col min="7950" max="7950" width="13.54296875" style="103" customWidth="1"/>
    <col min="7951" max="7951" width="12.7265625" style="103" customWidth="1"/>
    <col min="7952" max="7952" width="11.1796875" style="103" customWidth="1"/>
    <col min="7953" max="7953" width="7.54296875" style="103" customWidth="1"/>
    <col min="7954" max="8192" width="9.1796875" style="103"/>
    <col min="8193" max="8193" width="0" style="103" hidden="1" customWidth="1"/>
    <col min="8194" max="8194" width="22.54296875" style="103" customWidth="1"/>
    <col min="8195" max="8195" width="2.453125" style="103" customWidth="1"/>
    <col min="8196" max="8196" width="11.26953125" style="103" customWidth="1"/>
    <col min="8197" max="8197" width="12.81640625" style="103" customWidth="1"/>
    <col min="8198" max="8198" width="12.26953125" style="103" customWidth="1"/>
    <col min="8199" max="8199" width="13.26953125" style="103" customWidth="1"/>
    <col min="8200" max="8200" width="16.81640625" style="103" bestFit="1" customWidth="1"/>
    <col min="8201" max="8202" width="12.1796875" style="103" customWidth="1"/>
    <col min="8203" max="8205" width="13.1796875" style="103" customWidth="1"/>
    <col min="8206" max="8206" width="13.54296875" style="103" customWidth="1"/>
    <col min="8207" max="8207" width="12.7265625" style="103" customWidth="1"/>
    <col min="8208" max="8208" width="11.1796875" style="103" customWidth="1"/>
    <col min="8209" max="8209" width="7.54296875" style="103" customWidth="1"/>
    <col min="8210" max="8448" width="9.1796875" style="103"/>
    <col min="8449" max="8449" width="0" style="103" hidden="1" customWidth="1"/>
    <col min="8450" max="8450" width="22.54296875" style="103" customWidth="1"/>
    <col min="8451" max="8451" width="2.453125" style="103" customWidth="1"/>
    <col min="8452" max="8452" width="11.26953125" style="103" customWidth="1"/>
    <col min="8453" max="8453" width="12.81640625" style="103" customWidth="1"/>
    <col min="8454" max="8454" width="12.26953125" style="103" customWidth="1"/>
    <col min="8455" max="8455" width="13.26953125" style="103" customWidth="1"/>
    <col min="8456" max="8456" width="16.81640625" style="103" bestFit="1" customWidth="1"/>
    <col min="8457" max="8458" width="12.1796875" style="103" customWidth="1"/>
    <col min="8459" max="8461" width="13.1796875" style="103" customWidth="1"/>
    <col min="8462" max="8462" width="13.54296875" style="103" customWidth="1"/>
    <col min="8463" max="8463" width="12.7265625" style="103" customWidth="1"/>
    <col min="8464" max="8464" width="11.1796875" style="103" customWidth="1"/>
    <col min="8465" max="8465" width="7.54296875" style="103" customWidth="1"/>
    <col min="8466" max="8704" width="9.1796875" style="103"/>
    <col min="8705" max="8705" width="0" style="103" hidden="1" customWidth="1"/>
    <col min="8706" max="8706" width="22.54296875" style="103" customWidth="1"/>
    <col min="8707" max="8707" width="2.453125" style="103" customWidth="1"/>
    <col min="8708" max="8708" width="11.26953125" style="103" customWidth="1"/>
    <col min="8709" max="8709" width="12.81640625" style="103" customWidth="1"/>
    <col min="8710" max="8710" width="12.26953125" style="103" customWidth="1"/>
    <col min="8711" max="8711" width="13.26953125" style="103" customWidth="1"/>
    <col min="8712" max="8712" width="16.81640625" style="103" bestFit="1" customWidth="1"/>
    <col min="8713" max="8714" width="12.1796875" style="103" customWidth="1"/>
    <col min="8715" max="8717" width="13.1796875" style="103" customWidth="1"/>
    <col min="8718" max="8718" width="13.54296875" style="103" customWidth="1"/>
    <col min="8719" max="8719" width="12.7265625" style="103" customWidth="1"/>
    <col min="8720" max="8720" width="11.1796875" style="103" customWidth="1"/>
    <col min="8721" max="8721" width="7.54296875" style="103" customWidth="1"/>
    <col min="8722" max="8960" width="9.1796875" style="103"/>
    <col min="8961" max="8961" width="0" style="103" hidden="1" customWidth="1"/>
    <col min="8962" max="8962" width="22.54296875" style="103" customWidth="1"/>
    <col min="8963" max="8963" width="2.453125" style="103" customWidth="1"/>
    <col min="8964" max="8964" width="11.26953125" style="103" customWidth="1"/>
    <col min="8965" max="8965" width="12.81640625" style="103" customWidth="1"/>
    <col min="8966" max="8966" width="12.26953125" style="103" customWidth="1"/>
    <col min="8967" max="8967" width="13.26953125" style="103" customWidth="1"/>
    <col min="8968" max="8968" width="16.81640625" style="103" bestFit="1" customWidth="1"/>
    <col min="8969" max="8970" width="12.1796875" style="103" customWidth="1"/>
    <col min="8971" max="8973" width="13.1796875" style="103" customWidth="1"/>
    <col min="8974" max="8974" width="13.54296875" style="103" customWidth="1"/>
    <col min="8975" max="8975" width="12.7265625" style="103" customWidth="1"/>
    <col min="8976" max="8976" width="11.1796875" style="103" customWidth="1"/>
    <col min="8977" max="8977" width="7.54296875" style="103" customWidth="1"/>
    <col min="8978" max="9216" width="9.1796875" style="103"/>
    <col min="9217" max="9217" width="0" style="103" hidden="1" customWidth="1"/>
    <col min="9218" max="9218" width="22.54296875" style="103" customWidth="1"/>
    <col min="9219" max="9219" width="2.453125" style="103" customWidth="1"/>
    <col min="9220" max="9220" width="11.26953125" style="103" customWidth="1"/>
    <col min="9221" max="9221" width="12.81640625" style="103" customWidth="1"/>
    <col min="9222" max="9222" width="12.26953125" style="103" customWidth="1"/>
    <col min="9223" max="9223" width="13.26953125" style="103" customWidth="1"/>
    <col min="9224" max="9224" width="16.81640625" style="103" bestFit="1" customWidth="1"/>
    <col min="9225" max="9226" width="12.1796875" style="103" customWidth="1"/>
    <col min="9227" max="9229" width="13.1796875" style="103" customWidth="1"/>
    <col min="9230" max="9230" width="13.54296875" style="103" customWidth="1"/>
    <col min="9231" max="9231" width="12.7265625" style="103" customWidth="1"/>
    <col min="9232" max="9232" width="11.1796875" style="103" customWidth="1"/>
    <col min="9233" max="9233" width="7.54296875" style="103" customWidth="1"/>
    <col min="9234" max="9472" width="9.1796875" style="103"/>
    <col min="9473" max="9473" width="0" style="103" hidden="1" customWidth="1"/>
    <col min="9474" max="9474" width="22.54296875" style="103" customWidth="1"/>
    <col min="9475" max="9475" width="2.453125" style="103" customWidth="1"/>
    <col min="9476" max="9476" width="11.26953125" style="103" customWidth="1"/>
    <col min="9477" max="9477" width="12.81640625" style="103" customWidth="1"/>
    <col min="9478" max="9478" width="12.26953125" style="103" customWidth="1"/>
    <col min="9479" max="9479" width="13.26953125" style="103" customWidth="1"/>
    <col min="9480" max="9480" width="16.81640625" style="103" bestFit="1" customWidth="1"/>
    <col min="9481" max="9482" width="12.1796875" style="103" customWidth="1"/>
    <col min="9483" max="9485" width="13.1796875" style="103" customWidth="1"/>
    <col min="9486" max="9486" width="13.54296875" style="103" customWidth="1"/>
    <col min="9487" max="9487" width="12.7265625" style="103" customWidth="1"/>
    <col min="9488" max="9488" width="11.1796875" style="103" customWidth="1"/>
    <col min="9489" max="9489" width="7.54296875" style="103" customWidth="1"/>
    <col min="9490" max="9728" width="9.1796875" style="103"/>
    <col min="9729" max="9729" width="0" style="103" hidden="1" customWidth="1"/>
    <col min="9730" max="9730" width="22.54296875" style="103" customWidth="1"/>
    <col min="9731" max="9731" width="2.453125" style="103" customWidth="1"/>
    <col min="9732" max="9732" width="11.26953125" style="103" customWidth="1"/>
    <col min="9733" max="9733" width="12.81640625" style="103" customWidth="1"/>
    <col min="9734" max="9734" width="12.26953125" style="103" customWidth="1"/>
    <col min="9735" max="9735" width="13.26953125" style="103" customWidth="1"/>
    <col min="9736" max="9736" width="16.81640625" style="103" bestFit="1" customWidth="1"/>
    <col min="9737" max="9738" width="12.1796875" style="103" customWidth="1"/>
    <col min="9739" max="9741" width="13.1796875" style="103" customWidth="1"/>
    <col min="9742" max="9742" width="13.54296875" style="103" customWidth="1"/>
    <col min="9743" max="9743" width="12.7265625" style="103" customWidth="1"/>
    <col min="9744" max="9744" width="11.1796875" style="103" customWidth="1"/>
    <col min="9745" max="9745" width="7.54296875" style="103" customWidth="1"/>
    <col min="9746" max="9984" width="9.1796875" style="103"/>
    <col min="9985" max="9985" width="0" style="103" hidden="1" customWidth="1"/>
    <col min="9986" max="9986" width="22.54296875" style="103" customWidth="1"/>
    <col min="9987" max="9987" width="2.453125" style="103" customWidth="1"/>
    <col min="9988" max="9988" width="11.26953125" style="103" customWidth="1"/>
    <col min="9989" max="9989" width="12.81640625" style="103" customWidth="1"/>
    <col min="9990" max="9990" width="12.26953125" style="103" customWidth="1"/>
    <col min="9991" max="9991" width="13.26953125" style="103" customWidth="1"/>
    <col min="9992" max="9992" width="16.81640625" style="103" bestFit="1" customWidth="1"/>
    <col min="9993" max="9994" width="12.1796875" style="103" customWidth="1"/>
    <col min="9995" max="9997" width="13.1796875" style="103" customWidth="1"/>
    <col min="9998" max="9998" width="13.54296875" style="103" customWidth="1"/>
    <col min="9999" max="9999" width="12.7265625" style="103" customWidth="1"/>
    <col min="10000" max="10000" width="11.1796875" style="103" customWidth="1"/>
    <col min="10001" max="10001" width="7.54296875" style="103" customWidth="1"/>
    <col min="10002" max="10240" width="9.1796875" style="103"/>
    <col min="10241" max="10241" width="0" style="103" hidden="1" customWidth="1"/>
    <col min="10242" max="10242" width="22.54296875" style="103" customWidth="1"/>
    <col min="10243" max="10243" width="2.453125" style="103" customWidth="1"/>
    <col min="10244" max="10244" width="11.26953125" style="103" customWidth="1"/>
    <col min="10245" max="10245" width="12.81640625" style="103" customWidth="1"/>
    <col min="10246" max="10246" width="12.26953125" style="103" customWidth="1"/>
    <col min="10247" max="10247" width="13.26953125" style="103" customWidth="1"/>
    <col min="10248" max="10248" width="16.81640625" style="103" bestFit="1" customWidth="1"/>
    <col min="10249" max="10250" width="12.1796875" style="103" customWidth="1"/>
    <col min="10251" max="10253" width="13.1796875" style="103" customWidth="1"/>
    <col min="10254" max="10254" width="13.54296875" style="103" customWidth="1"/>
    <col min="10255" max="10255" width="12.7265625" style="103" customWidth="1"/>
    <col min="10256" max="10256" width="11.1796875" style="103" customWidth="1"/>
    <col min="10257" max="10257" width="7.54296875" style="103" customWidth="1"/>
    <col min="10258" max="10496" width="9.1796875" style="103"/>
    <col min="10497" max="10497" width="0" style="103" hidden="1" customWidth="1"/>
    <col min="10498" max="10498" width="22.54296875" style="103" customWidth="1"/>
    <col min="10499" max="10499" width="2.453125" style="103" customWidth="1"/>
    <col min="10500" max="10500" width="11.26953125" style="103" customWidth="1"/>
    <col min="10501" max="10501" width="12.81640625" style="103" customWidth="1"/>
    <col min="10502" max="10502" width="12.26953125" style="103" customWidth="1"/>
    <col min="10503" max="10503" width="13.26953125" style="103" customWidth="1"/>
    <col min="10504" max="10504" width="16.81640625" style="103" bestFit="1" customWidth="1"/>
    <col min="10505" max="10506" width="12.1796875" style="103" customWidth="1"/>
    <col min="10507" max="10509" width="13.1796875" style="103" customWidth="1"/>
    <col min="10510" max="10510" width="13.54296875" style="103" customWidth="1"/>
    <col min="10511" max="10511" width="12.7265625" style="103" customWidth="1"/>
    <col min="10512" max="10512" width="11.1796875" style="103" customWidth="1"/>
    <col min="10513" max="10513" width="7.54296875" style="103" customWidth="1"/>
    <col min="10514" max="10752" width="9.1796875" style="103"/>
    <col min="10753" max="10753" width="0" style="103" hidden="1" customWidth="1"/>
    <col min="10754" max="10754" width="22.54296875" style="103" customWidth="1"/>
    <col min="10755" max="10755" width="2.453125" style="103" customWidth="1"/>
    <col min="10756" max="10756" width="11.26953125" style="103" customWidth="1"/>
    <col min="10757" max="10757" width="12.81640625" style="103" customWidth="1"/>
    <col min="10758" max="10758" width="12.26953125" style="103" customWidth="1"/>
    <col min="10759" max="10759" width="13.26953125" style="103" customWidth="1"/>
    <col min="10760" max="10760" width="16.81640625" style="103" bestFit="1" customWidth="1"/>
    <col min="10761" max="10762" width="12.1796875" style="103" customWidth="1"/>
    <col min="10763" max="10765" width="13.1796875" style="103" customWidth="1"/>
    <col min="10766" max="10766" width="13.54296875" style="103" customWidth="1"/>
    <col min="10767" max="10767" width="12.7265625" style="103" customWidth="1"/>
    <col min="10768" max="10768" width="11.1796875" style="103" customWidth="1"/>
    <col min="10769" max="10769" width="7.54296875" style="103" customWidth="1"/>
    <col min="10770" max="11008" width="9.1796875" style="103"/>
    <col min="11009" max="11009" width="0" style="103" hidden="1" customWidth="1"/>
    <col min="11010" max="11010" width="22.54296875" style="103" customWidth="1"/>
    <col min="11011" max="11011" width="2.453125" style="103" customWidth="1"/>
    <col min="11012" max="11012" width="11.26953125" style="103" customWidth="1"/>
    <col min="11013" max="11013" width="12.81640625" style="103" customWidth="1"/>
    <col min="11014" max="11014" width="12.26953125" style="103" customWidth="1"/>
    <col min="11015" max="11015" width="13.26953125" style="103" customWidth="1"/>
    <col min="11016" max="11016" width="16.81640625" style="103" bestFit="1" customWidth="1"/>
    <col min="11017" max="11018" width="12.1796875" style="103" customWidth="1"/>
    <col min="11019" max="11021" width="13.1796875" style="103" customWidth="1"/>
    <col min="11022" max="11022" width="13.54296875" style="103" customWidth="1"/>
    <col min="11023" max="11023" width="12.7265625" style="103" customWidth="1"/>
    <col min="11024" max="11024" width="11.1796875" style="103" customWidth="1"/>
    <col min="11025" max="11025" width="7.54296875" style="103" customWidth="1"/>
    <col min="11026" max="11264" width="9.1796875" style="103"/>
    <col min="11265" max="11265" width="0" style="103" hidden="1" customWidth="1"/>
    <col min="11266" max="11266" width="22.54296875" style="103" customWidth="1"/>
    <col min="11267" max="11267" width="2.453125" style="103" customWidth="1"/>
    <col min="11268" max="11268" width="11.26953125" style="103" customWidth="1"/>
    <col min="11269" max="11269" width="12.81640625" style="103" customWidth="1"/>
    <col min="11270" max="11270" width="12.26953125" style="103" customWidth="1"/>
    <col min="11271" max="11271" width="13.26953125" style="103" customWidth="1"/>
    <col min="11272" max="11272" width="16.81640625" style="103" bestFit="1" customWidth="1"/>
    <col min="11273" max="11274" width="12.1796875" style="103" customWidth="1"/>
    <col min="11275" max="11277" width="13.1796875" style="103" customWidth="1"/>
    <col min="11278" max="11278" width="13.54296875" style="103" customWidth="1"/>
    <col min="11279" max="11279" width="12.7265625" style="103" customWidth="1"/>
    <col min="11280" max="11280" width="11.1796875" style="103" customWidth="1"/>
    <col min="11281" max="11281" width="7.54296875" style="103" customWidth="1"/>
    <col min="11282" max="11520" width="9.1796875" style="103"/>
    <col min="11521" max="11521" width="0" style="103" hidden="1" customWidth="1"/>
    <col min="11522" max="11522" width="22.54296875" style="103" customWidth="1"/>
    <col min="11523" max="11523" width="2.453125" style="103" customWidth="1"/>
    <col min="11524" max="11524" width="11.26953125" style="103" customWidth="1"/>
    <col min="11525" max="11525" width="12.81640625" style="103" customWidth="1"/>
    <col min="11526" max="11526" width="12.26953125" style="103" customWidth="1"/>
    <col min="11527" max="11527" width="13.26953125" style="103" customWidth="1"/>
    <col min="11528" max="11528" width="16.81640625" style="103" bestFit="1" customWidth="1"/>
    <col min="11529" max="11530" width="12.1796875" style="103" customWidth="1"/>
    <col min="11531" max="11533" width="13.1796875" style="103" customWidth="1"/>
    <col min="11534" max="11534" width="13.54296875" style="103" customWidth="1"/>
    <col min="11535" max="11535" width="12.7265625" style="103" customWidth="1"/>
    <col min="11536" max="11536" width="11.1796875" style="103" customWidth="1"/>
    <col min="11537" max="11537" width="7.54296875" style="103" customWidth="1"/>
    <col min="11538" max="11776" width="9.1796875" style="103"/>
    <col min="11777" max="11777" width="0" style="103" hidden="1" customWidth="1"/>
    <col min="11778" max="11778" width="22.54296875" style="103" customWidth="1"/>
    <col min="11779" max="11779" width="2.453125" style="103" customWidth="1"/>
    <col min="11780" max="11780" width="11.26953125" style="103" customWidth="1"/>
    <col min="11781" max="11781" width="12.81640625" style="103" customWidth="1"/>
    <col min="11782" max="11782" width="12.26953125" style="103" customWidth="1"/>
    <col min="11783" max="11783" width="13.26953125" style="103" customWidth="1"/>
    <col min="11784" max="11784" width="16.81640625" style="103" bestFit="1" customWidth="1"/>
    <col min="11785" max="11786" width="12.1796875" style="103" customWidth="1"/>
    <col min="11787" max="11789" width="13.1796875" style="103" customWidth="1"/>
    <col min="11790" max="11790" width="13.54296875" style="103" customWidth="1"/>
    <col min="11791" max="11791" width="12.7265625" style="103" customWidth="1"/>
    <col min="11792" max="11792" width="11.1796875" style="103" customWidth="1"/>
    <col min="11793" max="11793" width="7.54296875" style="103" customWidth="1"/>
    <col min="11794" max="12032" width="9.1796875" style="103"/>
    <col min="12033" max="12033" width="0" style="103" hidden="1" customWidth="1"/>
    <col min="12034" max="12034" width="22.54296875" style="103" customWidth="1"/>
    <col min="12035" max="12035" width="2.453125" style="103" customWidth="1"/>
    <col min="12036" max="12036" width="11.26953125" style="103" customWidth="1"/>
    <col min="12037" max="12037" width="12.81640625" style="103" customWidth="1"/>
    <col min="12038" max="12038" width="12.26953125" style="103" customWidth="1"/>
    <col min="12039" max="12039" width="13.26953125" style="103" customWidth="1"/>
    <col min="12040" max="12040" width="16.81640625" style="103" bestFit="1" customWidth="1"/>
    <col min="12041" max="12042" width="12.1796875" style="103" customWidth="1"/>
    <col min="12043" max="12045" width="13.1796875" style="103" customWidth="1"/>
    <col min="12046" max="12046" width="13.54296875" style="103" customWidth="1"/>
    <col min="12047" max="12047" width="12.7265625" style="103" customWidth="1"/>
    <col min="12048" max="12048" width="11.1796875" style="103" customWidth="1"/>
    <col min="12049" max="12049" width="7.54296875" style="103" customWidth="1"/>
    <col min="12050" max="12288" width="9.1796875" style="103"/>
    <col min="12289" max="12289" width="0" style="103" hidden="1" customWidth="1"/>
    <col min="12290" max="12290" width="22.54296875" style="103" customWidth="1"/>
    <col min="12291" max="12291" width="2.453125" style="103" customWidth="1"/>
    <col min="12292" max="12292" width="11.26953125" style="103" customWidth="1"/>
    <col min="12293" max="12293" width="12.81640625" style="103" customWidth="1"/>
    <col min="12294" max="12294" width="12.26953125" style="103" customWidth="1"/>
    <col min="12295" max="12295" width="13.26953125" style="103" customWidth="1"/>
    <col min="12296" max="12296" width="16.81640625" style="103" bestFit="1" customWidth="1"/>
    <col min="12297" max="12298" width="12.1796875" style="103" customWidth="1"/>
    <col min="12299" max="12301" width="13.1796875" style="103" customWidth="1"/>
    <col min="12302" max="12302" width="13.54296875" style="103" customWidth="1"/>
    <col min="12303" max="12303" width="12.7265625" style="103" customWidth="1"/>
    <col min="12304" max="12304" width="11.1796875" style="103" customWidth="1"/>
    <col min="12305" max="12305" width="7.54296875" style="103" customWidth="1"/>
    <col min="12306" max="12544" width="9.1796875" style="103"/>
    <col min="12545" max="12545" width="0" style="103" hidden="1" customWidth="1"/>
    <col min="12546" max="12546" width="22.54296875" style="103" customWidth="1"/>
    <col min="12547" max="12547" width="2.453125" style="103" customWidth="1"/>
    <col min="12548" max="12548" width="11.26953125" style="103" customWidth="1"/>
    <col min="12549" max="12549" width="12.81640625" style="103" customWidth="1"/>
    <col min="12550" max="12550" width="12.26953125" style="103" customWidth="1"/>
    <col min="12551" max="12551" width="13.26953125" style="103" customWidth="1"/>
    <col min="12552" max="12552" width="16.81640625" style="103" bestFit="1" customWidth="1"/>
    <col min="12553" max="12554" width="12.1796875" style="103" customWidth="1"/>
    <col min="12555" max="12557" width="13.1796875" style="103" customWidth="1"/>
    <col min="12558" max="12558" width="13.54296875" style="103" customWidth="1"/>
    <col min="12559" max="12559" width="12.7265625" style="103" customWidth="1"/>
    <col min="12560" max="12560" width="11.1796875" style="103" customWidth="1"/>
    <col min="12561" max="12561" width="7.54296875" style="103" customWidth="1"/>
    <col min="12562" max="12800" width="9.1796875" style="103"/>
    <col min="12801" max="12801" width="0" style="103" hidden="1" customWidth="1"/>
    <col min="12802" max="12802" width="22.54296875" style="103" customWidth="1"/>
    <col min="12803" max="12803" width="2.453125" style="103" customWidth="1"/>
    <col min="12804" max="12804" width="11.26953125" style="103" customWidth="1"/>
    <col min="12805" max="12805" width="12.81640625" style="103" customWidth="1"/>
    <col min="12806" max="12806" width="12.26953125" style="103" customWidth="1"/>
    <col min="12807" max="12807" width="13.26953125" style="103" customWidth="1"/>
    <col min="12808" max="12808" width="16.81640625" style="103" bestFit="1" customWidth="1"/>
    <col min="12809" max="12810" width="12.1796875" style="103" customWidth="1"/>
    <col min="12811" max="12813" width="13.1796875" style="103" customWidth="1"/>
    <col min="12814" max="12814" width="13.54296875" style="103" customWidth="1"/>
    <col min="12815" max="12815" width="12.7265625" style="103" customWidth="1"/>
    <col min="12816" max="12816" width="11.1796875" style="103" customWidth="1"/>
    <col min="12817" max="12817" width="7.54296875" style="103" customWidth="1"/>
    <col min="12818" max="13056" width="9.1796875" style="103"/>
    <col min="13057" max="13057" width="0" style="103" hidden="1" customWidth="1"/>
    <col min="13058" max="13058" width="22.54296875" style="103" customWidth="1"/>
    <col min="13059" max="13059" width="2.453125" style="103" customWidth="1"/>
    <col min="13060" max="13060" width="11.26953125" style="103" customWidth="1"/>
    <col min="13061" max="13061" width="12.81640625" style="103" customWidth="1"/>
    <col min="13062" max="13062" width="12.26953125" style="103" customWidth="1"/>
    <col min="13063" max="13063" width="13.26953125" style="103" customWidth="1"/>
    <col min="13064" max="13064" width="16.81640625" style="103" bestFit="1" customWidth="1"/>
    <col min="13065" max="13066" width="12.1796875" style="103" customWidth="1"/>
    <col min="13067" max="13069" width="13.1796875" style="103" customWidth="1"/>
    <col min="13070" max="13070" width="13.54296875" style="103" customWidth="1"/>
    <col min="13071" max="13071" width="12.7265625" style="103" customWidth="1"/>
    <col min="13072" max="13072" width="11.1796875" style="103" customWidth="1"/>
    <col min="13073" max="13073" width="7.54296875" style="103" customWidth="1"/>
    <col min="13074" max="13312" width="9.1796875" style="103"/>
    <col min="13313" max="13313" width="0" style="103" hidden="1" customWidth="1"/>
    <col min="13314" max="13314" width="22.54296875" style="103" customWidth="1"/>
    <col min="13315" max="13315" width="2.453125" style="103" customWidth="1"/>
    <col min="13316" max="13316" width="11.26953125" style="103" customWidth="1"/>
    <col min="13317" max="13317" width="12.81640625" style="103" customWidth="1"/>
    <col min="13318" max="13318" width="12.26953125" style="103" customWidth="1"/>
    <col min="13319" max="13319" width="13.26953125" style="103" customWidth="1"/>
    <col min="13320" max="13320" width="16.81640625" style="103" bestFit="1" customWidth="1"/>
    <col min="13321" max="13322" width="12.1796875" style="103" customWidth="1"/>
    <col min="13323" max="13325" width="13.1796875" style="103" customWidth="1"/>
    <col min="13326" max="13326" width="13.54296875" style="103" customWidth="1"/>
    <col min="13327" max="13327" width="12.7265625" style="103" customWidth="1"/>
    <col min="13328" max="13328" width="11.1796875" style="103" customWidth="1"/>
    <col min="13329" max="13329" width="7.54296875" style="103" customWidth="1"/>
    <col min="13330" max="13568" width="9.1796875" style="103"/>
    <col min="13569" max="13569" width="0" style="103" hidden="1" customWidth="1"/>
    <col min="13570" max="13570" width="22.54296875" style="103" customWidth="1"/>
    <col min="13571" max="13571" width="2.453125" style="103" customWidth="1"/>
    <col min="13572" max="13572" width="11.26953125" style="103" customWidth="1"/>
    <col min="13573" max="13573" width="12.81640625" style="103" customWidth="1"/>
    <col min="13574" max="13574" width="12.26953125" style="103" customWidth="1"/>
    <col min="13575" max="13575" width="13.26953125" style="103" customWidth="1"/>
    <col min="13576" max="13576" width="16.81640625" style="103" bestFit="1" customWidth="1"/>
    <col min="13577" max="13578" width="12.1796875" style="103" customWidth="1"/>
    <col min="13579" max="13581" width="13.1796875" style="103" customWidth="1"/>
    <col min="13582" max="13582" width="13.54296875" style="103" customWidth="1"/>
    <col min="13583" max="13583" width="12.7265625" style="103" customWidth="1"/>
    <col min="13584" max="13584" width="11.1796875" style="103" customWidth="1"/>
    <col min="13585" max="13585" width="7.54296875" style="103" customWidth="1"/>
    <col min="13586" max="13824" width="9.1796875" style="103"/>
    <col min="13825" max="13825" width="0" style="103" hidden="1" customWidth="1"/>
    <col min="13826" max="13826" width="22.54296875" style="103" customWidth="1"/>
    <col min="13827" max="13827" width="2.453125" style="103" customWidth="1"/>
    <col min="13828" max="13828" width="11.26953125" style="103" customWidth="1"/>
    <col min="13829" max="13829" width="12.81640625" style="103" customWidth="1"/>
    <col min="13830" max="13830" width="12.26953125" style="103" customWidth="1"/>
    <col min="13831" max="13831" width="13.26953125" style="103" customWidth="1"/>
    <col min="13832" max="13832" width="16.81640625" style="103" bestFit="1" customWidth="1"/>
    <col min="13833" max="13834" width="12.1796875" style="103" customWidth="1"/>
    <col min="13835" max="13837" width="13.1796875" style="103" customWidth="1"/>
    <col min="13838" max="13838" width="13.54296875" style="103" customWidth="1"/>
    <col min="13839" max="13839" width="12.7265625" style="103" customWidth="1"/>
    <col min="13840" max="13840" width="11.1796875" style="103" customWidth="1"/>
    <col min="13841" max="13841" width="7.54296875" style="103" customWidth="1"/>
    <col min="13842" max="14080" width="9.1796875" style="103"/>
    <col min="14081" max="14081" width="0" style="103" hidden="1" customWidth="1"/>
    <col min="14082" max="14082" width="22.54296875" style="103" customWidth="1"/>
    <col min="14083" max="14083" width="2.453125" style="103" customWidth="1"/>
    <col min="14084" max="14084" width="11.26953125" style="103" customWidth="1"/>
    <col min="14085" max="14085" width="12.81640625" style="103" customWidth="1"/>
    <col min="14086" max="14086" width="12.26953125" style="103" customWidth="1"/>
    <col min="14087" max="14087" width="13.26953125" style="103" customWidth="1"/>
    <col min="14088" max="14088" width="16.81640625" style="103" bestFit="1" customWidth="1"/>
    <col min="14089" max="14090" width="12.1796875" style="103" customWidth="1"/>
    <col min="14091" max="14093" width="13.1796875" style="103" customWidth="1"/>
    <col min="14094" max="14094" width="13.54296875" style="103" customWidth="1"/>
    <col min="14095" max="14095" width="12.7265625" style="103" customWidth="1"/>
    <col min="14096" max="14096" width="11.1796875" style="103" customWidth="1"/>
    <col min="14097" max="14097" width="7.54296875" style="103" customWidth="1"/>
    <col min="14098" max="14336" width="9.1796875" style="103"/>
    <col min="14337" max="14337" width="0" style="103" hidden="1" customWidth="1"/>
    <col min="14338" max="14338" width="22.54296875" style="103" customWidth="1"/>
    <col min="14339" max="14339" width="2.453125" style="103" customWidth="1"/>
    <col min="14340" max="14340" width="11.26953125" style="103" customWidth="1"/>
    <col min="14341" max="14341" width="12.81640625" style="103" customWidth="1"/>
    <col min="14342" max="14342" width="12.26953125" style="103" customWidth="1"/>
    <col min="14343" max="14343" width="13.26953125" style="103" customWidth="1"/>
    <col min="14344" max="14344" width="16.81640625" style="103" bestFit="1" customWidth="1"/>
    <col min="14345" max="14346" width="12.1796875" style="103" customWidth="1"/>
    <col min="14347" max="14349" width="13.1796875" style="103" customWidth="1"/>
    <col min="14350" max="14350" width="13.54296875" style="103" customWidth="1"/>
    <col min="14351" max="14351" width="12.7265625" style="103" customWidth="1"/>
    <col min="14352" max="14352" width="11.1796875" style="103" customWidth="1"/>
    <col min="14353" max="14353" width="7.54296875" style="103" customWidth="1"/>
    <col min="14354" max="14592" width="9.1796875" style="103"/>
    <col min="14593" max="14593" width="0" style="103" hidden="1" customWidth="1"/>
    <col min="14594" max="14594" width="22.54296875" style="103" customWidth="1"/>
    <col min="14595" max="14595" width="2.453125" style="103" customWidth="1"/>
    <col min="14596" max="14596" width="11.26953125" style="103" customWidth="1"/>
    <col min="14597" max="14597" width="12.81640625" style="103" customWidth="1"/>
    <col min="14598" max="14598" width="12.26953125" style="103" customWidth="1"/>
    <col min="14599" max="14599" width="13.26953125" style="103" customWidth="1"/>
    <col min="14600" max="14600" width="16.81640625" style="103" bestFit="1" customWidth="1"/>
    <col min="14601" max="14602" width="12.1796875" style="103" customWidth="1"/>
    <col min="14603" max="14605" width="13.1796875" style="103" customWidth="1"/>
    <col min="14606" max="14606" width="13.54296875" style="103" customWidth="1"/>
    <col min="14607" max="14607" width="12.7265625" style="103" customWidth="1"/>
    <col min="14608" max="14608" width="11.1796875" style="103" customWidth="1"/>
    <col min="14609" max="14609" width="7.54296875" style="103" customWidth="1"/>
    <col min="14610" max="14848" width="9.1796875" style="103"/>
    <col min="14849" max="14849" width="0" style="103" hidden="1" customWidth="1"/>
    <col min="14850" max="14850" width="22.54296875" style="103" customWidth="1"/>
    <col min="14851" max="14851" width="2.453125" style="103" customWidth="1"/>
    <col min="14852" max="14852" width="11.26953125" style="103" customWidth="1"/>
    <col min="14853" max="14853" width="12.81640625" style="103" customWidth="1"/>
    <col min="14854" max="14854" width="12.26953125" style="103" customWidth="1"/>
    <col min="14855" max="14855" width="13.26953125" style="103" customWidth="1"/>
    <col min="14856" max="14856" width="16.81640625" style="103" bestFit="1" customWidth="1"/>
    <col min="14857" max="14858" width="12.1796875" style="103" customWidth="1"/>
    <col min="14859" max="14861" width="13.1796875" style="103" customWidth="1"/>
    <col min="14862" max="14862" width="13.54296875" style="103" customWidth="1"/>
    <col min="14863" max="14863" width="12.7265625" style="103" customWidth="1"/>
    <col min="14864" max="14864" width="11.1796875" style="103" customWidth="1"/>
    <col min="14865" max="14865" width="7.54296875" style="103" customWidth="1"/>
    <col min="14866" max="15104" width="9.1796875" style="103"/>
    <col min="15105" max="15105" width="0" style="103" hidden="1" customWidth="1"/>
    <col min="15106" max="15106" width="22.54296875" style="103" customWidth="1"/>
    <col min="15107" max="15107" width="2.453125" style="103" customWidth="1"/>
    <col min="15108" max="15108" width="11.26953125" style="103" customWidth="1"/>
    <col min="15109" max="15109" width="12.81640625" style="103" customWidth="1"/>
    <col min="15110" max="15110" width="12.26953125" style="103" customWidth="1"/>
    <col min="15111" max="15111" width="13.26953125" style="103" customWidth="1"/>
    <col min="15112" max="15112" width="16.81640625" style="103" bestFit="1" customWidth="1"/>
    <col min="15113" max="15114" width="12.1796875" style="103" customWidth="1"/>
    <col min="15115" max="15117" width="13.1796875" style="103" customWidth="1"/>
    <col min="15118" max="15118" width="13.54296875" style="103" customWidth="1"/>
    <col min="15119" max="15119" width="12.7265625" style="103" customWidth="1"/>
    <col min="15120" max="15120" width="11.1796875" style="103" customWidth="1"/>
    <col min="15121" max="15121" width="7.54296875" style="103" customWidth="1"/>
    <col min="15122" max="15360" width="9.1796875" style="103"/>
    <col min="15361" max="15361" width="0" style="103" hidden="1" customWidth="1"/>
    <col min="15362" max="15362" width="22.54296875" style="103" customWidth="1"/>
    <col min="15363" max="15363" width="2.453125" style="103" customWidth="1"/>
    <col min="15364" max="15364" width="11.26953125" style="103" customWidth="1"/>
    <col min="15365" max="15365" width="12.81640625" style="103" customWidth="1"/>
    <col min="15366" max="15366" width="12.26953125" style="103" customWidth="1"/>
    <col min="15367" max="15367" width="13.26953125" style="103" customWidth="1"/>
    <col min="15368" max="15368" width="16.81640625" style="103" bestFit="1" customWidth="1"/>
    <col min="15369" max="15370" width="12.1796875" style="103" customWidth="1"/>
    <col min="15371" max="15373" width="13.1796875" style="103" customWidth="1"/>
    <col min="15374" max="15374" width="13.54296875" style="103" customWidth="1"/>
    <col min="15375" max="15375" width="12.7265625" style="103" customWidth="1"/>
    <col min="15376" max="15376" width="11.1796875" style="103" customWidth="1"/>
    <col min="15377" max="15377" width="7.54296875" style="103" customWidth="1"/>
    <col min="15378" max="15616" width="9.1796875" style="103"/>
    <col min="15617" max="15617" width="0" style="103" hidden="1" customWidth="1"/>
    <col min="15618" max="15618" width="22.54296875" style="103" customWidth="1"/>
    <col min="15619" max="15619" width="2.453125" style="103" customWidth="1"/>
    <col min="15620" max="15620" width="11.26953125" style="103" customWidth="1"/>
    <col min="15621" max="15621" width="12.81640625" style="103" customWidth="1"/>
    <col min="15622" max="15622" width="12.26953125" style="103" customWidth="1"/>
    <col min="15623" max="15623" width="13.26953125" style="103" customWidth="1"/>
    <col min="15624" max="15624" width="16.81640625" style="103" bestFit="1" customWidth="1"/>
    <col min="15625" max="15626" width="12.1796875" style="103" customWidth="1"/>
    <col min="15627" max="15629" width="13.1796875" style="103" customWidth="1"/>
    <col min="15630" max="15630" width="13.54296875" style="103" customWidth="1"/>
    <col min="15631" max="15631" width="12.7265625" style="103" customWidth="1"/>
    <col min="15632" max="15632" width="11.1796875" style="103" customWidth="1"/>
    <col min="15633" max="15633" width="7.54296875" style="103" customWidth="1"/>
    <col min="15634" max="15872" width="9.1796875" style="103"/>
    <col min="15873" max="15873" width="0" style="103" hidden="1" customWidth="1"/>
    <col min="15874" max="15874" width="22.54296875" style="103" customWidth="1"/>
    <col min="15875" max="15875" width="2.453125" style="103" customWidth="1"/>
    <col min="15876" max="15876" width="11.26953125" style="103" customWidth="1"/>
    <col min="15877" max="15877" width="12.81640625" style="103" customWidth="1"/>
    <col min="15878" max="15878" width="12.26953125" style="103" customWidth="1"/>
    <col min="15879" max="15879" width="13.26953125" style="103" customWidth="1"/>
    <col min="15880" max="15880" width="16.81640625" style="103" bestFit="1" customWidth="1"/>
    <col min="15881" max="15882" width="12.1796875" style="103" customWidth="1"/>
    <col min="15883" max="15885" width="13.1796875" style="103" customWidth="1"/>
    <col min="15886" max="15886" width="13.54296875" style="103" customWidth="1"/>
    <col min="15887" max="15887" width="12.7265625" style="103" customWidth="1"/>
    <col min="15888" max="15888" width="11.1796875" style="103" customWidth="1"/>
    <col min="15889" max="15889" width="7.54296875" style="103" customWidth="1"/>
    <col min="15890" max="16128" width="9.1796875" style="103"/>
    <col min="16129" max="16129" width="0" style="103" hidden="1" customWidth="1"/>
    <col min="16130" max="16130" width="22.54296875" style="103" customWidth="1"/>
    <col min="16131" max="16131" width="2.453125" style="103" customWidth="1"/>
    <col min="16132" max="16132" width="11.26953125" style="103" customWidth="1"/>
    <col min="16133" max="16133" width="12.81640625" style="103" customWidth="1"/>
    <col min="16134" max="16134" width="12.26953125" style="103" customWidth="1"/>
    <col min="16135" max="16135" width="13.26953125" style="103" customWidth="1"/>
    <col min="16136" max="16136" width="16.81640625" style="103" bestFit="1" customWidth="1"/>
    <col min="16137" max="16138" width="12.1796875" style="103" customWidth="1"/>
    <col min="16139" max="16141" width="13.1796875" style="103" customWidth="1"/>
    <col min="16142" max="16142" width="13.54296875" style="103" customWidth="1"/>
    <col min="16143" max="16143" width="12.7265625" style="103" customWidth="1"/>
    <col min="16144" max="16144" width="11.1796875" style="103" customWidth="1"/>
    <col min="16145" max="16145" width="7.54296875" style="103" customWidth="1"/>
    <col min="16146" max="16384" width="9.1796875" style="103"/>
  </cols>
  <sheetData>
    <row r="1" spans="1:43" s="52" customFormat="1" ht="24.75" customHeight="1" x14ac:dyDescent="0.35">
      <c r="A1" s="48"/>
      <c r="B1" s="49" t="s">
        <v>165</v>
      </c>
      <c r="C1" s="50"/>
      <c r="D1" s="50"/>
      <c r="E1" s="51"/>
      <c r="F1" s="51"/>
      <c r="G1" s="51"/>
      <c r="H1" s="50"/>
      <c r="I1" s="50"/>
      <c r="J1" s="50"/>
      <c r="K1" s="50"/>
      <c r="L1" s="50"/>
      <c r="M1" s="50"/>
      <c r="N1" s="50"/>
      <c r="O1" s="50"/>
      <c r="P1" s="50"/>
      <c r="S1" s="53"/>
      <c r="T1" s="53"/>
    </row>
    <row r="2" spans="1:43" s="57" customFormat="1" ht="34.5" customHeight="1" x14ac:dyDescent="0.35">
      <c r="A2" s="48"/>
      <c r="B2" s="54"/>
      <c r="C2" s="55"/>
      <c r="D2" s="378" t="s">
        <v>166</v>
      </c>
      <c r="E2" s="378"/>
      <c r="F2" s="378"/>
      <c r="G2" s="378"/>
      <c r="H2" s="378" t="s">
        <v>167</v>
      </c>
      <c r="I2" s="378"/>
      <c r="J2" s="56"/>
      <c r="K2" s="376" t="s">
        <v>168</v>
      </c>
      <c r="L2" s="376"/>
      <c r="M2" s="376"/>
      <c r="N2" s="376" t="s">
        <v>169</v>
      </c>
      <c r="O2" s="376"/>
      <c r="P2" s="376"/>
      <c r="S2" s="58"/>
      <c r="T2" s="58"/>
    </row>
    <row r="3" spans="1:43" s="57" customFormat="1" ht="56" x14ac:dyDescent="0.35">
      <c r="A3" s="48"/>
      <c r="B3" s="54"/>
      <c r="C3" s="59"/>
      <c r="D3" s="60" t="s">
        <v>170</v>
      </c>
      <c r="E3" s="60" t="s">
        <v>171</v>
      </c>
      <c r="F3" s="60" t="s">
        <v>172</v>
      </c>
      <c r="G3" s="60" t="s">
        <v>173</v>
      </c>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f t="shared" ref="D4:P4" si="0">SUM(D6:D43,D45:D51)</f>
        <v>25251.014999999999</v>
      </c>
      <c r="E4" s="64">
        <f t="shared" si="0"/>
        <v>12791.01</v>
      </c>
      <c r="F4" s="64">
        <f t="shared" si="0"/>
        <v>1137.625</v>
      </c>
      <c r="G4" s="64">
        <f t="shared" si="0"/>
        <v>7854.9</v>
      </c>
      <c r="H4" s="64">
        <f t="shared" si="0"/>
        <v>485</v>
      </c>
      <c r="I4" s="64">
        <f t="shared" si="0"/>
        <v>742</v>
      </c>
      <c r="J4" s="64">
        <f t="shared" si="0"/>
        <v>182</v>
      </c>
      <c r="K4" s="64">
        <f t="shared" si="0"/>
        <v>1993</v>
      </c>
      <c r="L4" s="64">
        <f t="shared" si="0"/>
        <v>130</v>
      </c>
      <c r="M4" s="64">
        <f t="shared" si="0"/>
        <v>1281</v>
      </c>
      <c r="N4" s="64">
        <f t="shared" si="0"/>
        <v>4950</v>
      </c>
      <c r="O4" s="64">
        <f t="shared" si="0"/>
        <v>349</v>
      </c>
      <c r="P4" s="64">
        <f t="shared" si="0"/>
        <v>249</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f t="shared" ref="D5:P5" si="1">SUM(D6:D43)</f>
        <v>14005.64</v>
      </c>
      <c r="E5" s="70">
        <f t="shared" si="1"/>
        <v>12419.01</v>
      </c>
      <c r="F5" s="70">
        <f t="shared" si="1"/>
        <v>825</v>
      </c>
      <c r="G5" s="70">
        <f t="shared" si="1"/>
        <v>5042.8999999999996</v>
      </c>
      <c r="H5" s="70">
        <f t="shared" si="1"/>
        <v>227</v>
      </c>
      <c r="I5" s="70">
        <f t="shared" si="1"/>
        <v>727</v>
      </c>
      <c r="J5" s="70">
        <f t="shared" si="1"/>
        <v>163</v>
      </c>
      <c r="K5" s="70">
        <f t="shared" si="1"/>
        <v>1584</v>
      </c>
      <c r="L5" s="70">
        <f t="shared" si="1"/>
        <v>95</v>
      </c>
      <c r="M5" s="70">
        <f t="shared" si="1"/>
        <v>971</v>
      </c>
      <c r="N5" s="70">
        <f t="shared" si="1"/>
        <v>4056</v>
      </c>
      <c r="O5" s="70">
        <f t="shared" si="1"/>
        <v>238</v>
      </c>
      <c r="P5" s="70">
        <f t="shared" si="1"/>
        <v>158</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v>559</v>
      </c>
      <c r="E6" s="75">
        <v>233</v>
      </c>
      <c r="F6" s="75">
        <v>35</v>
      </c>
      <c r="G6" s="75">
        <v>126</v>
      </c>
      <c r="H6" s="75">
        <v>7</v>
      </c>
      <c r="I6" s="75">
        <v>12</v>
      </c>
      <c r="J6" s="75">
        <v>6</v>
      </c>
      <c r="K6" s="75">
        <v>31</v>
      </c>
      <c r="L6" s="75">
        <v>4</v>
      </c>
      <c r="M6" s="75">
        <v>15</v>
      </c>
      <c r="N6" s="75">
        <v>72</v>
      </c>
      <c r="O6" s="75">
        <v>8</v>
      </c>
      <c r="P6" s="75">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v>284</v>
      </c>
      <c r="E7" s="75">
        <v>146</v>
      </c>
      <c r="F7" s="75">
        <v>24</v>
      </c>
      <c r="G7" s="75">
        <v>140</v>
      </c>
      <c r="H7" s="75">
        <v>3</v>
      </c>
      <c r="I7" s="75">
        <v>8</v>
      </c>
      <c r="J7" s="75">
        <v>3</v>
      </c>
      <c r="K7" s="75">
        <v>22</v>
      </c>
      <c r="L7" s="75">
        <v>2</v>
      </c>
      <c r="M7" s="75">
        <v>19</v>
      </c>
      <c r="N7" s="75">
        <v>47</v>
      </c>
      <c r="O7" s="75">
        <v>4</v>
      </c>
      <c r="P7" s="75">
        <v>2</v>
      </c>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v>381</v>
      </c>
      <c r="E8" s="75">
        <v>73</v>
      </c>
      <c r="F8" s="75">
        <v>34</v>
      </c>
      <c r="G8" s="75">
        <v>136</v>
      </c>
      <c r="H8" s="75">
        <v>11</v>
      </c>
      <c r="I8" s="75">
        <v>6</v>
      </c>
      <c r="J8" s="75">
        <v>1</v>
      </c>
      <c r="K8" s="75">
        <v>21</v>
      </c>
      <c r="L8" s="75">
        <v>1</v>
      </c>
      <c r="M8" s="75">
        <v>10</v>
      </c>
      <c r="N8" s="75">
        <v>81</v>
      </c>
      <c r="O8" s="75">
        <v>5</v>
      </c>
      <c r="P8" s="75">
        <v>3</v>
      </c>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v>286</v>
      </c>
      <c r="E9" s="75">
        <v>162</v>
      </c>
      <c r="F9" s="75">
        <v>17</v>
      </c>
      <c r="G9" s="75">
        <v>100</v>
      </c>
      <c r="H9" s="75">
        <v>10</v>
      </c>
      <c r="I9" s="75">
        <v>10</v>
      </c>
      <c r="J9" s="75">
        <v>0</v>
      </c>
      <c r="K9" s="75">
        <v>30</v>
      </c>
      <c r="L9" s="75">
        <v>2</v>
      </c>
      <c r="M9" s="75">
        <v>15</v>
      </c>
      <c r="N9" s="75">
        <v>89</v>
      </c>
      <c r="O9" s="75">
        <v>4</v>
      </c>
      <c r="P9" s="75">
        <v>4</v>
      </c>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v>236</v>
      </c>
      <c r="E10" s="75">
        <v>243</v>
      </c>
      <c r="F10" s="75">
        <v>40</v>
      </c>
      <c r="G10" s="75">
        <v>115</v>
      </c>
      <c r="H10" s="75">
        <v>3</v>
      </c>
      <c r="I10" s="75">
        <v>20</v>
      </c>
      <c r="J10" s="75">
        <v>4</v>
      </c>
      <c r="K10" s="75">
        <v>36</v>
      </c>
      <c r="L10" s="75">
        <v>2</v>
      </c>
      <c r="M10" s="75">
        <v>17</v>
      </c>
      <c r="N10" s="75">
        <v>112</v>
      </c>
      <c r="O10" s="75">
        <v>3</v>
      </c>
      <c r="P10" s="75">
        <v>4</v>
      </c>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v>430</v>
      </c>
      <c r="E11" s="75">
        <v>227</v>
      </c>
      <c r="F11" s="75">
        <v>0</v>
      </c>
      <c r="G11" s="75">
        <v>226</v>
      </c>
      <c r="H11" s="75">
        <v>6</v>
      </c>
      <c r="I11" s="75">
        <v>10</v>
      </c>
      <c r="J11" s="75">
        <v>8</v>
      </c>
      <c r="K11" s="75">
        <v>32</v>
      </c>
      <c r="L11" s="75">
        <v>3</v>
      </c>
      <c r="M11" s="75">
        <v>34</v>
      </c>
      <c r="N11" s="75">
        <v>116</v>
      </c>
      <c r="O11" s="75">
        <v>7</v>
      </c>
      <c r="P11" s="75">
        <v>3</v>
      </c>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v>395</v>
      </c>
      <c r="E12" s="75">
        <v>87</v>
      </c>
      <c r="F12" s="75">
        <v>23</v>
      </c>
      <c r="G12" s="75">
        <v>107</v>
      </c>
      <c r="H12" s="75">
        <v>9</v>
      </c>
      <c r="I12" s="75">
        <v>6</v>
      </c>
      <c r="J12" s="75">
        <v>0</v>
      </c>
      <c r="K12" s="75">
        <v>21</v>
      </c>
      <c r="L12" s="75">
        <v>1</v>
      </c>
      <c r="M12" s="75">
        <v>16</v>
      </c>
      <c r="N12" s="75">
        <v>61</v>
      </c>
      <c r="O12" s="75">
        <v>6</v>
      </c>
      <c r="P12" s="75">
        <v>2</v>
      </c>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v>200</v>
      </c>
      <c r="E13" s="75">
        <v>424</v>
      </c>
      <c r="F13" s="75">
        <v>21</v>
      </c>
      <c r="G13" s="75">
        <v>105</v>
      </c>
      <c r="H13" s="75">
        <v>2</v>
      </c>
      <c r="I13" s="75">
        <v>24</v>
      </c>
      <c r="J13" s="75">
        <v>5</v>
      </c>
      <c r="K13" s="75">
        <v>42</v>
      </c>
      <c r="L13" s="75">
        <v>2</v>
      </c>
      <c r="M13" s="75">
        <v>56</v>
      </c>
      <c r="N13" s="75">
        <v>108</v>
      </c>
      <c r="O13" s="75">
        <v>7</v>
      </c>
      <c r="P13" s="75">
        <v>4</v>
      </c>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v>200</v>
      </c>
      <c r="E14" s="75">
        <v>393</v>
      </c>
      <c r="F14" s="75">
        <v>0</v>
      </c>
      <c r="G14" s="75">
        <v>60</v>
      </c>
      <c r="H14" s="75">
        <v>7</v>
      </c>
      <c r="I14" s="75">
        <v>31</v>
      </c>
      <c r="J14" s="75">
        <v>0</v>
      </c>
      <c r="K14" s="75">
        <v>45</v>
      </c>
      <c r="L14" s="75">
        <v>2</v>
      </c>
      <c r="M14" s="75">
        <v>21</v>
      </c>
      <c r="N14" s="75">
        <v>101</v>
      </c>
      <c r="O14" s="75">
        <v>5</v>
      </c>
      <c r="P14" s="75">
        <v>5</v>
      </c>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v>355</v>
      </c>
      <c r="E15" s="75">
        <v>320</v>
      </c>
      <c r="F15" s="75">
        <v>24</v>
      </c>
      <c r="G15" s="75">
        <v>161</v>
      </c>
      <c r="H15" s="75">
        <v>4</v>
      </c>
      <c r="I15" s="75">
        <v>19</v>
      </c>
      <c r="J15" s="75">
        <v>8</v>
      </c>
      <c r="K15" s="75">
        <v>41</v>
      </c>
      <c r="L15" s="75">
        <v>3</v>
      </c>
      <c r="M15" s="75">
        <v>16</v>
      </c>
      <c r="N15" s="75">
        <v>167</v>
      </c>
      <c r="O15" s="75">
        <v>5</v>
      </c>
      <c r="P15" s="75">
        <v>4</v>
      </c>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183</v>
      </c>
      <c r="C16" s="74"/>
      <c r="D16" s="75">
        <v>624</v>
      </c>
      <c r="E16" s="75">
        <v>1209</v>
      </c>
      <c r="F16" s="75">
        <v>42</v>
      </c>
      <c r="G16" s="75">
        <v>273</v>
      </c>
      <c r="H16" s="75">
        <v>3</v>
      </c>
      <c r="I16" s="75">
        <v>70</v>
      </c>
      <c r="J16" s="75">
        <v>9</v>
      </c>
      <c r="K16" s="75">
        <v>121</v>
      </c>
      <c r="L16" s="75">
        <v>7</v>
      </c>
      <c r="M16" s="75">
        <v>44</v>
      </c>
      <c r="N16" s="75">
        <v>320</v>
      </c>
      <c r="O16" s="75">
        <v>17</v>
      </c>
      <c r="P16" s="75">
        <v>15</v>
      </c>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265" t="s">
        <v>399</v>
      </c>
      <c r="C17" s="266"/>
      <c r="D17" s="267">
        <f>D64+D65</f>
        <v>439</v>
      </c>
      <c r="E17" s="267">
        <f t="shared" ref="E17:P17" si="2">E64+E65</f>
        <v>660</v>
      </c>
      <c r="F17" s="267">
        <f t="shared" si="2"/>
        <v>49</v>
      </c>
      <c r="G17" s="267">
        <f t="shared" si="2"/>
        <v>252</v>
      </c>
      <c r="H17" s="267">
        <f t="shared" si="2"/>
        <v>6</v>
      </c>
      <c r="I17" s="267">
        <f t="shared" si="2"/>
        <v>37</v>
      </c>
      <c r="J17" s="267">
        <f t="shared" si="2"/>
        <v>7</v>
      </c>
      <c r="K17" s="267">
        <f t="shared" si="2"/>
        <v>74</v>
      </c>
      <c r="L17" s="267">
        <f t="shared" si="2"/>
        <v>4</v>
      </c>
      <c r="M17" s="267">
        <f t="shared" si="2"/>
        <v>52</v>
      </c>
      <c r="N17" s="267">
        <f t="shared" si="2"/>
        <v>230</v>
      </c>
      <c r="O17" s="267">
        <f t="shared" si="2"/>
        <v>9</v>
      </c>
      <c r="P17" s="267">
        <f t="shared" si="2"/>
        <v>6</v>
      </c>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v>341</v>
      </c>
      <c r="E18" s="75">
        <v>185</v>
      </c>
      <c r="F18" s="75">
        <v>27</v>
      </c>
      <c r="G18" s="75">
        <v>78</v>
      </c>
      <c r="H18" s="75">
        <v>2</v>
      </c>
      <c r="I18" s="75">
        <v>6</v>
      </c>
      <c r="J18" s="75">
        <v>7</v>
      </c>
      <c r="K18" s="75">
        <v>27</v>
      </c>
      <c r="L18" s="75">
        <v>2</v>
      </c>
      <c r="M18" s="75">
        <v>12</v>
      </c>
      <c r="N18" s="75">
        <v>93</v>
      </c>
      <c r="O18" s="75">
        <v>5</v>
      </c>
      <c r="P18" s="75">
        <v>2</v>
      </c>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v>384</v>
      </c>
      <c r="E19" s="75">
        <v>283</v>
      </c>
      <c r="F19" s="75">
        <v>44</v>
      </c>
      <c r="G19" s="75">
        <v>148</v>
      </c>
      <c r="H19" s="75">
        <v>6</v>
      </c>
      <c r="I19" s="75">
        <v>12</v>
      </c>
      <c r="J19" s="75">
        <v>6</v>
      </c>
      <c r="K19" s="75">
        <v>38</v>
      </c>
      <c r="L19" s="75">
        <v>3</v>
      </c>
      <c r="M19" s="75">
        <v>5</v>
      </c>
      <c r="N19" s="75">
        <v>123</v>
      </c>
      <c r="O19" s="75">
        <v>6</v>
      </c>
      <c r="P19" s="75">
        <v>3</v>
      </c>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v>759</v>
      </c>
      <c r="E20" s="75">
        <v>490</v>
      </c>
      <c r="F20" s="75">
        <v>37</v>
      </c>
      <c r="G20" s="75">
        <v>284</v>
      </c>
      <c r="H20" s="75">
        <v>17</v>
      </c>
      <c r="I20" s="75">
        <v>32</v>
      </c>
      <c r="J20" s="75">
        <v>1</v>
      </c>
      <c r="K20" s="75">
        <v>74</v>
      </c>
      <c r="L20" s="75">
        <v>5</v>
      </c>
      <c r="M20" s="75">
        <v>36</v>
      </c>
      <c r="N20" s="75">
        <v>194</v>
      </c>
      <c r="O20" s="75">
        <v>13</v>
      </c>
      <c r="P20" s="75">
        <v>7</v>
      </c>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v>198</v>
      </c>
      <c r="E21" s="75">
        <v>244</v>
      </c>
      <c r="F21" s="75">
        <v>20</v>
      </c>
      <c r="G21" s="75">
        <v>51</v>
      </c>
      <c r="H21" s="75">
        <v>2</v>
      </c>
      <c r="I21" s="75">
        <v>16</v>
      </c>
      <c r="J21" s="75">
        <v>4</v>
      </c>
      <c r="K21" s="75">
        <v>55</v>
      </c>
      <c r="L21" s="75">
        <v>2</v>
      </c>
      <c r="M21" s="75">
        <v>16</v>
      </c>
      <c r="N21" s="75">
        <v>78</v>
      </c>
      <c r="O21" s="75">
        <v>6</v>
      </c>
      <c r="P21" s="75">
        <v>1</v>
      </c>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184</v>
      </c>
      <c r="C22" s="74"/>
      <c r="D22" s="75">
        <v>733</v>
      </c>
      <c r="E22" s="75">
        <v>785</v>
      </c>
      <c r="F22" s="75">
        <v>40</v>
      </c>
      <c r="G22" s="75">
        <v>314</v>
      </c>
      <c r="H22" s="83">
        <v>13</v>
      </c>
      <c r="I22" s="83">
        <v>38</v>
      </c>
      <c r="J22" s="83">
        <v>0</v>
      </c>
      <c r="K22" s="83">
        <v>76</v>
      </c>
      <c r="L22" s="83">
        <v>0</v>
      </c>
      <c r="M22" s="83">
        <v>64</v>
      </c>
      <c r="N22" s="83">
        <v>136</v>
      </c>
      <c r="O22" s="83">
        <v>12</v>
      </c>
      <c r="P22" s="83">
        <v>10</v>
      </c>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4" t="s">
        <v>185</v>
      </c>
      <c r="C23" s="74"/>
      <c r="D23" s="75">
        <v>287</v>
      </c>
      <c r="E23" s="75">
        <v>380</v>
      </c>
      <c r="F23" s="75">
        <v>23</v>
      </c>
      <c r="G23" s="75">
        <v>103</v>
      </c>
      <c r="H23" s="83">
        <v>8</v>
      </c>
      <c r="I23" s="83">
        <v>19</v>
      </c>
      <c r="J23" s="83">
        <v>0</v>
      </c>
      <c r="K23" s="75">
        <v>41</v>
      </c>
      <c r="L23" s="75">
        <v>2</v>
      </c>
      <c r="M23" s="75">
        <v>32</v>
      </c>
      <c r="N23" s="75">
        <v>88</v>
      </c>
      <c r="O23" s="75">
        <v>6</v>
      </c>
      <c r="P23" s="75">
        <v>3</v>
      </c>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v>515.64</v>
      </c>
      <c r="E24" s="75">
        <v>189.3</v>
      </c>
      <c r="F24" s="75">
        <v>26</v>
      </c>
      <c r="G24" s="75">
        <v>169.5</v>
      </c>
      <c r="H24" s="75">
        <v>10</v>
      </c>
      <c r="I24" s="75">
        <v>13</v>
      </c>
      <c r="J24" s="75">
        <v>6</v>
      </c>
      <c r="K24" s="75">
        <v>40</v>
      </c>
      <c r="L24" s="75">
        <v>2</v>
      </c>
      <c r="M24" s="75">
        <v>11</v>
      </c>
      <c r="N24" s="75">
        <v>117</v>
      </c>
      <c r="O24" s="75">
        <v>6</v>
      </c>
      <c r="P24" s="75">
        <v>8</v>
      </c>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v>537</v>
      </c>
      <c r="E25" s="75">
        <v>347</v>
      </c>
      <c r="F25" s="75">
        <v>29</v>
      </c>
      <c r="G25" s="75">
        <v>262</v>
      </c>
      <c r="H25" s="75">
        <v>8</v>
      </c>
      <c r="I25" s="75">
        <v>18</v>
      </c>
      <c r="J25" s="75">
        <v>3</v>
      </c>
      <c r="K25" s="75">
        <v>48</v>
      </c>
      <c r="L25" s="75">
        <v>4</v>
      </c>
      <c r="M25" s="75">
        <v>29</v>
      </c>
      <c r="N25" s="75">
        <v>170</v>
      </c>
      <c r="O25" s="75">
        <v>9</v>
      </c>
      <c r="P25" s="75">
        <v>2</v>
      </c>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v>75</v>
      </c>
      <c r="E26" s="75">
        <v>108.71000000000001</v>
      </c>
      <c r="F26" s="75">
        <v>0</v>
      </c>
      <c r="G26" s="75">
        <v>22.4</v>
      </c>
      <c r="H26" s="75">
        <v>1</v>
      </c>
      <c r="I26" s="75">
        <v>8</v>
      </c>
      <c r="J26" s="75">
        <v>1</v>
      </c>
      <c r="K26" s="75">
        <v>13</v>
      </c>
      <c r="L26" s="75">
        <v>2</v>
      </c>
      <c r="M26" s="75">
        <v>23</v>
      </c>
      <c r="N26" s="75">
        <v>16</v>
      </c>
      <c r="O26" s="75">
        <v>2</v>
      </c>
      <c r="P26" s="75">
        <v>0</v>
      </c>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v>754</v>
      </c>
      <c r="E27" s="75">
        <v>512</v>
      </c>
      <c r="F27" s="75">
        <v>34</v>
      </c>
      <c r="G27" s="75">
        <v>217</v>
      </c>
      <c r="H27" s="75">
        <v>13</v>
      </c>
      <c r="I27" s="75">
        <v>34</v>
      </c>
      <c r="J27" s="75">
        <v>10</v>
      </c>
      <c r="K27" s="75">
        <v>90</v>
      </c>
      <c r="L27" s="75">
        <v>6</v>
      </c>
      <c r="M27" s="75">
        <v>38</v>
      </c>
      <c r="N27" s="75">
        <v>274</v>
      </c>
      <c r="O27" s="75">
        <v>12</v>
      </c>
      <c r="P27" s="75">
        <v>7</v>
      </c>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v>667</v>
      </c>
      <c r="E28" s="75">
        <v>401</v>
      </c>
      <c r="F28" s="75">
        <v>0</v>
      </c>
      <c r="G28" s="75">
        <v>193</v>
      </c>
      <c r="H28" s="75">
        <v>11</v>
      </c>
      <c r="I28" s="75">
        <v>18</v>
      </c>
      <c r="J28" s="75">
        <v>11</v>
      </c>
      <c r="K28" s="75">
        <v>60</v>
      </c>
      <c r="L28" s="75">
        <v>4</v>
      </c>
      <c r="M28" s="75">
        <v>33</v>
      </c>
      <c r="N28" s="75">
        <v>89</v>
      </c>
      <c r="O28" s="75">
        <v>7</v>
      </c>
      <c r="P28" s="75">
        <v>6</v>
      </c>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v>407</v>
      </c>
      <c r="E29" s="75">
        <v>227</v>
      </c>
      <c r="F29" s="75">
        <v>26</v>
      </c>
      <c r="G29" s="75">
        <v>158</v>
      </c>
      <c r="H29" s="75">
        <v>6</v>
      </c>
      <c r="I29" s="75">
        <v>8</v>
      </c>
      <c r="J29" s="75">
        <v>6</v>
      </c>
      <c r="K29" s="75">
        <v>30</v>
      </c>
      <c r="L29" s="75">
        <v>3</v>
      </c>
      <c r="M29" s="75">
        <v>11</v>
      </c>
      <c r="N29" s="75">
        <v>111</v>
      </c>
      <c r="O29" s="75">
        <v>3</v>
      </c>
      <c r="P29" s="75">
        <v>5</v>
      </c>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v>221</v>
      </c>
      <c r="E30" s="75">
        <v>458</v>
      </c>
      <c r="F30" s="75">
        <v>17</v>
      </c>
      <c r="G30" s="75">
        <v>71</v>
      </c>
      <c r="H30" s="75">
        <v>0</v>
      </c>
      <c r="I30" s="75">
        <v>29</v>
      </c>
      <c r="J30" s="75">
        <v>9</v>
      </c>
      <c r="K30" s="75">
        <v>48</v>
      </c>
      <c r="L30" s="75">
        <v>2</v>
      </c>
      <c r="M30" s="75">
        <v>59</v>
      </c>
      <c r="N30" s="75">
        <v>107</v>
      </c>
      <c r="O30" s="75">
        <v>5</v>
      </c>
      <c r="P30" s="75">
        <v>3</v>
      </c>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v>271</v>
      </c>
      <c r="E31" s="75">
        <v>494</v>
      </c>
      <c r="F31" s="75">
        <v>21</v>
      </c>
      <c r="G31" s="75">
        <v>101</v>
      </c>
      <c r="H31" s="75">
        <v>3</v>
      </c>
      <c r="I31" s="75">
        <v>34</v>
      </c>
      <c r="J31" s="75">
        <v>5</v>
      </c>
      <c r="K31" s="75">
        <v>45</v>
      </c>
      <c r="L31" s="75">
        <v>3</v>
      </c>
      <c r="M31" s="75">
        <v>47</v>
      </c>
      <c r="N31" s="75">
        <v>44</v>
      </c>
      <c r="O31" s="75">
        <v>9</v>
      </c>
      <c r="P31" s="75">
        <v>4</v>
      </c>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v>316</v>
      </c>
      <c r="E32" s="75">
        <v>368</v>
      </c>
      <c r="F32" s="75">
        <v>23</v>
      </c>
      <c r="G32" s="75">
        <v>105</v>
      </c>
      <c r="H32" s="75">
        <v>5</v>
      </c>
      <c r="I32" s="75">
        <v>24</v>
      </c>
      <c r="J32" s="75">
        <v>7</v>
      </c>
      <c r="K32" s="75">
        <v>46</v>
      </c>
      <c r="L32" s="75">
        <v>3</v>
      </c>
      <c r="M32" s="75">
        <v>31</v>
      </c>
      <c r="N32" s="75">
        <v>97</v>
      </c>
      <c r="O32" s="75">
        <v>3</v>
      </c>
      <c r="P32" s="75">
        <v>4</v>
      </c>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v>260</v>
      </c>
      <c r="E33" s="75">
        <v>237</v>
      </c>
      <c r="F33" s="75">
        <v>19</v>
      </c>
      <c r="G33" s="75">
        <v>62</v>
      </c>
      <c r="H33" s="75">
        <v>6</v>
      </c>
      <c r="I33" s="75">
        <v>14</v>
      </c>
      <c r="J33" s="75">
        <v>2</v>
      </c>
      <c r="K33" s="75">
        <v>26</v>
      </c>
      <c r="L33" s="75">
        <v>2</v>
      </c>
      <c r="M33" s="75">
        <v>21</v>
      </c>
      <c r="N33" s="75">
        <v>86</v>
      </c>
      <c r="O33" s="75">
        <v>4</v>
      </c>
      <c r="P33" s="75">
        <v>3</v>
      </c>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v>142</v>
      </c>
      <c r="E34" s="75">
        <v>192</v>
      </c>
      <c r="F34" s="75">
        <v>17</v>
      </c>
      <c r="G34" s="75">
        <v>44</v>
      </c>
      <c r="H34" s="75">
        <v>0</v>
      </c>
      <c r="I34" s="75">
        <v>12</v>
      </c>
      <c r="J34" s="75">
        <v>4</v>
      </c>
      <c r="K34" s="75">
        <v>24</v>
      </c>
      <c r="L34" s="75">
        <v>0</v>
      </c>
      <c r="M34" s="75">
        <v>26</v>
      </c>
      <c r="N34" s="75">
        <v>26</v>
      </c>
      <c r="O34" s="75">
        <v>3</v>
      </c>
      <c r="P34" s="75">
        <v>3</v>
      </c>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4" t="s">
        <v>186</v>
      </c>
      <c r="C35" s="74"/>
      <c r="D35" s="75">
        <v>524</v>
      </c>
      <c r="E35" s="75">
        <v>243</v>
      </c>
      <c r="F35" s="75">
        <v>29</v>
      </c>
      <c r="G35" s="75">
        <v>177</v>
      </c>
      <c r="H35" s="83">
        <v>13</v>
      </c>
      <c r="I35" s="83">
        <v>11</v>
      </c>
      <c r="J35" s="83">
        <v>0</v>
      </c>
      <c r="K35" s="372">
        <v>30</v>
      </c>
      <c r="L35" s="372">
        <v>2</v>
      </c>
      <c r="M35" s="372">
        <v>16</v>
      </c>
      <c r="N35" s="372">
        <v>97</v>
      </c>
      <c r="O35" s="372">
        <v>8</v>
      </c>
      <c r="P35" s="372">
        <v>4</v>
      </c>
      <c r="Q35" s="81" t="s">
        <v>778</v>
      </c>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v>237</v>
      </c>
      <c r="E36" s="75">
        <v>337</v>
      </c>
      <c r="F36" s="75">
        <v>20</v>
      </c>
      <c r="G36" s="75">
        <v>74</v>
      </c>
      <c r="H36" s="75">
        <v>0</v>
      </c>
      <c r="I36" s="75">
        <v>18</v>
      </c>
      <c r="J36" s="75">
        <v>6</v>
      </c>
      <c r="K36" s="75">
        <v>35</v>
      </c>
      <c r="L36" s="75">
        <v>2</v>
      </c>
      <c r="M36" s="75">
        <v>8</v>
      </c>
      <c r="N36" s="75">
        <v>105</v>
      </c>
      <c r="O36" s="75">
        <v>5</v>
      </c>
      <c r="P36" s="75">
        <v>4</v>
      </c>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v>167</v>
      </c>
      <c r="E37" s="75">
        <v>327</v>
      </c>
      <c r="F37" s="75">
        <v>19</v>
      </c>
      <c r="G37" s="75">
        <v>74</v>
      </c>
      <c r="H37" s="75">
        <v>1</v>
      </c>
      <c r="I37" s="75">
        <v>23</v>
      </c>
      <c r="J37" s="75">
        <v>2</v>
      </c>
      <c r="K37" s="75">
        <v>28</v>
      </c>
      <c r="L37" s="75">
        <v>2</v>
      </c>
      <c r="M37" s="75">
        <v>26</v>
      </c>
      <c r="N37" s="75">
        <v>55</v>
      </c>
      <c r="O37" s="75">
        <v>5</v>
      </c>
      <c r="P37" s="75">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v>409</v>
      </c>
      <c r="E38" s="75">
        <v>441</v>
      </c>
      <c r="F38" s="75">
        <v>0</v>
      </c>
      <c r="G38" s="75">
        <v>197</v>
      </c>
      <c r="H38" s="75">
        <v>8</v>
      </c>
      <c r="I38" s="75">
        <v>23</v>
      </c>
      <c r="J38" s="75">
        <v>2</v>
      </c>
      <c r="K38" s="75">
        <v>42</v>
      </c>
      <c r="L38" s="75">
        <v>3</v>
      </c>
      <c r="M38" s="75">
        <v>21</v>
      </c>
      <c r="N38" s="75">
        <v>112</v>
      </c>
      <c r="O38" s="75">
        <v>8</v>
      </c>
      <c r="P38" s="75">
        <v>5</v>
      </c>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v>269</v>
      </c>
      <c r="E39" s="75">
        <v>435</v>
      </c>
      <c r="F39" s="75">
        <v>0</v>
      </c>
      <c r="G39" s="75">
        <v>73</v>
      </c>
      <c r="H39" s="75">
        <v>0</v>
      </c>
      <c r="I39" s="75">
        <v>29</v>
      </c>
      <c r="J39" s="75">
        <v>6</v>
      </c>
      <c r="K39" s="75">
        <v>47</v>
      </c>
      <c r="L39" s="75">
        <v>2</v>
      </c>
      <c r="M39" s="75">
        <v>22</v>
      </c>
      <c r="N39" s="75">
        <v>82</v>
      </c>
      <c r="O39" s="75">
        <v>4</v>
      </c>
      <c r="P39" s="75">
        <v>3</v>
      </c>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v>553</v>
      </c>
      <c r="E40" s="75">
        <v>100</v>
      </c>
      <c r="F40" s="75">
        <v>27</v>
      </c>
      <c r="G40" s="75">
        <v>76</v>
      </c>
      <c r="H40" s="75">
        <v>18</v>
      </c>
      <c r="I40" s="75">
        <v>7</v>
      </c>
      <c r="J40" s="75">
        <v>1</v>
      </c>
      <c r="K40" s="75">
        <v>35</v>
      </c>
      <c r="L40" s="75">
        <v>2</v>
      </c>
      <c r="M40" s="75">
        <v>27</v>
      </c>
      <c r="N40" s="75">
        <v>104</v>
      </c>
      <c r="O40" s="75">
        <v>7</v>
      </c>
      <c r="P40" s="75">
        <v>4</v>
      </c>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v>251</v>
      </c>
      <c r="E41" s="75">
        <v>126</v>
      </c>
      <c r="F41" s="75">
        <v>18</v>
      </c>
      <c r="G41" s="75">
        <v>73</v>
      </c>
      <c r="H41" s="75">
        <v>4</v>
      </c>
      <c r="I41" s="75">
        <v>9</v>
      </c>
      <c r="J41" s="75">
        <v>3</v>
      </c>
      <c r="K41" s="75">
        <v>23</v>
      </c>
      <c r="L41" s="75">
        <v>2</v>
      </c>
      <c r="M41" s="75">
        <v>15</v>
      </c>
      <c r="N41" s="75">
        <v>38</v>
      </c>
      <c r="O41" s="75">
        <v>4</v>
      </c>
      <c r="P41" s="75">
        <v>4</v>
      </c>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v>327</v>
      </c>
      <c r="E42" s="75">
        <v>295</v>
      </c>
      <c r="F42" s="75">
        <v>0</v>
      </c>
      <c r="G42" s="75">
        <v>112</v>
      </c>
      <c r="H42" s="75">
        <v>0</v>
      </c>
      <c r="I42" s="75">
        <v>14</v>
      </c>
      <c r="J42" s="75">
        <v>10</v>
      </c>
      <c r="K42" s="75">
        <v>40</v>
      </c>
      <c r="L42" s="75">
        <v>2</v>
      </c>
      <c r="M42" s="75">
        <v>27</v>
      </c>
      <c r="N42" s="75">
        <v>107</v>
      </c>
      <c r="O42" s="75">
        <v>5</v>
      </c>
      <c r="P42" s="75">
        <v>6</v>
      </c>
      <c r="Q42" s="82"/>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6" t="s">
        <v>187</v>
      </c>
      <c r="C43" s="74"/>
      <c r="D43" s="75">
        <v>12</v>
      </c>
      <c r="E43" s="75">
        <v>37</v>
      </c>
      <c r="F43" s="75">
        <v>0</v>
      </c>
      <c r="G43" s="75">
        <v>3</v>
      </c>
      <c r="H43" s="83">
        <v>1</v>
      </c>
      <c r="I43" s="83">
        <v>5</v>
      </c>
      <c r="J43" s="83">
        <v>0</v>
      </c>
      <c r="K43" s="83">
        <v>7</v>
      </c>
      <c r="L43" s="83">
        <v>0</v>
      </c>
      <c r="M43" s="83">
        <v>0</v>
      </c>
      <c r="N43" s="83">
        <v>3</v>
      </c>
      <c r="O43" s="83">
        <v>1</v>
      </c>
      <c r="P43" s="83">
        <v>0</v>
      </c>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f>SUM(D45:D51)</f>
        <v>11245.375</v>
      </c>
      <c r="E44" s="70">
        <f t="shared" ref="E44:P44" si="3">SUM(E45:E51)</f>
        <v>372</v>
      </c>
      <c r="F44" s="70">
        <f t="shared" si="3"/>
        <v>312.625</v>
      </c>
      <c r="G44" s="70">
        <f t="shared" si="3"/>
        <v>2812</v>
      </c>
      <c r="H44" s="70">
        <f t="shared" si="3"/>
        <v>258</v>
      </c>
      <c r="I44" s="70">
        <f t="shared" si="3"/>
        <v>15</v>
      </c>
      <c r="J44" s="70">
        <f t="shared" si="3"/>
        <v>19</v>
      </c>
      <c r="K44" s="70">
        <f t="shared" si="3"/>
        <v>409</v>
      </c>
      <c r="L44" s="70">
        <f t="shared" si="3"/>
        <v>35</v>
      </c>
      <c r="M44" s="70">
        <f t="shared" si="3"/>
        <v>310</v>
      </c>
      <c r="N44" s="70">
        <f t="shared" si="3"/>
        <v>894</v>
      </c>
      <c r="O44" s="70">
        <f t="shared" si="3"/>
        <v>111</v>
      </c>
      <c r="P44" s="70">
        <f t="shared" si="3"/>
        <v>91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v>1419</v>
      </c>
      <c r="E45" s="87">
        <v>31</v>
      </c>
      <c r="F45" s="87">
        <v>0</v>
      </c>
      <c r="G45" s="75">
        <v>541</v>
      </c>
      <c r="H45" s="75">
        <v>35</v>
      </c>
      <c r="I45" s="75">
        <v>1</v>
      </c>
      <c r="J45" s="75">
        <v>5</v>
      </c>
      <c r="K45" s="75">
        <v>64</v>
      </c>
      <c r="L45" s="75">
        <v>7</v>
      </c>
      <c r="M45" s="75">
        <v>22</v>
      </c>
      <c r="N45" s="75">
        <v>162</v>
      </c>
      <c r="O45" s="75">
        <v>14</v>
      </c>
      <c r="P45" s="75">
        <v>9</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v>717</v>
      </c>
      <c r="E46" s="87">
        <v>88</v>
      </c>
      <c r="F46" s="87">
        <v>36</v>
      </c>
      <c r="G46" s="75">
        <v>349</v>
      </c>
      <c r="H46" s="75">
        <v>21</v>
      </c>
      <c r="I46" s="75">
        <v>0</v>
      </c>
      <c r="J46" s="75">
        <v>5</v>
      </c>
      <c r="K46" s="75">
        <v>29</v>
      </c>
      <c r="L46" s="75">
        <v>4</v>
      </c>
      <c r="M46" s="75">
        <v>23</v>
      </c>
      <c r="N46" s="75">
        <v>1</v>
      </c>
      <c r="O46" s="75">
        <v>9</v>
      </c>
      <c r="P46" s="75">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v>624</v>
      </c>
      <c r="E47" s="75">
        <v>95</v>
      </c>
      <c r="F47" s="75">
        <v>35</v>
      </c>
      <c r="G47" s="75">
        <v>206</v>
      </c>
      <c r="H47" s="75">
        <v>15</v>
      </c>
      <c r="I47" s="75">
        <v>5</v>
      </c>
      <c r="J47" s="75">
        <v>2</v>
      </c>
      <c r="K47" s="75">
        <v>28</v>
      </c>
      <c r="L47" s="75">
        <v>2</v>
      </c>
      <c r="M47" s="75">
        <v>10</v>
      </c>
      <c r="N47" s="75">
        <v>145</v>
      </c>
      <c r="O47" s="75">
        <v>2</v>
      </c>
      <c r="P47" s="75">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189</v>
      </c>
      <c r="C48" s="74"/>
      <c r="D48" s="75">
        <v>688.375</v>
      </c>
      <c r="E48" s="75">
        <v>12</v>
      </c>
      <c r="F48" s="75">
        <v>30.625</v>
      </c>
      <c r="G48" s="75">
        <v>191</v>
      </c>
      <c r="H48" s="75">
        <v>16</v>
      </c>
      <c r="I48" s="75">
        <v>1</v>
      </c>
      <c r="J48" s="75">
        <v>0</v>
      </c>
      <c r="K48" s="75">
        <v>28</v>
      </c>
      <c r="L48" s="75">
        <v>3</v>
      </c>
      <c r="M48" s="75">
        <v>18</v>
      </c>
      <c r="N48" s="75">
        <v>97</v>
      </c>
      <c r="O48" s="75">
        <v>6</v>
      </c>
      <c r="P48" s="75">
        <v>10</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v>1575</v>
      </c>
      <c r="E49" s="75">
        <v>6</v>
      </c>
      <c r="F49" s="75">
        <v>61</v>
      </c>
      <c r="G49" s="75">
        <v>474</v>
      </c>
      <c r="H49" s="75">
        <v>38</v>
      </c>
      <c r="I49" s="75">
        <v>0</v>
      </c>
      <c r="J49" s="75">
        <v>0</v>
      </c>
      <c r="K49" s="75">
        <v>41</v>
      </c>
      <c r="L49" s="75">
        <v>4</v>
      </c>
      <c r="M49" s="75">
        <v>37</v>
      </c>
      <c r="N49" s="75">
        <v>103</v>
      </c>
      <c r="O49" s="75">
        <v>18</v>
      </c>
      <c r="P49" s="75">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v>1147</v>
      </c>
      <c r="E50" s="75">
        <v>140</v>
      </c>
      <c r="F50" s="75">
        <v>41</v>
      </c>
      <c r="G50" s="75">
        <v>263</v>
      </c>
      <c r="H50" s="75">
        <v>30</v>
      </c>
      <c r="I50" s="75">
        <v>8</v>
      </c>
      <c r="J50" s="75">
        <v>7</v>
      </c>
      <c r="K50" s="75">
        <v>64</v>
      </c>
      <c r="L50" s="75">
        <v>4</v>
      </c>
      <c r="M50" s="75">
        <v>23</v>
      </c>
      <c r="N50" s="75">
        <v>333</v>
      </c>
      <c r="O50" s="75">
        <v>13</v>
      </c>
      <c r="P50" s="75">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190</v>
      </c>
      <c r="C51" s="90"/>
      <c r="D51" s="91">
        <v>5075</v>
      </c>
      <c r="E51" s="91">
        <v>0</v>
      </c>
      <c r="F51" s="91">
        <v>109</v>
      </c>
      <c r="G51" s="92">
        <v>788</v>
      </c>
      <c r="H51" s="92">
        <v>103</v>
      </c>
      <c r="I51" s="92">
        <v>0</v>
      </c>
      <c r="J51" s="92">
        <v>0</v>
      </c>
      <c r="K51" s="92">
        <v>155</v>
      </c>
      <c r="L51" s="92">
        <v>11</v>
      </c>
      <c r="M51" s="92">
        <v>177</v>
      </c>
      <c r="N51" s="92">
        <v>53</v>
      </c>
      <c r="O51" s="92">
        <v>49</v>
      </c>
      <c r="P51" s="92">
        <v>37</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93"/>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82" t="s">
        <v>192</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375" t="s">
        <v>193</v>
      </c>
      <c r="C55" s="375"/>
      <c r="D55" s="375"/>
      <c r="E55" s="375"/>
      <c r="F55" s="375"/>
      <c r="G55" s="375"/>
      <c r="H55" s="375"/>
      <c r="I55" s="375"/>
      <c r="J55" s="375"/>
      <c r="K55" s="375"/>
      <c r="L55" s="375"/>
      <c r="M55" s="375"/>
      <c r="N55" s="375"/>
      <c r="O55" s="375"/>
      <c r="P55" s="375"/>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265" t="s">
        <v>59</v>
      </c>
      <c r="C64" s="266"/>
      <c r="D64" s="267">
        <v>251</v>
      </c>
      <c r="E64" s="267">
        <v>344</v>
      </c>
      <c r="F64" s="267">
        <v>27</v>
      </c>
      <c r="G64" s="267">
        <v>144</v>
      </c>
      <c r="H64" s="267">
        <v>6</v>
      </c>
      <c r="I64" s="267">
        <v>19</v>
      </c>
      <c r="J64" s="267">
        <v>1</v>
      </c>
      <c r="K64" s="267">
        <v>40</v>
      </c>
      <c r="L64" s="267">
        <v>2</v>
      </c>
      <c r="M64" s="267">
        <v>32</v>
      </c>
      <c r="N64" s="267">
        <v>103</v>
      </c>
      <c r="O64" s="267">
        <v>4</v>
      </c>
      <c r="P64" s="267">
        <v>4</v>
      </c>
      <c r="Q64" s="82"/>
      <c r="R64" s="65"/>
      <c r="S64" s="72"/>
      <c r="T64" s="97"/>
    </row>
    <row r="65" spans="1:26" s="81" customFormat="1" ht="14.5" x14ac:dyDescent="0.35">
      <c r="A65" s="48"/>
      <c r="B65" s="265" t="s">
        <v>30</v>
      </c>
      <c r="C65" s="266"/>
      <c r="D65" s="267">
        <v>188</v>
      </c>
      <c r="E65" s="267">
        <v>316</v>
      </c>
      <c r="F65" s="267">
        <v>22</v>
      </c>
      <c r="G65" s="267">
        <v>108</v>
      </c>
      <c r="H65" s="267">
        <v>0</v>
      </c>
      <c r="I65" s="267">
        <v>18</v>
      </c>
      <c r="J65" s="267">
        <v>6</v>
      </c>
      <c r="K65" s="267">
        <v>34</v>
      </c>
      <c r="L65" s="267">
        <v>2</v>
      </c>
      <c r="M65" s="267">
        <v>20</v>
      </c>
      <c r="N65" s="267">
        <v>127</v>
      </c>
      <c r="O65" s="267">
        <v>5</v>
      </c>
      <c r="P65" s="267">
        <v>2</v>
      </c>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GF65"/>
  <sheetViews>
    <sheetView zoomScaleNormal="100" workbookViewId="0">
      <pane xSplit="3" ySplit="9" topLeftCell="N25" activePane="bottomRight" state="frozen"/>
      <selection activeCell="A4" sqref="A4:H4"/>
      <selection pane="topRight" activeCell="A4" sqref="A4:H4"/>
      <selection pane="bottomLeft" activeCell="A4" sqref="A4:H4"/>
      <selection pane="bottomRight" activeCell="A4" sqref="A4:H4"/>
    </sheetView>
  </sheetViews>
  <sheetFormatPr defaultColWidth="9.1796875" defaultRowHeight="12.5" x14ac:dyDescent="0.25"/>
  <cols>
    <col min="1" max="1" width="6.7265625" style="1" bestFit="1" customWidth="1"/>
    <col min="2" max="2" width="6.81640625" style="5" customWidth="1"/>
    <col min="3" max="3" width="22.1796875" style="5" customWidth="1"/>
    <col min="4" max="4" width="8.7265625" style="5" customWidth="1"/>
    <col min="5" max="5" width="10.54296875" style="5" customWidth="1"/>
    <col min="6" max="24" width="11.453125" style="5" customWidth="1"/>
    <col min="25" max="52" width="9.1796875" style="5"/>
    <col min="53" max="144" width="9.1796875" style="4"/>
    <col min="145" max="146" width="9.1796875" style="2"/>
    <col min="147" max="150" width="9.1796875" style="4"/>
    <col min="151" max="153" width="9.1796875" style="2"/>
    <col min="154" max="159" width="9.1796875" style="3"/>
    <col min="160" max="188" width="9.1796875" style="2"/>
    <col min="189" max="16384" width="9.1796875" style="1"/>
  </cols>
  <sheetData>
    <row r="1" spans="1:159" ht="13" x14ac:dyDescent="0.3">
      <c r="A1" s="47" t="s">
        <v>164</v>
      </c>
      <c r="B1" s="40"/>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4"/>
      <c r="FB1" s="44"/>
      <c r="FC1" s="44"/>
    </row>
    <row r="2" spans="1:159" ht="13" x14ac:dyDescent="0.3">
      <c r="A2" s="43" t="s">
        <v>163</v>
      </c>
      <c r="B2" s="40"/>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7"/>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6"/>
      <c r="FB2" s="36"/>
      <c r="FC2" s="36"/>
    </row>
    <row r="3" spans="1:159" ht="13" x14ac:dyDescent="0.3">
      <c r="B3" s="42"/>
      <c r="C3" s="41"/>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6"/>
      <c r="FB3" s="36"/>
      <c r="FC3" s="36"/>
    </row>
    <row r="4" spans="1:159" ht="13" x14ac:dyDescent="0.3">
      <c r="B4" s="40"/>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6"/>
      <c r="FB4" s="36"/>
      <c r="FC4" s="36"/>
    </row>
    <row r="5" spans="1:159" ht="13" x14ac:dyDescent="0.3">
      <c r="A5" s="2"/>
      <c r="B5" s="35"/>
      <c r="C5" s="39"/>
      <c r="D5" s="4"/>
      <c r="E5" s="4"/>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7"/>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6"/>
      <c r="FB5" s="36"/>
      <c r="FC5" s="36"/>
    </row>
    <row r="6" spans="1:159" ht="13" x14ac:dyDescent="0.3">
      <c r="A6" s="2"/>
      <c r="B6" s="35"/>
      <c r="C6" s="39"/>
      <c r="D6" s="4"/>
      <c r="E6" s="4"/>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7"/>
      <c r="DX6" s="31"/>
      <c r="DY6" s="31"/>
      <c r="DZ6" s="31"/>
      <c r="EB6" s="8"/>
      <c r="EC6" s="31"/>
      <c r="ED6" s="31"/>
      <c r="EE6" s="31"/>
      <c r="EF6" s="31"/>
      <c r="EG6" s="31"/>
      <c r="EH6" s="31"/>
      <c r="EI6" s="31"/>
      <c r="EJ6" s="31"/>
      <c r="EK6" s="31"/>
      <c r="EL6" s="31"/>
      <c r="EM6" s="31"/>
      <c r="EN6" s="31"/>
      <c r="EO6" s="31"/>
      <c r="EP6" s="31"/>
      <c r="EQ6" s="31"/>
      <c r="ER6" s="31"/>
      <c r="ES6" s="31"/>
      <c r="ET6" s="31"/>
      <c r="EU6" s="31"/>
      <c r="EV6" s="31"/>
      <c r="EW6" s="31"/>
      <c r="EX6" s="31"/>
      <c r="EY6" s="31"/>
      <c r="EZ6" s="31"/>
      <c r="FA6" s="36"/>
      <c r="FB6" s="36"/>
      <c r="FC6" s="36"/>
    </row>
    <row r="7" spans="1:159" ht="13" x14ac:dyDescent="0.3">
      <c r="A7" s="2"/>
      <c r="B7" s="35"/>
      <c r="C7" s="4"/>
      <c r="D7" s="32" t="s">
        <v>342</v>
      </c>
      <c r="E7" s="32"/>
      <c r="F7" s="34"/>
      <c r="G7" s="32"/>
      <c r="H7" s="32"/>
      <c r="I7" s="32"/>
      <c r="J7" s="32"/>
      <c r="K7" s="33" t="s">
        <v>162</v>
      </c>
      <c r="L7" s="33"/>
      <c r="M7" s="33"/>
      <c r="N7" s="33"/>
      <c r="O7" s="32" t="s">
        <v>161</v>
      </c>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80"/>
      <c r="FB7" s="380"/>
      <c r="FC7" s="380"/>
    </row>
    <row r="8" spans="1:159" x14ac:dyDescent="0.25">
      <c r="C8" s="30"/>
      <c r="F8" s="29">
        <v>-1</v>
      </c>
      <c r="G8" s="29">
        <v>-2</v>
      </c>
      <c r="H8" s="29">
        <v>-3</v>
      </c>
      <c r="I8" s="29">
        <v>-4</v>
      </c>
      <c r="J8" s="29">
        <v>-5</v>
      </c>
      <c r="K8" s="29">
        <v>-6</v>
      </c>
      <c r="L8" s="29">
        <v>-7</v>
      </c>
      <c r="M8" s="29">
        <v>-8</v>
      </c>
      <c r="N8" s="29">
        <v>-9</v>
      </c>
      <c r="O8" s="29">
        <v>-10</v>
      </c>
      <c r="P8" s="29">
        <v>-11</v>
      </c>
      <c r="Q8" s="29">
        <v>-12</v>
      </c>
      <c r="R8" s="29">
        <v>-13</v>
      </c>
      <c r="S8" s="29">
        <v>-14</v>
      </c>
      <c r="T8" s="29">
        <v>-15</v>
      </c>
      <c r="U8" s="29">
        <v>-16</v>
      </c>
      <c r="V8" s="29">
        <v>-17</v>
      </c>
      <c r="W8" s="29">
        <v>-18</v>
      </c>
      <c r="X8" s="29">
        <v>-19</v>
      </c>
      <c r="Y8" s="29">
        <v>-20</v>
      </c>
      <c r="Z8" s="29">
        <v>-21</v>
      </c>
      <c r="AA8" s="29">
        <v>-22</v>
      </c>
      <c r="AB8" s="29">
        <v>-23</v>
      </c>
      <c r="AC8" s="29">
        <v>-24</v>
      </c>
      <c r="AD8" s="29">
        <v>-25</v>
      </c>
      <c r="AE8" s="29">
        <v>-26</v>
      </c>
      <c r="AF8" s="29">
        <v>-27</v>
      </c>
      <c r="AG8" s="29">
        <v>-28</v>
      </c>
      <c r="AH8" s="29">
        <v>-29</v>
      </c>
      <c r="AI8" s="29">
        <v>-30</v>
      </c>
      <c r="AJ8" s="29">
        <v>-31</v>
      </c>
      <c r="AK8" s="29">
        <v>-32</v>
      </c>
      <c r="AL8" s="29">
        <v>-33</v>
      </c>
      <c r="AM8" s="29">
        <v>-34</v>
      </c>
      <c r="AN8" s="29">
        <v>-35</v>
      </c>
      <c r="AO8" s="29">
        <v>-36</v>
      </c>
      <c r="AP8" s="29">
        <v>-37</v>
      </c>
      <c r="AQ8" s="29">
        <v>-38</v>
      </c>
      <c r="AR8" s="29">
        <v>-39</v>
      </c>
      <c r="AS8" s="29">
        <v>-40</v>
      </c>
      <c r="AT8" s="29">
        <v>-41</v>
      </c>
      <c r="AU8" s="29">
        <v>-42</v>
      </c>
      <c r="AV8" s="29">
        <v>-43</v>
      </c>
      <c r="AW8" s="29">
        <v>-44</v>
      </c>
      <c r="AX8" s="29">
        <v>-45</v>
      </c>
      <c r="AY8" s="29">
        <v>-46</v>
      </c>
      <c r="AZ8" s="29">
        <v>-47</v>
      </c>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7"/>
      <c r="EY8" s="27"/>
      <c r="EZ8" s="27"/>
      <c r="FA8" s="26"/>
      <c r="FB8" s="26"/>
      <c r="FC8" s="26"/>
    </row>
    <row r="9" spans="1:159" ht="37.5" customHeight="1" x14ac:dyDescent="0.3">
      <c r="A9" s="25"/>
      <c r="B9" s="24" t="s">
        <v>160</v>
      </c>
      <c r="C9" s="24" t="s">
        <v>159</v>
      </c>
      <c r="D9" s="23" t="s">
        <v>158</v>
      </c>
      <c r="E9" s="22" t="s">
        <v>157</v>
      </c>
      <c r="F9" s="20" t="s">
        <v>156</v>
      </c>
      <c r="G9" s="20" t="s">
        <v>155</v>
      </c>
      <c r="H9" s="20" t="s">
        <v>154</v>
      </c>
      <c r="I9" s="20" t="s">
        <v>153</v>
      </c>
      <c r="J9" s="20" t="s">
        <v>152</v>
      </c>
      <c r="K9" s="21" t="s">
        <v>151</v>
      </c>
      <c r="L9" s="21" t="s">
        <v>150</v>
      </c>
      <c r="M9" s="21" t="s">
        <v>149</v>
      </c>
      <c r="N9" s="21" t="s">
        <v>148</v>
      </c>
      <c r="O9" s="20" t="s">
        <v>147</v>
      </c>
      <c r="P9" s="20" t="s">
        <v>146</v>
      </c>
      <c r="Q9" s="20" t="s">
        <v>145</v>
      </c>
      <c r="R9" s="20" t="s">
        <v>144</v>
      </c>
      <c r="S9" s="20" t="s">
        <v>143</v>
      </c>
      <c r="T9" s="20" t="s">
        <v>142</v>
      </c>
      <c r="U9" s="20" t="s">
        <v>141</v>
      </c>
      <c r="V9" s="20" t="s">
        <v>140</v>
      </c>
      <c r="W9" s="20" t="s">
        <v>139</v>
      </c>
      <c r="X9" s="20" t="s">
        <v>138</v>
      </c>
      <c r="Y9" s="20" t="s">
        <v>137</v>
      </c>
      <c r="Z9" s="20" t="s">
        <v>136</v>
      </c>
      <c r="AA9" s="20" t="s">
        <v>135</v>
      </c>
      <c r="AB9" s="20" t="s">
        <v>134</v>
      </c>
      <c r="AC9" s="20" t="s">
        <v>133</v>
      </c>
      <c r="AD9" s="20" t="s">
        <v>132</v>
      </c>
      <c r="AE9" s="20" t="s">
        <v>131</v>
      </c>
      <c r="AF9" s="20" t="s">
        <v>130</v>
      </c>
      <c r="AG9" s="20" t="s">
        <v>129</v>
      </c>
      <c r="AH9" s="20" t="s">
        <v>128</v>
      </c>
      <c r="AI9" s="20" t="s">
        <v>127</v>
      </c>
      <c r="AJ9" s="20" t="s">
        <v>126</v>
      </c>
      <c r="AK9" s="20" t="s">
        <v>125</v>
      </c>
      <c r="AL9" s="20" t="s">
        <v>124</v>
      </c>
      <c r="AM9" s="20" t="s">
        <v>123</v>
      </c>
      <c r="AN9" s="20" t="s">
        <v>122</v>
      </c>
      <c r="AO9" s="20" t="s">
        <v>121</v>
      </c>
      <c r="AP9" s="20" t="s">
        <v>120</v>
      </c>
      <c r="AQ9" s="20" t="s">
        <v>119</v>
      </c>
      <c r="AR9" s="20" t="s">
        <v>118</v>
      </c>
      <c r="AS9" s="20" t="s">
        <v>117</v>
      </c>
      <c r="AT9" s="20" t="s">
        <v>116</v>
      </c>
      <c r="AU9" s="20" t="s">
        <v>115</v>
      </c>
      <c r="AV9" s="20" t="s">
        <v>114</v>
      </c>
      <c r="AW9" s="20" t="s">
        <v>113</v>
      </c>
      <c r="AX9" s="20" t="s">
        <v>112</v>
      </c>
      <c r="AY9" s="20" t="s">
        <v>111</v>
      </c>
      <c r="AZ9" s="20" t="s">
        <v>110</v>
      </c>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8"/>
      <c r="FB9" s="18"/>
      <c r="FC9" s="18"/>
    </row>
    <row r="10" spans="1:159" s="2" customFormat="1" x14ac:dyDescent="0.25">
      <c r="A10" s="12" t="s">
        <v>81</v>
      </c>
      <c r="B10" s="11" t="s">
        <v>109</v>
      </c>
      <c r="C10" s="10" t="s">
        <v>108</v>
      </c>
      <c r="D10" s="9"/>
      <c r="E10" s="9" t="s">
        <v>12</v>
      </c>
      <c r="F10" s="7">
        <v>24</v>
      </c>
      <c r="G10" s="7">
        <v>2</v>
      </c>
      <c r="H10" s="7">
        <v>5</v>
      </c>
      <c r="I10" s="7">
        <v>31</v>
      </c>
      <c r="J10" s="7">
        <v>6</v>
      </c>
      <c r="K10" s="7">
        <v>24</v>
      </c>
      <c r="L10" s="7">
        <v>2</v>
      </c>
      <c r="M10" s="7">
        <v>5</v>
      </c>
      <c r="N10" s="7">
        <v>31</v>
      </c>
      <c r="O10" s="7">
        <v>44</v>
      </c>
      <c r="P10" s="7">
        <v>2</v>
      </c>
      <c r="Q10" s="7">
        <v>0</v>
      </c>
      <c r="R10" s="7">
        <v>1</v>
      </c>
      <c r="S10" s="7">
        <v>8</v>
      </c>
      <c r="T10" s="7">
        <v>5</v>
      </c>
      <c r="U10" s="7">
        <v>20</v>
      </c>
      <c r="V10" s="7">
        <v>9</v>
      </c>
      <c r="W10" s="7">
        <v>0</v>
      </c>
      <c r="X10" s="7">
        <v>3</v>
      </c>
      <c r="Y10" s="7">
        <v>2</v>
      </c>
      <c r="Z10" s="7">
        <v>2</v>
      </c>
      <c r="AA10" s="7">
        <v>0</v>
      </c>
      <c r="AB10" s="7">
        <v>0</v>
      </c>
      <c r="AC10" s="7">
        <v>0</v>
      </c>
      <c r="AD10" s="7">
        <v>7</v>
      </c>
      <c r="AE10" s="7">
        <v>96</v>
      </c>
      <c r="AF10" s="7">
        <v>14</v>
      </c>
      <c r="AG10" s="7">
        <v>5</v>
      </c>
      <c r="AH10" s="7">
        <v>0</v>
      </c>
      <c r="AI10" s="7">
        <v>16</v>
      </c>
      <c r="AJ10" s="7">
        <v>4</v>
      </c>
      <c r="AK10" s="7">
        <v>8</v>
      </c>
      <c r="AL10" s="7">
        <v>13</v>
      </c>
      <c r="AM10" s="7">
        <v>11</v>
      </c>
      <c r="AN10" s="7">
        <v>0</v>
      </c>
      <c r="AO10" s="7">
        <v>9</v>
      </c>
      <c r="AP10" s="7">
        <v>12</v>
      </c>
      <c r="AQ10" s="7">
        <v>6</v>
      </c>
      <c r="AR10" s="7">
        <v>0</v>
      </c>
      <c r="AS10" s="7">
        <v>0</v>
      </c>
      <c r="AT10" s="7">
        <v>0</v>
      </c>
      <c r="AU10" s="7">
        <v>113</v>
      </c>
      <c r="AV10" s="7">
        <v>7</v>
      </c>
      <c r="AW10" s="7">
        <v>4</v>
      </c>
      <c r="AX10" s="7">
        <v>8</v>
      </c>
      <c r="AY10" s="7">
        <v>18</v>
      </c>
      <c r="AZ10" s="7">
        <v>15</v>
      </c>
      <c r="BA10" s="112">
        <f>SUM(R10:AC10)</f>
        <v>50</v>
      </c>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8"/>
      <c r="DX10" s="8"/>
      <c r="DY10" s="8"/>
      <c r="DZ10" s="8"/>
      <c r="EA10" s="8"/>
      <c r="EB10" s="8"/>
      <c r="EC10" s="7"/>
      <c r="ED10" s="7"/>
      <c r="EE10" s="7"/>
      <c r="EF10" s="7"/>
      <c r="EG10" s="7"/>
      <c r="EH10" s="7"/>
      <c r="EI10" s="7"/>
      <c r="EJ10" s="7"/>
      <c r="EK10" s="7"/>
      <c r="EL10" s="7"/>
      <c r="EM10" s="7"/>
      <c r="EN10" s="7"/>
      <c r="EO10" s="7"/>
      <c r="EP10" s="7"/>
      <c r="EQ10" s="7"/>
      <c r="ER10" s="7"/>
      <c r="ES10" s="7"/>
      <c r="ET10" s="7"/>
      <c r="EU10" s="7"/>
      <c r="EV10" s="7"/>
      <c r="EW10" s="7"/>
      <c r="EX10" s="7"/>
      <c r="EY10" s="7"/>
      <c r="EZ10" s="7"/>
      <c r="FA10" s="6"/>
      <c r="FB10" s="6"/>
      <c r="FC10" s="6"/>
    </row>
    <row r="11" spans="1:159" s="2" customFormat="1" x14ac:dyDescent="0.25">
      <c r="A11" s="12" t="s">
        <v>81</v>
      </c>
      <c r="B11" s="11" t="s">
        <v>107</v>
      </c>
      <c r="C11" s="10" t="s">
        <v>106</v>
      </c>
      <c r="D11" s="9">
        <v>1</v>
      </c>
      <c r="E11" s="9">
        <v>1</v>
      </c>
      <c r="F11" s="7">
        <v>30</v>
      </c>
      <c r="G11" s="7">
        <v>3</v>
      </c>
      <c r="H11" s="7">
        <v>5</v>
      </c>
      <c r="I11" s="7">
        <v>38</v>
      </c>
      <c r="J11" s="7">
        <v>2</v>
      </c>
      <c r="K11" s="7">
        <v>30</v>
      </c>
      <c r="L11" s="7">
        <v>3</v>
      </c>
      <c r="M11" s="7">
        <v>5</v>
      </c>
      <c r="N11" s="7">
        <v>38</v>
      </c>
      <c r="O11" s="110">
        <v>45</v>
      </c>
      <c r="P11" s="109">
        <v>0</v>
      </c>
      <c r="Q11" s="109">
        <v>2</v>
      </c>
      <c r="R11" s="108">
        <v>0</v>
      </c>
      <c r="S11" s="108">
        <v>5</v>
      </c>
      <c r="T11" s="108">
        <v>4</v>
      </c>
      <c r="U11" s="108">
        <v>8</v>
      </c>
      <c r="V11" s="108">
        <v>5</v>
      </c>
      <c r="W11" s="108">
        <v>0</v>
      </c>
      <c r="X11" s="108">
        <v>2</v>
      </c>
      <c r="Y11" s="108">
        <v>0</v>
      </c>
      <c r="Z11" s="108">
        <v>4</v>
      </c>
      <c r="AA11" s="108">
        <v>0</v>
      </c>
      <c r="AB11" s="108">
        <v>1</v>
      </c>
      <c r="AC11" s="108">
        <v>0</v>
      </c>
      <c r="AD11" s="111">
        <v>7</v>
      </c>
      <c r="AE11" s="111">
        <v>76</v>
      </c>
      <c r="AF11" s="112">
        <v>11</v>
      </c>
      <c r="AG11" s="112">
        <v>0</v>
      </c>
      <c r="AH11" s="112">
        <v>9</v>
      </c>
      <c r="AI11" s="112">
        <v>0</v>
      </c>
      <c r="AJ11" s="112">
        <v>9</v>
      </c>
      <c r="AK11" s="112">
        <v>9</v>
      </c>
      <c r="AL11" s="112">
        <v>9</v>
      </c>
      <c r="AM11" s="112">
        <v>3</v>
      </c>
      <c r="AN11" s="112">
        <v>0</v>
      </c>
      <c r="AO11" s="112">
        <v>2</v>
      </c>
      <c r="AP11" s="112">
        <v>0</v>
      </c>
      <c r="AQ11" s="112">
        <v>6</v>
      </c>
      <c r="AR11" s="112">
        <v>0</v>
      </c>
      <c r="AS11" s="112">
        <v>5</v>
      </c>
      <c r="AT11" s="112" t="s">
        <v>3</v>
      </c>
      <c r="AU11" s="110">
        <v>114</v>
      </c>
      <c r="AV11" s="110">
        <v>5</v>
      </c>
      <c r="AW11" s="110">
        <v>5</v>
      </c>
      <c r="AX11" s="7">
        <v>6</v>
      </c>
      <c r="AY11" s="7">
        <v>18</v>
      </c>
      <c r="AZ11" s="7">
        <v>14</v>
      </c>
      <c r="BA11" s="112">
        <f>SUM(R11:AC11)</f>
        <v>29</v>
      </c>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8"/>
      <c r="DX11" s="8"/>
      <c r="DY11" s="8"/>
      <c r="DZ11" s="8"/>
      <c r="EA11" s="8"/>
      <c r="EB11" s="8"/>
      <c r="EC11" s="7"/>
      <c r="ED11" s="7"/>
      <c r="EE11" s="7"/>
      <c r="EF11" s="7"/>
      <c r="EG11" s="7"/>
      <c r="EH11" s="7"/>
      <c r="EI11" s="7"/>
      <c r="EJ11" s="7"/>
      <c r="EK11" s="7"/>
      <c r="EL11" s="7"/>
      <c r="EM11" s="7"/>
      <c r="EN11" s="7"/>
      <c r="EO11" s="7"/>
      <c r="EP11" s="7"/>
      <c r="EQ11" s="7"/>
      <c r="ER11" s="7"/>
      <c r="ES11" s="7"/>
      <c r="ET11" s="7"/>
      <c r="EU11" s="7"/>
      <c r="EV11" s="7"/>
      <c r="EW11" s="7"/>
      <c r="EX11" s="7"/>
      <c r="EY11" s="7"/>
      <c r="EZ11" s="7"/>
      <c r="FA11" s="6"/>
      <c r="FB11" s="6"/>
      <c r="FC11" s="6"/>
    </row>
    <row r="12" spans="1:159" s="2" customFormat="1" x14ac:dyDescent="0.25">
      <c r="A12" s="12" t="s">
        <v>81</v>
      </c>
      <c r="B12" s="11" t="s">
        <v>105</v>
      </c>
      <c r="C12" s="10" t="s">
        <v>104</v>
      </c>
      <c r="D12" s="9">
        <v>1</v>
      </c>
      <c r="E12" s="9">
        <v>1</v>
      </c>
      <c r="F12" s="7">
        <v>16</v>
      </c>
      <c r="G12" s="7">
        <v>2</v>
      </c>
      <c r="H12" s="7">
        <v>3</v>
      </c>
      <c r="I12" s="7">
        <v>21</v>
      </c>
      <c r="J12" s="7">
        <v>3</v>
      </c>
      <c r="K12" s="7">
        <v>16</v>
      </c>
      <c r="L12" s="7">
        <v>2</v>
      </c>
      <c r="M12" s="7">
        <v>3</v>
      </c>
      <c r="N12" s="7">
        <v>21</v>
      </c>
      <c r="O12" s="7">
        <v>32</v>
      </c>
      <c r="P12" s="7">
        <v>0</v>
      </c>
      <c r="Q12" s="7">
        <v>2</v>
      </c>
      <c r="R12" s="7">
        <v>0</v>
      </c>
      <c r="S12" s="7">
        <v>6</v>
      </c>
      <c r="T12" s="7">
        <v>1</v>
      </c>
      <c r="U12" s="7">
        <v>4</v>
      </c>
      <c r="V12" s="7">
        <v>3</v>
      </c>
      <c r="W12" s="7">
        <v>0</v>
      </c>
      <c r="X12" s="7">
        <v>1</v>
      </c>
      <c r="Y12" s="7">
        <v>1</v>
      </c>
      <c r="Z12" s="7">
        <v>1</v>
      </c>
      <c r="AA12" s="7">
        <v>0</v>
      </c>
      <c r="AB12" s="7">
        <v>1</v>
      </c>
      <c r="AC12" s="7">
        <v>0</v>
      </c>
      <c r="AD12" s="7">
        <v>4</v>
      </c>
      <c r="AE12" s="7">
        <v>52</v>
      </c>
      <c r="AF12" s="7">
        <v>7</v>
      </c>
      <c r="AG12" s="7">
        <v>0</v>
      </c>
      <c r="AH12" s="7">
        <v>12</v>
      </c>
      <c r="AI12" s="7">
        <v>0</v>
      </c>
      <c r="AJ12" s="7">
        <v>4</v>
      </c>
      <c r="AK12" s="7">
        <v>3</v>
      </c>
      <c r="AL12" s="7">
        <v>7</v>
      </c>
      <c r="AM12" s="7">
        <v>8</v>
      </c>
      <c r="AN12" s="7">
        <v>0</v>
      </c>
      <c r="AO12" s="7">
        <v>11</v>
      </c>
      <c r="AP12" s="7">
        <v>11</v>
      </c>
      <c r="AQ12" s="7">
        <v>14</v>
      </c>
      <c r="AR12" s="7">
        <v>0</v>
      </c>
      <c r="AS12" s="7">
        <v>10</v>
      </c>
      <c r="AT12" s="7">
        <v>0</v>
      </c>
      <c r="AU12" s="7">
        <v>69</v>
      </c>
      <c r="AV12" s="7">
        <v>7</v>
      </c>
      <c r="AW12" s="7">
        <v>2</v>
      </c>
      <c r="AX12" s="7">
        <v>8</v>
      </c>
      <c r="AY12" s="7">
        <v>13</v>
      </c>
      <c r="AZ12" s="7">
        <v>14</v>
      </c>
      <c r="BA12" s="112">
        <f t="shared" ref="BA12:BA60" si="0">SUM(R12:AC12)</f>
        <v>18</v>
      </c>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8"/>
      <c r="DX12" s="8"/>
      <c r="DY12" s="8"/>
      <c r="DZ12" s="8"/>
      <c r="EA12" s="8"/>
      <c r="EB12" s="8"/>
      <c r="EC12" s="7"/>
      <c r="ED12" s="7"/>
      <c r="EE12" s="7"/>
      <c r="EF12" s="7"/>
      <c r="EG12" s="7"/>
      <c r="EH12" s="7"/>
      <c r="EI12" s="7"/>
      <c r="EJ12" s="7"/>
      <c r="EK12" s="7"/>
      <c r="EL12" s="7"/>
      <c r="EM12" s="7"/>
      <c r="EN12" s="7"/>
      <c r="EO12" s="7"/>
      <c r="EP12" s="7"/>
      <c r="EQ12" s="7"/>
      <c r="ER12" s="7"/>
      <c r="ES12" s="7"/>
      <c r="ET12" s="7"/>
      <c r="EU12" s="7"/>
      <c r="EV12" s="7"/>
      <c r="EW12" s="7"/>
      <c r="EX12" s="7"/>
      <c r="EY12" s="7"/>
      <c r="EZ12" s="7"/>
      <c r="FA12" s="6"/>
      <c r="FB12" s="6"/>
      <c r="FC12" s="6"/>
    </row>
    <row r="13" spans="1:159" s="2" customFormat="1" x14ac:dyDescent="0.25">
      <c r="A13" s="12" t="s">
        <v>81</v>
      </c>
      <c r="B13" s="11" t="s">
        <v>103</v>
      </c>
      <c r="C13" s="10" t="s">
        <v>102</v>
      </c>
      <c r="D13" s="9">
        <v>1</v>
      </c>
      <c r="E13" s="9">
        <v>1</v>
      </c>
      <c r="F13" s="7">
        <v>13</v>
      </c>
      <c r="G13" s="7">
        <v>9</v>
      </c>
      <c r="H13" s="7">
        <v>7</v>
      </c>
      <c r="I13" s="7">
        <v>29</v>
      </c>
      <c r="J13" s="7">
        <v>17</v>
      </c>
      <c r="K13" s="7">
        <v>13</v>
      </c>
      <c r="L13" s="7">
        <v>9</v>
      </c>
      <c r="M13" s="7">
        <v>7</v>
      </c>
      <c r="N13" s="7">
        <v>29</v>
      </c>
      <c r="O13" s="7">
        <v>40</v>
      </c>
      <c r="P13" s="7">
        <v>0</v>
      </c>
      <c r="Q13" s="7">
        <v>2</v>
      </c>
      <c r="R13" s="7">
        <v>0</v>
      </c>
      <c r="S13" s="7">
        <v>1</v>
      </c>
      <c r="T13" s="7">
        <v>4</v>
      </c>
      <c r="U13" s="7">
        <v>1</v>
      </c>
      <c r="V13" s="7">
        <v>0</v>
      </c>
      <c r="W13" s="7">
        <v>0</v>
      </c>
      <c r="X13" s="7">
        <v>2</v>
      </c>
      <c r="Y13" s="7">
        <v>1</v>
      </c>
      <c r="Z13" s="7">
        <v>1</v>
      </c>
      <c r="AA13" s="7">
        <v>0</v>
      </c>
      <c r="AB13" s="7">
        <v>0</v>
      </c>
      <c r="AC13" s="7">
        <v>1</v>
      </c>
      <c r="AD13" s="7">
        <v>5</v>
      </c>
      <c r="AE13" s="7">
        <v>53</v>
      </c>
      <c r="AF13" s="7">
        <v>6</v>
      </c>
      <c r="AG13" s="7">
        <v>0</v>
      </c>
      <c r="AH13" s="7">
        <v>13</v>
      </c>
      <c r="AI13" s="7">
        <v>0</v>
      </c>
      <c r="AJ13" s="7">
        <v>4</v>
      </c>
      <c r="AK13" s="7">
        <v>6</v>
      </c>
      <c r="AL13" s="7">
        <v>7</v>
      </c>
      <c r="AM13" s="7">
        <v>0</v>
      </c>
      <c r="AN13" s="7">
        <v>0</v>
      </c>
      <c r="AO13" s="7">
        <v>12</v>
      </c>
      <c r="AP13" s="7">
        <v>12</v>
      </c>
      <c r="AQ13" s="7">
        <v>8</v>
      </c>
      <c r="AR13" s="7">
        <v>0</v>
      </c>
      <c r="AS13" s="7">
        <v>0</v>
      </c>
      <c r="AT13" s="7">
        <v>10</v>
      </c>
      <c r="AU13" s="7">
        <v>117</v>
      </c>
      <c r="AV13" s="7">
        <v>7</v>
      </c>
      <c r="AW13" s="7">
        <v>8</v>
      </c>
      <c r="AX13" s="7">
        <v>4</v>
      </c>
      <c r="AY13" s="7">
        <v>12</v>
      </c>
      <c r="AZ13" s="7">
        <v>12</v>
      </c>
      <c r="BA13" s="112">
        <f t="shared" si="0"/>
        <v>11</v>
      </c>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8"/>
      <c r="DX13" s="8"/>
      <c r="DY13" s="8"/>
      <c r="DZ13" s="8"/>
      <c r="EA13" s="8"/>
      <c r="EB13" s="8"/>
      <c r="EC13" s="7"/>
      <c r="ED13" s="7"/>
      <c r="EE13" s="7"/>
      <c r="EF13" s="7"/>
      <c r="EG13" s="7"/>
      <c r="EH13" s="7"/>
      <c r="EI13" s="7"/>
      <c r="EJ13" s="7"/>
      <c r="EK13" s="7"/>
      <c r="EL13" s="7"/>
      <c r="EM13" s="7"/>
      <c r="EN13" s="7"/>
      <c r="EO13" s="7"/>
      <c r="EP13" s="7"/>
      <c r="EQ13" s="7"/>
      <c r="ER13" s="7"/>
      <c r="ES13" s="7"/>
      <c r="ET13" s="7"/>
      <c r="EU13" s="7"/>
      <c r="EV13" s="7"/>
      <c r="EW13" s="7"/>
      <c r="EX13" s="7"/>
      <c r="EY13" s="7"/>
      <c r="EZ13" s="7"/>
      <c r="FA13" s="6"/>
      <c r="FB13" s="6"/>
      <c r="FC13" s="6"/>
    </row>
    <row r="14" spans="1:159" s="2" customFormat="1" x14ac:dyDescent="0.25">
      <c r="A14" s="12" t="s">
        <v>81</v>
      </c>
      <c r="B14" s="11" t="s">
        <v>101</v>
      </c>
      <c r="C14" s="10" t="s">
        <v>100</v>
      </c>
      <c r="D14" s="9">
        <v>1</v>
      </c>
      <c r="E14" s="9">
        <v>1</v>
      </c>
      <c r="F14" s="7">
        <v>8</v>
      </c>
      <c r="G14" s="7">
        <v>1</v>
      </c>
      <c r="H14" s="7">
        <v>1</v>
      </c>
      <c r="I14" s="7">
        <v>10</v>
      </c>
      <c r="J14" s="7">
        <v>0</v>
      </c>
      <c r="K14" s="7">
        <v>8</v>
      </c>
      <c r="L14" s="7">
        <v>0</v>
      </c>
      <c r="M14" s="7">
        <v>2</v>
      </c>
      <c r="N14" s="7">
        <v>10</v>
      </c>
      <c r="O14" s="7">
        <v>13</v>
      </c>
      <c r="P14" s="7">
        <v>0</v>
      </c>
      <c r="Q14" s="7">
        <v>2</v>
      </c>
      <c r="R14" s="7">
        <v>0</v>
      </c>
      <c r="S14" s="7">
        <v>1</v>
      </c>
      <c r="T14" s="7">
        <v>3</v>
      </c>
      <c r="U14" s="7">
        <v>0</v>
      </c>
      <c r="V14" s="7">
        <v>17</v>
      </c>
      <c r="W14" s="7">
        <v>0</v>
      </c>
      <c r="X14" s="7">
        <v>1</v>
      </c>
      <c r="Y14" s="7">
        <v>0</v>
      </c>
      <c r="Z14" s="7">
        <v>1</v>
      </c>
      <c r="AA14" s="7">
        <v>0</v>
      </c>
      <c r="AB14" s="7">
        <v>1</v>
      </c>
      <c r="AC14" s="7">
        <v>0</v>
      </c>
      <c r="AD14" s="7">
        <v>3</v>
      </c>
      <c r="AE14" s="7">
        <v>39</v>
      </c>
      <c r="AF14" s="7">
        <v>10</v>
      </c>
      <c r="AG14" s="7">
        <v>0</v>
      </c>
      <c r="AH14" s="7">
        <v>5</v>
      </c>
      <c r="AI14" s="7">
        <v>0</v>
      </c>
      <c r="AJ14" s="7">
        <v>20</v>
      </c>
      <c r="AK14" s="7">
        <v>15</v>
      </c>
      <c r="AL14" s="7">
        <v>0</v>
      </c>
      <c r="AM14" s="7">
        <v>6</v>
      </c>
      <c r="AN14" s="7">
        <v>0</v>
      </c>
      <c r="AO14" s="7">
        <v>12</v>
      </c>
      <c r="AP14" s="7">
        <v>0</v>
      </c>
      <c r="AQ14" s="7">
        <v>20</v>
      </c>
      <c r="AR14" s="7">
        <v>0</v>
      </c>
      <c r="AS14" s="7">
        <v>12</v>
      </c>
      <c r="AT14" s="7">
        <v>0</v>
      </c>
      <c r="AU14" s="7">
        <v>16</v>
      </c>
      <c r="AV14" s="7">
        <v>2</v>
      </c>
      <c r="AW14" s="7">
        <v>1</v>
      </c>
      <c r="AX14" s="7">
        <v>11</v>
      </c>
      <c r="AY14" s="7">
        <v>14</v>
      </c>
      <c r="AZ14" s="7">
        <v>1</v>
      </c>
      <c r="BA14" s="112">
        <f t="shared" si="0"/>
        <v>24</v>
      </c>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8"/>
      <c r="DX14" s="8"/>
      <c r="DY14" s="8"/>
      <c r="DZ14" s="8"/>
      <c r="EA14" s="8"/>
      <c r="EB14" s="8"/>
      <c r="EC14" s="7"/>
      <c r="ED14" s="7"/>
      <c r="EE14" s="7"/>
      <c r="EF14" s="7"/>
      <c r="EG14" s="7"/>
      <c r="EH14" s="7"/>
      <c r="EI14" s="7"/>
      <c r="EJ14" s="7"/>
      <c r="EK14" s="7"/>
      <c r="EL14" s="7"/>
      <c r="EM14" s="7"/>
      <c r="EN14" s="7"/>
      <c r="EO14" s="7"/>
      <c r="EP14" s="7"/>
      <c r="EQ14" s="7"/>
      <c r="ER14" s="7"/>
      <c r="ES14" s="7"/>
      <c r="ET14" s="7"/>
      <c r="EU14" s="7"/>
      <c r="EV14" s="7"/>
      <c r="EW14" s="7"/>
      <c r="EX14" s="7"/>
      <c r="EY14" s="7"/>
      <c r="EZ14" s="7"/>
      <c r="FA14" s="6"/>
      <c r="FB14" s="6"/>
      <c r="FC14" s="6"/>
    </row>
    <row r="15" spans="1:159" s="2" customFormat="1" x14ac:dyDescent="0.25">
      <c r="A15" s="12" t="s">
        <v>81</v>
      </c>
      <c r="B15" s="11" t="s">
        <v>99</v>
      </c>
      <c r="C15" s="10" t="s">
        <v>98</v>
      </c>
      <c r="D15" s="9">
        <v>1</v>
      </c>
      <c r="E15" s="9">
        <v>1</v>
      </c>
      <c r="F15" s="7">
        <v>29</v>
      </c>
      <c r="G15" s="7">
        <v>0</v>
      </c>
      <c r="H15" s="7">
        <v>9</v>
      </c>
      <c r="I15" s="7">
        <v>38</v>
      </c>
      <c r="J15" s="7">
        <v>0</v>
      </c>
      <c r="K15" s="7">
        <v>29</v>
      </c>
      <c r="L15" s="7">
        <v>0</v>
      </c>
      <c r="M15" s="7">
        <v>9</v>
      </c>
      <c r="N15" s="7">
        <v>38</v>
      </c>
      <c r="O15" s="7">
        <v>48</v>
      </c>
      <c r="P15" s="7">
        <v>0</v>
      </c>
      <c r="Q15" s="7">
        <v>2</v>
      </c>
      <c r="R15" s="7">
        <v>0</v>
      </c>
      <c r="S15" s="7">
        <v>23</v>
      </c>
      <c r="T15" s="7">
        <v>2</v>
      </c>
      <c r="U15" s="7">
        <v>0</v>
      </c>
      <c r="V15" s="7">
        <v>31</v>
      </c>
      <c r="W15" s="7">
        <v>4</v>
      </c>
      <c r="X15" s="7">
        <v>1</v>
      </c>
      <c r="Y15" s="7">
        <v>1</v>
      </c>
      <c r="Z15" s="7">
        <v>1</v>
      </c>
      <c r="AA15" s="7">
        <v>0</v>
      </c>
      <c r="AB15" s="7">
        <v>0</v>
      </c>
      <c r="AC15" s="7">
        <v>0</v>
      </c>
      <c r="AD15" s="7">
        <v>7</v>
      </c>
      <c r="AE15" s="7">
        <v>113</v>
      </c>
      <c r="AF15" s="7">
        <v>5</v>
      </c>
      <c r="AG15" s="7">
        <v>0</v>
      </c>
      <c r="AH15" s="7">
        <v>3</v>
      </c>
      <c r="AI15" s="7">
        <v>0</v>
      </c>
      <c r="AJ15" s="7">
        <v>5</v>
      </c>
      <c r="AK15" s="7">
        <v>9</v>
      </c>
      <c r="AL15" s="7">
        <v>0</v>
      </c>
      <c r="AM15" s="7">
        <v>5</v>
      </c>
      <c r="AN15" s="7">
        <v>9</v>
      </c>
      <c r="AO15" s="7">
        <v>12</v>
      </c>
      <c r="AP15" s="7">
        <v>12</v>
      </c>
      <c r="AQ15" s="7">
        <v>7</v>
      </c>
      <c r="AR15" s="7">
        <v>0</v>
      </c>
      <c r="AS15" s="7">
        <v>0</v>
      </c>
      <c r="AT15" s="7">
        <v>0</v>
      </c>
      <c r="AU15" s="7">
        <v>98</v>
      </c>
      <c r="AV15" s="7">
        <v>5</v>
      </c>
      <c r="AW15" s="7">
        <v>3</v>
      </c>
      <c r="AX15" s="7">
        <v>2</v>
      </c>
      <c r="AY15" s="7">
        <v>7</v>
      </c>
      <c r="AZ15" s="7">
        <v>7</v>
      </c>
      <c r="BA15" s="112">
        <f t="shared" si="0"/>
        <v>63</v>
      </c>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8"/>
      <c r="DX15" s="8"/>
      <c r="DY15" s="8"/>
      <c r="DZ15" s="8"/>
      <c r="EA15" s="8"/>
      <c r="EB15" s="8"/>
      <c r="EC15" s="7"/>
      <c r="ED15" s="7"/>
      <c r="EE15" s="7"/>
      <c r="EF15" s="7"/>
      <c r="EG15" s="7"/>
      <c r="EH15" s="7"/>
      <c r="EI15" s="7"/>
      <c r="EJ15" s="7"/>
      <c r="EK15" s="7"/>
      <c r="EL15" s="7"/>
      <c r="EM15" s="7"/>
      <c r="EN15" s="7"/>
      <c r="EO15" s="7"/>
      <c r="EP15" s="7"/>
      <c r="EQ15" s="7"/>
      <c r="ER15" s="7"/>
      <c r="ES15" s="7"/>
      <c r="ET15" s="7"/>
      <c r="EU15" s="7"/>
      <c r="EV15" s="7"/>
      <c r="EW15" s="7"/>
      <c r="EX15" s="7"/>
      <c r="EY15" s="7"/>
      <c r="EZ15" s="7"/>
      <c r="FA15" s="6"/>
      <c r="FB15" s="6"/>
      <c r="FC15" s="6"/>
    </row>
    <row r="16" spans="1:159" s="2" customFormat="1" x14ac:dyDescent="0.25">
      <c r="A16" s="12" t="s">
        <v>81</v>
      </c>
      <c r="B16" s="11" t="s">
        <v>97</v>
      </c>
      <c r="C16" s="10" t="s">
        <v>96</v>
      </c>
      <c r="D16" s="9">
        <v>1</v>
      </c>
      <c r="E16" s="9">
        <v>1</v>
      </c>
      <c r="F16" s="7">
        <v>34</v>
      </c>
      <c r="G16" s="7">
        <v>3</v>
      </c>
      <c r="H16" s="7">
        <v>5</v>
      </c>
      <c r="I16" s="7">
        <v>42</v>
      </c>
      <c r="J16" s="7">
        <v>0</v>
      </c>
      <c r="K16" s="7">
        <v>34</v>
      </c>
      <c r="L16" s="7">
        <v>3</v>
      </c>
      <c r="M16" s="7">
        <v>5</v>
      </c>
      <c r="N16" s="7">
        <v>42</v>
      </c>
      <c r="O16" s="7">
        <v>42</v>
      </c>
      <c r="P16" s="7">
        <v>0</v>
      </c>
      <c r="Q16" s="7">
        <v>3</v>
      </c>
      <c r="R16" s="7">
        <v>0</v>
      </c>
      <c r="S16" s="7">
        <v>21</v>
      </c>
      <c r="T16" s="7">
        <v>4</v>
      </c>
      <c r="U16" s="7">
        <v>0</v>
      </c>
      <c r="V16" s="7">
        <v>16</v>
      </c>
      <c r="W16" s="7">
        <v>7</v>
      </c>
      <c r="X16" s="7">
        <v>2</v>
      </c>
      <c r="Y16" s="7">
        <v>1</v>
      </c>
      <c r="Z16" s="7">
        <v>1</v>
      </c>
      <c r="AA16" s="7">
        <v>0</v>
      </c>
      <c r="AB16" s="7">
        <v>0</v>
      </c>
      <c r="AC16" s="7">
        <v>0</v>
      </c>
      <c r="AD16" s="7">
        <v>11</v>
      </c>
      <c r="AE16" s="7">
        <v>97</v>
      </c>
      <c r="AF16" s="7">
        <v>9</v>
      </c>
      <c r="AG16" s="7">
        <v>0</v>
      </c>
      <c r="AH16" s="7">
        <v>10</v>
      </c>
      <c r="AI16" s="7">
        <v>0</v>
      </c>
      <c r="AJ16" s="7">
        <v>5</v>
      </c>
      <c r="AK16" s="7">
        <v>5</v>
      </c>
      <c r="AL16" s="7">
        <v>0</v>
      </c>
      <c r="AM16" s="7">
        <v>6</v>
      </c>
      <c r="AN16" s="7">
        <v>6</v>
      </c>
      <c r="AO16" s="7">
        <v>11</v>
      </c>
      <c r="AP16" s="7">
        <v>12</v>
      </c>
      <c r="AQ16" s="7">
        <v>18</v>
      </c>
      <c r="AR16" s="7">
        <v>0</v>
      </c>
      <c r="AS16" s="7">
        <v>0</v>
      </c>
      <c r="AT16" s="7">
        <v>0</v>
      </c>
      <c r="AU16" s="7">
        <v>46</v>
      </c>
      <c r="AV16" s="7">
        <v>9</v>
      </c>
      <c r="AW16" s="7">
        <v>5</v>
      </c>
      <c r="AX16" s="7">
        <v>3</v>
      </c>
      <c r="AY16" s="7">
        <v>15</v>
      </c>
      <c r="AZ16" s="7">
        <v>13</v>
      </c>
      <c r="BA16" s="112">
        <f t="shared" si="0"/>
        <v>52</v>
      </c>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8"/>
      <c r="DX16" s="8"/>
      <c r="DY16" s="8"/>
      <c r="DZ16" s="8"/>
      <c r="EA16" s="8"/>
      <c r="EB16" s="8"/>
      <c r="EC16" s="7"/>
      <c r="ED16" s="7"/>
      <c r="EE16" s="7"/>
      <c r="EF16" s="7"/>
      <c r="EG16" s="7"/>
      <c r="EH16" s="7"/>
      <c r="EI16" s="7"/>
      <c r="EJ16" s="7"/>
      <c r="EK16" s="7"/>
      <c r="EL16" s="7"/>
      <c r="EM16" s="7"/>
      <c r="EN16" s="7"/>
      <c r="EO16" s="7"/>
      <c r="EP16" s="7"/>
      <c r="EQ16" s="7"/>
      <c r="ER16" s="7"/>
      <c r="ES16" s="7"/>
      <c r="ET16" s="7"/>
      <c r="EU16" s="7"/>
      <c r="EV16" s="7"/>
      <c r="EW16" s="7"/>
      <c r="EX16" s="7"/>
      <c r="EY16" s="7"/>
      <c r="EZ16" s="7"/>
      <c r="FA16" s="6"/>
      <c r="FB16" s="6"/>
      <c r="FC16" s="6"/>
    </row>
    <row r="17" spans="1:159" s="2" customFormat="1" x14ac:dyDescent="0.25">
      <c r="A17" s="12" t="s">
        <v>81</v>
      </c>
      <c r="B17" s="11" t="s">
        <v>95</v>
      </c>
      <c r="C17" s="10" t="s">
        <v>94</v>
      </c>
      <c r="D17" s="9">
        <v>1</v>
      </c>
      <c r="E17" s="9">
        <v>1</v>
      </c>
      <c r="F17" s="7">
        <v>14</v>
      </c>
      <c r="G17" s="7">
        <v>3</v>
      </c>
      <c r="H17" s="7">
        <v>5</v>
      </c>
      <c r="I17" s="7">
        <v>22</v>
      </c>
      <c r="J17" s="7">
        <v>3</v>
      </c>
      <c r="K17" s="7">
        <v>14</v>
      </c>
      <c r="L17" s="7">
        <v>3</v>
      </c>
      <c r="M17" s="7">
        <v>5</v>
      </c>
      <c r="N17" s="7">
        <v>22</v>
      </c>
      <c r="O17" s="7">
        <v>26</v>
      </c>
      <c r="P17" s="7">
        <v>2</v>
      </c>
      <c r="Q17" s="7">
        <v>0</v>
      </c>
      <c r="R17" s="7">
        <v>0</v>
      </c>
      <c r="S17" s="7">
        <v>3</v>
      </c>
      <c r="T17" s="7">
        <v>2</v>
      </c>
      <c r="U17" s="7">
        <v>2</v>
      </c>
      <c r="V17" s="7">
        <v>21</v>
      </c>
      <c r="W17" s="7">
        <v>0</v>
      </c>
      <c r="X17" s="7">
        <v>1</v>
      </c>
      <c r="Y17" s="7">
        <v>1</v>
      </c>
      <c r="Z17" s="7">
        <v>1</v>
      </c>
      <c r="AA17" s="7">
        <v>0</v>
      </c>
      <c r="AB17" s="7">
        <v>0</v>
      </c>
      <c r="AC17" s="7">
        <v>0</v>
      </c>
      <c r="AD17" s="7">
        <v>3</v>
      </c>
      <c r="AE17" s="7">
        <v>59</v>
      </c>
      <c r="AF17" s="7">
        <v>8</v>
      </c>
      <c r="AG17" s="7">
        <v>7</v>
      </c>
      <c r="AH17" s="7">
        <v>0</v>
      </c>
      <c r="AI17" s="7">
        <v>0</v>
      </c>
      <c r="AJ17" s="7">
        <v>3</v>
      </c>
      <c r="AK17" s="7">
        <v>7</v>
      </c>
      <c r="AL17" s="7">
        <v>3</v>
      </c>
      <c r="AM17" s="7">
        <v>5</v>
      </c>
      <c r="AN17" s="7" t="s">
        <v>3</v>
      </c>
      <c r="AO17" s="7">
        <v>12</v>
      </c>
      <c r="AP17" s="7">
        <v>13</v>
      </c>
      <c r="AQ17" s="7">
        <v>12</v>
      </c>
      <c r="AR17" s="7">
        <v>0</v>
      </c>
      <c r="AS17" s="7">
        <v>0</v>
      </c>
      <c r="AT17" s="7">
        <v>0</v>
      </c>
      <c r="AU17" s="7">
        <v>92</v>
      </c>
      <c r="AV17" s="7">
        <v>4</v>
      </c>
      <c r="AW17" s="7">
        <v>3</v>
      </c>
      <c r="AX17" s="7">
        <v>5</v>
      </c>
      <c r="AY17" s="7">
        <v>14</v>
      </c>
      <c r="AZ17" s="7">
        <v>12</v>
      </c>
      <c r="BA17" s="112">
        <f t="shared" si="0"/>
        <v>31</v>
      </c>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8"/>
      <c r="DX17" s="8"/>
      <c r="DY17" s="8"/>
      <c r="DZ17" s="8"/>
      <c r="EA17" s="8"/>
      <c r="EB17" s="8"/>
      <c r="EC17" s="7"/>
      <c r="ED17" s="7"/>
      <c r="EE17" s="7"/>
      <c r="EF17" s="7"/>
      <c r="EG17" s="7"/>
      <c r="EH17" s="7"/>
      <c r="EI17" s="7"/>
      <c r="EJ17" s="7"/>
      <c r="EK17" s="7"/>
      <c r="EL17" s="7"/>
      <c r="EM17" s="7"/>
      <c r="EN17" s="7"/>
      <c r="EO17" s="7"/>
      <c r="EP17" s="7"/>
      <c r="EQ17" s="7"/>
      <c r="ER17" s="7"/>
      <c r="ES17" s="7"/>
      <c r="ET17" s="7"/>
      <c r="EU17" s="7"/>
      <c r="EV17" s="7"/>
      <c r="EW17" s="7"/>
      <c r="EX17" s="7"/>
      <c r="EY17" s="7"/>
      <c r="EZ17" s="7"/>
      <c r="FA17" s="6"/>
      <c r="FB17" s="6"/>
      <c r="FC17" s="6"/>
    </row>
    <row r="18" spans="1:159" s="2" customFormat="1" x14ac:dyDescent="0.25">
      <c r="A18" s="12" t="s">
        <v>81</v>
      </c>
      <c r="B18" s="11" t="s">
        <v>93</v>
      </c>
      <c r="C18" s="10" t="s">
        <v>92</v>
      </c>
      <c r="D18" s="9" t="s">
        <v>12</v>
      </c>
      <c r="E18" s="9">
        <v>1</v>
      </c>
      <c r="F18" s="7">
        <v>12</v>
      </c>
      <c r="G18" s="7">
        <v>0</v>
      </c>
      <c r="H18" s="7">
        <v>4</v>
      </c>
      <c r="I18" s="7">
        <v>16</v>
      </c>
      <c r="J18" s="7">
        <v>7</v>
      </c>
      <c r="K18" s="7">
        <v>12</v>
      </c>
      <c r="L18" s="7">
        <v>0</v>
      </c>
      <c r="M18" s="7">
        <v>4</v>
      </c>
      <c r="N18" s="7">
        <v>16</v>
      </c>
      <c r="O18" s="7">
        <v>24</v>
      </c>
      <c r="P18" s="7">
        <v>0</v>
      </c>
      <c r="Q18" s="7">
        <v>0</v>
      </c>
      <c r="R18" s="7">
        <v>0</v>
      </c>
      <c r="S18" s="7">
        <v>3</v>
      </c>
      <c r="T18" s="7">
        <v>4</v>
      </c>
      <c r="U18" s="7">
        <v>0</v>
      </c>
      <c r="V18" s="7">
        <v>16</v>
      </c>
      <c r="W18" s="7">
        <v>0</v>
      </c>
      <c r="X18" s="7">
        <v>1</v>
      </c>
      <c r="Y18" s="7">
        <v>1</v>
      </c>
      <c r="Z18" s="7">
        <v>1</v>
      </c>
      <c r="AA18" s="7">
        <v>0</v>
      </c>
      <c r="AB18" s="7">
        <v>0</v>
      </c>
      <c r="AC18" s="7">
        <v>0</v>
      </c>
      <c r="AD18" s="7">
        <v>3</v>
      </c>
      <c r="AE18" s="7">
        <v>50</v>
      </c>
      <c r="AF18" s="7">
        <v>8</v>
      </c>
      <c r="AG18" s="7">
        <v>0</v>
      </c>
      <c r="AH18" s="7">
        <v>0</v>
      </c>
      <c r="AI18" s="7">
        <v>0</v>
      </c>
      <c r="AJ18" s="7">
        <v>6</v>
      </c>
      <c r="AK18" s="7">
        <v>5</v>
      </c>
      <c r="AL18" s="7">
        <v>0</v>
      </c>
      <c r="AM18" s="7">
        <v>3</v>
      </c>
      <c r="AN18" s="7">
        <v>0</v>
      </c>
      <c r="AO18" s="7">
        <v>12</v>
      </c>
      <c r="AP18" s="7">
        <v>13</v>
      </c>
      <c r="AQ18" s="7">
        <v>2</v>
      </c>
      <c r="AR18" s="7">
        <v>0</v>
      </c>
      <c r="AS18" s="7">
        <v>0</v>
      </c>
      <c r="AT18" s="7">
        <v>0</v>
      </c>
      <c r="AU18" s="7">
        <v>24</v>
      </c>
      <c r="AV18" s="7">
        <v>3</v>
      </c>
      <c r="AW18" s="7">
        <v>3</v>
      </c>
      <c r="AX18" s="7">
        <v>1</v>
      </c>
      <c r="AY18" s="7">
        <v>13</v>
      </c>
      <c r="AZ18" s="7">
        <v>16</v>
      </c>
      <c r="BA18" s="112">
        <f t="shared" si="0"/>
        <v>26</v>
      </c>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8"/>
      <c r="DX18" s="8"/>
      <c r="DY18" s="8"/>
      <c r="DZ18" s="8"/>
      <c r="EA18" s="8"/>
      <c r="EB18" s="8"/>
      <c r="EC18" s="7"/>
      <c r="ED18" s="7"/>
      <c r="EE18" s="7"/>
      <c r="EF18" s="7"/>
      <c r="EG18" s="7"/>
      <c r="EH18" s="7"/>
      <c r="EI18" s="7"/>
      <c r="EJ18" s="7"/>
      <c r="EK18" s="7"/>
      <c r="EL18" s="7"/>
      <c r="EM18" s="7"/>
      <c r="EN18" s="7"/>
      <c r="EO18" s="7"/>
      <c r="EP18" s="7"/>
      <c r="EQ18" s="7"/>
      <c r="ER18" s="7"/>
      <c r="ES18" s="7"/>
      <c r="ET18" s="7"/>
      <c r="EU18" s="7"/>
      <c r="EV18" s="7"/>
      <c r="EW18" s="7"/>
      <c r="EX18" s="7"/>
      <c r="EY18" s="7"/>
      <c r="EZ18" s="7"/>
      <c r="FA18" s="6"/>
      <c r="FB18" s="6"/>
      <c r="FC18" s="6"/>
    </row>
    <row r="19" spans="1:159" s="13" customFormat="1" x14ac:dyDescent="0.25">
      <c r="A19" s="12" t="s">
        <v>81</v>
      </c>
      <c r="B19" s="11" t="s">
        <v>91</v>
      </c>
      <c r="C19" s="10" t="s">
        <v>90</v>
      </c>
      <c r="D19" s="9">
        <v>1</v>
      </c>
      <c r="E19" s="9" t="s">
        <v>12</v>
      </c>
      <c r="F19" s="7">
        <v>0</v>
      </c>
      <c r="G19" s="7">
        <v>0</v>
      </c>
      <c r="H19" s="7">
        <v>24</v>
      </c>
      <c r="I19" s="7">
        <v>24</v>
      </c>
      <c r="J19" s="7" t="s">
        <v>3</v>
      </c>
      <c r="K19" s="7" t="s">
        <v>3</v>
      </c>
      <c r="L19" s="7" t="s">
        <v>3</v>
      </c>
      <c r="M19" s="7" t="s">
        <v>3</v>
      </c>
      <c r="N19" s="7" t="s">
        <v>3</v>
      </c>
      <c r="O19" s="7">
        <v>35</v>
      </c>
      <c r="P19" s="7">
        <v>0</v>
      </c>
      <c r="Q19" s="7">
        <v>2</v>
      </c>
      <c r="R19" s="7">
        <v>0</v>
      </c>
      <c r="S19" s="7">
        <v>0</v>
      </c>
      <c r="T19" s="7">
        <v>1</v>
      </c>
      <c r="U19" s="7">
        <v>0</v>
      </c>
      <c r="V19" s="7">
        <v>0</v>
      </c>
      <c r="W19" s="7">
        <v>0</v>
      </c>
      <c r="X19" s="7">
        <v>2</v>
      </c>
      <c r="Y19" s="7">
        <v>1</v>
      </c>
      <c r="Z19" s="7">
        <v>0</v>
      </c>
      <c r="AA19" s="7">
        <v>1</v>
      </c>
      <c r="AB19" s="7">
        <v>0</v>
      </c>
      <c r="AC19" s="7">
        <v>0</v>
      </c>
      <c r="AD19" s="7">
        <v>4</v>
      </c>
      <c r="AE19" s="7">
        <v>42</v>
      </c>
      <c r="AF19" s="7">
        <v>8</v>
      </c>
      <c r="AG19" s="7">
        <v>0</v>
      </c>
      <c r="AH19" s="7">
        <v>13</v>
      </c>
      <c r="AI19" s="7">
        <v>0</v>
      </c>
      <c r="AJ19" s="7">
        <v>0</v>
      </c>
      <c r="AK19" s="7">
        <v>2</v>
      </c>
      <c r="AL19" s="7">
        <v>0</v>
      </c>
      <c r="AM19" s="7">
        <v>0</v>
      </c>
      <c r="AN19" s="7">
        <v>0</v>
      </c>
      <c r="AO19" s="7">
        <v>12</v>
      </c>
      <c r="AP19" s="7">
        <v>13</v>
      </c>
      <c r="AQ19" s="7">
        <v>0</v>
      </c>
      <c r="AR19" s="7">
        <v>9</v>
      </c>
      <c r="AS19" s="7">
        <v>0</v>
      </c>
      <c r="AT19" s="7">
        <v>0</v>
      </c>
      <c r="AU19" s="7">
        <v>93</v>
      </c>
      <c r="AV19" s="7">
        <v>5</v>
      </c>
      <c r="AW19" s="7">
        <v>4</v>
      </c>
      <c r="AX19" s="7">
        <v>4</v>
      </c>
      <c r="AY19" s="7">
        <v>12</v>
      </c>
      <c r="AZ19" s="7">
        <v>13</v>
      </c>
      <c r="BA19" s="112">
        <f t="shared" si="0"/>
        <v>5</v>
      </c>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8"/>
      <c r="DX19" s="8"/>
      <c r="DY19" s="8"/>
      <c r="DZ19" s="8"/>
      <c r="EA19" s="8"/>
      <c r="EB19" s="8"/>
      <c r="EC19" s="7"/>
      <c r="ED19" s="7"/>
      <c r="EE19" s="7"/>
      <c r="EF19" s="7"/>
      <c r="EG19" s="7"/>
      <c r="EH19" s="7"/>
      <c r="EI19" s="7"/>
      <c r="EJ19" s="7"/>
      <c r="EK19" s="7"/>
      <c r="EL19" s="7"/>
      <c r="EM19" s="7"/>
      <c r="EN19" s="7"/>
      <c r="EO19" s="7"/>
      <c r="EP19" s="7"/>
      <c r="EQ19" s="7"/>
      <c r="ER19" s="7"/>
      <c r="ES19" s="7"/>
      <c r="ET19" s="7"/>
      <c r="EU19" s="7"/>
      <c r="EV19" s="7"/>
      <c r="EW19" s="7"/>
      <c r="EX19" s="7"/>
      <c r="EY19" s="7"/>
      <c r="EZ19" s="7"/>
      <c r="FA19" s="6"/>
      <c r="FB19" s="6"/>
      <c r="FC19" s="6"/>
    </row>
    <row r="20" spans="1:159" s="13" customFormat="1" x14ac:dyDescent="0.25">
      <c r="A20" s="12" t="s">
        <v>81</v>
      </c>
      <c r="B20" s="11" t="s">
        <v>89</v>
      </c>
      <c r="C20" s="10" t="s">
        <v>88</v>
      </c>
      <c r="D20" s="9">
        <v>1</v>
      </c>
      <c r="E20" s="9">
        <v>1</v>
      </c>
      <c r="F20" s="7">
        <v>29</v>
      </c>
      <c r="G20" s="7">
        <v>0</v>
      </c>
      <c r="H20" s="7">
        <v>6</v>
      </c>
      <c r="I20" s="7">
        <v>35</v>
      </c>
      <c r="J20" s="7">
        <v>10</v>
      </c>
      <c r="K20" s="7">
        <v>29</v>
      </c>
      <c r="L20" s="7">
        <v>0</v>
      </c>
      <c r="M20" s="7">
        <v>6</v>
      </c>
      <c r="N20" s="7">
        <v>35</v>
      </c>
      <c r="O20" s="7">
        <v>47</v>
      </c>
      <c r="P20" s="7">
        <v>1</v>
      </c>
      <c r="Q20" s="7">
        <v>1</v>
      </c>
      <c r="R20" s="7">
        <v>0</v>
      </c>
      <c r="S20" s="7">
        <v>4</v>
      </c>
      <c r="T20" s="7">
        <v>3</v>
      </c>
      <c r="U20" s="7">
        <v>0</v>
      </c>
      <c r="V20" s="7">
        <v>12</v>
      </c>
      <c r="W20" s="7">
        <v>0</v>
      </c>
      <c r="X20" s="7">
        <v>0</v>
      </c>
      <c r="Y20" s="7">
        <v>1</v>
      </c>
      <c r="Z20" s="7">
        <v>0</v>
      </c>
      <c r="AA20" s="7">
        <v>0</v>
      </c>
      <c r="AB20" s="7">
        <v>2</v>
      </c>
      <c r="AC20" s="7">
        <v>0</v>
      </c>
      <c r="AD20" s="7">
        <v>3</v>
      </c>
      <c r="AE20" s="7">
        <v>71</v>
      </c>
      <c r="AF20" s="7">
        <v>8</v>
      </c>
      <c r="AG20" s="7">
        <v>8</v>
      </c>
      <c r="AH20" s="7">
        <v>3</v>
      </c>
      <c r="AI20" s="7">
        <v>0</v>
      </c>
      <c r="AJ20" s="7">
        <v>6</v>
      </c>
      <c r="AK20" s="7">
        <v>8</v>
      </c>
      <c r="AL20" s="7">
        <v>0</v>
      </c>
      <c r="AM20" s="7">
        <v>12</v>
      </c>
      <c r="AN20" s="7">
        <v>0</v>
      </c>
      <c r="AO20" s="7">
        <v>0</v>
      </c>
      <c r="AP20" s="7">
        <v>13</v>
      </c>
      <c r="AQ20" s="7">
        <v>0</v>
      </c>
      <c r="AR20" s="7">
        <v>13</v>
      </c>
      <c r="AS20" s="7">
        <v>0</v>
      </c>
      <c r="AT20" s="7">
        <v>0</v>
      </c>
      <c r="AU20" s="7">
        <v>82</v>
      </c>
      <c r="AV20" s="7">
        <v>4</v>
      </c>
      <c r="AW20" s="7">
        <v>3</v>
      </c>
      <c r="AX20" s="7">
        <v>5</v>
      </c>
      <c r="AY20" s="7">
        <v>9</v>
      </c>
      <c r="AZ20" s="7">
        <v>14</v>
      </c>
      <c r="BA20" s="112">
        <f t="shared" si="0"/>
        <v>22</v>
      </c>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8"/>
      <c r="DX20" s="8"/>
      <c r="DY20" s="8"/>
      <c r="DZ20" s="8"/>
      <c r="EA20" s="8"/>
      <c r="EB20" s="8"/>
      <c r="EC20" s="7"/>
      <c r="ED20" s="7"/>
      <c r="EE20" s="7"/>
      <c r="EF20" s="7"/>
      <c r="EG20" s="7"/>
      <c r="EH20" s="7"/>
      <c r="EI20" s="7"/>
      <c r="EJ20" s="7"/>
      <c r="EK20" s="7"/>
      <c r="EL20" s="7"/>
      <c r="EM20" s="7"/>
      <c r="EN20" s="7"/>
      <c r="EO20" s="7"/>
      <c r="EP20" s="7"/>
      <c r="EQ20" s="7"/>
      <c r="ER20" s="7"/>
      <c r="ES20" s="7"/>
      <c r="ET20" s="7"/>
      <c r="EU20" s="7"/>
      <c r="EV20" s="7"/>
      <c r="EW20" s="7"/>
      <c r="EX20" s="7"/>
      <c r="EY20" s="7"/>
      <c r="EZ20" s="7"/>
      <c r="FA20" s="6"/>
      <c r="FB20" s="6"/>
      <c r="FC20" s="6"/>
    </row>
    <row r="21" spans="1:159" s="13" customFormat="1" x14ac:dyDescent="0.25">
      <c r="A21" s="12" t="s">
        <v>81</v>
      </c>
      <c r="B21" s="11" t="s">
        <v>87</v>
      </c>
      <c r="C21" s="10" t="s">
        <v>86</v>
      </c>
      <c r="D21" s="9">
        <v>1</v>
      </c>
      <c r="E21" s="9">
        <v>1</v>
      </c>
      <c r="F21" s="7">
        <v>7</v>
      </c>
      <c r="G21" s="7">
        <v>18</v>
      </c>
      <c r="H21" s="7">
        <v>1</v>
      </c>
      <c r="I21" s="7">
        <v>26</v>
      </c>
      <c r="J21" s="7">
        <v>14</v>
      </c>
      <c r="K21" s="7">
        <v>7</v>
      </c>
      <c r="L21" s="7">
        <v>18</v>
      </c>
      <c r="M21" s="7">
        <v>1</v>
      </c>
      <c r="N21" s="7">
        <v>26</v>
      </c>
      <c r="O21" s="7">
        <v>31</v>
      </c>
      <c r="P21" s="7">
        <v>0</v>
      </c>
      <c r="Q21" s="7">
        <v>2</v>
      </c>
      <c r="R21" s="7">
        <v>0</v>
      </c>
      <c r="S21" s="7">
        <v>2</v>
      </c>
      <c r="T21" s="7">
        <v>2</v>
      </c>
      <c r="U21" s="7">
        <v>0</v>
      </c>
      <c r="V21" s="7">
        <v>49</v>
      </c>
      <c r="W21" s="7">
        <v>0</v>
      </c>
      <c r="X21" s="7">
        <v>1</v>
      </c>
      <c r="Y21" s="7">
        <v>0</v>
      </c>
      <c r="Z21" s="7">
        <v>1</v>
      </c>
      <c r="AA21" s="7">
        <v>1</v>
      </c>
      <c r="AB21" s="7">
        <v>0</v>
      </c>
      <c r="AC21" s="7">
        <v>0</v>
      </c>
      <c r="AD21" s="7">
        <v>3</v>
      </c>
      <c r="AE21" s="7">
        <v>89</v>
      </c>
      <c r="AF21" s="7">
        <v>9</v>
      </c>
      <c r="AG21" s="7">
        <v>0</v>
      </c>
      <c r="AH21" s="7">
        <v>1</v>
      </c>
      <c r="AI21" s="7">
        <v>0</v>
      </c>
      <c r="AJ21" s="7">
        <v>6</v>
      </c>
      <c r="AK21" s="7">
        <v>11</v>
      </c>
      <c r="AL21" s="7">
        <v>0</v>
      </c>
      <c r="AM21" s="7">
        <v>6</v>
      </c>
      <c r="AN21" s="7">
        <v>0</v>
      </c>
      <c r="AO21" s="7">
        <v>11</v>
      </c>
      <c r="AP21" s="7" t="s">
        <v>3</v>
      </c>
      <c r="AQ21" s="7">
        <v>3</v>
      </c>
      <c r="AR21" s="7">
        <v>8</v>
      </c>
      <c r="AS21" s="7">
        <v>0</v>
      </c>
      <c r="AT21" s="7">
        <v>0</v>
      </c>
      <c r="AU21" s="7">
        <v>112</v>
      </c>
      <c r="AV21" s="7">
        <v>7</v>
      </c>
      <c r="AW21" s="7">
        <v>4</v>
      </c>
      <c r="AX21" s="7">
        <v>4</v>
      </c>
      <c r="AY21" s="7">
        <v>13</v>
      </c>
      <c r="AZ21" s="7">
        <v>16</v>
      </c>
      <c r="BA21" s="112">
        <f t="shared" si="0"/>
        <v>56</v>
      </c>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8"/>
      <c r="DX21" s="8"/>
      <c r="DY21" s="8"/>
      <c r="DZ21" s="8"/>
      <c r="EA21" s="8"/>
      <c r="EB21" s="8"/>
      <c r="EC21" s="7"/>
      <c r="ED21" s="7"/>
      <c r="EE21" s="7"/>
      <c r="EF21" s="7"/>
      <c r="EG21" s="7"/>
      <c r="EH21" s="7"/>
      <c r="EI21" s="7"/>
      <c r="EJ21" s="7"/>
      <c r="EK21" s="7"/>
      <c r="EL21" s="7"/>
      <c r="EM21" s="7"/>
      <c r="EN21" s="7"/>
      <c r="EO21" s="7"/>
      <c r="EP21" s="7"/>
      <c r="EQ21" s="7"/>
      <c r="ER21" s="7"/>
      <c r="ES21" s="7"/>
      <c r="ET21" s="7"/>
      <c r="EU21" s="7"/>
      <c r="EV21" s="7"/>
      <c r="EW21" s="7"/>
      <c r="EX21" s="7"/>
      <c r="EY21" s="7"/>
      <c r="EZ21" s="7"/>
      <c r="FA21" s="6"/>
      <c r="FB21" s="6"/>
      <c r="FC21" s="6"/>
    </row>
    <row r="22" spans="1:159" s="13" customFormat="1" ht="14.15" customHeight="1" x14ac:dyDescent="0.25">
      <c r="A22" s="12" t="s">
        <v>81</v>
      </c>
      <c r="B22" s="11" t="s">
        <v>85</v>
      </c>
      <c r="C22" s="10" t="s">
        <v>84</v>
      </c>
      <c r="D22" s="9">
        <v>1</v>
      </c>
      <c r="E22" s="9">
        <v>1</v>
      </c>
      <c r="F22" s="7">
        <v>9</v>
      </c>
      <c r="G22" s="7">
        <v>4</v>
      </c>
      <c r="H22" s="7">
        <v>3</v>
      </c>
      <c r="I22" s="7">
        <v>16</v>
      </c>
      <c r="J22" s="7">
        <v>0</v>
      </c>
      <c r="K22" s="7">
        <v>9</v>
      </c>
      <c r="L22" s="7">
        <v>5</v>
      </c>
      <c r="M22" s="7">
        <v>3</v>
      </c>
      <c r="N22" s="7">
        <v>17</v>
      </c>
      <c r="O22" s="7">
        <v>23</v>
      </c>
      <c r="P22" s="7">
        <v>2</v>
      </c>
      <c r="Q22" s="7">
        <v>0</v>
      </c>
      <c r="R22" s="7">
        <v>0</v>
      </c>
      <c r="S22" s="7">
        <v>2</v>
      </c>
      <c r="T22" s="7">
        <v>5</v>
      </c>
      <c r="U22" s="7">
        <v>1</v>
      </c>
      <c r="V22" s="7">
        <v>0</v>
      </c>
      <c r="W22" s="7">
        <v>0</v>
      </c>
      <c r="X22" s="7">
        <v>2</v>
      </c>
      <c r="Y22" s="7">
        <v>1</v>
      </c>
      <c r="Z22" s="7">
        <v>2</v>
      </c>
      <c r="AA22" s="7">
        <v>0</v>
      </c>
      <c r="AB22" s="7">
        <v>0</v>
      </c>
      <c r="AC22" s="7">
        <v>0</v>
      </c>
      <c r="AD22" s="7">
        <v>5</v>
      </c>
      <c r="AE22" s="7">
        <v>38</v>
      </c>
      <c r="AF22" s="7">
        <v>9</v>
      </c>
      <c r="AG22" s="7">
        <v>8</v>
      </c>
      <c r="AH22" s="7">
        <v>0</v>
      </c>
      <c r="AI22" s="7">
        <v>0</v>
      </c>
      <c r="AJ22" s="7">
        <v>12</v>
      </c>
      <c r="AK22" s="7">
        <v>14</v>
      </c>
      <c r="AL22" s="7">
        <v>5</v>
      </c>
      <c r="AM22" s="7">
        <v>0</v>
      </c>
      <c r="AN22" s="7">
        <v>0</v>
      </c>
      <c r="AO22" s="7">
        <v>12</v>
      </c>
      <c r="AP22" s="7">
        <v>13</v>
      </c>
      <c r="AQ22" s="7">
        <v>9</v>
      </c>
      <c r="AR22" s="7">
        <v>0</v>
      </c>
      <c r="AS22" s="7">
        <v>0</v>
      </c>
      <c r="AT22" s="7">
        <v>0</v>
      </c>
      <c r="AU22" s="7">
        <v>53</v>
      </c>
      <c r="AV22" s="7">
        <v>4</v>
      </c>
      <c r="AW22" s="7">
        <v>4</v>
      </c>
      <c r="AX22" s="7">
        <v>5</v>
      </c>
      <c r="AY22" s="7">
        <v>11</v>
      </c>
      <c r="AZ22" s="7">
        <v>9</v>
      </c>
      <c r="BA22" s="112">
        <f t="shared" si="0"/>
        <v>13</v>
      </c>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8"/>
      <c r="DX22" s="8"/>
      <c r="DY22" s="8"/>
      <c r="DZ22" s="8"/>
      <c r="EA22" s="8"/>
      <c r="EB22" s="8"/>
      <c r="EC22" s="7"/>
      <c r="ED22" s="7"/>
      <c r="EE22" s="7"/>
      <c r="EF22" s="7"/>
      <c r="EG22" s="7"/>
      <c r="EH22" s="7"/>
      <c r="EI22" s="7"/>
      <c r="EJ22" s="7"/>
      <c r="EK22" s="7"/>
      <c r="EL22" s="7"/>
      <c r="EM22" s="7"/>
      <c r="EN22" s="7"/>
      <c r="EO22" s="7"/>
      <c r="EP22" s="7"/>
      <c r="EQ22" s="7"/>
      <c r="ER22" s="7"/>
      <c r="ES22" s="7"/>
      <c r="ET22" s="7"/>
      <c r="EU22" s="7"/>
      <c r="EV22" s="7"/>
      <c r="EW22" s="7"/>
      <c r="EX22" s="7"/>
      <c r="EY22" s="7"/>
      <c r="EZ22" s="7"/>
      <c r="FA22" s="6"/>
      <c r="FB22" s="6"/>
      <c r="FC22" s="6"/>
    </row>
    <row r="23" spans="1:159" s="13" customFormat="1" x14ac:dyDescent="0.25">
      <c r="A23" s="12" t="s">
        <v>81</v>
      </c>
      <c r="B23" s="11" t="s">
        <v>83</v>
      </c>
      <c r="C23" s="10" t="s">
        <v>82</v>
      </c>
      <c r="D23" s="9">
        <v>1</v>
      </c>
      <c r="E23" s="9">
        <v>1</v>
      </c>
      <c r="F23" s="7">
        <v>14</v>
      </c>
      <c r="G23" s="7">
        <v>2</v>
      </c>
      <c r="H23" s="7">
        <v>9</v>
      </c>
      <c r="I23" s="7">
        <v>25</v>
      </c>
      <c r="J23" s="7">
        <v>0</v>
      </c>
      <c r="K23" s="7">
        <v>14</v>
      </c>
      <c r="L23" s="7">
        <v>2</v>
      </c>
      <c r="M23" s="7">
        <v>9</v>
      </c>
      <c r="N23" s="7">
        <v>25</v>
      </c>
      <c r="O23" s="7">
        <v>35</v>
      </c>
      <c r="P23" s="7">
        <v>0</v>
      </c>
      <c r="Q23" s="7">
        <v>2</v>
      </c>
      <c r="R23" s="7">
        <v>2</v>
      </c>
      <c r="S23" s="7">
        <v>2</v>
      </c>
      <c r="T23" s="7">
        <v>3</v>
      </c>
      <c r="U23" s="7">
        <v>12</v>
      </c>
      <c r="V23" s="7">
        <v>0</v>
      </c>
      <c r="W23" s="7">
        <v>5</v>
      </c>
      <c r="X23" s="7">
        <v>0</v>
      </c>
      <c r="Y23" s="7">
        <v>1</v>
      </c>
      <c r="Z23" s="7">
        <v>2</v>
      </c>
      <c r="AA23" s="7">
        <v>0</v>
      </c>
      <c r="AB23" s="7">
        <v>0</v>
      </c>
      <c r="AC23" s="7">
        <v>0</v>
      </c>
      <c r="AD23" s="7">
        <v>8</v>
      </c>
      <c r="AE23" s="7">
        <v>64</v>
      </c>
      <c r="AF23" s="7">
        <v>8</v>
      </c>
      <c r="AG23" s="7">
        <v>0</v>
      </c>
      <c r="AH23" s="7">
        <v>7</v>
      </c>
      <c r="AI23" s="7">
        <v>8</v>
      </c>
      <c r="AJ23" s="7">
        <v>8</v>
      </c>
      <c r="AK23" s="7">
        <v>6</v>
      </c>
      <c r="AL23" s="7">
        <v>6</v>
      </c>
      <c r="AM23" s="7">
        <v>0</v>
      </c>
      <c r="AN23" s="7">
        <v>6</v>
      </c>
      <c r="AO23" s="7">
        <v>0</v>
      </c>
      <c r="AP23" s="7">
        <v>9</v>
      </c>
      <c r="AQ23" s="7">
        <v>12</v>
      </c>
      <c r="AR23" s="7">
        <v>0</v>
      </c>
      <c r="AS23" s="7">
        <v>0</v>
      </c>
      <c r="AT23" s="7">
        <v>0</v>
      </c>
      <c r="AU23" s="7">
        <v>107</v>
      </c>
      <c r="AV23" s="7">
        <v>5</v>
      </c>
      <c r="AW23" s="7">
        <v>6</v>
      </c>
      <c r="AX23" s="7">
        <v>5</v>
      </c>
      <c r="AY23" s="7">
        <v>12</v>
      </c>
      <c r="AZ23" s="7">
        <v>12</v>
      </c>
      <c r="BA23" s="112">
        <f t="shared" si="0"/>
        <v>27</v>
      </c>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8"/>
      <c r="DX23" s="8"/>
      <c r="DY23" s="8"/>
      <c r="DZ23" s="8"/>
      <c r="EA23" s="8"/>
      <c r="EB23" s="8"/>
      <c r="EC23" s="7"/>
      <c r="ED23" s="7"/>
      <c r="EE23" s="7"/>
      <c r="EF23" s="7"/>
      <c r="EG23" s="7"/>
      <c r="EH23" s="7"/>
      <c r="EI23" s="7"/>
      <c r="EJ23" s="7"/>
      <c r="EK23" s="7"/>
      <c r="EL23" s="7"/>
      <c r="EM23" s="7"/>
      <c r="EN23" s="7"/>
      <c r="EO23" s="7"/>
      <c r="EP23" s="7"/>
      <c r="EQ23" s="7"/>
      <c r="ER23" s="7"/>
      <c r="ES23" s="7"/>
      <c r="ET23" s="7"/>
      <c r="EU23" s="7"/>
      <c r="EV23" s="7"/>
      <c r="EW23" s="7"/>
      <c r="EX23" s="7"/>
      <c r="EY23" s="7"/>
      <c r="EZ23" s="7"/>
      <c r="FA23" s="6"/>
      <c r="FB23" s="6"/>
      <c r="FC23" s="6"/>
    </row>
    <row r="24" spans="1:159" s="13" customFormat="1" x14ac:dyDescent="0.25">
      <c r="A24" s="12" t="s">
        <v>81</v>
      </c>
      <c r="B24" s="11" t="s">
        <v>80</v>
      </c>
      <c r="C24" s="11" t="s">
        <v>79</v>
      </c>
      <c r="D24" s="9" t="s">
        <v>12</v>
      </c>
      <c r="E24" s="9" t="s">
        <v>12</v>
      </c>
      <c r="F24" s="7" t="s">
        <v>3</v>
      </c>
      <c r="G24" s="7" t="s">
        <v>3</v>
      </c>
      <c r="H24" s="7" t="s">
        <v>3</v>
      </c>
      <c r="I24" s="7" t="s">
        <v>3</v>
      </c>
      <c r="J24" s="7" t="s">
        <v>3</v>
      </c>
      <c r="K24" s="7" t="s">
        <v>3</v>
      </c>
      <c r="L24" s="7" t="s">
        <v>3</v>
      </c>
      <c r="M24" s="7" t="s">
        <v>3</v>
      </c>
      <c r="N24" s="7" t="s">
        <v>3</v>
      </c>
      <c r="O24" s="7" t="s">
        <v>3</v>
      </c>
      <c r="P24" s="7" t="s">
        <v>3</v>
      </c>
      <c r="Q24" s="7" t="s">
        <v>3</v>
      </c>
      <c r="R24" s="7" t="s">
        <v>3</v>
      </c>
      <c r="S24" s="7" t="s">
        <v>3</v>
      </c>
      <c r="T24" s="7" t="s">
        <v>3</v>
      </c>
      <c r="U24" s="7" t="s">
        <v>3</v>
      </c>
      <c r="V24" s="7" t="s">
        <v>3</v>
      </c>
      <c r="W24" s="7" t="s">
        <v>3</v>
      </c>
      <c r="X24" s="7" t="s">
        <v>3</v>
      </c>
      <c r="Y24" s="7" t="s">
        <v>3</v>
      </c>
      <c r="Z24" s="7" t="s">
        <v>3</v>
      </c>
      <c r="AA24" s="7" t="s">
        <v>3</v>
      </c>
      <c r="AB24" s="7" t="s">
        <v>3</v>
      </c>
      <c r="AC24" s="7" t="s">
        <v>3</v>
      </c>
      <c r="AD24" s="7" t="s">
        <v>3</v>
      </c>
      <c r="AE24" s="7" t="s">
        <v>3</v>
      </c>
      <c r="AF24" s="7" t="s">
        <v>3</v>
      </c>
      <c r="AG24" s="7" t="s">
        <v>3</v>
      </c>
      <c r="AH24" s="7" t="s">
        <v>3</v>
      </c>
      <c r="AI24" s="7" t="s">
        <v>3</v>
      </c>
      <c r="AJ24" s="7" t="s">
        <v>3</v>
      </c>
      <c r="AK24" s="7" t="s">
        <v>3</v>
      </c>
      <c r="AL24" s="7" t="s">
        <v>3</v>
      </c>
      <c r="AM24" s="7" t="s">
        <v>3</v>
      </c>
      <c r="AN24" s="7" t="s">
        <v>3</v>
      </c>
      <c r="AO24" s="7" t="s">
        <v>3</v>
      </c>
      <c r="AP24" s="7" t="s">
        <v>3</v>
      </c>
      <c r="AQ24" s="7" t="s">
        <v>3</v>
      </c>
      <c r="AR24" s="7" t="s">
        <v>3</v>
      </c>
      <c r="AS24" s="7" t="s">
        <v>3</v>
      </c>
      <c r="AT24" s="7" t="s">
        <v>3</v>
      </c>
      <c r="AU24" s="7" t="s">
        <v>3</v>
      </c>
      <c r="AV24" s="7" t="s">
        <v>3</v>
      </c>
      <c r="AW24" s="7" t="s">
        <v>3</v>
      </c>
      <c r="AX24" s="7" t="s">
        <v>3</v>
      </c>
      <c r="AY24" s="7" t="s">
        <v>3</v>
      </c>
      <c r="AZ24" s="7" t="s">
        <v>3</v>
      </c>
      <c r="BA24" s="112" t="s">
        <v>3</v>
      </c>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8"/>
      <c r="DX24" s="8"/>
      <c r="DY24" s="8"/>
      <c r="DZ24" s="8"/>
      <c r="EA24" s="8"/>
      <c r="EB24" s="8"/>
      <c r="EC24" s="7"/>
      <c r="ED24" s="7"/>
      <c r="EE24" s="7"/>
      <c r="EF24" s="7"/>
      <c r="EG24" s="7"/>
      <c r="EH24" s="7"/>
      <c r="EI24" s="7"/>
      <c r="EJ24" s="7"/>
      <c r="EK24" s="7"/>
      <c r="EL24" s="7"/>
      <c r="EM24" s="7"/>
      <c r="EN24" s="7"/>
      <c r="EO24" s="7"/>
      <c r="EP24" s="7"/>
      <c r="EQ24" s="7"/>
      <c r="ER24" s="7"/>
      <c r="ES24" s="7"/>
      <c r="ET24" s="7"/>
      <c r="EU24" s="7"/>
      <c r="EV24" s="7"/>
      <c r="EW24" s="7"/>
      <c r="EX24" s="7"/>
      <c r="EY24" s="7"/>
      <c r="EZ24" s="7"/>
      <c r="FA24" s="6"/>
      <c r="FB24" s="6"/>
      <c r="FC24" s="6"/>
    </row>
    <row r="25" spans="1:159" s="13" customFormat="1" x14ac:dyDescent="0.25">
      <c r="A25" s="12" t="s">
        <v>32</v>
      </c>
      <c r="B25" s="11" t="s">
        <v>78</v>
      </c>
      <c r="C25" s="10" t="s">
        <v>77</v>
      </c>
      <c r="D25" s="9" t="s">
        <v>12</v>
      </c>
      <c r="E25" s="9">
        <v>1</v>
      </c>
      <c r="F25" s="7" t="s">
        <v>3</v>
      </c>
      <c r="G25" s="7" t="s">
        <v>3</v>
      </c>
      <c r="H25" s="7" t="s">
        <v>3</v>
      </c>
      <c r="I25" s="7" t="s">
        <v>3</v>
      </c>
      <c r="J25" s="7">
        <v>2</v>
      </c>
      <c r="K25" s="7">
        <v>11</v>
      </c>
      <c r="L25" s="7">
        <v>7</v>
      </c>
      <c r="M25" s="7">
        <v>3</v>
      </c>
      <c r="N25" s="7">
        <v>21</v>
      </c>
      <c r="O25" s="7" t="s">
        <v>3</v>
      </c>
      <c r="P25" s="7" t="s">
        <v>3</v>
      </c>
      <c r="Q25" s="7" t="s">
        <v>3</v>
      </c>
      <c r="R25" s="7" t="s">
        <v>3</v>
      </c>
      <c r="S25" s="7" t="s">
        <v>3</v>
      </c>
      <c r="T25" s="7" t="s">
        <v>3</v>
      </c>
      <c r="U25" s="7" t="s">
        <v>3</v>
      </c>
      <c r="V25" s="7" t="s">
        <v>3</v>
      </c>
      <c r="W25" s="7" t="s">
        <v>3</v>
      </c>
      <c r="X25" s="7" t="s">
        <v>3</v>
      </c>
      <c r="Y25" s="7" t="s">
        <v>3</v>
      </c>
      <c r="Z25" s="7" t="s">
        <v>3</v>
      </c>
      <c r="AA25" s="7" t="s">
        <v>3</v>
      </c>
      <c r="AB25" s="7" t="s">
        <v>3</v>
      </c>
      <c r="AC25" s="7" t="s">
        <v>3</v>
      </c>
      <c r="AD25" s="7" t="s">
        <v>3</v>
      </c>
      <c r="AE25" s="7" t="s">
        <v>3</v>
      </c>
      <c r="AF25" s="7" t="s">
        <v>3</v>
      </c>
      <c r="AG25" s="7" t="s">
        <v>3</v>
      </c>
      <c r="AH25" s="7" t="s">
        <v>3</v>
      </c>
      <c r="AI25" s="7" t="s">
        <v>3</v>
      </c>
      <c r="AJ25" s="7" t="s">
        <v>3</v>
      </c>
      <c r="AK25" s="7" t="s">
        <v>3</v>
      </c>
      <c r="AL25" s="7" t="s">
        <v>3</v>
      </c>
      <c r="AM25" s="7" t="s">
        <v>3</v>
      </c>
      <c r="AN25" s="7" t="s">
        <v>3</v>
      </c>
      <c r="AO25" s="7" t="s">
        <v>3</v>
      </c>
      <c r="AP25" s="7" t="s">
        <v>3</v>
      </c>
      <c r="AQ25" s="7" t="s">
        <v>3</v>
      </c>
      <c r="AR25" s="7" t="s">
        <v>3</v>
      </c>
      <c r="AS25" s="7" t="s">
        <v>3</v>
      </c>
      <c r="AT25" s="7" t="s">
        <v>3</v>
      </c>
      <c r="AU25" s="7" t="s">
        <v>3</v>
      </c>
      <c r="AV25" s="7" t="s">
        <v>3</v>
      </c>
      <c r="AW25" s="7" t="s">
        <v>3</v>
      </c>
      <c r="AX25" s="7" t="s">
        <v>3</v>
      </c>
      <c r="AY25" s="7" t="s">
        <v>3</v>
      </c>
      <c r="AZ25" s="7" t="s">
        <v>3</v>
      </c>
      <c r="BA25" s="112" t="s">
        <v>3</v>
      </c>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8"/>
      <c r="DX25" s="8"/>
      <c r="DY25" s="8"/>
      <c r="DZ25" s="8"/>
      <c r="EA25" s="8"/>
      <c r="EB25" s="8"/>
      <c r="EC25" s="7"/>
      <c r="ED25" s="7"/>
      <c r="EE25" s="7"/>
      <c r="EF25" s="7"/>
      <c r="EG25" s="7"/>
      <c r="EH25" s="7"/>
      <c r="EI25" s="7"/>
      <c r="EJ25" s="7"/>
      <c r="EK25" s="7"/>
      <c r="EL25" s="7"/>
      <c r="EM25" s="7"/>
      <c r="EN25" s="7"/>
      <c r="EO25" s="7"/>
      <c r="EP25" s="7"/>
      <c r="EQ25" s="7"/>
      <c r="ER25" s="7"/>
      <c r="ES25" s="7"/>
      <c r="ET25" s="7"/>
      <c r="EU25" s="7"/>
      <c r="EV25" s="7"/>
      <c r="EW25" s="7"/>
      <c r="EX25" s="7"/>
      <c r="EY25" s="7"/>
      <c r="EZ25" s="7"/>
      <c r="FA25" s="6"/>
      <c r="FB25" s="6"/>
      <c r="FC25" s="6"/>
    </row>
    <row r="26" spans="1:159" s="13" customFormat="1" x14ac:dyDescent="0.25">
      <c r="A26" s="12" t="s">
        <v>32</v>
      </c>
      <c r="B26" s="11" t="s">
        <v>76</v>
      </c>
      <c r="C26" s="10" t="s">
        <v>75</v>
      </c>
      <c r="D26" s="9" t="s">
        <v>12</v>
      </c>
      <c r="E26" s="9">
        <v>1</v>
      </c>
      <c r="F26" s="7" t="s">
        <v>3</v>
      </c>
      <c r="G26" s="7" t="s">
        <v>3</v>
      </c>
      <c r="H26" s="7" t="s">
        <v>3</v>
      </c>
      <c r="I26" s="7" t="s">
        <v>3</v>
      </c>
      <c r="J26" s="7">
        <v>0</v>
      </c>
      <c r="K26" s="7">
        <v>8</v>
      </c>
      <c r="L26" s="7">
        <v>3</v>
      </c>
      <c r="M26" s="7">
        <v>3</v>
      </c>
      <c r="N26" s="7">
        <v>14</v>
      </c>
      <c r="O26" s="7" t="s">
        <v>3</v>
      </c>
      <c r="P26" s="7" t="s">
        <v>3</v>
      </c>
      <c r="Q26" s="7" t="s">
        <v>3</v>
      </c>
      <c r="R26" s="7" t="s">
        <v>3</v>
      </c>
      <c r="S26" s="7" t="s">
        <v>3</v>
      </c>
      <c r="T26" s="7" t="s">
        <v>3</v>
      </c>
      <c r="U26" s="7" t="s">
        <v>3</v>
      </c>
      <c r="V26" s="7" t="s">
        <v>3</v>
      </c>
      <c r="W26" s="7" t="s">
        <v>3</v>
      </c>
      <c r="X26" s="7" t="s">
        <v>3</v>
      </c>
      <c r="Y26" s="7" t="s">
        <v>3</v>
      </c>
      <c r="Z26" s="7" t="s">
        <v>3</v>
      </c>
      <c r="AA26" s="7" t="s">
        <v>3</v>
      </c>
      <c r="AB26" s="7" t="s">
        <v>3</v>
      </c>
      <c r="AC26" s="7" t="s">
        <v>3</v>
      </c>
      <c r="AD26" s="7" t="s">
        <v>3</v>
      </c>
      <c r="AE26" s="7" t="s">
        <v>3</v>
      </c>
      <c r="AF26" s="7" t="s">
        <v>3</v>
      </c>
      <c r="AG26" s="7">
        <v>0</v>
      </c>
      <c r="AH26" s="7" t="s">
        <v>3</v>
      </c>
      <c r="AI26" s="7">
        <v>0</v>
      </c>
      <c r="AJ26" s="7" t="s">
        <v>3</v>
      </c>
      <c r="AK26" s="7" t="s">
        <v>3</v>
      </c>
      <c r="AL26" s="7" t="s">
        <v>3</v>
      </c>
      <c r="AM26" s="7" t="s">
        <v>3</v>
      </c>
      <c r="AN26" s="7">
        <v>0</v>
      </c>
      <c r="AO26" s="7">
        <v>0</v>
      </c>
      <c r="AP26" s="7" t="s">
        <v>3</v>
      </c>
      <c r="AQ26" s="7">
        <v>0</v>
      </c>
      <c r="AR26" s="7">
        <v>0</v>
      </c>
      <c r="AS26" s="7" t="s">
        <v>3</v>
      </c>
      <c r="AT26" s="7" t="s">
        <v>3</v>
      </c>
      <c r="AU26" s="7" t="s">
        <v>3</v>
      </c>
      <c r="AV26" s="7" t="s">
        <v>3</v>
      </c>
      <c r="AW26" s="7" t="s">
        <v>3</v>
      </c>
      <c r="AX26" s="7" t="s">
        <v>3</v>
      </c>
      <c r="AY26" s="7" t="s">
        <v>3</v>
      </c>
      <c r="AZ26" s="7" t="s">
        <v>3</v>
      </c>
      <c r="BA26" s="112" t="s">
        <v>3</v>
      </c>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8"/>
      <c r="DX26" s="8"/>
      <c r="DY26" s="8"/>
      <c r="DZ26" s="8"/>
      <c r="EA26" s="8"/>
      <c r="EB26" s="8"/>
      <c r="EC26" s="7"/>
      <c r="ED26" s="7"/>
      <c r="EE26" s="7"/>
      <c r="EF26" s="7"/>
      <c r="EG26" s="7"/>
      <c r="EH26" s="7"/>
      <c r="EI26" s="7"/>
      <c r="EJ26" s="7"/>
      <c r="EK26" s="7"/>
      <c r="EL26" s="7"/>
      <c r="EM26" s="7"/>
      <c r="EN26" s="7"/>
      <c r="EO26" s="7"/>
      <c r="EP26" s="7"/>
      <c r="EQ26" s="7"/>
      <c r="ER26" s="7"/>
      <c r="ES26" s="7"/>
      <c r="ET26" s="7"/>
      <c r="EU26" s="7"/>
      <c r="EV26" s="7"/>
      <c r="EW26" s="7"/>
      <c r="EX26" s="7"/>
      <c r="EY26" s="7"/>
      <c r="EZ26" s="7"/>
      <c r="FA26" s="6"/>
      <c r="FB26" s="6"/>
      <c r="FC26" s="6"/>
    </row>
    <row r="27" spans="1:159" s="13" customFormat="1" x14ac:dyDescent="0.25">
      <c r="A27" s="12" t="s">
        <v>32</v>
      </c>
      <c r="B27" s="11" t="s">
        <v>74</v>
      </c>
      <c r="C27" s="10" t="s">
        <v>73</v>
      </c>
      <c r="D27" s="9" t="s">
        <v>12</v>
      </c>
      <c r="E27" s="9" t="s">
        <v>12</v>
      </c>
      <c r="F27" s="7" t="s">
        <v>3</v>
      </c>
      <c r="G27" s="7" t="s">
        <v>3</v>
      </c>
      <c r="H27" s="7" t="s">
        <v>3</v>
      </c>
      <c r="I27" s="7" t="s">
        <v>3</v>
      </c>
      <c r="J27" s="7" t="s">
        <v>3</v>
      </c>
      <c r="K27" s="7" t="s">
        <v>3</v>
      </c>
      <c r="L27" s="7" t="s">
        <v>3</v>
      </c>
      <c r="M27" s="7" t="s">
        <v>3</v>
      </c>
      <c r="N27" s="7" t="s">
        <v>3</v>
      </c>
      <c r="O27" s="7" t="s">
        <v>3</v>
      </c>
      <c r="P27" s="7" t="s">
        <v>3</v>
      </c>
      <c r="Q27" s="7" t="s">
        <v>3</v>
      </c>
      <c r="R27" s="7" t="s">
        <v>3</v>
      </c>
      <c r="S27" s="7" t="s">
        <v>3</v>
      </c>
      <c r="T27" s="7" t="s">
        <v>3</v>
      </c>
      <c r="U27" s="7" t="s">
        <v>3</v>
      </c>
      <c r="V27" s="7" t="s">
        <v>3</v>
      </c>
      <c r="W27" s="7" t="s">
        <v>3</v>
      </c>
      <c r="X27" s="7" t="s">
        <v>3</v>
      </c>
      <c r="Y27" s="7" t="s">
        <v>3</v>
      </c>
      <c r="Z27" s="7" t="s">
        <v>3</v>
      </c>
      <c r="AA27" s="7" t="s">
        <v>3</v>
      </c>
      <c r="AB27" s="7" t="s">
        <v>3</v>
      </c>
      <c r="AC27" s="7" t="s">
        <v>3</v>
      </c>
      <c r="AD27" s="7" t="s">
        <v>3</v>
      </c>
      <c r="AE27" s="7" t="s">
        <v>3</v>
      </c>
      <c r="AF27" s="7" t="s">
        <v>3</v>
      </c>
      <c r="AG27" s="7" t="s">
        <v>3</v>
      </c>
      <c r="AH27" s="7" t="s">
        <v>3</v>
      </c>
      <c r="AI27" s="7" t="s">
        <v>3</v>
      </c>
      <c r="AJ27" s="7" t="s">
        <v>3</v>
      </c>
      <c r="AK27" s="7" t="s">
        <v>3</v>
      </c>
      <c r="AL27" s="7" t="s">
        <v>3</v>
      </c>
      <c r="AM27" s="7" t="s">
        <v>3</v>
      </c>
      <c r="AN27" s="7" t="s">
        <v>3</v>
      </c>
      <c r="AO27" s="7" t="s">
        <v>3</v>
      </c>
      <c r="AP27" s="7" t="s">
        <v>3</v>
      </c>
      <c r="AQ27" s="7" t="s">
        <v>3</v>
      </c>
      <c r="AR27" s="7" t="s">
        <v>3</v>
      </c>
      <c r="AS27" s="7" t="s">
        <v>3</v>
      </c>
      <c r="AT27" s="7" t="s">
        <v>3</v>
      </c>
      <c r="AU27" s="7" t="s">
        <v>3</v>
      </c>
      <c r="AV27" s="7" t="s">
        <v>3</v>
      </c>
      <c r="AW27" s="7" t="s">
        <v>3</v>
      </c>
      <c r="AX27" s="7" t="s">
        <v>3</v>
      </c>
      <c r="AY27" s="7" t="s">
        <v>3</v>
      </c>
      <c r="AZ27" s="7" t="s">
        <v>3</v>
      </c>
      <c r="BA27" s="112" t="s">
        <v>3</v>
      </c>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8"/>
      <c r="DX27" s="8"/>
      <c r="DY27" s="8"/>
      <c r="DZ27" s="8"/>
      <c r="EA27" s="8"/>
      <c r="EB27" s="8"/>
      <c r="EC27" s="7"/>
      <c r="ED27" s="7"/>
      <c r="EE27" s="7"/>
      <c r="EF27" s="7"/>
      <c r="EG27" s="7"/>
      <c r="EH27" s="7"/>
      <c r="EI27" s="7"/>
      <c r="EJ27" s="7"/>
      <c r="EK27" s="7"/>
      <c r="EL27" s="7"/>
      <c r="EM27" s="7"/>
      <c r="EN27" s="7"/>
      <c r="EO27" s="7"/>
      <c r="EP27" s="7"/>
      <c r="EQ27" s="7"/>
      <c r="ER27" s="7"/>
      <c r="ES27" s="7"/>
      <c r="ET27" s="7"/>
      <c r="EU27" s="7"/>
      <c r="EV27" s="7"/>
      <c r="EW27" s="7"/>
      <c r="EX27" s="7"/>
      <c r="EY27" s="7"/>
      <c r="EZ27" s="7"/>
      <c r="FA27" s="6"/>
      <c r="FB27" s="6"/>
      <c r="FC27" s="6"/>
    </row>
    <row r="28" spans="1:159" s="13" customFormat="1" x14ac:dyDescent="0.25">
      <c r="A28" s="12" t="s">
        <v>32</v>
      </c>
      <c r="B28" s="11" t="s">
        <v>72</v>
      </c>
      <c r="C28" s="10" t="s">
        <v>71</v>
      </c>
      <c r="D28" s="9">
        <v>1</v>
      </c>
      <c r="E28" s="9" t="s">
        <v>12</v>
      </c>
      <c r="F28" s="7">
        <v>10</v>
      </c>
      <c r="G28" s="7">
        <v>6</v>
      </c>
      <c r="H28" s="7">
        <v>4</v>
      </c>
      <c r="I28" s="7">
        <v>20</v>
      </c>
      <c r="J28" s="7" t="s">
        <v>3</v>
      </c>
      <c r="K28" s="7" t="s">
        <v>3</v>
      </c>
      <c r="L28" s="7" t="s">
        <v>3</v>
      </c>
      <c r="M28" s="7" t="s">
        <v>3</v>
      </c>
      <c r="N28" s="7" t="s">
        <v>3</v>
      </c>
      <c r="O28" s="7">
        <v>29</v>
      </c>
      <c r="P28" s="7">
        <v>0</v>
      </c>
      <c r="Q28" s="7">
        <v>2</v>
      </c>
      <c r="R28" s="7">
        <v>0</v>
      </c>
      <c r="S28" s="7">
        <v>2</v>
      </c>
      <c r="T28" s="7">
        <v>0</v>
      </c>
      <c r="U28" s="7">
        <v>1</v>
      </c>
      <c r="V28" s="7">
        <v>6</v>
      </c>
      <c r="W28" s="7">
        <v>4</v>
      </c>
      <c r="X28" s="7">
        <v>0</v>
      </c>
      <c r="Y28" s="7">
        <v>0</v>
      </c>
      <c r="Z28" s="7">
        <v>1</v>
      </c>
      <c r="AA28" s="7">
        <v>0</v>
      </c>
      <c r="AB28" s="7">
        <v>0</v>
      </c>
      <c r="AC28" s="7">
        <v>0</v>
      </c>
      <c r="AD28" s="7">
        <v>5</v>
      </c>
      <c r="AE28" s="7">
        <v>45</v>
      </c>
      <c r="AF28" s="7">
        <v>11</v>
      </c>
      <c r="AG28" s="7">
        <v>0</v>
      </c>
      <c r="AH28" s="7">
        <v>3</v>
      </c>
      <c r="AI28" s="7">
        <v>0</v>
      </c>
      <c r="AJ28" s="7">
        <v>2</v>
      </c>
      <c r="AK28" s="7">
        <v>0</v>
      </c>
      <c r="AL28" s="7">
        <v>6</v>
      </c>
      <c r="AM28" s="7">
        <v>10</v>
      </c>
      <c r="AN28" s="7">
        <v>10</v>
      </c>
      <c r="AO28" s="7">
        <v>0</v>
      </c>
      <c r="AP28" s="7">
        <v>0</v>
      </c>
      <c r="AQ28" s="7">
        <v>0</v>
      </c>
      <c r="AR28" s="7">
        <v>0</v>
      </c>
      <c r="AS28" s="7">
        <v>0</v>
      </c>
      <c r="AT28" s="7">
        <v>0</v>
      </c>
      <c r="AU28" s="7">
        <v>78</v>
      </c>
      <c r="AV28" s="7">
        <v>5</v>
      </c>
      <c r="AW28" s="7">
        <v>3</v>
      </c>
      <c r="AX28" s="7">
        <v>3</v>
      </c>
      <c r="AY28" s="7">
        <v>13</v>
      </c>
      <c r="AZ28" s="7">
        <v>13</v>
      </c>
      <c r="BA28" s="112">
        <f t="shared" si="0"/>
        <v>14</v>
      </c>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8"/>
      <c r="DX28" s="8"/>
      <c r="DY28" s="8"/>
      <c r="DZ28" s="8"/>
      <c r="EA28" s="8"/>
      <c r="EB28" s="8"/>
      <c r="EC28" s="7"/>
      <c r="ED28" s="7"/>
      <c r="EE28" s="7"/>
      <c r="EF28" s="7"/>
      <c r="EG28" s="7"/>
      <c r="EH28" s="7"/>
      <c r="EI28" s="7"/>
      <c r="EJ28" s="7"/>
      <c r="EK28" s="7"/>
      <c r="EL28" s="7"/>
      <c r="EM28" s="7"/>
      <c r="EN28" s="7"/>
      <c r="EO28" s="7"/>
      <c r="EP28" s="7"/>
      <c r="EQ28" s="7"/>
      <c r="ER28" s="7"/>
      <c r="ES28" s="7"/>
      <c r="ET28" s="7"/>
      <c r="EU28" s="7"/>
      <c r="EV28" s="7"/>
      <c r="EW28" s="7"/>
      <c r="EX28" s="7"/>
      <c r="EY28" s="7"/>
      <c r="EZ28" s="7"/>
      <c r="FA28" s="6"/>
      <c r="FB28" s="6"/>
      <c r="FC28" s="6"/>
    </row>
    <row r="29" spans="1:159" s="13" customFormat="1" x14ac:dyDescent="0.25">
      <c r="A29" s="12" t="s">
        <v>32</v>
      </c>
      <c r="B29" s="11" t="s">
        <v>70</v>
      </c>
      <c r="C29" s="10" t="s">
        <v>69</v>
      </c>
      <c r="D29" s="9">
        <v>1</v>
      </c>
      <c r="E29" s="9">
        <v>1</v>
      </c>
      <c r="F29" s="7">
        <v>20</v>
      </c>
      <c r="G29" s="7">
        <v>3</v>
      </c>
      <c r="H29" s="7">
        <v>4</v>
      </c>
      <c r="I29" s="7">
        <v>27</v>
      </c>
      <c r="J29" s="7">
        <v>0</v>
      </c>
      <c r="K29" s="7">
        <v>20</v>
      </c>
      <c r="L29" s="7">
        <v>3</v>
      </c>
      <c r="M29" s="7">
        <v>4</v>
      </c>
      <c r="N29" s="7">
        <v>27</v>
      </c>
      <c r="O29" s="7">
        <v>36</v>
      </c>
      <c r="P29" s="7">
        <v>2</v>
      </c>
      <c r="Q29" s="7">
        <v>0</v>
      </c>
      <c r="R29" s="7">
        <v>0</v>
      </c>
      <c r="S29" s="7">
        <v>0</v>
      </c>
      <c r="T29" s="7">
        <v>3</v>
      </c>
      <c r="U29" s="7">
        <v>0</v>
      </c>
      <c r="V29" s="7">
        <v>1</v>
      </c>
      <c r="W29" s="7">
        <v>0</v>
      </c>
      <c r="X29" s="7">
        <v>11</v>
      </c>
      <c r="Y29" s="7">
        <v>1</v>
      </c>
      <c r="Z29" s="7">
        <v>1</v>
      </c>
      <c r="AA29" s="7">
        <v>0</v>
      </c>
      <c r="AB29" s="7">
        <v>0</v>
      </c>
      <c r="AC29" s="7">
        <v>1</v>
      </c>
      <c r="AD29" s="7">
        <v>14</v>
      </c>
      <c r="AE29" s="7">
        <v>56</v>
      </c>
      <c r="AF29" s="7">
        <v>6</v>
      </c>
      <c r="AG29" s="7">
        <v>6</v>
      </c>
      <c r="AH29" s="7">
        <v>0</v>
      </c>
      <c r="AI29" s="7">
        <v>0</v>
      </c>
      <c r="AJ29" s="7">
        <v>0</v>
      </c>
      <c r="AK29" s="7">
        <v>15</v>
      </c>
      <c r="AL29" s="7">
        <v>0</v>
      </c>
      <c r="AM29" s="7">
        <v>14</v>
      </c>
      <c r="AN29" s="7">
        <v>0</v>
      </c>
      <c r="AO29" s="7">
        <v>13</v>
      </c>
      <c r="AP29" s="7">
        <v>12</v>
      </c>
      <c r="AQ29" s="7">
        <v>17</v>
      </c>
      <c r="AR29" s="7">
        <v>0</v>
      </c>
      <c r="AS29" s="7">
        <v>0</v>
      </c>
      <c r="AT29" s="7">
        <v>12</v>
      </c>
      <c r="AU29" s="7">
        <v>112</v>
      </c>
      <c r="AV29" s="7">
        <v>3</v>
      </c>
      <c r="AW29" s="7">
        <v>4</v>
      </c>
      <c r="AX29" s="7">
        <v>3</v>
      </c>
      <c r="AY29" s="7">
        <v>8</v>
      </c>
      <c r="AZ29" s="7">
        <v>8</v>
      </c>
      <c r="BA29" s="112">
        <f t="shared" si="0"/>
        <v>18</v>
      </c>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8"/>
      <c r="DX29" s="8"/>
      <c r="DY29" s="8"/>
      <c r="DZ29" s="8"/>
      <c r="EA29" s="8"/>
      <c r="EB29" s="8"/>
      <c r="EC29" s="7"/>
      <c r="ED29" s="7"/>
      <c r="EE29" s="7"/>
      <c r="EF29" s="7"/>
      <c r="EG29" s="7"/>
      <c r="EH29" s="7"/>
      <c r="EI29" s="7"/>
      <c r="EJ29" s="7"/>
      <c r="EK29" s="7"/>
      <c r="EL29" s="7"/>
      <c r="EM29" s="7"/>
      <c r="EN29" s="7"/>
      <c r="EO29" s="7"/>
      <c r="EP29" s="7"/>
      <c r="EQ29" s="7"/>
      <c r="ER29" s="7"/>
      <c r="ES29" s="7"/>
      <c r="ET29" s="7"/>
      <c r="EU29" s="7"/>
      <c r="EV29" s="7"/>
      <c r="EW29" s="7"/>
      <c r="EX29" s="7"/>
      <c r="EY29" s="7"/>
      <c r="EZ29" s="7"/>
      <c r="FA29" s="6"/>
      <c r="FB29" s="6"/>
      <c r="FC29" s="6"/>
    </row>
    <row r="30" spans="1:159" s="13" customFormat="1" x14ac:dyDescent="0.25">
      <c r="A30" s="12" t="s">
        <v>32</v>
      </c>
      <c r="B30" s="11" t="s">
        <v>68</v>
      </c>
      <c r="C30" s="10" t="s">
        <v>67</v>
      </c>
      <c r="D30" s="9">
        <v>1</v>
      </c>
      <c r="E30" s="9" t="s">
        <v>12</v>
      </c>
      <c r="F30" s="7">
        <v>11</v>
      </c>
      <c r="G30" s="7">
        <v>5</v>
      </c>
      <c r="H30" s="7">
        <v>9</v>
      </c>
      <c r="I30" s="7">
        <v>25</v>
      </c>
      <c r="J30" s="7" t="s">
        <v>3</v>
      </c>
      <c r="K30" s="7" t="s">
        <v>3</v>
      </c>
      <c r="L30" s="7" t="s">
        <v>3</v>
      </c>
      <c r="M30" s="7" t="s">
        <v>3</v>
      </c>
      <c r="N30" s="7" t="s">
        <v>3</v>
      </c>
      <c r="O30" s="7">
        <v>34</v>
      </c>
      <c r="P30" s="7">
        <v>0</v>
      </c>
      <c r="Q30" s="7">
        <v>3</v>
      </c>
      <c r="R30" s="7">
        <v>0</v>
      </c>
      <c r="S30" s="7">
        <v>3</v>
      </c>
      <c r="T30" s="7">
        <v>4</v>
      </c>
      <c r="U30" s="7">
        <v>6</v>
      </c>
      <c r="V30" s="7">
        <v>15</v>
      </c>
      <c r="W30" s="7">
        <v>0</v>
      </c>
      <c r="X30" s="7">
        <v>1</v>
      </c>
      <c r="Y30" s="7">
        <v>2</v>
      </c>
      <c r="Z30" s="7">
        <v>1</v>
      </c>
      <c r="AA30" s="7">
        <v>0</v>
      </c>
      <c r="AB30" s="7">
        <v>1</v>
      </c>
      <c r="AC30" s="7">
        <v>0</v>
      </c>
      <c r="AD30" s="7">
        <v>5</v>
      </c>
      <c r="AE30" s="7">
        <v>70</v>
      </c>
      <c r="AF30" s="7">
        <v>10</v>
      </c>
      <c r="AG30" s="7">
        <v>0</v>
      </c>
      <c r="AH30" s="7">
        <v>17</v>
      </c>
      <c r="AI30" s="7">
        <v>0</v>
      </c>
      <c r="AJ30" s="7">
        <v>8</v>
      </c>
      <c r="AK30" s="7">
        <v>11</v>
      </c>
      <c r="AL30" s="7">
        <v>9</v>
      </c>
      <c r="AM30" s="7">
        <v>9</v>
      </c>
      <c r="AN30" s="7">
        <v>0</v>
      </c>
      <c r="AO30" s="7">
        <v>12</v>
      </c>
      <c r="AP30" s="7">
        <v>13</v>
      </c>
      <c r="AQ30" s="7">
        <v>12</v>
      </c>
      <c r="AR30" s="7">
        <v>12</v>
      </c>
      <c r="AS30" s="7">
        <v>0</v>
      </c>
      <c r="AT30" s="7">
        <v>0</v>
      </c>
      <c r="AU30" s="7">
        <v>136</v>
      </c>
      <c r="AV30" s="7">
        <v>8</v>
      </c>
      <c r="AW30" s="7">
        <v>3</v>
      </c>
      <c r="AX30" s="7">
        <v>5</v>
      </c>
      <c r="AY30" s="7">
        <v>18</v>
      </c>
      <c r="AZ30" s="7">
        <v>16</v>
      </c>
      <c r="BA30" s="112">
        <f t="shared" si="0"/>
        <v>33</v>
      </c>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8"/>
      <c r="DX30" s="8"/>
      <c r="DY30" s="8"/>
      <c r="DZ30" s="8"/>
      <c r="EA30" s="8"/>
      <c r="EB30" s="8"/>
      <c r="EC30" s="7"/>
      <c r="ED30" s="7"/>
      <c r="EE30" s="7"/>
      <c r="EF30" s="7"/>
      <c r="EG30" s="7"/>
      <c r="EH30" s="7"/>
      <c r="EI30" s="7"/>
      <c r="EJ30" s="7"/>
      <c r="EK30" s="7"/>
      <c r="EL30" s="7"/>
      <c r="EM30" s="7"/>
      <c r="EN30" s="7"/>
      <c r="EO30" s="7"/>
      <c r="EP30" s="7"/>
      <c r="EQ30" s="7"/>
      <c r="ER30" s="7"/>
      <c r="ES30" s="7"/>
      <c r="ET30" s="7"/>
      <c r="EU30" s="7"/>
      <c r="EV30" s="7"/>
      <c r="EW30" s="7"/>
      <c r="EX30" s="7"/>
      <c r="EY30" s="7"/>
      <c r="EZ30" s="7"/>
      <c r="FA30" s="6"/>
      <c r="FB30" s="6"/>
      <c r="FC30" s="6"/>
    </row>
    <row r="31" spans="1:159" s="13" customFormat="1" x14ac:dyDescent="0.25">
      <c r="A31" s="12" t="s">
        <v>32</v>
      </c>
      <c r="B31" s="11" t="s">
        <v>66</v>
      </c>
      <c r="C31" s="10" t="s">
        <v>65</v>
      </c>
      <c r="D31" s="9">
        <v>1</v>
      </c>
      <c r="E31" s="9">
        <v>1</v>
      </c>
      <c r="F31" s="7">
        <v>6</v>
      </c>
      <c r="G31" s="7">
        <v>9</v>
      </c>
      <c r="H31" s="7">
        <v>0</v>
      </c>
      <c r="I31" s="7">
        <v>15</v>
      </c>
      <c r="J31" s="7">
        <v>1</v>
      </c>
      <c r="K31" s="7">
        <v>6</v>
      </c>
      <c r="L31" s="7">
        <v>7</v>
      </c>
      <c r="M31" s="7">
        <v>1</v>
      </c>
      <c r="N31" s="7">
        <v>14</v>
      </c>
      <c r="O31" s="7">
        <v>21</v>
      </c>
      <c r="P31" s="7">
        <v>2</v>
      </c>
      <c r="Q31" s="7">
        <v>2</v>
      </c>
      <c r="R31" s="7">
        <v>0</v>
      </c>
      <c r="S31" s="7">
        <v>2</v>
      </c>
      <c r="T31" s="7">
        <v>2</v>
      </c>
      <c r="U31" s="7">
        <v>2</v>
      </c>
      <c r="V31" s="7">
        <v>2</v>
      </c>
      <c r="W31" s="7">
        <v>0</v>
      </c>
      <c r="X31" s="7">
        <v>0</v>
      </c>
      <c r="Y31" s="7">
        <v>1</v>
      </c>
      <c r="Z31" s="7">
        <v>1</v>
      </c>
      <c r="AA31" s="7">
        <v>1</v>
      </c>
      <c r="AB31" s="7">
        <v>2</v>
      </c>
      <c r="AC31" s="7">
        <v>0</v>
      </c>
      <c r="AD31" s="7">
        <v>5</v>
      </c>
      <c r="AE31" s="7">
        <v>38</v>
      </c>
      <c r="AF31" s="7">
        <v>9</v>
      </c>
      <c r="AG31" s="7">
        <v>0</v>
      </c>
      <c r="AH31" s="7">
        <v>27</v>
      </c>
      <c r="AI31" s="7">
        <v>0</v>
      </c>
      <c r="AJ31" s="7">
        <v>7</v>
      </c>
      <c r="AK31" s="7">
        <v>13</v>
      </c>
      <c r="AL31" s="7">
        <v>1</v>
      </c>
      <c r="AM31" s="7">
        <v>11</v>
      </c>
      <c r="AN31" s="7">
        <v>0</v>
      </c>
      <c r="AO31" s="7">
        <v>0</v>
      </c>
      <c r="AP31" s="7">
        <v>13</v>
      </c>
      <c r="AQ31" s="7">
        <v>4</v>
      </c>
      <c r="AR31" s="7">
        <v>10</v>
      </c>
      <c r="AS31" s="7">
        <v>12</v>
      </c>
      <c r="AT31" s="7">
        <v>0</v>
      </c>
      <c r="AU31" s="7">
        <v>79</v>
      </c>
      <c r="AV31" s="7">
        <v>6</v>
      </c>
      <c r="AW31" s="7">
        <v>2</v>
      </c>
      <c r="AX31" s="7">
        <v>2</v>
      </c>
      <c r="AY31" s="7">
        <v>20</v>
      </c>
      <c r="AZ31" s="7">
        <v>15</v>
      </c>
      <c r="BA31" s="112">
        <f t="shared" si="0"/>
        <v>13</v>
      </c>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8"/>
      <c r="DX31" s="8"/>
      <c r="DY31" s="8"/>
      <c r="DZ31" s="8"/>
      <c r="EA31" s="8"/>
      <c r="EB31" s="8"/>
      <c r="EC31" s="7"/>
      <c r="ED31" s="7"/>
      <c r="EE31" s="7"/>
      <c r="EF31" s="7"/>
      <c r="EG31" s="7"/>
      <c r="EH31" s="7"/>
      <c r="EI31" s="7"/>
      <c r="EJ31" s="7"/>
      <c r="EK31" s="7"/>
      <c r="EL31" s="7"/>
      <c r="EM31" s="7"/>
      <c r="EN31" s="7"/>
      <c r="EO31" s="7"/>
      <c r="EP31" s="7"/>
      <c r="EQ31" s="7"/>
      <c r="ER31" s="7"/>
      <c r="ES31" s="7"/>
      <c r="ET31" s="7"/>
      <c r="EU31" s="7"/>
      <c r="EV31" s="7"/>
      <c r="EW31" s="7"/>
      <c r="EX31" s="7"/>
      <c r="EY31" s="7"/>
      <c r="EZ31" s="7"/>
      <c r="FA31" s="6"/>
      <c r="FB31" s="6"/>
      <c r="FC31" s="6"/>
    </row>
    <row r="32" spans="1:159" s="13" customFormat="1" x14ac:dyDescent="0.25">
      <c r="A32" s="12" t="s">
        <v>32</v>
      </c>
      <c r="B32" s="11" t="s">
        <v>64</v>
      </c>
      <c r="C32" s="10" t="s">
        <v>63</v>
      </c>
      <c r="D32" s="9">
        <v>1</v>
      </c>
      <c r="E32" s="9">
        <v>1</v>
      </c>
      <c r="F32" s="7">
        <v>19</v>
      </c>
      <c r="G32" s="7">
        <v>4</v>
      </c>
      <c r="H32" s="7">
        <v>8</v>
      </c>
      <c r="I32" s="7">
        <v>31</v>
      </c>
      <c r="J32" s="7" t="s">
        <v>3</v>
      </c>
      <c r="K32" s="7">
        <v>19</v>
      </c>
      <c r="L32" s="7">
        <v>4</v>
      </c>
      <c r="M32" s="7">
        <v>8</v>
      </c>
      <c r="N32" s="7">
        <v>31</v>
      </c>
      <c r="O32" s="7">
        <v>44</v>
      </c>
      <c r="P32" s="7">
        <v>3</v>
      </c>
      <c r="Q32" s="7">
        <v>0</v>
      </c>
      <c r="R32" s="7">
        <v>0</v>
      </c>
      <c r="S32" s="7">
        <v>5</v>
      </c>
      <c r="T32" s="7">
        <v>2</v>
      </c>
      <c r="U32" s="7">
        <v>1</v>
      </c>
      <c r="V32" s="7">
        <v>5</v>
      </c>
      <c r="W32" s="7">
        <v>0</v>
      </c>
      <c r="X32" s="7">
        <v>1</v>
      </c>
      <c r="Y32" s="7">
        <v>1</v>
      </c>
      <c r="Z32" s="7">
        <v>2</v>
      </c>
      <c r="AA32" s="7">
        <v>0</v>
      </c>
      <c r="AB32" s="7">
        <v>0</v>
      </c>
      <c r="AC32" s="7">
        <v>0</v>
      </c>
      <c r="AD32" s="7">
        <v>4</v>
      </c>
      <c r="AE32" s="7">
        <v>64</v>
      </c>
      <c r="AF32" s="7">
        <v>6</v>
      </c>
      <c r="AG32" s="7">
        <v>6</v>
      </c>
      <c r="AH32" s="7">
        <v>0</v>
      </c>
      <c r="AI32" s="7">
        <v>0</v>
      </c>
      <c r="AJ32" s="7">
        <v>5</v>
      </c>
      <c r="AK32" s="7">
        <v>3</v>
      </c>
      <c r="AL32" s="7">
        <v>6</v>
      </c>
      <c r="AM32" s="7">
        <v>5</v>
      </c>
      <c r="AN32" s="7">
        <v>0</v>
      </c>
      <c r="AO32" s="7">
        <v>11</v>
      </c>
      <c r="AP32" s="7">
        <v>11</v>
      </c>
      <c r="AQ32" s="7">
        <v>4</v>
      </c>
      <c r="AR32" s="7">
        <v>0</v>
      </c>
      <c r="AS32" s="7">
        <v>0</v>
      </c>
      <c r="AT32" s="7">
        <v>0</v>
      </c>
      <c r="AU32" s="7">
        <v>166</v>
      </c>
      <c r="AV32" s="7">
        <v>5</v>
      </c>
      <c r="AW32" s="7">
        <v>4</v>
      </c>
      <c r="AX32" s="7">
        <v>4</v>
      </c>
      <c r="AY32" s="7">
        <v>10</v>
      </c>
      <c r="AZ32" s="7">
        <v>14</v>
      </c>
      <c r="BA32" s="112">
        <f t="shared" si="0"/>
        <v>17</v>
      </c>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8"/>
      <c r="DX32" s="8"/>
      <c r="DY32" s="8"/>
      <c r="DZ32" s="8"/>
      <c r="EA32" s="8"/>
      <c r="EB32" s="8"/>
      <c r="EC32" s="7"/>
      <c r="ED32" s="7"/>
      <c r="EE32" s="7"/>
      <c r="EF32" s="7"/>
      <c r="EG32" s="7"/>
      <c r="EH32" s="7"/>
      <c r="EI32" s="7"/>
      <c r="EJ32" s="7"/>
      <c r="EK32" s="7"/>
      <c r="EL32" s="7"/>
      <c r="EM32" s="7"/>
      <c r="EN32" s="7"/>
      <c r="EO32" s="7"/>
      <c r="EP32" s="7"/>
      <c r="EQ32" s="7"/>
      <c r="ER32" s="7"/>
      <c r="ES32" s="7"/>
      <c r="ET32" s="7"/>
      <c r="EU32" s="7"/>
      <c r="EV32" s="7"/>
      <c r="EW32" s="7"/>
      <c r="EX32" s="7"/>
      <c r="EY32" s="7"/>
      <c r="EZ32" s="7"/>
      <c r="FA32" s="6"/>
      <c r="FB32" s="6"/>
      <c r="FC32" s="6"/>
    </row>
    <row r="33" spans="1:159" s="13" customFormat="1" x14ac:dyDescent="0.25">
      <c r="A33" s="12" t="s">
        <v>32</v>
      </c>
      <c r="B33" s="11" t="s">
        <v>62</v>
      </c>
      <c r="C33" s="10" t="s">
        <v>61</v>
      </c>
      <c r="D33" s="9">
        <v>1</v>
      </c>
      <c r="E33" s="9">
        <v>1</v>
      </c>
      <c r="F33" s="7">
        <v>73</v>
      </c>
      <c r="G33" s="7">
        <v>3</v>
      </c>
      <c r="H33" s="7">
        <v>9</v>
      </c>
      <c r="I33" s="7">
        <v>85</v>
      </c>
      <c r="J33" s="17">
        <v>11</v>
      </c>
      <c r="K33" s="7">
        <v>73</v>
      </c>
      <c r="L33" s="7">
        <v>3</v>
      </c>
      <c r="M33" s="7">
        <v>9</v>
      </c>
      <c r="N33" s="7">
        <v>85</v>
      </c>
      <c r="O33" s="7">
        <v>121</v>
      </c>
      <c r="P33" s="7">
        <v>7</v>
      </c>
      <c r="Q33" s="7">
        <v>0</v>
      </c>
      <c r="R33" s="7">
        <v>1</v>
      </c>
      <c r="S33" s="7">
        <v>10</v>
      </c>
      <c r="T33" s="7">
        <v>9</v>
      </c>
      <c r="U33" s="7">
        <v>18</v>
      </c>
      <c r="V33" s="7">
        <v>0</v>
      </c>
      <c r="W33" s="7">
        <v>4</v>
      </c>
      <c r="X33" s="7">
        <v>4</v>
      </c>
      <c r="Y33" s="7">
        <v>3</v>
      </c>
      <c r="Z33" s="7">
        <v>0</v>
      </c>
      <c r="AA33" s="7">
        <v>0</v>
      </c>
      <c r="AB33" s="7">
        <v>1</v>
      </c>
      <c r="AC33" s="7">
        <v>0</v>
      </c>
      <c r="AD33" s="7">
        <v>12</v>
      </c>
      <c r="AE33" s="7">
        <v>178</v>
      </c>
      <c r="AF33" s="7">
        <v>11</v>
      </c>
      <c r="AG33" s="7">
        <v>10</v>
      </c>
      <c r="AH33" s="7">
        <v>0</v>
      </c>
      <c r="AI33" s="7">
        <v>16</v>
      </c>
      <c r="AJ33" s="7">
        <v>5</v>
      </c>
      <c r="AK33" s="7">
        <v>8</v>
      </c>
      <c r="AL33" s="7">
        <v>4</v>
      </c>
      <c r="AM33" s="7">
        <v>0</v>
      </c>
      <c r="AN33" s="7">
        <v>12</v>
      </c>
      <c r="AO33" s="7">
        <v>11</v>
      </c>
      <c r="AP33" s="7">
        <v>11</v>
      </c>
      <c r="AQ33" s="7">
        <v>0</v>
      </c>
      <c r="AR33" s="7">
        <v>0</v>
      </c>
      <c r="AS33" s="7">
        <v>12</v>
      </c>
      <c r="AT33" s="7">
        <v>0</v>
      </c>
      <c r="AU33" s="7">
        <v>320</v>
      </c>
      <c r="AV33" s="7">
        <v>17</v>
      </c>
      <c r="AW33" s="7">
        <v>15</v>
      </c>
      <c r="AX33" s="7">
        <v>6</v>
      </c>
      <c r="AY33" s="7">
        <v>17</v>
      </c>
      <c r="AZ33" s="7">
        <v>15</v>
      </c>
      <c r="BA33" s="112">
        <f t="shared" si="0"/>
        <v>50</v>
      </c>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8"/>
      <c r="DX33" s="8"/>
      <c r="DY33" s="8"/>
      <c r="DZ33" s="8"/>
      <c r="EA33" s="8"/>
      <c r="EB33" s="8"/>
      <c r="EC33" s="7"/>
      <c r="ED33" s="7"/>
      <c r="EE33" s="7"/>
      <c r="EF33" s="7"/>
      <c r="EG33" s="7"/>
      <c r="EH33" s="7"/>
      <c r="EI33" s="7"/>
      <c r="EJ33" s="7"/>
      <c r="EK33" s="7"/>
      <c r="EL33" s="7"/>
      <c r="EM33" s="7"/>
      <c r="EN33" s="7"/>
      <c r="EO33" s="7"/>
      <c r="EP33" s="7"/>
      <c r="EQ33" s="7"/>
      <c r="ER33" s="7"/>
      <c r="ES33" s="7"/>
      <c r="ET33" s="7"/>
      <c r="EU33" s="7"/>
      <c r="EV33" s="7"/>
      <c r="EW33" s="7"/>
      <c r="EX33" s="7"/>
      <c r="EY33" s="7"/>
      <c r="EZ33" s="7"/>
      <c r="FA33" s="6"/>
      <c r="FB33" s="6"/>
      <c r="FC33" s="6"/>
    </row>
    <row r="34" spans="1:159" s="13" customFormat="1" x14ac:dyDescent="0.25">
      <c r="A34" s="12" t="s">
        <v>32</v>
      </c>
      <c r="B34" s="11" t="s">
        <v>60</v>
      </c>
      <c r="C34" s="10" t="s">
        <v>59</v>
      </c>
      <c r="D34" s="9">
        <v>1</v>
      </c>
      <c r="E34" s="9" t="s">
        <v>12</v>
      </c>
      <c r="F34" s="7">
        <v>19</v>
      </c>
      <c r="G34" s="7">
        <v>6</v>
      </c>
      <c r="H34" s="7">
        <v>1</v>
      </c>
      <c r="I34" s="7">
        <v>26</v>
      </c>
      <c r="J34" s="17" t="s">
        <v>3</v>
      </c>
      <c r="K34" s="7" t="s">
        <v>3</v>
      </c>
      <c r="L34" s="7" t="s">
        <v>3</v>
      </c>
      <c r="M34" s="7" t="s">
        <v>3</v>
      </c>
      <c r="N34" s="7" t="s">
        <v>3</v>
      </c>
      <c r="O34" s="7">
        <v>40</v>
      </c>
      <c r="P34" s="7">
        <v>0</v>
      </c>
      <c r="Q34" s="7">
        <v>2</v>
      </c>
      <c r="R34" s="7">
        <v>0</v>
      </c>
      <c r="S34" s="7">
        <v>0</v>
      </c>
      <c r="T34" s="7">
        <v>4</v>
      </c>
      <c r="U34" s="7">
        <v>0</v>
      </c>
      <c r="V34" s="7">
        <v>20</v>
      </c>
      <c r="W34" s="7">
        <v>0</v>
      </c>
      <c r="X34" s="7">
        <v>1</v>
      </c>
      <c r="Y34" s="7">
        <v>1</v>
      </c>
      <c r="Z34" s="7">
        <v>0</v>
      </c>
      <c r="AA34" s="7">
        <v>0</v>
      </c>
      <c r="AB34" s="7">
        <v>2</v>
      </c>
      <c r="AC34" s="7">
        <v>0</v>
      </c>
      <c r="AD34" s="7">
        <v>4</v>
      </c>
      <c r="AE34" s="7">
        <v>70</v>
      </c>
      <c r="AF34" s="7">
        <v>10</v>
      </c>
      <c r="AG34" s="7">
        <v>0</v>
      </c>
      <c r="AH34" s="7">
        <v>16</v>
      </c>
      <c r="AI34" s="7">
        <v>0</v>
      </c>
      <c r="AJ34" s="7">
        <v>0</v>
      </c>
      <c r="AK34" s="7">
        <v>6</v>
      </c>
      <c r="AL34" s="7">
        <v>0</v>
      </c>
      <c r="AM34" s="7">
        <v>10</v>
      </c>
      <c r="AN34" s="7">
        <v>0</v>
      </c>
      <c r="AO34" s="7">
        <v>12</v>
      </c>
      <c r="AP34" s="7">
        <v>12</v>
      </c>
      <c r="AQ34" s="7" t="s">
        <v>3</v>
      </c>
      <c r="AR34" s="7" t="s">
        <v>3</v>
      </c>
      <c r="AS34" s="7">
        <v>12</v>
      </c>
      <c r="AT34" s="7">
        <v>0</v>
      </c>
      <c r="AU34" s="7">
        <v>105</v>
      </c>
      <c r="AV34" s="7">
        <v>4</v>
      </c>
      <c r="AW34" s="7">
        <v>4</v>
      </c>
      <c r="AX34" s="7">
        <v>8</v>
      </c>
      <c r="AY34" s="7">
        <v>14</v>
      </c>
      <c r="AZ34" s="7">
        <v>15</v>
      </c>
      <c r="BA34" s="112">
        <f t="shared" si="0"/>
        <v>28</v>
      </c>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8"/>
      <c r="DX34" s="8"/>
      <c r="DY34" s="8"/>
      <c r="DZ34" s="8"/>
      <c r="EA34" s="8"/>
      <c r="EB34" s="8"/>
      <c r="EC34" s="7"/>
      <c r="ED34" s="7"/>
      <c r="EE34" s="7"/>
      <c r="EF34" s="7"/>
      <c r="EG34" s="7"/>
      <c r="EH34" s="7"/>
      <c r="EI34" s="7"/>
      <c r="EJ34" s="7"/>
      <c r="EK34" s="7"/>
      <c r="EL34" s="7"/>
      <c r="EM34" s="7"/>
      <c r="EN34" s="7"/>
      <c r="EO34" s="7"/>
      <c r="EP34" s="7"/>
      <c r="EQ34" s="7"/>
      <c r="ER34" s="7"/>
      <c r="ES34" s="7"/>
      <c r="ET34" s="7"/>
      <c r="EU34" s="7"/>
      <c r="EV34" s="7"/>
      <c r="EW34" s="7"/>
      <c r="EX34" s="7"/>
      <c r="EY34" s="7"/>
      <c r="EZ34" s="7"/>
      <c r="FA34" s="6"/>
      <c r="FB34" s="6"/>
      <c r="FC34" s="6"/>
    </row>
    <row r="35" spans="1:159" s="13" customFormat="1" x14ac:dyDescent="0.25">
      <c r="A35" s="12" t="s">
        <v>32</v>
      </c>
      <c r="B35" s="11" t="s">
        <v>58</v>
      </c>
      <c r="C35" s="10" t="s">
        <v>57</v>
      </c>
      <c r="D35" s="9">
        <v>1</v>
      </c>
      <c r="E35" s="9">
        <v>1</v>
      </c>
      <c r="F35" s="7">
        <v>6</v>
      </c>
      <c r="G35" s="7">
        <v>2</v>
      </c>
      <c r="H35" s="7">
        <v>7</v>
      </c>
      <c r="I35" s="7">
        <v>15</v>
      </c>
      <c r="J35" s="7">
        <v>4</v>
      </c>
      <c r="K35" s="7">
        <v>6</v>
      </c>
      <c r="L35" s="7">
        <v>2</v>
      </c>
      <c r="M35" s="7">
        <v>7</v>
      </c>
      <c r="N35" s="7">
        <v>15</v>
      </c>
      <c r="O35" s="7">
        <v>27</v>
      </c>
      <c r="P35" s="7">
        <v>0</v>
      </c>
      <c r="Q35" s="7">
        <v>2</v>
      </c>
      <c r="R35" s="7">
        <v>0</v>
      </c>
      <c r="S35" s="7">
        <v>1</v>
      </c>
      <c r="T35" s="7">
        <v>9</v>
      </c>
      <c r="U35" s="7">
        <v>0</v>
      </c>
      <c r="V35" s="7">
        <v>0</v>
      </c>
      <c r="W35" s="7">
        <v>0</v>
      </c>
      <c r="X35" s="7">
        <v>1</v>
      </c>
      <c r="Y35" s="7">
        <v>1</v>
      </c>
      <c r="Z35" s="7">
        <v>1</v>
      </c>
      <c r="AA35" s="7">
        <v>0</v>
      </c>
      <c r="AB35" s="7">
        <v>1</v>
      </c>
      <c r="AC35" s="7">
        <v>0</v>
      </c>
      <c r="AD35" s="7">
        <v>4</v>
      </c>
      <c r="AE35" s="7">
        <v>43</v>
      </c>
      <c r="AF35" s="7">
        <v>7</v>
      </c>
      <c r="AG35" s="7">
        <v>0</v>
      </c>
      <c r="AH35" s="7">
        <v>5</v>
      </c>
      <c r="AI35" s="7">
        <v>0</v>
      </c>
      <c r="AJ35" s="7">
        <v>3</v>
      </c>
      <c r="AK35" s="7">
        <v>9</v>
      </c>
      <c r="AL35" s="7">
        <v>0</v>
      </c>
      <c r="AM35" s="7">
        <v>0</v>
      </c>
      <c r="AN35" s="7">
        <v>0</v>
      </c>
      <c r="AO35" s="7">
        <v>12</v>
      </c>
      <c r="AP35" s="7">
        <v>13</v>
      </c>
      <c r="AQ35" s="7">
        <v>13</v>
      </c>
      <c r="AR35" s="7">
        <v>0</v>
      </c>
      <c r="AS35" s="7">
        <v>12</v>
      </c>
      <c r="AT35" s="7">
        <v>0</v>
      </c>
      <c r="AU35" s="7">
        <v>80</v>
      </c>
      <c r="AV35" s="7">
        <v>5</v>
      </c>
      <c r="AW35" s="7">
        <v>3</v>
      </c>
      <c r="AX35" s="7">
        <v>4</v>
      </c>
      <c r="AY35" s="7">
        <v>14</v>
      </c>
      <c r="AZ35" s="7">
        <v>7</v>
      </c>
      <c r="BA35" s="112">
        <f t="shared" si="0"/>
        <v>14</v>
      </c>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8"/>
      <c r="DX35" s="8"/>
      <c r="DY35" s="8"/>
      <c r="DZ35" s="8"/>
      <c r="EA35" s="8"/>
      <c r="EB35" s="8"/>
      <c r="EC35" s="7"/>
      <c r="ED35" s="7"/>
      <c r="EE35" s="7"/>
      <c r="EF35" s="7"/>
      <c r="EG35" s="7"/>
      <c r="EH35" s="7"/>
      <c r="EI35" s="7"/>
      <c r="EJ35" s="7"/>
      <c r="EK35" s="7"/>
      <c r="EL35" s="7"/>
      <c r="EM35" s="7"/>
      <c r="EN35" s="7"/>
      <c r="EO35" s="7"/>
      <c r="EP35" s="7"/>
      <c r="EQ35" s="7"/>
      <c r="ER35" s="7"/>
      <c r="ES35" s="7"/>
      <c r="ET35" s="7"/>
      <c r="EU35" s="7"/>
      <c r="EV35" s="7"/>
      <c r="EW35" s="7"/>
      <c r="EX35" s="7"/>
      <c r="EY35" s="7"/>
      <c r="EZ35" s="7"/>
      <c r="FA35" s="6"/>
      <c r="FB35" s="6"/>
      <c r="FC35" s="6"/>
    </row>
    <row r="36" spans="1:159" s="13" customFormat="1" x14ac:dyDescent="0.25">
      <c r="A36" s="12" t="s">
        <v>32</v>
      </c>
      <c r="B36" s="11" t="s">
        <v>56</v>
      </c>
      <c r="C36" s="10" t="s">
        <v>55</v>
      </c>
      <c r="D36" s="9">
        <v>1</v>
      </c>
      <c r="E36" s="9">
        <v>1</v>
      </c>
      <c r="F36" s="7">
        <v>12</v>
      </c>
      <c r="G36" s="7">
        <v>6</v>
      </c>
      <c r="H36" s="7">
        <v>6</v>
      </c>
      <c r="I36" s="7">
        <v>24</v>
      </c>
      <c r="J36" s="7">
        <v>1</v>
      </c>
      <c r="K36" s="7">
        <v>12</v>
      </c>
      <c r="L36" s="7">
        <v>12</v>
      </c>
      <c r="M36" s="7">
        <v>0</v>
      </c>
      <c r="N36" s="7">
        <v>24</v>
      </c>
      <c r="O36" s="7">
        <v>42</v>
      </c>
      <c r="P36" s="7">
        <v>3</v>
      </c>
      <c r="Q36" s="7">
        <v>0</v>
      </c>
      <c r="R36" s="7">
        <v>0</v>
      </c>
      <c r="S36" s="7">
        <v>0</v>
      </c>
      <c r="T36" s="7">
        <v>0</v>
      </c>
      <c r="U36" s="7">
        <v>0</v>
      </c>
      <c r="V36" s="7">
        <v>0</v>
      </c>
      <c r="W36" s="7">
        <v>0</v>
      </c>
      <c r="X36" s="7">
        <v>2</v>
      </c>
      <c r="Y36" s="7">
        <v>1</v>
      </c>
      <c r="Z36" s="7">
        <v>2</v>
      </c>
      <c r="AA36" s="7">
        <v>0</v>
      </c>
      <c r="AB36" s="7">
        <v>0</v>
      </c>
      <c r="AC36" s="7">
        <v>0</v>
      </c>
      <c r="AD36" s="7">
        <v>5</v>
      </c>
      <c r="AE36" s="7">
        <v>50</v>
      </c>
      <c r="AF36" s="7">
        <v>8.6999999999999993</v>
      </c>
      <c r="AG36" s="7">
        <v>8</v>
      </c>
      <c r="AH36" s="7" t="s">
        <v>3</v>
      </c>
      <c r="AI36" s="7" t="s">
        <v>3</v>
      </c>
      <c r="AJ36" s="7" t="s">
        <v>3</v>
      </c>
      <c r="AK36" s="7" t="s">
        <v>3</v>
      </c>
      <c r="AL36" s="7" t="s">
        <v>3</v>
      </c>
      <c r="AM36" s="7" t="s">
        <v>3</v>
      </c>
      <c r="AN36" s="7" t="s">
        <v>3</v>
      </c>
      <c r="AO36" s="7">
        <v>12</v>
      </c>
      <c r="AP36" s="7">
        <v>13</v>
      </c>
      <c r="AQ36" s="7">
        <v>12</v>
      </c>
      <c r="AR36" s="7" t="s">
        <v>3</v>
      </c>
      <c r="AS36" s="7" t="s">
        <v>3</v>
      </c>
      <c r="AT36" s="7" t="s">
        <v>3</v>
      </c>
      <c r="AU36" s="7">
        <v>118</v>
      </c>
      <c r="AV36" s="7">
        <v>7</v>
      </c>
      <c r="AW36" s="7">
        <v>3</v>
      </c>
      <c r="AX36" s="7">
        <v>5</v>
      </c>
      <c r="AY36" s="7">
        <v>10</v>
      </c>
      <c r="AZ36" s="7">
        <v>9</v>
      </c>
      <c r="BA36" s="112">
        <f t="shared" si="0"/>
        <v>5</v>
      </c>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8"/>
      <c r="DX36" s="8"/>
      <c r="DY36" s="8"/>
      <c r="DZ36" s="8"/>
      <c r="EA36" s="8"/>
      <c r="EB36" s="8"/>
      <c r="EC36" s="7"/>
      <c r="ED36" s="7"/>
      <c r="EE36" s="7"/>
      <c r="EF36" s="7"/>
      <c r="EG36" s="7"/>
      <c r="EH36" s="7"/>
      <c r="EI36" s="7"/>
      <c r="EJ36" s="7"/>
      <c r="EK36" s="7"/>
      <c r="EL36" s="7"/>
      <c r="EM36" s="7"/>
      <c r="EN36" s="7"/>
      <c r="EO36" s="7"/>
      <c r="EP36" s="7"/>
      <c r="EQ36" s="7"/>
      <c r="ER36" s="7"/>
      <c r="ES36" s="7"/>
      <c r="ET36" s="7"/>
      <c r="EU36" s="7"/>
      <c r="EV36" s="7"/>
      <c r="EW36" s="7"/>
      <c r="EX36" s="7"/>
      <c r="EY36" s="7"/>
      <c r="EZ36" s="7"/>
      <c r="FA36" s="6"/>
      <c r="FB36" s="6"/>
      <c r="FC36" s="6"/>
    </row>
    <row r="37" spans="1:159" s="13" customFormat="1" x14ac:dyDescent="0.25">
      <c r="A37" s="12" t="s">
        <v>32</v>
      </c>
      <c r="B37" s="11" t="s">
        <v>54</v>
      </c>
      <c r="C37" s="10" t="s">
        <v>53</v>
      </c>
      <c r="D37" s="9">
        <v>1</v>
      </c>
      <c r="E37" s="9">
        <v>1</v>
      </c>
      <c r="F37" s="7">
        <v>32</v>
      </c>
      <c r="G37" s="7">
        <v>17</v>
      </c>
      <c r="H37" s="7">
        <v>1</v>
      </c>
      <c r="I37" s="7">
        <v>50</v>
      </c>
      <c r="J37" s="7">
        <v>4</v>
      </c>
      <c r="K37" s="7">
        <v>32</v>
      </c>
      <c r="L37" s="7">
        <v>17</v>
      </c>
      <c r="M37" s="7">
        <v>1</v>
      </c>
      <c r="N37" s="7">
        <v>50</v>
      </c>
      <c r="O37" s="7">
        <v>75</v>
      </c>
      <c r="P37" s="7">
        <v>5</v>
      </c>
      <c r="Q37" s="7">
        <v>0</v>
      </c>
      <c r="R37" s="7">
        <v>0</v>
      </c>
      <c r="S37" s="7">
        <v>6</v>
      </c>
      <c r="T37" s="7">
        <v>13</v>
      </c>
      <c r="U37" s="7">
        <v>0</v>
      </c>
      <c r="V37" s="7">
        <v>8</v>
      </c>
      <c r="W37" s="7">
        <v>5</v>
      </c>
      <c r="X37" s="7">
        <v>2</v>
      </c>
      <c r="Y37" s="7">
        <v>1</v>
      </c>
      <c r="Z37" s="7">
        <v>2</v>
      </c>
      <c r="AA37" s="7">
        <v>1</v>
      </c>
      <c r="AB37" s="7">
        <v>0</v>
      </c>
      <c r="AC37" s="7">
        <v>0</v>
      </c>
      <c r="AD37" s="7">
        <v>11</v>
      </c>
      <c r="AE37" s="7">
        <v>118</v>
      </c>
      <c r="AF37" s="7">
        <v>8</v>
      </c>
      <c r="AG37" s="7">
        <v>10</v>
      </c>
      <c r="AH37" s="7">
        <v>0</v>
      </c>
      <c r="AI37" s="7">
        <v>0</v>
      </c>
      <c r="AJ37" s="7">
        <v>7</v>
      </c>
      <c r="AK37" s="7">
        <v>3</v>
      </c>
      <c r="AL37" s="7">
        <v>0</v>
      </c>
      <c r="AM37" s="7">
        <v>4</v>
      </c>
      <c r="AN37" s="7">
        <v>14</v>
      </c>
      <c r="AO37" s="7">
        <v>14</v>
      </c>
      <c r="AP37" s="7">
        <v>14</v>
      </c>
      <c r="AQ37" s="7">
        <v>14</v>
      </c>
      <c r="AR37" s="7">
        <v>14</v>
      </c>
      <c r="AS37" s="7">
        <v>0</v>
      </c>
      <c r="AT37" s="7">
        <v>0</v>
      </c>
      <c r="AU37" s="7">
        <v>186</v>
      </c>
      <c r="AV37" s="7">
        <v>12</v>
      </c>
      <c r="AW37" s="7">
        <v>7</v>
      </c>
      <c r="AX37" s="7">
        <v>3</v>
      </c>
      <c r="AY37" s="7">
        <v>14</v>
      </c>
      <c r="AZ37" s="7">
        <v>9</v>
      </c>
      <c r="BA37" s="112">
        <f t="shared" si="0"/>
        <v>38</v>
      </c>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8"/>
      <c r="DX37" s="8"/>
      <c r="DY37" s="8"/>
      <c r="DZ37" s="8"/>
      <c r="EA37" s="8"/>
      <c r="EB37" s="8"/>
      <c r="EC37" s="7"/>
      <c r="ED37" s="7"/>
      <c r="EE37" s="7"/>
      <c r="EF37" s="7"/>
      <c r="EG37" s="7"/>
      <c r="EH37" s="7"/>
      <c r="EI37" s="7"/>
      <c r="EJ37" s="7"/>
      <c r="EK37" s="7"/>
      <c r="EL37" s="7"/>
      <c r="EM37" s="7"/>
      <c r="EN37" s="7"/>
      <c r="EO37" s="7"/>
      <c r="EP37" s="7"/>
      <c r="EQ37" s="7"/>
      <c r="ER37" s="7"/>
      <c r="ES37" s="7"/>
      <c r="ET37" s="7"/>
      <c r="EU37" s="7"/>
      <c r="EV37" s="7"/>
      <c r="EW37" s="7"/>
      <c r="EX37" s="7"/>
      <c r="EY37" s="7"/>
      <c r="EZ37" s="7"/>
      <c r="FA37" s="6"/>
      <c r="FB37" s="6"/>
      <c r="FC37" s="6"/>
    </row>
    <row r="38" spans="1:159" s="13" customFormat="1" ht="14.15" customHeight="1" x14ac:dyDescent="0.25">
      <c r="A38" s="12" t="s">
        <v>32</v>
      </c>
      <c r="B38" s="11" t="s">
        <v>52</v>
      </c>
      <c r="C38" s="10" t="s">
        <v>51</v>
      </c>
      <c r="D38" s="9" t="s">
        <v>12</v>
      </c>
      <c r="E38" s="9" t="s">
        <v>12</v>
      </c>
      <c r="F38" s="7" t="s">
        <v>3</v>
      </c>
      <c r="G38" s="7" t="s">
        <v>3</v>
      </c>
      <c r="H38" s="7" t="s">
        <v>3</v>
      </c>
      <c r="I38" s="7" t="s">
        <v>3</v>
      </c>
      <c r="J38" s="7" t="s">
        <v>3</v>
      </c>
      <c r="K38" s="7" t="s">
        <v>3</v>
      </c>
      <c r="L38" s="7" t="s">
        <v>3</v>
      </c>
      <c r="M38" s="7" t="s">
        <v>3</v>
      </c>
      <c r="N38" s="7" t="s">
        <v>3</v>
      </c>
      <c r="O38" s="7" t="s">
        <v>3</v>
      </c>
      <c r="P38" s="7" t="s">
        <v>3</v>
      </c>
      <c r="Q38" s="7" t="s">
        <v>3</v>
      </c>
      <c r="R38" s="7" t="s">
        <v>3</v>
      </c>
      <c r="S38" s="7" t="s">
        <v>3</v>
      </c>
      <c r="T38" s="7" t="s">
        <v>3</v>
      </c>
      <c r="U38" s="7" t="s">
        <v>3</v>
      </c>
      <c r="V38" s="7" t="s">
        <v>3</v>
      </c>
      <c r="W38" s="7" t="s">
        <v>3</v>
      </c>
      <c r="X38" s="7" t="s">
        <v>3</v>
      </c>
      <c r="Y38" s="7" t="s">
        <v>3</v>
      </c>
      <c r="Z38" s="7" t="s">
        <v>3</v>
      </c>
      <c r="AA38" s="7" t="s">
        <v>3</v>
      </c>
      <c r="AB38" s="7" t="s">
        <v>3</v>
      </c>
      <c r="AC38" s="7" t="s">
        <v>3</v>
      </c>
      <c r="AD38" s="7" t="s">
        <v>3</v>
      </c>
      <c r="AE38" s="7" t="s">
        <v>3</v>
      </c>
      <c r="AF38" s="7" t="s">
        <v>3</v>
      </c>
      <c r="AG38" s="7" t="s">
        <v>3</v>
      </c>
      <c r="AH38" s="7" t="s">
        <v>3</v>
      </c>
      <c r="AI38" s="7" t="s">
        <v>3</v>
      </c>
      <c r="AJ38" s="7" t="s">
        <v>3</v>
      </c>
      <c r="AK38" s="7" t="s">
        <v>3</v>
      </c>
      <c r="AL38" s="7" t="s">
        <v>3</v>
      </c>
      <c r="AM38" s="7" t="s">
        <v>3</v>
      </c>
      <c r="AN38" s="7" t="s">
        <v>3</v>
      </c>
      <c r="AO38" s="7" t="s">
        <v>3</v>
      </c>
      <c r="AP38" s="7" t="s">
        <v>3</v>
      </c>
      <c r="AQ38" s="7" t="s">
        <v>3</v>
      </c>
      <c r="AR38" s="7" t="s">
        <v>3</v>
      </c>
      <c r="AS38" s="7" t="s">
        <v>3</v>
      </c>
      <c r="AT38" s="7" t="s">
        <v>3</v>
      </c>
      <c r="AU38" s="7" t="s">
        <v>3</v>
      </c>
      <c r="AV38" s="7" t="s">
        <v>3</v>
      </c>
      <c r="AW38" s="7" t="s">
        <v>3</v>
      </c>
      <c r="AX38" s="7" t="s">
        <v>3</v>
      </c>
      <c r="AY38" s="7" t="s">
        <v>3</v>
      </c>
      <c r="AZ38" s="7" t="s">
        <v>3</v>
      </c>
      <c r="BA38" s="112" t="s">
        <v>3</v>
      </c>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8"/>
      <c r="DX38" s="8"/>
      <c r="DY38" s="8"/>
      <c r="DZ38" s="8"/>
      <c r="EA38" s="8"/>
      <c r="EB38" s="8"/>
      <c r="EC38" s="7"/>
      <c r="ED38" s="7"/>
      <c r="EE38" s="7"/>
      <c r="EF38" s="7"/>
      <c r="EG38" s="7"/>
      <c r="EH38" s="7"/>
      <c r="EI38" s="7"/>
      <c r="EJ38" s="7"/>
      <c r="EK38" s="7"/>
      <c r="EL38" s="7"/>
      <c r="EM38" s="7"/>
      <c r="EN38" s="7"/>
      <c r="EO38" s="7"/>
      <c r="EP38" s="7"/>
      <c r="EQ38" s="7"/>
      <c r="ER38" s="7"/>
      <c r="ES38" s="7"/>
      <c r="ET38" s="7"/>
      <c r="EU38" s="7"/>
      <c r="EV38" s="7"/>
      <c r="EW38" s="7"/>
      <c r="EX38" s="7"/>
      <c r="EY38" s="7"/>
      <c r="EZ38" s="7"/>
      <c r="FA38" s="6"/>
      <c r="FB38" s="6"/>
      <c r="FC38" s="6"/>
    </row>
    <row r="39" spans="1:159" s="13" customFormat="1" x14ac:dyDescent="0.25">
      <c r="A39" s="12" t="s">
        <v>32</v>
      </c>
      <c r="B39" s="11" t="s">
        <v>50</v>
      </c>
      <c r="C39" s="10" t="s">
        <v>49</v>
      </c>
      <c r="D39" s="9" t="s">
        <v>12</v>
      </c>
      <c r="E39" s="9">
        <v>1</v>
      </c>
      <c r="F39" s="7" t="s">
        <v>3</v>
      </c>
      <c r="G39" s="7" t="s">
        <v>3</v>
      </c>
      <c r="H39" s="7" t="s">
        <v>3</v>
      </c>
      <c r="I39" s="7" t="s">
        <v>3</v>
      </c>
      <c r="J39" s="7">
        <v>1</v>
      </c>
      <c r="K39" s="7" t="s">
        <v>3</v>
      </c>
      <c r="L39" s="7" t="s">
        <v>3</v>
      </c>
      <c r="M39" s="7" t="s">
        <v>3</v>
      </c>
      <c r="N39" s="7" t="s">
        <v>3</v>
      </c>
      <c r="O39" s="7" t="s">
        <v>3</v>
      </c>
      <c r="P39" s="7" t="s">
        <v>3</v>
      </c>
      <c r="Q39" s="7" t="s">
        <v>3</v>
      </c>
      <c r="R39" s="7" t="s">
        <v>3</v>
      </c>
      <c r="S39" s="7" t="s">
        <v>3</v>
      </c>
      <c r="T39" s="7" t="s">
        <v>3</v>
      </c>
      <c r="U39" s="7" t="s">
        <v>3</v>
      </c>
      <c r="V39" s="7" t="s">
        <v>3</v>
      </c>
      <c r="W39" s="7" t="s">
        <v>3</v>
      </c>
      <c r="X39" s="7" t="s">
        <v>3</v>
      </c>
      <c r="Y39" s="7" t="s">
        <v>3</v>
      </c>
      <c r="Z39" s="7" t="s">
        <v>3</v>
      </c>
      <c r="AA39" s="7" t="s">
        <v>3</v>
      </c>
      <c r="AB39" s="7" t="s">
        <v>3</v>
      </c>
      <c r="AC39" s="7" t="s">
        <v>3</v>
      </c>
      <c r="AD39" s="7" t="s">
        <v>3</v>
      </c>
      <c r="AE39" s="7" t="s">
        <v>3</v>
      </c>
      <c r="AF39" s="7" t="s">
        <v>3</v>
      </c>
      <c r="AG39" s="7" t="s">
        <v>3</v>
      </c>
      <c r="AH39" s="7" t="s">
        <v>3</v>
      </c>
      <c r="AI39" s="7" t="s">
        <v>3</v>
      </c>
      <c r="AJ39" s="7" t="s">
        <v>3</v>
      </c>
      <c r="AK39" s="7" t="s">
        <v>3</v>
      </c>
      <c r="AL39" s="7" t="s">
        <v>3</v>
      </c>
      <c r="AM39" s="7" t="s">
        <v>3</v>
      </c>
      <c r="AN39" s="7" t="s">
        <v>3</v>
      </c>
      <c r="AO39" s="7" t="s">
        <v>3</v>
      </c>
      <c r="AP39" s="7" t="s">
        <v>3</v>
      </c>
      <c r="AQ39" s="7" t="s">
        <v>3</v>
      </c>
      <c r="AR39" s="7" t="s">
        <v>3</v>
      </c>
      <c r="AS39" s="7" t="s">
        <v>3</v>
      </c>
      <c r="AT39" s="7" t="s">
        <v>3</v>
      </c>
      <c r="AU39" s="7" t="s">
        <v>3</v>
      </c>
      <c r="AV39" s="7" t="s">
        <v>3</v>
      </c>
      <c r="AW39" s="7" t="s">
        <v>3</v>
      </c>
      <c r="AX39" s="7" t="s">
        <v>3</v>
      </c>
      <c r="AY39" s="7" t="s">
        <v>3</v>
      </c>
      <c r="AZ39" s="7" t="s">
        <v>3</v>
      </c>
      <c r="BA39" s="112" t="s">
        <v>3</v>
      </c>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8"/>
      <c r="DX39" s="8"/>
      <c r="DY39" s="8"/>
      <c r="DZ39" s="8"/>
      <c r="EA39" s="8"/>
      <c r="EB39" s="8"/>
      <c r="EC39" s="7"/>
      <c r="ED39" s="7"/>
      <c r="EE39" s="7"/>
      <c r="EF39" s="7"/>
      <c r="EG39" s="7"/>
      <c r="EH39" s="7"/>
      <c r="EI39" s="7"/>
      <c r="EJ39" s="7"/>
      <c r="EK39" s="7"/>
      <c r="EL39" s="7"/>
      <c r="EM39" s="7"/>
      <c r="EN39" s="7"/>
      <c r="EO39" s="7"/>
      <c r="EP39" s="7"/>
      <c r="EQ39" s="7"/>
      <c r="ER39" s="7"/>
      <c r="ES39" s="7"/>
      <c r="ET39" s="7"/>
      <c r="EU39" s="7"/>
      <c r="EV39" s="7"/>
      <c r="EW39" s="7"/>
      <c r="EX39" s="7"/>
      <c r="EY39" s="7"/>
      <c r="EZ39" s="7"/>
      <c r="FA39" s="6"/>
      <c r="FB39" s="6"/>
      <c r="FC39" s="6"/>
    </row>
    <row r="40" spans="1:159" s="13" customFormat="1" x14ac:dyDescent="0.25">
      <c r="A40" s="12" t="s">
        <v>32</v>
      </c>
      <c r="B40" s="11" t="s">
        <v>48</v>
      </c>
      <c r="C40" s="10" t="s">
        <v>47</v>
      </c>
      <c r="D40" s="9" t="s">
        <v>12</v>
      </c>
      <c r="E40" s="9" t="s">
        <v>12</v>
      </c>
      <c r="F40" s="7" t="s">
        <v>3</v>
      </c>
      <c r="G40" s="7" t="s">
        <v>3</v>
      </c>
      <c r="H40" s="7" t="s">
        <v>3</v>
      </c>
      <c r="I40" s="7" t="s">
        <v>3</v>
      </c>
      <c r="J40" s="7" t="s">
        <v>3</v>
      </c>
      <c r="K40" s="7" t="s">
        <v>3</v>
      </c>
      <c r="L40" s="7" t="s">
        <v>3</v>
      </c>
      <c r="M40" s="7" t="s">
        <v>3</v>
      </c>
      <c r="N40" s="7" t="s">
        <v>3</v>
      </c>
      <c r="O40" s="7" t="s">
        <v>3</v>
      </c>
      <c r="P40" s="7" t="s">
        <v>3</v>
      </c>
      <c r="Q40" s="7" t="s">
        <v>3</v>
      </c>
      <c r="R40" s="7" t="s">
        <v>3</v>
      </c>
      <c r="S40" s="7" t="s">
        <v>3</v>
      </c>
      <c r="T40" s="7" t="s">
        <v>3</v>
      </c>
      <c r="U40" s="7" t="s">
        <v>3</v>
      </c>
      <c r="V40" s="7" t="s">
        <v>3</v>
      </c>
      <c r="W40" s="7" t="s">
        <v>3</v>
      </c>
      <c r="X40" s="7" t="s">
        <v>3</v>
      </c>
      <c r="Y40" s="7" t="s">
        <v>3</v>
      </c>
      <c r="Z40" s="7" t="s">
        <v>3</v>
      </c>
      <c r="AA40" s="7" t="s">
        <v>3</v>
      </c>
      <c r="AB40" s="7" t="s">
        <v>3</v>
      </c>
      <c r="AC40" s="7" t="s">
        <v>3</v>
      </c>
      <c r="AD40" s="7" t="s">
        <v>3</v>
      </c>
      <c r="AE40" s="7" t="s">
        <v>3</v>
      </c>
      <c r="AF40" s="7" t="s">
        <v>3</v>
      </c>
      <c r="AG40" s="7" t="s">
        <v>3</v>
      </c>
      <c r="AH40" s="7" t="s">
        <v>3</v>
      </c>
      <c r="AI40" s="7" t="s">
        <v>3</v>
      </c>
      <c r="AJ40" s="7" t="s">
        <v>3</v>
      </c>
      <c r="AK40" s="7" t="s">
        <v>3</v>
      </c>
      <c r="AL40" s="7" t="s">
        <v>3</v>
      </c>
      <c r="AM40" s="7" t="s">
        <v>3</v>
      </c>
      <c r="AN40" s="7" t="s">
        <v>3</v>
      </c>
      <c r="AO40" s="7" t="s">
        <v>3</v>
      </c>
      <c r="AP40" s="7" t="s">
        <v>3</v>
      </c>
      <c r="AQ40" s="7" t="s">
        <v>3</v>
      </c>
      <c r="AR40" s="7" t="s">
        <v>3</v>
      </c>
      <c r="AS40" s="7" t="s">
        <v>3</v>
      </c>
      <c r="AT40" s="7" t="s">
        <v>3</v>
      </c>
      <c r="AU40" s="7" t="s">
        <v>3</v>
      </c>
      <c r="AV40" s="7" t="s">
        <v>3</v>
      </c>
      <c r="AW40" s="7" t="s">
        <v>3</v>
      </c>
      <c r="AX40" s="7" t="s">
        <v>3</v>
      </c>
      <c r="AY40" s="7" t="s">
        <v>3</v>
      </c>
      <c r="AZ40" s="7" t="s">
        <v>3</v>
      </c>
      <c r="BA40" s="112" t="s">
        <v>3</v>
      </c>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8"/>
      <c r="DX40" s="8"/>
      <c r="DY40" s="8"/>
      <c r="DZ40" s="8"/>
      <c r="EA40" s="8"/>
      <c r="EB40" s="8"/>
      <c r="EC40" s="7"/>
      <c r="ED40" s="7"/>
      <c r="EE40" s="7"/>
      <c r="EF40" s="7"/>
      <c r="EG40" s="7"/>
      <c r="EH40" s="7"/>
      <c r="EI40" s="7"/>
      <c r="EJ40" s="7"/>
      <c r="EK40" s="7"/>
      <c r="EL40" s="7"/>
      <c r="EM40" s="7"/>
      <c r="EN40" s="7"/>
      <c r="EO40" s="7"/>
      <c r="EP40" s="7"/>
      <c r="EQ40" s="7"/>
      <c r="ER40" s="7"/>
      <c r="ES40" s="7"/>
      <c r="ET40" s="7"/>
      <c r="EU40" s="7"/>
      <c r="EV40" s="7"/>
      <c r="EW40" s="7"/>
      <c r="EX40" s="7"/>
      <c r="EY40" s="7"/>
      <c r="EZ40" s="7"/>
      <c r="FA40" s="6"/>
      <c r="FB40" s="6"/>
      <c r="FC40" s="6"/>
    </row>
    <row r="41" spans="1:159" s="13" customFormat="1" x14ac:dyDescent="0.25">
      <c r="A41" s="12" t="s">
        <v>32</v>
      </c>
      <c r="B41" s="11" t="s">
        <v>46</v>
      </c>
      <c r="C41" s="10" t="s">
        <v>45</v>
      </c>
      <c r="D41" s="9">
        <v>1</v>
      </c>
      <c r="E41" s="9">
        <v>1</v>
      </c>
      <c r="F41" s="7">
        <v>34</v>
      </c>
      <c r="G41" s="7">
        <v>14</v>
      </c>
      <c r="H41" s="7">
        <v>9</v>
      </c>
      <c r="I41" s="7">
        <v>57</v>
      </c>
      <c r="J41" s="7">
        <v>0</v>
      </c>
      <c r="K41" s="7">
        <v>34</v>
      </c>
      <c r="L41" s="7">
        <v>14</v>
      </c>
      <c r="M41" s="7">
        <v>9</v>
      </c>
      <c r="N41" s="7">
        <v>57</v>
      </c>
      <c r="O41" s="7">
        <v>95</v>
      </c>
      <c r="P41" s="7">
        <v>0</v>
      </c>
      <c r="Q41" s="7">
        <v>6</v>
      </c>
      <c r="R41" s="7">
        <v>1</v>
      </c>
      <c r="S41" s="7">
        <v>4</v>
      </c>
      <c r="T41" s="7">
        <v>6</v>
      </c>
      <c r="U41" s="7">
        <v>3</v>
      </c>
      <c r="V41" s="7">
        <v>13</v>
      </c>
      <c r="W41" s="7">
        <v>8</v>
      </c>
      <c r="X41" s="7">
        <v>1</v>
      </c>
      <c r="Y41" s="7">
        <v>2</v>
      </c>
      <c r="Z41" s="7">
        <v>0</v>
      </c>
      <c r="AA41" s="7">
        <v>1</v>
      </c>
      <c r="AB41" s="7">
        <v>3</v>
      </c>
      <c r="AC41" s="7">
        <v>0</v>
      </c>
      <c r="AD41" s="7">
        <v>15</v>
      </c>
      <c r="AE41" s="7">
        <v>143</v>
      </c>
      <c r="AF41" s="7">
        <v>9</v>
      </c>
      <c r="AG41" s="7">
        <v>0</v>
      </c>
      <c r="AH41" s="7">
        <v>9</v>
      </c>
      <c r="AI41" s="7">
        <v>18</v>
      </c>
      <c r="AJ41" s="7">
        <v>5</v>
      </c>
      <c r="AK41" s="7">
        <v>14</v>
      </c>
      <c r="AL41" s="7">
        <v>8</v>
      </c>
      <c r="AM41" s="7">
        <v>15</v>
      </c>
      <c r="AN41" s="7">
        <v>12</v>
      </c>
      <c r="AO41" s="7">
        <v>13</v>
      </c>
      <c r="AP41" s="7">
        <v>13</v>
      </c>
      <c r="AQ41" s="7">
        <v>0</v>
      </c>
      <c r="AR41" s="7">
        <v>10</v>
      </c>
      <c r="AS41" s="7">
        <v>12</v>
      </c>
      <c r="AT41" s="7">
        <v>0</v>
      </c>
      <c r="AU41" s="7">
        <v>273</v>
      </c>
      <c r="AV41" s="7">
        <v>13</v>
      </c>
      <c r="AW41" s="7">
        <v>9</v>
      </c>
      <c r="AX41" s="7">
        <v>5</v>
      </c>
      <c r="AY41" s="7">
        <v>13</v>
      </c>
      <c r="AZ41" s="7">
        <v>9</v>
      </c>
      <c r="BA41" s="112">
        <f t="shared" si="0"/>
        <v>42</v>
      </c>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8"/>
      <c r="DX41" s="8"/>
      <c r="DY41" s="8"/>
      <c r="DZ41" s="8"/>
      <c r="EA41" s="8"/>
      <c r="EB41" s="8"/>
      <c r="EC41" s="7"/>
      <c r="ED41" s="7"/>
      <c r="EE41" s="7"/>
      <c r="EF41" s="7"/>
      <c r="EG41" s="7"/>
      <c r="EH41" s="7"/>
      <c r="EI41" s="7"/>
      <c r="EJ41" s="7"/>
      <c r="EK41" s="7"/>
      <c r="EL41" s="7"/>
      <c r="EM41" s="7"/>
      <c r="EN41" s="7"/>
      <c r="EO41" s="7"/>
      <c r="EP41" s="7"/>
      <c r="EQ41" s="7"/>
      <c r="ER41" s="7"/>
      <c r="ES41" s="7"/>
      <c r="ET41" s="7"/>
      <c r="EU41" s="7"/>
      <c r="EV41" s="7"/>
      <c r="EW41" s="7"/>
      <c r="EX41" s="7"/>
      <c r="EY41" s="7"/>
      <c r="EZ41" s="7"/>
      <c r="FA41" s="6"/>
      <c r="FB41" s="6"/>
      <c r="FC41" s="6"/>
    </row>
    <row r="42" spans="1:159" s="13" customFormat="1" x14ac:dyDescent="0.25">
      <c r="A42" s="12" t="s">
        <v>32</v>
      </c>
      <c r="B42" s="11" t="s">
        <v>44</v>
      </c>
      <c r="C42" s="10" t="s">
        <v>43</v>
      </c>
      <c r="D42" s="9">
        <v>1</v>
      </c>
      <c r="E42" s="9">
        <v>1</v>
      </c>
      <c r="F42" s="7">
        <v>17</v>
      </c>
      <c r="G42" s="7">
        <v>10</v>
      </c>
      <c r="H42" s="7">
        <v>12</v>
      </c>
      <c r="I42" s="7">
        <v>39</v>
      </c>
      <c r="J42" s="7">
        <v>2</v>
      </c>
      <c r="K42" s="7">
        <v>17</v>
      </c>
      <c r="L42" s="7">
        <v>9</v>
      </c>
      <c r="M42" s="7">
        <v>13</v>
      </c>
      <c r="N42" s="7">
        <v>39</v>
      </c>
      <c r="O42" s="7">
        <v>59</v>
      </c>
      <c r="P42" s="7">
        <v>0</v>
      </c>
      <c r="Q42" s="7">
        <v>4</v>
      </c>
      <c r="R42" s="7">
        <v>0</v>
      </c>
      <c r="S42" s="7">
        <v>2</v>
      </c>
      <c r="T42" s="7">
        <v>0</v>
      </c>
      <c r="U42" s="7">
        <v>0</v>
      </c>
      <c r="V42" s="7">
        <v>19</v>
      </c>
      <c r="W42" s="7">
        <v>6</v>
      </c>
      <c r="X42" s="7">
        <v>1</v>
      </c>
      <c r="Y42" s="7">
        <v>1</v>
      </c>
      <c r="Z42" s="7">
        <v>2</v>
      </c>
      <c r="AA42" s="7">
        <v>0</v>
      </c>
      <c r="AB42" s="7">
        <v>1</v>
      </c>
      <c r="AC42" s="7">
        <v>1</v>
      </c>
      <c r="AD42" s="7">
        <v>12</v>
      </c>
      <c r="AE42" s="7">
        <v>96</v>
      </c>
      <c r="AF42" s="7">
        <v>7</v>
      </c>
      <c r="AG42" s="7">
        <v>0</v>
      </c>
      <c r="AH42" s="7">
        <v>16</v>
      </c>
      <c r="AI42" s="7">
        <v>0</v>
      </c>
      <c r="AJ42" s="7">
        <v>7</v>
      </c>
      <c r="AK42" s="7">
        <v>0</v>
      </c>
      <c r="AL42" s="7">
        <v>0</v>
      </c>
      <c r="AM42" s="7">
        <v>7</v>
      </c>
      <c r="AN42" s="7">
        <v>12</v>
      </c>
      <c r="AO42" s="7">
        <v>11</v>
      </c>
      <c r="AP42" s="7">
        <v>12</v>
      </c>
      <c r="AQ42" s="7">
        <v>5</v>
      </c>
      <c r="AR42" s="7">
        <v>0</v>
      </c>
      <c r="AS42" s="7">
        <v>9</v>
      </c>
      <c r="AT42" s="7">
        <v>18</v>
      </c>
      <c r="AU42" s="7">
        <v>92</v>
      </c>
      <c r="AV42" s="7">
        <v>7</v>
      </c>
      <c r="AW42" s="7">
        <v>6</v>
      </c>
      <c r="AX42" s="7">
        <v>4</v>
      </c>
      <c r="AY42" s="7">
        <v>14</v>
      </c>
      <c r="AZ42" s="7">
        <v>13</v>
      </c>
      <c r="BA42" s="112">
        <f t="shared" si="0"/>
        <v>33</v>
      </c>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8"/>
      <c r="DX42" s="8"/>
      <c r="DY42" s="8"/>
      <c r="DZ42" s="8"/>
      <c r="EA42" s="8"/>
      <c r="EB42" s="8"/>
      <c r="EC42" s="7"/>
      <c r="ED42" s="7"/>
      <c r="EE42" s="7"/>
      <c r="EF42" s="7"/>
      <c r="EG42" s="7"/>
      <c r="EH42" s="7"/>
      <c r="EI42" s="7"/>
      <c r="EJ42" s="7"/>
      <c r="EK42" s="7"/>
      <c r="EL42" s="7"/>
      <c r="EM42" s="7"/>
      <c r="EN42" s="7"/>
      <c r="EO42" s="7"/>
      <c r="EP42" s="7"/>
      <c r="EQ42" s="7"/>
      <c r="ER42" s="7"/>
      <c r="ES42" s="7"/>
      <c r="ET42" s="7"/>
      <c r="EU42" s="7"/>
      <c r="EV42" s="7"/>
      <c r="EW42" s="7"/>
      <c r="EX42" s="7"/>
      <c r="EY42" s="7"/>
      <c r="EZ42" s="7"/>
      <c r="FA42" s="6"/>
      <c r="FB42" s="6"/>
      <c r="FC42" s="6"/>
    </row>
    <row r="43" spans="1:159" s="13" customFormat="1" x14ac:dyDescent="0.25">
      <c r="A43" s="12" t="s">
        <v>32</v>
      </c>
      <c r="B43" s="11" t="s">
        <v>42</v>
      </c>
      <c r="C43" s="10" t="s">
        <v>41</v>
      </c>
      <c r="D43" s="9">
        <v>1</v>
      </c>
      <c r="E43" s="9">
        <v>1</v>
      </c>
      <c r="F43" s="7">
        <v>8</v>
      </c>
      <c r="G43" s="7">
        <v>7</v>
      </c>
      <c r="H43" s="7">
        <v>5</v>
      </c>
      <c r="I43" s="7">
        <v>20</v>
      </c>
      <c r="J43" s="7">
        <v>0</v>
      </c>
      <c r="K43" s="7">
        <v>8</v>
      </c>
      <c r="L43" s="7">
        <v>7</v>
      </c>
      <c r="M43" s="7">
        <v>5</v>
      </c>
      <c r="N43" s="7">
        <v>20</v>
      </c>
      <c r="O43" s="7">
        <v>28</v>
      </c>
      <c r="P43" s="7">
        <v>0</v>
      </c>
      <c r="Q43" s="7">
        <v>3</v>
      </c>
      <c r="R43" s="7">
        <v>0</v>
      </c>
      <c r="S43" s="7">
        <v>2</v>
      </c>
      <c r="T43" s="7">
        <v>1</v>
      </c>
      <c r="U43" s="7">
        <v>0</v>
      </c>
      <c r="V43" s="7">
        <v>0</v>
      </c>
      <c r="W43" s="7">
        <v>1</v>
      </c>
      <c r="X43" s="7">
        <v>0</v>
      </c>
      <c r="Y43" s="7">
        <v>1</v>
      </c>
      <c r="Z43" s="7">
        <v>2</v>
      </c>
      <c r="AA43" s="7">
        <v>0</v>
      </c>
      <c r="AB43" s="7">
        <v>1</v>
      </c>
      <c r="AC43" s="7">
        <v>1</v>
      </c>
      <c r="AD43" s="7">
        <v>6</v>
      </c>
      <c r="AE43" s="7">
        <v>40</v>
      </c>
      <c r="AF43" s="7" t="s">
        <v>3</v>
      </c>
      <c r="AG43" s="7" t="s">
        <v>3</v>
      </c>
      <c r="AH43" s="7" t="s">
        <v>3</v>
      </c>
      <c r="AI43" s="7" t="s">
        <v>3</v>
      </c>
      <c r="AJ43" s="7" t="s">
        <v>3</v>
      </c>
      <c r="AK43" s="7" t="s">
        <v>3</v>
      </c>
      <c r="AL43" s="7" t="s">
        <v>3</v>
      </c>
      <c r="AM43" s="7" t="s">
        <v>3</v>
      </c>
      <c r="AN43" s="7" t="s">
        <v>3</v>
      </c>
      <c r="AO43" s="7" t="s">
        <v>3</v>
      </c>
      <c r="AP43" s="7" t="s">
        <v>3</v>
      </c>
      <c r="AQ43" s="7" t="s">
        <v>3</v>
      </c>
      <c r="AR43" s="7" t="s">
        <v>3</v>
      </c>
      <c r="AS43" s="7" t="s">
        <v>3</v>
      </c>
      <c r="AT43" s="7" t="s">
        <v>3</v>
      </c>
      <c r="AU43" s="7">
        <v>101</v>
      </c>
      <c r="AV43" s="7">
        <v>3</v>
      </c>
      <c r="AW43" s="7">
        <v>5</v>
      </c>
      <c r="AX43" s="7" t="s">
        <v>3</v>
      </c>
      <c r="AY43" s="7" t="s">
        <v>3</v>
      </c>
      <c r="AZ43" s="7" t="s">
        <v>3</v>
      </c>
      <c r="BA43" s="112">
        <f t="shared" si="0"/>
        <v>9</v>
      </c>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8"/>
      <c r="DX43" s="8"/>
      <c r="DY43" s="8"/>
      <c r="DZ43" s="8"/>
      <c r="EA43" s="8"/>
      <c r="EB43" s="8"/>
      <c r="EC43" s="7"/>
      <c r="ED43" s="7"/>
      <c r="EE43" s="7"/>
      <c r="EF43" s="7"/>
      <c r="EG43" s="7"/>
      <c r="EH43" s="7"/>
      <c r="EI43" s="7"/>
      <c r="EJ43" s="7"/>
      <c r="EK43" s="7"/>
      <c r="EL43" s="7"/>
      <c r="EM43" s="7"/>
      <c r="EN43" s="7"/>
      <c r="EO43" s="7"/>
      <c r="EP43" s="7"/>
      <c r="EQ43" s="7"/>
      <c r="ER43" s="7"/>
      <c r="ES43" s="7"/>
      <c r="ET43" s="7"/>
      <c r="EU43" s="7"/>
      <c r="EV43" s="7"/>
      <c r="EW43" s="7"/>
      <c r="EX43" s="7"/>
      <c r="EY43" s="7"/>
      <c r="EZ43" s="7"/>
      <c r="FA43" s="6"/>
      <c r="FB43" s="6"/>
      <c r="FC43" s="6"/>
    </row>
    <row r="44" spans="1:159" s="13" customFormat="1" x14ac:dyDescent="0.25">
      <c r="A44" s="12" t="s">
        <v>32</v>
      </c>
      <c r="B44" s="11" t="s">
        <v>40</v>
      </c>
      <c r="C44" s="10" t="s">
        <v>39</v>
      </c>
      <c r="D44" s="9">
        <v>1</v>
      </c>
      <c r="E44" s="9">
        <v>1</v>
      </c>
      <c r="F44" s="7">
        <v>24</v>
      </c>
      <c r="G44" s="7">
        <v>5</v>
      </c>
      <c r="H44" s="7">
        <v>7</v>
      </c>
      <c r="I44" s="7">
        <v>36</v>
      </c>
      <c r="J44" s="7">
        <v>1</v>
      </c>
      <c r="K44" s="7">
        <v>24</v>
      </c>
      <c r="L44" s="7">
        <v>5</v>
      </c>
      <c r="M44" s="7">
        <v>7</v>
      </c>
      <c r="N44" s="7">
        <v>36</v>
      </c>
      <c r="O44" s="7">
        <v>46</v>
      </c>
      <c r="P44" s="7">
        <v>3</v>
      </c>
      <c r="Q44" s="7">
        <v>0</v>
      </c>
      <c r="R44" s="7">
        <v>0</v>
      </c>
      <c r="S44" s="7">
        <v>3</v>
      </c>
      <c r="T44" s="7">
        <v>3</v>
      </c>
      <c r="U44" s="7">
        <v>2</v>
      </c>
      <c r="V44" s="7">
        <v>18</v>
      </c>
      <c r="W44" s="7">
        <v>0</v>
      </c>
      <c r="X44" s="7">
        <v>4</v>
      </c>
      <c r="Y44" s="7">
        <v>1</v>
      </c>
      <c r="Z44" s="7">
        <v>0</v>
      </c>
      <c r="AA44" s="7">
        <v>0</v>
      </c>
      <c r="AB44" s="7">
        <v>0</v>
      </c>
      <c r="AC44" s="7">
        <v>0</v>
      </c>
      <c r="AD44" s="7">
        <v>5</v>
      </c>
      <c r="AE44" s="7">
        <v>80</v>
      </c>
      <c r="AF44" s="7">
        <v>7</v>
      </c>
      <c r="AG44" s="7">
        <v>13</v>
      </c>
      <c r="AH44" s="7">
        <v>0</v>
      </c>
      <c r="AI44" s="7">
        <v>0</v>
      </c>
      <c r="AJ44" s="7">
        <v>8</v>
      </c>
      <c r="AK44" s="7">
        <v>9</v>
      </c>
      <c r="AL44" s="7">
        <v>11</v>
      </c>
      <c r="AM44" s="7">
        <v>10</v>
      </c>
      <c r="AN44" s="7">
        <v>0</v>
      </c>
      <c r="AO44" s="7">
        <v>12</v>
      </c>
      <c r="AP44" s="7">
        <v>13</v>
      </c>
      <c r="AQ44" s="7">
        <v>0</v>
      </c>
      <c r="AR44" s="7">
        <v>0</v>
      </c>
      <c r="AS44" s="7">
        <v>0</v>
      </c>
      <c r="AT44" s="7">
        <v>0</v>
      </c>
      <c r="AU44" s="7">
        <v>104</v>
      </c>
      <c r="AV44" s="7">
        <v>3</v>
      </c>
      <c r="AW44" s="7">
        <v>4</v>
      </c>
      <c r="AX44" s="7">
        <v>3</v>
      </c>
      <c r="AY44" s="7">
        <v>9</v>
      </c>
      <c r="AZ44" s="7">
        <v>11</v>
      </c>
      <c r="BA44" s="112">
        <f t="shared" si="0"/>
        <v>31</v>
      </c>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8"/>
      <c r="DX44" s="8"/>
      <c r="DY44" s="8"/>
      <c r="DZ44" s="8"/>
      <c r="EA44" s="8"/>
      <c r="EB44" s="8"/>
      <c r="EC44" s="7"/>
      <c r="ED44" s="7"/>
      <c r="EE44" s="7"/>
      <c r="EF44" s="7"/>
      <c r="EG44" s="7"/>
      <c r="EH44" s="7"/>
      <c r="EI44" s="7"/>
      <c r="EJ44" s="7"/>
      <c r="EK44" s="7"/>
      <c r="EL44" s="7"/>
      <c r="EM44" s="7"/>
      <c r="EN44" s="7"/>
      <c r="EO44" s="7"/>
      <c r="EP44" s="7"/>
      <c r="EQ44" s="7"/>
      <c r="ER44" s="7"/>
      <c r="ES44" s="7"/>
      <c r="ET44" s="7"/>
      <c r="EU44" s="7"/>
      <c r="EV44" s="7"/>
      <c r="EW44" s="7"/>
      <c r="EX44" s="7"/>
      <c r="EY44" s="7"/>
      <c r="EZ44" s="7"/>
      <c r="FA44" s="6"/>
      <c r="FB44" s="6"/>
      <c r="FC44" s="6"/>
    </row>
    <row r="45" spans="1:159" s="13" customFormat="1" x14ac:dyDescent="0.25">
      <c r="A45" s="12" t="s">
        <v>32</v>
      </c>
      <c r="B45" s="11" t="s">
        <v>38</v>
      </c>
      <c r="C45" s="10" t="s">
        <v>37</v>
      </c>
      <c r="D45" s="9">
        <v>1</v>
      </c>
      <c r="E45" s="9" t="s">
        <v>12</v>
      </c>
      <c r="F45" s="7">
        <v>12</v>
      </c>
      <c r="G45" s="7">
        <v>8</v>
      </c>
      <c r="H45" s="7">
        <v>4</v>
      </c>
      <c r="I45" s="7">
        <v>24</v>
      </c>
      <c r="J45" s="7" t="s">
        <v>3</v>
      </c>
      <c r="K45" s="7" t="s">
        <v>3</v>
      </c>
      <c r="L45" s="7" t="s">
        <v>3</v>
      </c>
      <c r="M45" s="7" t="s">
        <v>3</v>
      </c>
      <c r="N45" s="7" t="s">
        <v>3</v>
      </c>
      <c r="O45" s="371">
        <v>30</v>
      </c>
      <c r="P45" s="7">
        <v>2</v>
      </c>
      <c r="Q45" s="7">
        <v>0</v>
      </c>
      <c r="R45" s="7">
        <v>0</v>
      </c>
      <c r="S45" s="7">
        <v>3</v>
      </c>
      <c r="T45" s="7">
        <v>4</v>
      </c>
      <c r="U45" s="7">
        <v>0</v>
      </c>
      <c r="V45" s="7">
        <v>5</v>
      </c>
      <c r="W45" s="7">
        <v>0</v>
      </c>
      <c r="X45" s="7">
        <v>2</v>
      </c>
      <c r="Y45" s="7">
        <v>1</v>
      </c>
      <c r="Z45" s="7">
        <v>0</v>
      </c>
      <c r="AA45" s="7">
        <v>0</v>
      </c>
      <c r="AB45" s="7">
        <v>1</v>
      </c>
      <c r="AC45" s="7">
        <v>0</v>
      </c>
      <c r="AD45" s="7">
        <v>4</v>
      </c>
      <c r="AE45" s="371">
        <v>48</v>
      </c>
      <c r="AF45" s="7">
        <v>8</v>
      </c>
      <c r="AG45" s="7">
        <v>9</v>
      </c>
      <c r="AH45" s="7">
        <v>0</v>
      </c>
      <c r="AI45" s="7">
        <v>0</v>
      </c>
      <c r="AJ45" s="7">
        <v>5</v>
      </c>
      <c r="AK45" s="7">
        <v>3</v>
      </c>
      <c r="AL45" s="7">
        <v>0</v>
      </c>
      <c r="AM45" s="7">
        <v>8</v>
      </c>
      <c r="AN45" s="7">
        <v>0</v>
      </c>
      <c r="AO45" s="7">
        <v>11</v>
      </c>
      <c r="AP45" s="7">
        <v>12</v>
      </c>
      <c r="AQ45" s="7">
        <v>0</v>
      </c>
      <c r="AR45" s="7">
        <v>0</v>
      </c>
      <c r="AS45" s="7">
        <v>11</v>
      </c>
      <c r="AT45" s="7">
        <v>0</v>
      </c>
      <c r="AU45" s="7">
        <v>95</v>
      </c>
      <c r="AV45" s="7">
        <v>8</v>
      </c>
      <c r="AW45" s="7">
        <v>4</v>
      </c>
      <c r="AX45" s="7">
        <v>7</v>
      </c>
      <c r="AY45" s="7">
        <v>6</v>
      </c>
      <c r="AZ45" s="7">
        <v>7</v>
      </c>
      <c r="BA45" s="112">
        <f t="shared" si="0"/>
        <v>16</v>
      </c>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8"/>
      <c r="DX45" s="8"/>
      <c r="DY45" s="8"/>
      <c r="DZ45" s="8"/>
      <c r="EA45" s="8"/>
      <c r="EB45" s="8"/>
      <c r="EC45" s="7"/>
      <c r="ED45" s="7"/>
      <c r="EE45" s="7"/>
      <c r="EF45" s="7"/>
      <c r="EG45" s="7"/>
      <c r="EH45" s="7"/>
      <c r="EI45" s="7"/>
      <c r="EJ45" s="7"/>
      <c r="EK45" s="7"/>
      <c r="EL45" s="7"/>
      <c r="EM45" s="7"/>
      <c r="EN45" s="7"/>
      <c r="EO45" s="7"/>
      <c r="EP45" s="7"/>
      <c r="EQ45" s="7"/>
      <c r="ER45" s="7"/>
      <c r="ES45" s="7"/>
      <c r="ET45" s="7"/>
      <c r="EU45" s="7"/>
      <c r="EV45" s="7"/>
      <c r="EW45" s="7"/>
      <c r="EX45" s="7"/>
      <c r="EY45" s="7"/>
      <c r="EZ45" s="7"/>
      <c r="FA45" s="6"/>
      <c r="FB45" s="6"/>
      <c r="FC45" s="6"/>
    </row>
    <row r="46" spans="1:159" s="13" customFormat="1" x14ac:dyDescent="0.25">
      <c r="A46" s="12" t="s">
        <v>32</v>
      </c>
      <c r="B46" s="11" t="s">
        <v>36</v>
      </c>
      <c r="C46" s="10" t="s">
        <v>35</v>
      </c>
      <c r="D46" s="9">
        <v>1</v>
      </c>
      <c r="E46" s="9">
        <v>1</v>
      </c>
      <c r="F46" s="7">
        <v>20</v>
      </c>
      <c r="G46" s="7">
        <v>1</v>
      </c>
      <c r="H46" s="7">
        <v>2</v>
      </c>
      <c r="I46" s="7">
        <v>23</v>
      </c>
      <c r="J46" s="7">
        <v>5</v>
      </c>
      <c r="K46" s="7">
        <v>20</v>
      </c>
      <c r="L46" s="7">
        <v>1</v>
      </c>
      <c r="M46" s="7">
        <v>2</v>
      </c>
      <c r="N46" s="7">
        <v>23</v>
      </c>
      <c r="O46" s="7">
        <v>28</v>
      </c>
      <c r="P46" s="7">
        <v>1</v>
      </c>
      <c r="Q46" s="7">
        <v>0</v>
      </c>
      <c r="R46" s="7">
        <v>0</v>
      </c>
      <c r="S46" s="7">
        <v>2</v>
      </c>
      <c r="T46" s="7">
        <v>1</v>
      </c>
      <c r="U46" s="7">
        <v>9</v>
      </c>
      <c r="V46" s="7">
        <v>5</v>
      </c>
      <c r="W46" s="7">
        <v>0</v>
      </c>
      <c r="X46" s="7">
        <v>2</v>
      </c>
      <c r="Y46" s="7">
        <v>0</v>
      </c>
      <c r="Z46" s="7">
        <v>1</v>
      </c>
      <c r="AA46" s="7">
        <v>0</v>
      </c>
      <c r="AB46" s="7">
        <v>1</v>
      </c>
      <c r="AC46" s="7">
        <v>0</v>
      </c>
      <c r="AD46" s="7">
        <v>4</v>
      </c>
      <c r="AE46" s="7">
        <v>50</v>
      </c>
      <c r="AF46" s="7">
        <v>9</v>
      </c>
      <c r="AG46" s="7">
        <v>12</v>
      </c>
      <c r="AH46" s="7">
        <v>0</v>
      </c>
      <c r="AI46" s="7">
        <v>0</v>
      </c>
      <c r="AJ46" s="7">
        <v>8</v>
      </c>
      <c r="AK46" s="7">
        <v>9</v>
      </c>
      <c r="AL46" s="7">
        <v>4</v>
      </c>
      <c r="AM46" s="7">
        <v>12</v>
      </c>
      <c r="AN46" s="7">
        <v>0</v>
      </c>
      <c r="AO46" s="7">
        <v>12</v>
      </c>
      <c r="AP46" s="7">
        <v>0</v>
      </c>
      <c r="AQ46" s="7">
        <v>13</v>
      </c>
      <c r="AR46" s="7">
        <v>0</v>
      </c>
      <c r="AS46" s="7">
        <v>12</v>
      </c>
      <c r="AT46" s="7">
        <v>0</v>
      </c>
      <c r="AU46" s="7">
        <v>53</v>
      </c>
      <c r="AV46" s="7">
        <v>7</v>
      </c>
      <c r="AW46" s="7">
        <v>2</v>
      </c>
      <c r="AX46" s="7">
        <v>6</v>
      </c>
      <c r="AY46" s="7">
        <v>12</v>
      </c>
      <c r="AZ46" s="7">
        <v>12</v>
      </c>
      <c r="BA46" s="112">
        <f t="shared" si="0"/>
        <v>21</v>
      </c>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8"/>
      <c r="DX46" s="8"/>
      <c r="DY46" s="8"/>
      <c r="DZ46" s="8"/>
      <c r="EA46" s="8"/>
      <c r="EB46" s="8"/>
      <c r="EC46" s="7"/>
      <c r="ED46" s="7"/>
      <c r="EE46" s="7"/>
      <c r="EF46" s="7"/>
      <c r="EG46" s="7"/>
      <c r="EH46" s="7"/>
      <c r="EI46" s="7"/>
      <c r="EJ46" s="7"/>
      <c r="EK46" s="7"/>
      <c r="EL46" s="7"/>
      <c r="EM46" s="7"/>
      <c r="EN46" s="7"/>
      <c r="EO46" s="7"/>
      <c r="EP46" s="7"/>
      <c r="EQ46" s="7"/>
      <c r="ER46" s="7"/>
      <c r="ES46" s="7"/>
      <c r="ET46" s="7"/>
      <c r="EU46" s="7"/>
      <c r="EV46" s="7"/>
      <c r="EW46" s="7"/>
      <c r="EX46" s="7"/>
      <c r="EY46" s="7"/>
      <c r="EZ46" s="7"/>
      <c r="FA46" s="6"/>
      <c r="FB46" s="6"/>
      <c r="FC46" s="6"/>
    </row>
    <row r="47" spans="1:159" s="13" customFormat="1" x14ac:dyDescent="0.25">
      <c r="A47" s="12" t="s">
        <v>32</v>
      </c>
      <c r="B47" s="11" t="s">
        <v>34</v>
      </c>
      <c r="C47" s="10" t="s">
        <v>33</v>
      </c>
      <c r="D47" s="9">
        <v>1</v>
      </c>
      <c r="E47" s="9">
        <v>1</v>
      </c>
      <c r="F47" s="7">
        <v>23</v>
      </c>
      <c r="G47" s="7">
        <v>8</v>
      </c>
      <c r="H47" s="7">
        <v>2</v>
      </c>
      <c r="I47" s="7">
        <v>33</v>
      </c>
      <c r="J47" s="7">
        <v>0</v>
      </c>
      <c r="K47" s="7">
        <v>23</v>
      </c>
      <c r="L47" s="7">
        <v>8</v>
      </c>
      <c r="M47" s="7">
        <v>2</v>
      </c>
      <c r="N47" s="7">
        <v>33</v>
      </c>
      <c r="O47" s="7">
        <v>42</v>
      </c>
      <c r="P47" s="7">
        <v>2</v>
      </c>
      <c r="Q47" s="7">
        <v>0</v>
      </c>
      <c r="R47" s="7">
        <v>0</v>
      </c>
      <c r="S47" s="7">
        <v>2</v>
      </c>
      <c r="T47" s="7">
        <v>7</v>
      </c>
      <c r="U47" s="7">
        <v>0</v>
      </c>
      <c r="V47" s="7">
        <v>5</v>
      </c>
      <c r="W47" s="7">
        <v>0</v>
      </c>
      <c r="X47" s="7">
        <v>3</v>
      </c>
      <c r="Y47" s="7">
        <v>2</v>
      </c>
      <c r="Z47" s="7">
        <v>1</v>
      </c>
      <c r="AA47" s="7">
        <v>1</v>
      </c>
      <c r="AB47" s="7">
        <v>1</v>
      </c>
      <c r="AC47" s="7">
        <v>0</v>
      </c>
      <c r="AD47" s="7">
        <v>8</v>
      </c>
      <c r="AE47" s="7">
        <v>66</v>
      </c>
      <c r="AF47" s="7">
        <v>8</v>
      </c>
      <c r="AG47" s="7">
        <v>11</v>
      </c>
      <c r="AH47" s="7">
        <v>0</v>
      </c>
      <c r="AI47" s="7">
        <v>0</v>
      </c>
      <c r="AJ47" s="7">
        <v>3</v>
      </c>
      <c r="AK47" s="7">
        <v>8</v>
      </c>
      <c r="AL47" s="7">
        <v>0</v>
      </c>
      <c r="AM47" s="7">
        <v>8</v>
      </c>
      <c r="AN47" s="7">
        <v>0</v>
      </c>
      <c r="AO47" s="7">
        <v>8</v>
      </c>
      <c r="AP47" s="7">
        <v>12</v>
      </c>
      <c r="AQ47" s="7">
        <v>8</v>
      </c>
      <c r="AR47" s="7">
        <v>9</v>
      </c>
      <c r="AS47" s="7">
        <v>10</v>
      </c>
      <c r="AT47" s="7">
        <v>0</v>
      </c>
      <c r="AU47" s="7">
        <v>118</v>
      </c>
      <c r="AV47" s="7">
        <v>9</v>
      </c>
      <c r="AW47" s="7">
        <v>4</v>
      </c>
      <c r="AX47" s="7">
        <v>5</v>
      </c>
      <c r="AY47" s="7">
        <v>11</v>
      </c>
      <c r="AZ47" s="7">
        <v>10</v>
      </c>
      <c r="BA47" s="112">
        <f t="shared" si="0"/>
        <v>22</v>
      </c>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8"/>
      <c r="DX47" s="8"/>
      <c r="DY47" s="8"/>
      <c r="DZ47" s="8"/>
      <c r="EA47" s="8"/>
      <c r="EB47" s="8"/>
      <c r="EC47" s="7"/>
      <c r="ED47" s="7"/>
      <c r="EE47" s="7"/>
      <c r="EF47" s="7"/>
      <c r="EG47" s="7"/>
      <c r="EH47" s="7"/>
      <c r="EI47" s="7"/>
      <c r="EJ47" s="7"/>
      <c r="EK47" s="7"/>
      <c r="EL47" s="7"/>
      <c r="EM47" s="7"/>
      <c r="EN47" s="7"/>
      <c r="EO47" s="7"/>
      <c r="EP47" s="7"/>
      <c r="EQ47" s="7"/>
      <c r="ER47" s="7"/>
      <c r="ES47" s="7"/>
      <c r="ET47" s="7"/>
      <c r="EU47" s="7"/>
      <c r="EV47" s="7"/>
      <c r="EW47" s="7"/>
      <c r="EX47" s="7"/>
      <c r="EY47" s="7"/>
      <c r="EZ47" s="7"/>
      <c r="FA47" s="6"/>
      <c r="FB47" s="6"/>
      <c r="FC47" s="6"/>
    </row>
    <row r="48" spans="1:159" s="13" customFormat="1" x14ac:dyDescent="0.25">
      <c r="A48" s="12" t="s">
        <v>32</v>
      </c>
      <c r="B48" s="11" t="s">
        <v>31</v>
      </c>
      <c r="C48" s="10" t="s">
        <v>30</v>
      </c>
      <c r="D48" s="9">
        <v>1</v>
      </c>
      <c r="E48" s="9">
        <v>1</v>
      </c>
      <c r="F48" s="7">
        <v>18</v>
      </c>
      <c r="G48" s="7">
        <v>0</v>
      </c>
      <c r="H48" s="7">
        <v>6</v>
      </c>
      <c r="I48" s="7">
        <v>24</v>
      </c>
      <c r="J48" s="13" t="s">
        <v>3</v>
      </c>
      <c r="K48" s="13" t="s">
        <v>3</v>
      </c>
      <c r="L48" s="13" t="s">
        <v>3</v>
      </c>
      <c r="M48" s="13" t="s">
        <v>3</v>
      </c>
      <c r="N48" s="13" t="s">
        <v>3</v>
      </c>
      <c r="O48" s="7">
        <v>34</v>
      </c>
      <c r="P48" s="7">
        <v>2</v>
      </c>
      <c r="Q48" s="7">
        <v>0</v>
      </c>
      <c r="R48" s="7">
        <v>0</v>
      </c>
      <c r="S48" s="7">
        <v>1</v>
      </c>
      <c r="T48" s="7">
        <v>7</v>
      </c>
      <c r="U48" s="7">
        <v>2</v>
      </c>
      <c r="V48" s="7">
        <v>4</v>
      </c>
      <c r="W48" s="7">
        <v>0</v>
      </c>
      <c r="X48" s="7">
        <v>0</v>
      </c>
      <c r="Y48" s="7">
        <v>1</v>
      </c>
      <c r="Z48" s="7">
        <v>2</v>
      </c>
      <c r="AA48" s="7">
        <v>0</v>
      </c>
      <c r="AB48" s="7">
        <v>2</v>
      </c>
      <c r="AC48" s="7">
        <v>0</v>
      </c>
      <c r="AD48" s="7">
        <v>5</v>
      </c>
      <c r="AE48" s="7">
        <v>55</v>
      </c>
      <c r="AF48" s="7">
        <v>7</v>
      </c>
      <c r="AG48" s="7">
        <v>12</v>
      </c>
      <c r="AH48" s="7">
        <v>0</v>
      </c>
      <c r="AI48" s="7">
        <v>0</v>
      </c>
      <c r="AJ48" s="7" t="s">
        <v>3</v>
      </c>
      <c r="AK48" s="7">
        <v>5</v>
      </c>
      <c r="AL48" s="7">
        <v>9</v>
      </c>
      <c r="AM48" s="7">
        <v>16</v>
      </c>
      <c r="AN48" s="7">
        <v>0</v>
      </c>
      <c r="AO48" s="7">
        <v>0</v>
      </c>
      <c r="AP48" s="7">
        <v>9</v>
      </c>
      <c r="AQ48" s="7">
        <v>9</v>
      </c>
      <c r="AR48" s="7">
        <v>0</v>
      </c>
      <c r="AS48" s="7">
        <v>10</v>
      </c>
      <c r="AT48" s="7">
        <v>0</v>
      </c>
      <c r="AU48" s="7">
        <v>137</v>
      </c>
      <c r="AV48" s="7">
        <v>5</v>
      </c>
      <c r="AW48" s="7">
        <v>2</v>
      </c>
      <c r="AX48" s="7">
        <v>4</v>
      </c>
      <c r="AY48" s="7">
        <v>12</v>
      </c>
      <c r="AZ48" s="7">
        <v>7</v>
      </c>
      <c r="BA48" s="112">
        <f t="shared" si="0"/>
        <v>19</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8"/>
      <c r="DX48" s="8"/>
      <c r="DY48" s="8"/>
      <c r="DZ48" s="8"/>
      <c r="EA48" s="8"/>
      <c r="EB48" s="8"/>
      <c r="EC48" s="7"/>
      <c r="ED48" s="7"/>
      <c r="EE48" s="7"/>
      <c r="EF48" s="7"/>
      <c r="EG48" s="7"/>
      <c r="EH48" s="7"/>
      <c r="EI48" s="7"/>
      <c r="EJ48" s="7"/>
      <c r="EK48" s="7"/>
      <c r="EL48" s="7"/>
      <c r="EM48" s="7"/>
      <c r="EN48" s="7"/>
      <c r="EO48" s="7"/>
      <c r="EP48" s="7"/>
      <c r="EQ48" s="7"/>
      <c r="ER48" s="7"/>
      <c r="ES48" s="7"/>
      <c r="ET48" s="7"/>
      <c r="EU48" s="7"/>
      <c r="EV48" s="7"/>
      <c r="EW48" s="7"/>
      <c r="EX48" s="7"/>
      <c r="EY48" s="7"/>
      <c r="EZ48" s="7"/>
      <c r="FA48" s="6"/>
      <c r="FB48" s="6"/>
      <c r="FC48" s="6"/>
    </row>
    <row r="49" spans="1:159" s="13" customFormat="1" x14ac:dyDescent="0.25">
      <c r="A49" s="16" t="s">
        <v>17</v>
      </c>
      <c r="B49" s="15" t="s">
        <v>29</v>
      </c>
      <c r="C49" s="14" t="s">
        <v>28</v>
      </c>
      <c r="D49" s="9">
        <v>1</v>
      </c>
      <c r="E49" s="9">
        <v>1</v>
      </c>
      <c r="F49" s="7">
        <v>1</v>
      </c>
      <c r="G49" s="7">
        <v>35</v>
      </c>
      <c r="H49" s="7">
        <v>5</v>
      </c>
      <c r="I49" s="7">
        <v>41</v>
      </c>
      <c r="J49" s="7">
        <v>12</v>
      </c>
      <c r="K49" s="7">
        <v>1</v>
      </c>
      <c r="L49" s="7">
        <v>35</v>
      </c>
      <c r="M49" s="7">
        <v>5</v>
      </c>
      <c r="N49" s="7">
        <v>41</v>
      </c>
      <c r="O49" s="7">
        <v>72</v>
      </c>
      <c r="P49" s="7">
        <v>0</v>
      </c>
      <c r="Q49" s="7">
        <v>7</v>
      </c>
      <c r="R49" s="7">
        <v>0</v>
      </c>
      <c r="S49" s="7">
        <v>3</v>
      </c>
      <c r="T49" s="7">
        <v>4</v>
      </c>
      <c r="U49" s="7">
        <v>6</v>
      </c>
      <c r="V49" s="7">
        <v>8</v>
      </c>
      <c r="W49" s="7">
        <v>1</v>
      </c>
      <c r="X49" s="7">
        <v>2</v>
      </c>
      <c r="Y49" s="7">
        <v>0</v>
      </c>
      <c r="Z49" s="7">
        <v>3</v>
      </c>
      <c r="AA49" s="7">
        <v>1</v>
      </c>
      <c r="AB49" s="7">
        <v>0</v>
      </c>
      <c r="AC49" s="7">
        <v>0</v>
      </c>
      <c r="AD49" s="7">
        <v>7</v>
      </c>
      <c r="AE49" s="7">
        <v>107</v>
      </c>
      <c r="AF49" s="7">
        <v>11</v>
      </c>
      <c r="AG49" s="7">
        <v>0</v>
      </c>
      <c r="AH49" s="7">
        <v>14</v>
      </c>
      <c r="AI49" s="7">
        <v>0</v>
      </c>
      <c r="AJ49" s="7">
        <v>9</v>
      </c>
      <c r="AK49" s="7">
        <v>11</v>
      </c>
      <c r="AL49" s="7">
        <v>0</v>
      </c>
      <c r="AM49" s="7">
        <v>5</v>
      </c>
      <c r="AN49" s="7">
        <v>8</v>
      </c>
      <c r="AO49" s="7">
        <v>12</v>
      </c>
      <c r="AP49" s="7">
        <v>0</v>
      </c>
      <c r="AQ49" s="7">
        <v>9</v>
      </c>
      <c r="AR49" s="7">
        <v>9</v>
      </c>
      <c r="AS49" s="7">
        <v>0</v>
      </c>
      <c r="AT49" s="7">
        <v>0</v>
      </c>
      <c r="AU49" s="7">
        <v>157</v>
      </c>
      <c r="AV49" s="7">
        <v>14</v>
      </c>
      <c r="AW49" s="7">
        <v>7</v>
      </c>
      <c r="AX49" s="7">
        <v>10</v>
      </c>
      <c r="AY49" s="7">
        <v>15</v>
      </c>
      <c r="AZ49" s="7">
        <v>15</v>
      </c>
      <c r="BA49" s="112">
        <f t="shared" si="0"/>
        <v>28</v>
      </c>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8"/>
      <c r="DX49" s="8"/>
      <c r="DY49" s="8"/>
      <c r="DZ49" s="8"/>
      <c r="EA49" s="8"/>
      <c r="EB49" s="8"/>
      <c r="EC49" s="7"/>
      <c r="ED49" s="7"/>
      <c r="EE49" s="7"/>
      <c r="EF49" s="7"/>
      <c r="EG49" s="7"/>
      <c r="EH49" s="7"/>
      <c r="EI49" s="7"/>
      <c r="EJ49" s="7"/>
      <c r="EK49" s="7"/>
      <c r="EL49" s="7"/>
      <c r="EM49" s="7"/>
      <c r="EN49" s="7"/>
      <c r="EO49" s="7"/>
      <c r="EP49" s="7"/>
      <c r="EQ49" s="7"/>
      <c r="ER49" s="7"/>
      <c r="ES49" s="7"/>
      <c r="ET49" s="7"/>
      <c r="EU49" s="7"/>
      <c r="EV49" s="7"/>
      <c r="EW49" s="7"/>
      <c r="EX49" s="7"/>
      <c r="EY49" s="7"/>
      <c r="EZ49" s="7"/>
      <c r="FA49" s="6"/>
      <c r="FB49" s="6"/>
      <c r="FC49" s="6"/>
    </row>
    <row r="50" spans="1:159" s="13" customFormat="1" x14ac:dyDescent="0.25">
      <c r="A50" s="16" t="s">
        <v>17</v>
      </c>
      <c r="B50" s="15" t="s">
        <v>27</v>
      </c>
      <c r="C50" s="14" t="s">
        <v>26</v>
      </c>
      <c r="D50" s="9">
        <v>1</v>
      </c>
      <c r="E50" s="9">
        <v>1</v>
      </c>
      <c r="F50" s="7">
        <v>0</v>
      </c>
      <c r="G50" s="7">
        <v>13</v>
      </c>
      <c r="H50" s="7">
        <v>9</v>
      </c>
      <c r="I50" s="7">
        <v>22</v>
      </c>
      <c r="J50" s="7">
        <v>9</v>
      </c>
      <c r="K50" s="7">
        <v>0</v>
      </c>
      <c r="L50" s="7">
        <v>13</v>
      </c>
      <c r="M50" s="7">
        <v>9</v>
      </c>
      <c r="N50" s="7">
        <v>22</v>
      </c>
      <c r="O50" s="7">
        <v>31</v>
      </c>
      <c r="P50" s="7">
        <v>0</v>
      </c>
      <c r="Q50" s="7">
        <v>4</v>
      </c>
      <c r="R50" s="7">
        <v>0</v>
      </c>
      <c r="S50" s="7">
        <v>3</v>
      </c>
      <c r="T50" s="7">
        <v>3</v>
      </c>
      <c r="U50" s="7">
        <v>0</v>
      </c>
      <c r="V50" s="7">
        <v>9</v>
      </c>
      <c r="W50" s="7">
        <v>5</v>
      </c>
      <c r="X50" s="7">
        <v>2</v>
      </c>
      <c r="Y50" s="7">
        <v>1</v>
      </c>
      <c r="Z50" s="7">
        <v>1</v>
      </c>
      <c r="AA50" s="7">
        <v>1</v>
      </c>
      <c r="AB50" s="7">
        <v>1</v>
      </c>
      <c r="AC50" s="7">
        <v>1</v>
      </c>
      <c r="AD50" s="7">
        <v>12</v>
      </c>
      <c r="AE50" s="7">
        <v>62</v>
      </c>
      <c r="AF50" s="7">
        <v>8</v>
      </c>
      <c r="AG50" s="7">
        <v>0</v>
      </c>
      <c r="AH50" s="7">
        <v>13</v>
      </c>
      <c r="AI50" s="7">
        <v>0</v>
      </c>
      <c r="AJ50" s="7">
        <v>8</v>
      </c>
      <c r="AK50" s="7">
        <v>7</v>
      </c>
      <c r="AL50" s="7">
        <v>0</v>
      </c>
      <c r="AM50" s="7">
        <v>12</v>
      </c>
      <c r="AN50" s="7">
        <v>12</v>
      </c>
      <c r="AO50" s="7">
        <v>12</v>
      </c>
      <c r="AP50" s="7">
        <v>13</v>
      </c>
      <c r="AQ50" s="7">
        <v>13</v>
      </c>
      <c r="AR50" s="7">
        <v>10</v>
      </c>
      <c r="AS50" s="7" t="s">
        <v>3</v>
      </c>
      <c r="AT50" s="7" t="s">
        <v>3</v>
      </c>
      <c r="AU50" s="7">
        <v>147</v>
      </c>
      <c r="AV50" s="7">
        <v>12</v>
      </c>
      <c r="AW50" s="7">
        <v>6</v>
      </c>
      <c r="AX50" s="7">
        <v>8</v>
      </c>
      <c r="AY50" s="7">
        <v>12</v>
      </c>
      <c r="AZ50" s="7">
        <v>13</v>
      </c>
      <c r="BA50" s="112">
        <f t="shared" si="0"/>
        <v>27</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8"/>
      <c r="DX50" s="8"/>
      <c r="DY50" s="8"/>
      <c r="DZ50" s="8"/>
      <c r="EA50" s="8"/>
      <c r="EB50" s="8"/>
      <c r="EC50" s="7"/>
      <c r="ED50" s="7"/>
      <c r="EE50" s="7"/>
      <c r="EF50" s="7"/>
      <c r="EG50" s="7"/>
      <c r="EH50" s="7"/>
      <c r="EI50" s="7"/>
      <c r="EJ50" s="7"/>
      <c r="EK50" s="7"/>
      <c r="EL50" s="7"/>
      <c r="EM50" s="7"/>
      <c r="EN50" s="7"/>
      <c r="EO50" s="7"/>
      <c r="EP50" s="7"/>
      <c r="EQ50" s="7"/>
      <c r="ER50" s="7"/>
      <c r="ES50" s="7"/>
      <c r="ET50" s="7"/>
      <c r="EU50" s="7"/>
      <c r="EV50" s="7"/>
      <c r="EW50" s="7"/>
      <c r="EX50" s="7"/>
      <c r="EY50" s="7"/>
      <c r="EZ50" s="7"/>
      <c r="FA50" s="6"/>
      <c r="FB50" s="6"/>
      <c r="FC50" s="6"/>
    </row>
    <row r="51" spans="1:159" s="13" customFormat="1" x14ac:dyDescent="0.25">
      <c r="A51" s="16" t="s">
        <v>17</v>
      </c>
      <c r="B51" s="15" t="s">
        <v>25</v>
      </c>
      <c r="C51" s="14" t="s">
        <v>24</v>
      </c>
      <c r="D51" s="9">
        <v>1</v>
      </c>
      <c r="E51" s="9">
        <v>1</v>
      </c>
      <c r="F51" s="7">
        <v>4</v>
      </c>
      <c r="G51" s="7">
        <v>14</v>
      </c>
      <c r="H51" s="7">
        <v>3</v>
      </c>
      <c r="I51" s="7">
        <v>21</v>
      </c>
      <c r="J51" s="7">
        <v>1</v>
      </c>
      <c r="K51" s="7">
        <v>4</v>
      </c>
      <c r="L51" s="7">
        <v>14</v>
      </c>
      <c r="M51" s="7">
        <v>3</v>
      </c>
      <c r="N51" s="7">
        <v>21</v>
      </c>
      <c r="O51" s="7">
        <v>28</v>
      </c>
      <c r="P51" s="7">
        <v>0</v>
      </c>
      <c r="Q51" s="7">
        <v>2</v>
      </c>
      <c r="R51" s="7">
        <v>0</v>
      </c>
      <c r="S51" s="7">
        <v>0</v>
      </c>
      <c r="T51" s="7">
        <v>1</v>
      </c>
      <c r="U51" s="7">
        <v>3</v>
      </c>
      <c r="V51" s="7">
        <v>0</v>
      </c>
      <c r="W51" s="7">
        <v>0</v>
      </c>
      <c r="X51" s="7">
        <v>1</v>
      </c>
      <c r="Y51" s="7">
        <v>1</v>
      </c>
      <c r="Z51" s="7">
        <v>2</v>
      </c>
      <c r="AA51" s="7">
        <v>1</v>
      </c>
      <c r="AB51" s="7">
        <v>1</v>
      </c>
      <c r="AC51" s="7">
        <v>0</v>
      </c>
      <c r="AD51" s="7">
        <v>6</v>
      </c>
      <c r="AE51" s="7">
        <v>40</v>
      </c>
      <c r="AF51" s="7">
        <v>7</v>
      </c>
      <c r="AG51" s="7">
        <v>0</v>
      </c>
      <c r="AH51" s="7">
        <v>11</v>
      </c>
      <c r="AI51" s="7">
        <v>0</v>
      </c>
      <c r="AJ51" s="7">
        <v>0</v>
      </c>
      <c r="AK51" s="7">
        <v>6</v>
      </c>
      <c r="AL51" s="7">
        <v>4</v>
      </c>
      <c r="AM51" s="7">
        <v>0</v>
      </c>
      <c r="AN51" s="7">
        <v>0</v>
      </c>
      <c r="AO51" s="7">
        <v>11</v>
      </c>
      <c r="AP51" s="7">
        <v>11</v>
      </c>
      <c r="AQ51" s="7">
        <v>7</v>
      </c>
      <c r="AR51" s="7">
        <v>8</v>
      </c>
      <c r="AS51" s="7">
        <v>8</v>
      </c>
      <c r="AT51" s="7">
        <v>0</v>
      </c>
      <c r="AU51" s="7">
        <v>145</v>
      </c>
      <c r="AV51" s="7">
        <v>2</v>
      </c>
      <c r="AW51" s="7">
        <v>8</v>
      </c>
      <c r="AX51" s="7">
        <v>8</v>
      </c>
      <c r="AY51" s="7">
        <v>12</v>
      </c>
      <c r="AZ51" s="7">
        <v>12</v>
      </c>
      <c r="BA51" s="112">
        <f t="shared" si="0"/>
        <v>10</v>
      </c>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8"/>
      <c r="DX51" s="8"/>
      <c r="DY51" s="8"/>
      <c r="DZ51" s="8"/>
      <c r="EA51" s="8"/>
      <c r="EB51" s="8"/>
      <c r="EC51" s="7"/>
      <c r="ED51" s="7"/>
      <c r="EE51" s="7"/>
      <c r="EF51" s="7"/>
      <c r="EG51" s="7"/>
      <c r="EH51" s="7"/>
      <c r="EI51" s="7"/>
      <c r="EJ51" s="7"/>
      <c r="EK51" s="7"/>
      <c r="EL51" s="7"/>
      <c r="EM51" s="7"/>
      <c r="EN51" s="7"/>
      <c r="EO51" s="7"/>
      <c r="EP51" s="7"/>
      <c r="EQ51" s="7"/>
      <c r="ER51" s="7"/>
      <c r="ES51" s="7"/>
      <c r="ET51" s="7"/>
      <c r="EU51" s="7"/>
      <c r="EV51" s="7"/>
      <c r="EW51" s="7"/>
      <c r="EX51" s="7"/>
      <c r="EY51" s="7"/>
      <c r="EZ51" s="7"/>
      <c r="FA51" s="6"/>
      <c r="FB51" s="6"/>
      <c r="FC51" s="6"/>
    </row>
    <row r="52" spans="1:159" s="13" customFormat="1" x14ac:dyDescent="0.25">
      <c r="A52" s="16" t="s">
        <v>17</v>
      </c>
      <c r="B52" s="15" t="s">
        <v>23</v>
      </c>
      <c r="C52" s="14" t="s">
        <v>22</v>
      </c>
      <c r="D52" s="9">
        <v>1</v>
      </c>
      <c r="E52" s="9">
        <v>1</v>
      </c>
      <c r="F52" s="7">
        <v>1</v>
      </c>
      <c r="G52" s="7">
        <v>16</v>
      </c>
      <c r="H52" s="7">
        <v>0</v>
      </c>
      <c r="I52" s="7">
        <v>17</v>
      </c>
      <c r="J52" s="7">
        <v>10</v>
      </c>
      <c r="K52" s="7">
        <v>1</v>
      </c>
      <c r="L52" s="7">
        <v>16</v>
      </c>
      <c r="M52" s="7">
        <v>0</v>
      </c>
      <c r="N52" s="7">
        <v>17</v>
      </c>
      <c r="O52" s="7">
        <v>30</v>
      </c>
      <c r="P52" s="7">
        <v>0</v>
      </c>
      <c r="Q52" s="7">
        <v>3</v>
      </c>
      <c r="R52" s="7">
        <v>1</v>
      </c>
      <c r="S52" s="7">
        <v>0</v>
      </c>
      <c r="T52" s="7">
        <v>3</v>
      </c>
      <c r="U52" s="7">
        <v>5</v>
      </c>
      <c r="V52" s="7">
        <v>1</v>
      </c>
      <c r="W52" s="7">
        <v>3</v>
      </c>
      <c r="X52" s="7">
        <v>1</v>
      </c>
      <c r="Y52" s="7">
        <v>1</v>
      </c>
      <c r="Z52" s="7">
        <v>1</v>
      </c>
      <c r="AA52" s="7">
        <v>1</v>
      </c>
      <c r="AB52" s="7">
        <v>3</v>
      </c>
      <c r="AC52" s="7">
        <v>0</v>
      </c>
      <c r="AD52" s="7">
        <v>10</v>
      </c>
      <c r="AE52" s="7">
        <v>53</v>
      </c>
      <c r="AF52" s="7">
        <v>8.3000000000000007</v>
      </c>
      <c r="AG52" s="7">
        <v>0</v>
      </c>
      <c r="AH52" s="7">
        <v>13.7</v>
      </c>
      <c r="AI52" s="7">
        <v>12</v>
      </c>
      <c r="AJ52" s="7">
        <v>0</v>
      </c>
      <c r="AK52" s="7">
        <v>4</v>
      </c>
      <c r="AL52" s="7">
        <v>1</v>
      </c>
      <c r="AM52" s="7">
        <v>16</v>
      </c>
      <c r="AN52" s="7">
        <v>12</v>
      </c>
      <c r="AO52" s="7">
        <v>10</v>
      </c>
      <c r="AP52" s="7">
        <v>12</v>
      </c>
      <c r="AQ52" s="7">
        <v>16</v>
      </c>
      <c r="AR52" s="7">
        <v>10</v>
      </c>
      <c r="AS52" s="7">
        <v>12</v>
      </c>
      <c r="AT52" s="7">
        <v>0</v>
      </c>
      <c r="AU52" s="7">
        <v>105</v>
      </c>
      <c r="AV52" s="7">
        <v>6</v>
      </c>
      <c r="AW52" s="7">
        <v>13</v>
      </c>
      <c r="AX52" s="7">
        <v>5.3</v>
      </c>
      <c r="AY52" s="7">
        <v>13.7</v>
      </c>
      <c r="AZ52" s="7">
        <v>15.2</v>
      </c>
      <c r="BA52" s="112">
        <f t="shared" si="0"/>
        <v>20</v>
      </c>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8"/>
      <c r="DX52" s="8"/>
      <c r="DY52" s="8"/>
      <c r="DZ52" s="8"/>
      <c r="EA52" s="8"/>
      <c r="EB52" s="8"/>
      <c r="EC52" s="7"/>
      <c r="ED52" s="7"/>
      <c r="EE52" s="7"/>
      <c r="EF52" s="7"/>
      <c r="EG52" s="7"/>
      <c r="EH52" s="7"/>
      <c r="EI52" s="7"/>
      <c r="EJ52" s="7"/>
      <c r="EK52" s="7"/>
      <c r="EL52" s="7"/>
      <c r="EM52" s="7"/>
      <c r="EN52" s="7"/>
      <c r="EO52" s="7"/>
      <c r="EP52" s="7"/>
      <c r="EQ52" s="7"/>
      <c r="ER52" s="7"/>
      <c r="ES52" s="7"/>
      <c r="ET52" s="7"/>
      <c r="EU52" s="7"/>
      <c r="EV52" s="7"/>
      <c r="EW52" s="7"/>
      <c r="EX52" s="7"/>
      <c r="EY52" s="7"/>
      <c r="EZ52" s="7"/>
      <c r="FA52" s="6"/>
      <c r="FB52" s="6"/>
      <c r="FC52" s="6"/>
    </row>
    <row r="53" spans="1:159" s="13" customFormat="1" x14ac:dyDescent="0.25">
      <c r="A53" s="16" t="s">
        <v>17</v>
      </c>
      <c r="B53" s="15" t="s">
        <v>21</v>
      </c>
      <c r="C53" s="14" t="s">
        <v>20</v>
      </c>
      <c r="D53" s="9">
        <v>1</v>
      </c>
      <c r="E53" s="9">
        <v>1</v>
      </c>
      <c r="F53" s="7">
        <v>0</v>
      </c>
      <c r="G53" s="7">
        <v>38</v>
      </c>
      <c r="H53" s="7">
        <v>0</v>
      </c>
      <c r="I53" s="7">
        <v>38</v>
      </c>
      <c r="J53" s="7">
        <v>24</v>
      </c>
      <c r="K53" s="7">
        <v>0</v>
      </c>
      <c r="L53" s="7">
        <v>38</v>
      </c>
      <c r="M53" s="7">
        <v>0</v>
      </c>
      <c r="N53" s="7">
        <v>38</v>
      </c>
      <c r="O53" s="7">
        <v>41</v>
      </c>
      <c r="P53" s="7">
        <v>4</v>
      </c>
      <c r="Q53" s="7">
        <v>0</v>
      </c>
      <c r="R53" s="7">
        <v>0</v>
      </c>
      <c r="S53" s="7">
        <v>0</v>
      </c>
      <c r="T53" s="7">
        <v>3</v>
      </c>
      <c r="U53" s="7">
        <v>19</v>
      </c>
      <c r="V53" s="7">
        <v>2</v>
      </c>
      <c r="W53" s="7">
        <v>7</v>
      </c>
      <c r="X53" s="7">
        <v>1</v>
      </c>
      <c r="Y53" s="7">
        <v>2</v>
      </c>
      <c r="Z53" s="7">
        <v>0</v>
      </c>
      <c r="AA53" s="7">
        <v>2</v>
      </c>
      <c r="AB53" s="7">
        <v>0</v>
      </c>
      <c r="AC53" s="7">
        <v>0</v>
      </c>
      <c r="AD53" s="7">
        <v>12</v>
      </c>
      <c r="AE53" s="7">
        <v>81</v>
      </c>
      <c r="AF53" s="7">
        <v>10</v>
      </c>
      <c r="AG53" s="7">
        <v>5</v>
      </c>
      <c r="AH53" s="7">
        <v>0</v>
      </c>
      <c r="AI53" s="7">
        <v>0</v>
      </c>
      <c r="AJ53" s="7">
        <v>0</v>
      </c>
      <c r="AK53" s="7">
        <v>9</v>
      </c>
      <c r="AL53" s="7">
        <v>2</v>
      </c>
      <c r="AM53" s="7">
        <v>7</v>
      </c>
      <c r="AN53" s="7">
        <v>12</v>
      </c>
      <c r="AO53" s="7">
        <v>12</v>
      </c>
      <c r="AP53" s="7">
        <v>12</v>
      </c>
      <c r="AQ53" s="7">
        <v>0</v>
      </c>
      <c r="AR53" s="7">
        <v>5</v>
      </c>
      <c r="AS53" s="7">
        <v>0</v>
      </c>
      <c r="AT53" s="7">
        <v>0</v>
      </c>
      <c r="AU53" s="7">
        <v>104</v>
      </c>
      <c r="AV53" s="7">
        <v>19</v>
      </c>
      <c r="AW53" s="7">
        <v>10</v>
      </c>
      <c r="AX53" s="7">
        <v>6</v>
      </c>
      <c r="AY53" s="7">
        <v>13</v>
      </c>
      <c r="AZ53" s="7">
        <v>14</v>
      </c>
      <c r="BA53" s="112">
        <f t="shared" si="0"/>
        <v>36</v>
      </c>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8"/>
      <c r="DX53" s="8"/>
      <c r="DY53" s="8"/>
      <c r="DZ53" s="8"/>
      <c r="EA53" s="8"/>
      <c r="EB53" s="8"/>
      <c r="EC53" s="7"/>
      <c r="ED53" s="7"/>
      <c r="EE53" s="7"/>
      <c r="EF53" s="7"/>
      <c r="EG53" s="7"/>
      <c r="EH53" s="7"/>
      <c r="EI53" s="7"/>
      <c r="EJ53" s="7"/>
      <c r="EK53" s="7"/>
      <c r="EL53" s="7"/>
      <c r="EM53" s="7"/>
      <c r="EN53" s="7"/>
      <c r="EO53" s="7"/>
      <c r="EP53" s="7"/>
      <c r="EQ53" s="7"/>
      <c r="ER53" s="7"/>
      <c r="ES53" s="7"/>
      <c r="ET53" s="7"/>
      <c r="EU53" s="7"/>
      <c r="EV53" s="7"/>
      <c r="EW53" s="7"/>
      <c r="EX53" s="7"/>
      <c r="EY53" s="7"/>
      <c r="EZ53" s="7"/>
      <c r="FA53" s="6"/>
      <c r="FB53" s="6"/>
      <c r="FC53" s="6"/>
    </row>
    <row r="54" spans="1:159" s="13" customFormat="1" x14ac:dyDescent="0.25">
      <c r="A54" s="16" t="s">
        <v>17</v>
      </c>
      <c r="B54" s="15" t="s">
        <v>19</v>
      </c>
      <c r="C54" s="14" t="s">
        <v>18</v>
      </c>
      <c r="D54" s="9">
        <v>1</v>
      </c>
      <c r="E54" s="9">
        <v>1</v>
      </c>
      <c r="F54" s="7">
        <v>8</v>
      </c>
      <c r="G54" s="7">
        <v>26</v>
      </c>
      <c r="H54" s="7">
        <v>7</v>
      </c>
      <c r="I54" s="7">
        <v>41</v>
      </c>
      <c r="J54" s="7">
        <v>2</v>
      </c>
      <c r="K54" s="7">
        <v>8</v>
      </c>
      <c r="L54" s="7">
        <v>25</v>
      </c>
      <c r="M54" s="7">
        <v>7</v>
      </c>
      <c r="N54" s="7">
        <v>40</v>
      </c>
      <c r="O54" s="7">
        <v>63</v>
      </c>
      <c r="P54" s="7">
        <v>5</v>
      </c>
      <c r="Q54" s="7">
        <v>3</v>
      </c>
      <c r="R54" s="7">
        <v>0</v>
      </c>
      <c r="S54" s="7">
        <v>0</v>
      </c>
      <c r="T54" s="7">
        <v>1</v>
      </c>
      <c r="U54" s="7">
        <v>2</v>
      </c>
      <c r="V54" s="7">
        <v>8</v>
      </c>
      <c r="W54" s="7">
        <v>6</v>
      </c>
      <c r="X54" s="7">
        <v>0</v>
      </c>
      <c r="Y54" s="7">
        <v>1</v>
      </c>
      <c r="Z54" s="7">
        <v>2</v>
      </c>
      <c r="AA54" s="7">
        <v>1</v>
      </c>
      <c r="AB54" s="7">
        <v>0</v>
      </c>
      <c r="AC54" s="7">
        <v>0</v>
      </c>
      <c r="AD54" s="7">
        <v>10</v>
      </c>
      <c r="AE54" s="7">
        <v>92</v>
      </c>
      <c r="AF54" s="7">
        <v>5.64</v>
      </c>
      <c r="AG54" s="7">
        <v>3.7</v>
      </c>
      <c r="AH54" s="7">
        <v>12.5</v>
      </c>
      <c r="AI54" s="7">
        <v>0</v>
      </c>
      <c r="AJ54" s="7">
        <v>0</v>
      </c>
      <c r="AK54" s="7">
        <v>4.5</v>
      </c>
      <c r="AL54" s="7">
        <v>3.5</v>
      </c>
      <c r="AM54" s="7">
        <v>7.75</v>
      </c>
      <c r="AN54" s="7">
        <v>11.5</v>
      </c>
      <c r="AO54" s="7">
        <v>0</v>
      </c>
      <c r="AP54" s="7">
        <v>12.5</v>
      </c>
      <c r="AQ54" s="7">
        <v>4</v>
      </c>
      <c r="AR54" s="7">
        <v>9.5</v>
      </c>
      <c r="AS54" s="7">
        <v>0</v>
      </c>
      <c r="AT54" s="7">
        <v>0</v>
      </c>
      <c r="AU54" s="7">
        <v>285</v>
      </c>
      <c r="AV54" s="7">
        <v>11</v>
      </c>
      <c r="AW54" s="7">
        <v>11</v>
      </c>
      <c r="AX54" s="7">
        <v>2.8</v>
      </c>
      <c r="AY54" s="7">
        <v>8.5</v>
      </c>
      <c r="AZ54" s="7">
        <v>7.2</v>
      </c>
      <c r="BA54" s="112">
        <f t="shared" si="0"/>
        <v>21</v>
      </c>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8"/>
      <c r="DX54" s="8"/>
      <c r="DY54" s="8"/>
      <c r="DZ54" s="8"/>
      <c r="EA54" s="8"/>
      <c r="EB54" s="8"/>
      <c r="EC54" s="7"/>
      <c r="ED54" s="7"/>
      <c r="EE54" s="7"/>
      <c r="EF54" s="7"/>
      <c r="EG54" s="7"/>
      <c r="EH54" s="7"/>
      <c r="EI54" s="7"/>
      <c r="EJ54" s="7"/>
      <c r="EK54" s="7"/>
      <c r="EL54" s="7"/>
      <c r="EM54" s="7"/>
      <c r="EN54" s="7"/>
      <c r="EO54" s="7"/>
      <c r="EP54" s="7"/>
      <c r="EQ54" s="7"/>
      <c r="ER54" s="7"/>
      <c r="ES54" s="7"/>
      <c r="ET54" s="7"/>
      <c r="EU54" s="7"/>
      <c r="EV54" s="7"/>
      <c r="EW54" s="7"/>
      <c r="EX54" s="7"/>
      <c r="EY54" s="7"/>
      <c r="EZ54" s="7"/>
      <c r="FA54" s="6"/>
      <c r="FB54" s="6"/>
      <c r="FC54" s="6"/>
    </row>
    <row r="55" spans="1:159" s="13" customFormat="1" x14ac:dyDescent="0.25">
      <c r="A55" s="16" t="s">
        <v>17</v>
      </c>
      <c r="B55" s="15" t="s">
        <v>16</v>
      </c>
      <c r="C55" s="14" t="s">
        <v>15</v>
      </c>
      <c r="D55" s="9">
        <v>1</v>
      </c>
      <c r="E55" s="9" t="s">
        <v>12</v>
      </c>
      <c r="F55" s="7">
        <v>0</v>
      </c>
      <c r="G55" s="7">
        <v>103</v>
      </c>
      <c r="H55" s="7">
        <v>0</v>
      </c>
      <c r="I55" s="7">
        <v>103</v>
      </c>
      <c r="J55" s="7">
        <v>0</v>
      </c>
      <c r="K55" s="7">
        <v>0</v>
      </c>
      <c r="L55" s="7">
        <v>100</v>
      </c>
      <c r="M55" s="7">
        <v>0</v>
      </c>
      <c r="N55" s="7">
        <v>100</v>
      </c>
      <c r="O55" s="7">
        <v>142</v>
      </c>
      <c r="P55" s="7">
        <v>0</v>
      </c>
      <c r="Q55" s="7">
        <v>11</v>
      </c>
      <c r="R55" s="7">
        <v>1</v>
      </c>
      <c r="S55" s="7">
        <v>0</v>
      </c>
      <c r="T55" s="7">
        <v>14</v>
      </c>
      <c r="U55" s="7">
        <v>1</v>
      </c>
      <c r="V55" s="7">
        <v>82</v>
      </c>
      <c r="W55" s="7">
        <v>4</v>
      </c>
      <c r="X55" s="7">
        <v>6</v>
      </c>
      <c r="Y55" s="7">
        <v>5</v>
      </c>
      <c r="Z55" s="7">
        <v>8</v>
      </c>
      <c r="AA55" s="7">
        <v>3</v>
      </c>
      <c r="AB55" s="7">
        <v>0</v>
      </c>
      <c r="AC55" s="7">
        <v>0</v>
      </c>
      <c r="AD55" s="7">
        <v>26</v>
      </c>
      <c r="AE55" s="7">
        <v>277</v>
      </c>
      <c r="AF55" s="7">
        <v>10</v>
      </c>
      <c r="AG55" s="7">
        <v>0</v>
      </c>
      <c r="AH55" s="7">
        <v>10</v>
      </c>
      <c r="AI55" s="7">
        <v>15</v>
      </c>
      <c r="AJ55" s="7">
        <v>0</v>
      </c>
      <c r="AK55" s="7">
        <v>9</v>
      </c>
      <c r="AL55" s="7">
        <v>13</v>
      </c>
      <c r="AM55" s="7">
        <v>9</v>
      </c>
      <c r="AN55" s="7">
        <v>9</v>
      </c>
      <c r="AO55" s="7">
        <v>9</v>
      </c>
      <c r="AP55" s="7">
        <v>13</v>
      </c>
      <c r="AQ55" s="7">
        <v>9</v>
      </c>
      <c r="AR55" s="7">
        <v>9</v>
      </c>
      <c r="AS55" s="7">
        <v>0</v>
      </c>
      <c r="AT55" s="7">
        <v>0</v>
      </c>
      <c r="AU55" s="7">
        <v>60</v>
      </c>
      <c r="AV55" s="7">
        <v>45</v>
      </c>
      <c r="AW55" s="7">
        <v>31</v>
      </c>
      <c r="AX55" s="7">
        <v>10</v>
      </c>
      <c r="AY55" s="7">
        <v>10</v>
      </c>
      <c r="AZ55" s="7">
        <v>11</v>
      </c>
      <c r="BA55" s="112">
        <f t="shared" si="0"/>
        <v>124</v>
      </c>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8"/>
      <c r="DX55" s="8"/>
      <c r="DY55" s="8"/>
      <c r="DZ55" s="8"/>
      <c r="EA55" s="8"/>
      <c r="EB55" s="8"/>
      <c r="EC55" s="7"/>
      <c r="ED55" s="7"/>
      <c r="EE55" s="7"/>
      <c r="EF55" s="7"/>
      <c r="EG55" s="7"/>
      <c r="EH55" s="7"/>
      <c r="EI55" s="7"/>
      <c r="EJ55" s="7"/>
      <c r="EK55" s="7"/>
      <c r="EL55" s="7"/>
      <c r="EM55" s="7"/>
      <c r="EN55" s="7"/>
      <c r="EO55" s="7"/>
      <c r="EP55" s="7"/>
      <c r="EQ55" s="7"/>
      <c r="ER55" s="7"/>
      <c r="ES55" s="7"/>
      <c r="ET55" s="7"/>
      <c r="EU55" s="7"/>
      <c r="EV55" s="7"/>
      <c r="EW55" s="7"/>
      <c r="EX55" s="7"/>
      <c r="EY55" s="7"/>
      <c r="EZ55" s="7"/>
      <c r="FA55" s="6"/>
      <c r="FB55" s="6"/>
      <c r="FC55" s="6"/>
    </row>
    <row r="56" spans="1:159" s="13" customFormat="1" x14ac:dyDescent="0.25">
      <c r="A56" s="12" t="s">
        <v>9</v>
      </c>
      <c r="B56" s="11" t="s">
        <v>14</v>
      </c>
      <c r="C56" s="10" t="s">
        <v>13</v>
      </c>
      <c r="D56" s="9" t="s">
        <v>12</v>
      </c>
      <c r="E56" s="9">
        <v>1</v>
      </c>
      <c r="F56" s="7" t="s">
        <v>3</v>
      </c>
      <c r="G56" s="7" t="s">
        <v>3</v>
      </c>
      <c r="H56" s="7" t="s">
        <v>3</v>
      </c>
      <c r="I56" s="7" t="s">
        <v>3</v>
      </c>
      <c r="J56" s="7" t="s">
        <v>3</v>
      </c>
      <c r="K56" s="7" t="s">
        <v>3</v>
      </c>
      <c r="L56" s="7" t="s">
        <v>3</v>
      </c>
      <c r="M56" s="7" t="s">
        <v>3</v>
      </c>
      <c r="N56" s="7" t="s">
        <v>3</v>
      </c>
      <c r="O56" s="7" t="s">
        <v>3</v>
      </c>
      <c r="P56" s="7" t="s">
        <v>3</v>
      </c>
      <c r="Q56" s="7" t="s">
        <v>3</v>
      </c>
      <c r="R56" s="7" t="s">
        <v>3</v>
      </c>
      <c r="S56" s="7" t="s">
        <v>3</v>
      </c>
      <c r="T56" s="7" t="s">
        <v>3</v>
      </c>
      <c r="U56" s="7" t="s">
        <v>3</v>
      </c>
      <c r="V56" s="7" t="s">
        <v>3</v>
      </c>
      <c r="W56" s="7" t="s">
        <v>3</v>
      </c>
      <c r="X56" s="7" t="s">
        <v>3</v>
      </c>
      <c r="Y56" s="7" t="s">
        <v>3</v>
      </c>
      <c r="Z56" s="7" t="s">
        <v>3</v>
      </c>
      <c r="AA56" s="7" t="s">
        <v>3</v>
      </c>
      <c r="AB56" s="7" t="s">
        <v>3</v>
      </c>
      <c r="AC56" s="7" t="s">
        <v>3</v>
      </c>
      <c r="AD56" s="7" t="s">
        <v>3</v>
      </c>
      <c r="AE56" s="7" t="s">
        <v>3</v>
      </c>
      <c r="AF56" s="7" t="s">
        <v>3</v>
      </c>
      <c r="AG56" s="7" t="s">
        <v>3</v>
      </c>
      <c r="AH56" s="7" t="s">
        <v>3</v>
      </c>
      <c r="AI56" s="7" t="s">
        <v>3</v>
      </c>
      <c r="AJ56" s="7" t="s">
        <v>3</v>
      </c>
      <c r="AK56" s="7" t="s">
        <v>3</v>
      </c>
      <c r="AL56" s="7" t="s">
        <v>3</v>
      </c>
      <c r="AM56" s="7" t="s">
        <v>3</v>
      </c>
      <c r="AN56" s="7" t="s">
        <v>3</v>
      </c>
      <c r="AO56" s="7" t="s">
        <v>3</v>
      </c>
      <c r="AP56" s="7" t="s">
        <v>3</v>
      </c>
      <c r="AQ56" s="7" t="s">
        <v>3</v>
      </c>
      <c r="AR56" s="7" t="s">
        <v>3</v>
      </c>
      <c r="AS56" s="7" t="s">
        <v>3</v>
      </c>
      <c r="AT56" s="7" t="s">
        <v>3</v>
      </c>
      <c r="AU56" s="7" t="s">
        <v>3</v>
      </c>
      <c r="AV56" s="7" t="s">
        <v>3</v>
      </c>
      <c r="AW56" s="7" t="s">
        <v>3</v>
      </c>
      <c r="AX56" s="7" t="s">
        <v>3</v>
      </c>
      <c r="AY56" s="7" t="s">
        <v>3</v>
      </c>
      <c r="AZ56" s="7" t="s">
        <v>3</v>
      </c>
      <c r="BA56" s="112" t="s">
        <v>3</v>
      </c>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8"/>
      <c r="DX56" s="8"/>
      <c r="DY56" s="8"/>
      <c r="DZ56" s="8"/>
      <c r="EA56" s="8"/>
      <c r="EB56" s="8"/>
      <c r="EC56" s="7"/>
      <c r="ED56" s="7"/>
      <c r="EE56" s="7"/>
      <c r="EF56" s="7"/>
      <c r="EG56" s="7"/>
      <c r="EH56" s="7"/>
      <c r="EI56" s="7"/>
      <c r="EJ56" s="7"/>
      <c r="EK56" s="7"/>
      <c r="EL56" s="7"/>
      <c r="EM56" s="7"/>
      <c r="EN56" s="7"/>
      <c r="EO56" s="7"/>
      <c r="EP56" s="7"/>
      <c r="EQ56" s="7"/>
      <c r="ER56" s="7"/>
      <c r="ES56" s="7"/>
      <c r="ET56" s="7"/>
      <c r="EU56" s="7"/>
      <c r="EV56" s="7"/>
      <c r="EW56" s="7"/>
      <c r="EX56" s="7"/>
      <c r="EY56" s="7"/>
      <c r="EZ56" s="7"/>
      <c r="FA56" s="6"/>
      <c r="FB56" s="6"/>
      <c r="FC56" s="6"/>
    </row>
    <row r="57" spans="1:159" s="13" customFormat="1" x14ac:dyDescent="0.25">
      <c r="A57" s="12" t="s">
        <v>9</v>
      </c>
      <c r="B57" s="11" t="s">
        <v>11</v>
      </c>
      <c r="C57" s="10" t="s">
        <v>10</v>
      </c>
      <c r="D57" s="9">
        <v>1</v>
      </c>
      <c r="E57" s="9">
        <v>1</v>
      </c>
      <c r="F57" s="7">
        <v>36</v>
      </c>
      <c r="G57" s="7">
        <v>0</v>
      </c>
      <c r="H57" s="7">
        <v>8</v>
      </c>
      <c r="I57" s="7">
        <v>44</v>
      </c>
      <c r="J57" s="7">
        <v>10</v>
      </c>
      <c r="K57" s="7">
        <v>36</v>
      </c>
      <c r="L57" s="7">
        <v>0</v>
      </c>
      <c r="M57" s="7">
        <v>8</v>
      </c>
      <c r="N57" s="7">
        <v>44</v>
      </c>
      <c r="O57" s="7">
        <v>54</v>
      </c>
      <c r="P57" s="7">
        <v>0</v>
      </c>
      <c r="Q57" s="7">
        <v>3</v>
      </c>
      <c r="R57" s="7">
        <v>0</v>
      </c>
      <c r="S57" s="7">
        <v>6</v>
      </c>
      <c r="T57" s="7">
        <v>6</v>
      </c>
      <c r="U57" s="7">
        <v>0</v>
      </c>
      <c r="V57" s="7">
        <v>16</v>
      </c>
      <c r="W57" s="7">
        <v>0</v>
      </c>
      <c r="X57" s="7">
        <v>1</v>
      </c>
      <c r="Y57" s="7">
        <v>2</v>
      </c>
      <c r="Z57" s="7">
        <v>1</v>
      </c>
      <c r="AA57" s="7">
        <v>0</v>
      </c>
      <c r="AB57" s="7">
        <v>0</v>
      </c>
      <c r="AC57" s="7">
        <v>0</v>
      </c>
      <c r="AD57" s="7">
        <v>4</v>
      </c>
      <c r="AE57" s="7">
        <v>89</v>
      </c>
      <c r="AF57" s="7">
        <v>5</v>
      </c>
      <c r="AG57" s="7">
        <v>0</v>
      </c>
      <c r="AH57" s="7">
        <v>6</v>
      </c>
      <c r="AI57" s="7">
        <v>0</v>
      </c>
      <c r="AJ57" s="7">
        <v>2</v>
      </c>
      <c r="AK57" s="7">
        <v>6</v>
      </c>
      <c r="AL57" s="7">
        <v>0</v>
      </c>
      <c r="AM57" s="7">
        <v>12</v>
      </c>
      <c r="AN57" s="7">
        <v>0</v>
      </c>
      <c r="AO57" s="7">
        <v>11</v>
      </c>
      <c r="AP57" s="7">
        <v>11</v>
      </c>
      <c r="AQ57" s="7">
        <v>5</v>
      </c>
      <c r="AR57" s="7">
        <v>0</v>
      </c>
      <c r="AS57" s="7">
        <v>0</v>
      </c>
      <c r="AT57" s="7">
        <v>0</v>
      </c>
      <c r="AU57" s="7">
        <v>140</v>
      </c>
      <c r="AV57" s="7">
        <v>16</v>
      </c>
      <c r="AW57" s="7">
        <v>2</v>
      </c>
      <c r="AX57" s="7">
        <v>6</v>
      </c>
      <c r="AY57" s="7">
        <v>11</v>
      </c>
      <c r="AZ57" s="7">
        <v>17</v>
      </c>
      <c r="BA57" s="112">
        <f t="shared" si="0"/>
        <v>32</v>
      </c>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8"/>
      <c r="DX57" s="8"/>
      <c r="DY57" s="8"/>
      <c r="DZ57" s="8"/>
      <c r="EA57" s="8"/>
      <c r="EB57" s="8"/>
      <c r="EC57" s="7"/>
      <c r="ED57" s="7"/>
      <c r="EE57" s="7"/>
      <c r="EF57" s="7"/>
      <c r="EG57" s="7"/>
      <c r="EH57" s="7"/>
      <c r="EI57" s="7"/>
      <c r="EJ57" s="7"/>
      <c r="EK57" s="7"/>
      <c r="EL57" s="7"/>
      <c r="EM57" s="7"/>
      <c r="EN57" s="7"/>
      <c r="EO57" s="7"/>
      <c r="EP57" s="7"/>
      <c r="EQ57" s="7"/>
      <c r="ER57" s="7"/>
      <c r="ES57" s="7"/>
      <c r="ET57" s="7"/>
      <c r="EU57" s="7"/>
      <c r="EV57" s="7"/>
      <c r="EW57" s="7"/>
      <c r="EX57" s="7"/>
      <c r="EY57" s="7"/>
      <c r="EZ57" s="7"/>
      <c r="FA57" s="6"/>
      <c r="FB57" s="6"/>
      <c r="FC57" s="6"/>
    </row>
    <row r="58" spans="1:159" s="13" customFormat="1" x14ac:dyDescent="0.25">
      <c r="A58" s="12" t="s">
        <v>9</v>
      </c>
      <c r="B58" s="11" t="s">
        <v>8</v>
      </c>
      <c r="C58" s="10" t="s">
        <v>7</v>
      </c>
      <c r="D58" s="9">
        <v>1</v>
      </c>
      <c r="E58" s="9">
        <v>1</v>
      </c>
      <c r="F58" s="7">
        <v>27</v>
      </c>
      <c r="G58" s="7">
        <v>11</v>
      </c>
      <c r="H58" s="7">
        <v>9</v>
      </c>
      <c r="I58" s="7">
        <v>47</v>
      </c>
      <c r="J58" s="7">
        <v>0</v>
      </c>
      <c r="K58" s="7">
        <v>29</v>
      </c>
      <c r="L58" s="7">
        <v>11</v>
      </c>
      <c r="M58" s="7">
        <v>9</v>
      </c>
      <c r="N58" s="7">
        <v>49</v>
      </c>
      <c r="O58" s="7">
        <v>61</v>
      </c>
      <c r="P58" s="7">
        <v>0</v>
      </c>
      <c r="Q58" s="7">
        <v>3</v>
      </c>
      <c r="R58" s="7">
        <v>2</v>
      </c>
      <c r="S58" s="7">
        <v>9</v>
      </c>
      <c r="T58" s="7">
        <v>9</v>
      </c>
      <c r="U58" s="7">
        <v>24</v>
      </c>
      <c r="V58" s="7">
        <v>0</v>
      </c>
      <c r="W58" s="7">
        <v>1</v>
      </c>
      <c r="X58" s="7">
        <v>1</v>
      </c>
      <c r="Y58" s="7">
        <v>3</v>
      </c>
      <c r="Z58" s="7">
        <v>1</v>
      </c>
      <c r="AA58" s="7">
        <v>1</v>
      </c>
      <c r="AB58" s="7">
        <v>1</v>
      </c>
      <c r="AC58" s="7">
        <v>3</v>
      </c>
      <c r="AD58" s="7">
        <v>11</v>
      </c>
      <c r="AE58" s="7">
        <v>119</v>
      </c>
      <c r="AF58" s="7">
        <v>8</v>
      </c>
      <c r="AG58" s="7">
        <v>0</v>
      </c>
      <c r="AH58" s="7">
        <v>5</v>
      </c>
      <c r="AI58" s="7">
        <v>7</v>
      </c>
      <c r="AJ58" s="7">
        <v>4</v>
      </c>
      <c r="AK58" s="7">
        <v>12</v>
      </c>
      <c r="AL58" s="7">
        <v>10</v>
      </c>
      <c r="AM58" s="7">
        <v>0</v>
      </c>
      <c r="AN58" s="7">
        <v>10</v>
      </c>
      <c r="AO58" s="7">
        <v>10</v>
      </c>
      <c r="AP58" s="7">
        <v>10</v>
      </c>
      <c r="AQ58" s="7">
        <v>22</v>
      </c>
      <c r="AR58" s="7">
        <v>10</v>
      </c>
      <c r="AS58" s="7">
        <v>6</v>
      </c>
      <c r="AT58" s="7">
        <v>8</v>
      </c>
      <c r="AU58" s="7">
        <v>210</v>
      </c>
      <c r="AV58" s="7">
        <v>13</v>
      </c>
      <c r="AW58" s="7">
        <v>8</v>
      </c>
      <c r="AX58" s="7">
        <v>5</v>
      </c>
      <c r="AY58" s="7">
        <v>14</v>
      </c>
      <c r="AZ58" s="7">
        <v>14</v>
      </c>
      <c r="BA58" s="112">
        <f t="shared" si="0"/>
        <v>55</v>
      </c>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8"/>
      <c r="DX58" s="8"/>
      <c r="DY58" s="8"/>
      <c r="DZ58" s="8"/>
      <c r="EA58" s="8"/>
      <c r="EB58" s="8"/>
      <c r="EC58" s="7"/>
      <c r="ED58" s="7"/>
      <c r="EE58" s="7"/>
      <c r="EF58" s="7"/>
      <c r="EG58" s="7"/>
      <c r="EH58" s="7"/>
      <c r="EI58" s="7"/>
      <c r="EJ58" s="7"/>
      <c r="EK58" s="7"/>
      <c r="EL58" s="7"/>
      <c r="EM58" s="7"/>
      <c r="EN58" s="7"/>
      <c r="EO58" s="7"/>
      <c r="EP58" s="7"/>
      <c r="EQ58" s="7"/>
      <c r="ER58" s="7"/>
      <c r="ES58" s="7"/>
      <c r="ET58" s="7"/>
      <c r="EU58" s="7"/>
      <c r="EV58" s="7"/>
      <c r="EW58" s="7"/>
      <c r="EX58" s="7"/>
      <c r="EY58" s="7"/>
      <c r="EZ58" s="7"/>
      <c r="FA58" s="6"/>
      <c r="FB58" s="6"/>
      <c r="FC58" s="6"/>
    </row>
    <row r="59" spans="1:159" s="13" customFormat="1" x14ac:dyDescent="0.25">
      <c r="A59" s="16" t="s">
        <v>6</v>
      </c>
      <c r="B59" s="15" t="s">
        <v>5</v>
      </c>
      <c r="C59" s="14" t="s">
        <v>4</v>
      </c>
      <c r="D59" s="9">
        <v>1</v>
      </c>
      <c r="E59" s="9">
        <v>1</v>
      </c>
      <c r="F59" s="7" t="s">
        <v>3</v>
      </c>
      <c r="G59" s="7" t="s">
        <v>3</v>
      </c>
      <c r="H59" s="7" t="s">
        <v>3</v>
      </c>
      <c r="I59" s="7" t="s">
        <v>3</v>
      </c>
      <c r="J59" s="7" t="s">
        <v>3</v>
      </c>
      <c r="K59" s="7" t="s">
        <v>3</v>
      </c>
      <c r="L59" s="7" t="s">
        <v>3</v>
      </c>
      <c r="M59" s="7" t="s">
        <v>3</v>
      </c>
      <c r="N59" s="7" t="s">
        <v>3</v>
      </c>
      <c r="O59" s="7" t="s">
        <v>3</v>
      </c>
      <c r="P59" s="7" t="s">
        <v>3</v>
      </c>
      <c r="Q59" s="7" t="s">
        <v>3</v>
      </c>
      <c r="R59" s="7" t="s">
        <v>3</v>
      </c>
      <c r="S59" s="7" t="s">
        <v>3</v>
      </c>
      <c r="T59" s="7" t="s">
        <v>3</v>
      </c>
      <c r="U59" s="7" t="s">
        <v>3</v>
      </c>
      <c r="V59" s="7" t="s">
        <v>3</v>
      </c>
      <c r="W59" s="7" t="s">
        <v>3</v>
      </c>
      <c r="X59" s="7" t="s">
        <v>3</v>
      </c>
      <c r="Y59" s="7" t="s">
        <v>3</v>
      </c>
      <c r="Z59" s="7" t="s">
        <v>3</v>
      </c>
      <c r="AA59" s="7" t="s">
        <v>3</v>
      </c>
      <c r="AB59" s="7" t="s">
        <v>3</v>
      </c>
      <c r="AC59" s="7" t="s">
        <v>3</v>
      </c>
      <c r="AD59" s="7" t="s">
        <v>3</v>
      </c>
      <c r="AE59" s="7" t="s">
        <v>3</v>
      </c>
      <c r="AF59" s="7" t="s">
        <v>3</v>
      </c>
      <c r="AG59" s="7" t="s">
        <v>3</v>
      </c>
      <c r="AH59" s="7" t="s">
        <v>3</v>
      </c>
      <c r="AI59" s="7" t="s">
        <v>3</v>
      </c>
      <c r="AJ59" s="7" t="s">
        <v>3</v>
      </c>
      <c r="AK59" s="7" t="s">
        <v>3</v>
      </c>
      <c r="AL59" s="7" t="s">
        <v>3</v>
      </c>
      <c r="AM59" s="7" t="s">
        <v>3</v>
      </c>
      <c r="AN59" s="7" t="s">
        <v>3</v>
      </c>
      <c r="AO59" s="7" t="s">
        <v>3</v>
      </c>
      <c r="AP59" s="7" t="s">
        <v>3</v>
      </c>
      <c r="AQ59" s="7" t="s">
        <v>3</v>
      </c>
      <c r="AR59" s="7" t="s">
        <v>3</v>
      </c>
      <c r="AS59" s="7" t="s">
        <v>3</v>
      </c>
      <c r="AT59" s="7" t="s">
        <v>3</v>
      </c>
      <c r="AU59" s="7" t="s">
        <v>3</v>
      </c>
      <c r="AV59" s="7" t="s">
        <v>3</v>
      </c>
      <c r="AW59" s="7" t="s">
        <v>3</v>
      </c>
      <c r="AX59" s="7" t="s">
        <v>3</v>
      </c>
      <c r="AY59" s="7" t="s">
        <v>3</v>
      </c>
      <c r="AZ59" s="7" t="s">
        <v>3</v>
      </c>
      <c r="BA59" s="112" t="s">
        <v>3</v>
      </c>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8"/>
      <c r="DX59" s="8"/>
      <c r="DY59" s="8"/>
      <c r="DZ59" s="8"/>
      <c r="EA59" s="8"/>
      <c r="EB59" s="8"/>
      <c r="EC59" s="7"/>
      <c r="ED59" s="7"/>
      <c r="EE59" s="7"/>
      <c r="EF59" s="7"/>
      <c r="EG59" s="7"/>
      <c r="EH59" s="7"/>
      <c r="EI59" s="7"/>
      <c r="EJ59" s="7"/>
      <c r="EK59" s="7"/>
      <c r="EL59" s="7"/>
      <c r="EM59" s="7"/>
      <c r="EN59" s="7"/>
      <c r="EO59" s="7"/>
      <c r="EP59" s="7"/>
      <c r="EQ59" s="7"/>
      <c r="ER59" s="7"/>
      <c r="ES59" s="7"/>
      <c r="ET59" s="7"/>
      <c r="EU59" s="7"/>
      <c r="EV59" s="7"/>
      <c r="EW59" s="7"/>
      <c r="EX59" s="7"/>
      <c r="EY59" s="7"/>
      <c r="EZ59" s="7"/>
      <c r="FA59" s="6"/>
      <c r="FB59" s="6"/>
      <c r="FC59" s="6"/>
    </row>
    <row r="60" spans="1:159" s="2" customFormat="1" x14ac:dyDescent="0.25">
      <c r="A60" s="12" t="s">
        <v>2</v>
      </c>
      <c r="B60" s="11" t="s">
        <v>1</v>
      </c>
      <c r="C60" s="10" t="s">
        <v>0</v>
      </c>
      <c r="D60" s="9">
        <v>1</v>
      </c>
      <c r="E60" s="9"/>
      <c r="F60" s="7">
        <v>45</v>
      </c>
      <c r="G60" s="7">
        <v>7</v>
      </c>
      <c r="H60" s="7">
        <v>16</v>
      </c>
      <c r="I60" s="7">
        <v>68</v>
      </c>
      <c r="J60" s="7">
        <v>13</v>
      </c>
      <c r="K60" s="7">
        <v>45</v>
      </c>
      <c r="L60" s="7">
        <v>7</v>
      </c>
      <c r="M60" s="7">
        <v>16</v>
      </c>
      <c r="N60" s="7">
        <v>68</v>
      </c>
      <c r="O60" s="7">
        <v>112</v>
      </c>
      <c r="P60" s="7">
        <v>0</v>
      </c>
      <c r="Q60" s="7">
        <v>6</v>
      </c>
      <c r="R60" s="7">
        <v>0</v>
      </c>
      <c r="S60" s="7">
        <v>12</v>
      </c>
      <c r="T60" s="7">
        <v>1</v>
      </c>
      <c r="U60" s="7">
        <v>0</v>
      </c>
      <c r="V60" s="7">
        <v>24</v>
      </c>
      <c r="W60" s="7">
        <v>5</v>
      </c>
      <c r="X60" s="7">
        <v>3</v>
      </c>
      <c r="Y60" s="7">
        <v>0</v>
      </c>
      <c r="Z60" s="7">
        <v>0</v>
      </c>
      <c r="AA60" s="7">
        <v>1</v>
      </c>
      <c r="AB60" s="7">
        <v>0</v>
      </c>
      <c r="AC60" s="7">
        <v>0</v>
      </c>
      <c r="AD60" s="7">
        <v>9</v>
      </c>
      <c r="AE60" s="7">
        <v>164</v>
      </c>
      <c r="AF60" s="7">
        <v>6</v>
      </c>
      <c r="AG60" s="7">
        <v>0</v>
      </c>
      <c r="AH60" s="7">
        <v>12</v>
      </c>
      <c r="AI60" s="7">
        <v>0</v>
      </c>
      <c r="AJ60" s="7">
        <v>5</v>
      </c>
      <c r="AK60" s="7">
        <v>12</v>
      </c>
      <c r="AL60" s="7">
        <v>0</v>
      </c>
      <c r="AM60" s="7">
        <v>6</v>
      </c>
      <c r="AN60" s="7">
        <v>10</v>
      </c>
      <c r="AO60" s="7">
        <v>10</v>
      </c>
      <c r="AP60" s="7">
        <v>0</v>
      </c>
      <c r="AQ60" s="7">
        <v>0</v>
      </c>
      <c r="AR60" s="7">
        <v>10</v>
      </c>
      <c r="AS60" s="7">
        <v>0</v>
      </c>
      <c r="AT60" s="7">
        <v>0</v>
      </c>
      <c r="AU60" s="7">
        <v>201</v>
      </c>
      <c r="AV60" s="7">
        <v>14</v>
      </c>
      <c r="AW60" s="7">
        <v>9</v>
      </c>
      <c r="AX60" s="7">
        <v>5</v>
      </c>
      <c r="AY60" s="7">
        <v>11</v>
      </c>
      <c r="AZ60" s="7">
        <v>10</v>
      </c>
      <c r="BA60" s="112">
        <f t="shared" si="0"/>
        <v>46</v>
      </c>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8"/>
      <c r="DX60" s="8"/>
      <c r="DY60" s="8"/>
      <c r="DZ60" s="8"/>
      <c r="EA60" s="8"/>
      <c r="EB60" s="8"/>
      <c r="EC60" s="7"/>
      <c r="ED60" s="7"/>
      <c r="EE60" s="7"/>
      <c r="EF60" s="7"/>
      <c r="EG60" s="7"/>
      <c r="EH60" s="7"/>
      <c r="EI60" s="7"/>
      <c r="EJ60" s="7"/>
      <c r="EK60" s="7"/>
      <c r="EL60" s="7"/>
      <c r="EM60" s="7"/>
      <c r="EN60" s="7"/>
      <c r="EO60" s="7"/>
      <c r="EP60" s="7"/>
      <c r="EQ60" s="7"/>
      <c r="ER60" s="7"/>
      <c r="ES60" s="7"/>
      <c r="ET60" s="7"/>
      <c r="EU60" s="7"/>
      <c r="EV60" s="7"/>
      <c r="EW60" s="7"/>
      <c r="EX60" s="7"/>
      <c r="EY60" s="7"/>
      <c r="EZ60" s="7"/>
      <c r="FA60" s="6"/>
      <c r="FB60" s="6"/>
      <c r="FC60" s="6"/>
    </row>
    <row r="61" spans="1:159" s="2" customFormat="1" x14ac:dyDescent="0.25">
      <c r="A61" s="1"/>
      <c r="B61" s="5"/>
      <c r="C61" s="5"/>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Q61" s="4"/>
      <c r="ER61" s="4"/>
      <c r="ES61" s="4"/>
      <c r="ET61" s="4"/>
      <c r="EX61" s="3"/>
      <c r="EY61" s="3"/>
      <c r="EZ61" s="3"/>
      <c r="FA61" s="3"/>
      <c r="FB61" s="3"/>
      <c r="FC61" s="3"/>
    </row>
    <row r="62" spans="1:159" s="2" customFormat="1" x14ac:dyDescent="0.25">
      <c r="A62" s="1"/>
      <c r="B62" s="5"/>
      <c r="C62" s="5"/>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Q62" s="4"/>
      <c r="ER62" s="4"/>
      <c r="ES62" s="4"/>
      <c r="ET62" s="4"/>
      <c r="EX62" s="3"/>
      <c r="EY62" s="3"/>
      <c r="EZ62" s="3"/>
      <c r="FA62" s="3"/>
      <c r="FB62" s="3"/>
      <c r="FC62" s="3"/>
    </row>
    <row r="63" spans="1:159" s="2" customFormat="1" x14ac:dyDescent="0.25">
      <c r="A63" s="1"/>
      <c r="B63" s="5"/>
      <c r="C63" s="5"/>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Q63" s="4"/>
      <c r="ER63" s="4"/>
      <c r="ES63" s="4"/>
      <c r="ET63" s="4"/>
      <c r="EX63" s="3"/>
      <c r="EY63" s="3"/>
      <c r="EZ63" s="3"/>
      <c r="FA63" s="3"/>
      <c r="FB63" s="3"/>
      <c r="FC63" s="3"/>
    </row>
    <row r="64" spans="1:159" s="2" customFormat="1" x14ac:dyDescent="0.25">
      <c r="A64" s="1"/>
      <c r="B64" s="5"/>
      <c r="C64" s="5"/>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Q64" s="4"/>
      <c r="ER64" s="4"/>
      <c r="ES64" s="4"/>
      <c r="ET64" s="4"/>
      <c r="EX64" s="3"/>
      <c r="EY64" s="3"/>
      <c r="EZ64" s="3"/>
      <c r="FA64" s="3"/>
      <c r="FB64" s="3"/>
      <c r="FC64" s="3"/>
    </row>
    <row r="65" spans="1:159" s="2" customFormat="1" x14ac:dyDescent="0.25">
      <c r="A65" s="1"/>
      <c r="B65" s="5"/>
      <c r="C65" s="5"/>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Q65" s="4"/>
      <c r="ER65" s="4"/>
      <c r="ES65" s="4"/>
      <c r="ET65" s="4"/>
      <c r="EX65" s="3"/>
      <c r="EY65" s="3"/>
      <c r="EZ65" s="3"/>
      <c r="FA65" s="3"/>
      <c r="FB65" s="3"/>
      <c r="FC65" s="3"/>
    </row>
  </sheetData>
  <mergeCells count="1">
    <mergeCell ref="FA7:FC7"/>
  </mergeCells>
  <pageMargins left="0.5" right="0.5" top="0.5" bottom="0.5"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Q3713"/>
  <sheetViews>
    <sheetView topLeftCell="B4" workbookViewId="0">
      <selection activeCell="A4" sqref="A4:H4"/>
    </sheetView>
  </sheetViews>
  <sheetFormatPr defaultRowHeight="15.5" x14ac:dyDescent="0.35"/>
  <cols>
    <col min="1" max="1" width="10.81640625" style="48" hidden="1" customWidth="1"/>
    <col min="2" max="2" width="22.54296875" style="103" customWidth="1"/>
    <col min="3" max="3" width="2.453125" style="103" customWidth="1"/>
    <col min="4" max="4" width="11.26953125" style="103" customWidth="1"/>
    <col min="5" max="5" width="12.81640625" style="105" customWidth="1"/>
    <col min="6" max="6" width="12.26953125" style="105" customWidth="1"/>
    <col min="7" max="7" width="13.26953125" style="105" customWidth="1"/>
    <col min="8" max="8" width="16.81640625" style="103" bestFit="1" customWidth="1"/>
    <col min="9" max="10" width="12.1796875" style="52" customWidth="1"/>
    <col min="11" max="13" width="13.1796875" style="103" customWidth="1"/>
    <col min="14" max="14" width="13.54296875" style="103" customWidth="1"/>
    <col min="15" max="15" width="12.7265625" style="103" customWidth="1"/>
    <col min="16" max="16" width="11.1796875" style="103" customWidth="1"/>
    <col min="17" max="17" width="7.54296875" style="103" customWidth="1"/>
    <col min="18" max="18" width="9.1796875" style="103"/>
    <col min="19" max="20" width="9.1796875" style="104"/>
    <col min="21" max="256" width="9.1796875" style="103"/>
    <col min="257" max="257" width="0" style="103" hidden="1" customWidth="1"/>
    <col min="258" max="258" width="22.54296875" style="103" customWidth="1"/>
    <col min="259" max="259" width="2.453125" style="103" customWidth="1"/>
    <col min="260" max="260" width="11.26953125" style="103" customWidth="1"/>
    <col min="261" max="261" width="12.81640625" style="103" customWidth="1"/>
    <col min="262" max="262" width="12.26953125" style="103" customWidth="1"/>
    <col min="263" max="263" width="13.26953125" style="103" customWidth="1"/>
    <col min="264" max="264" width="16.81640625" style="103" bestFit="1" customWidth="1"/>
    <col min="265" max="266" width="12.1796875" style="103" customWidth="1"/>
    <col min="267" max="269" width="13.1796875" style="103" customWidth="1"/>
    <col min="270" max="270" width="13.54296875" style="103" customWidth="1"/>
    <col min="271" max="271" width="12.7265625" style="103" customWidth="1"/>
    <col min="272" max="272" width="11.1796875" style="103" customWidth="1"/>
    <col min="273" max="273" width="7.54296875" style="103" customWidth="1"/>
    <col min="274" max="512" width="9.1796875" style="103"/>
    <col min="513" max="513" width="0" style="103" hidden="1" customWidth="1"/>
    <col min="514" max="514" width="22.54296875" style="103" customWidth="1"/>
    <col min="515" max="515" width="2.453125" style="103" customWidth="1"/>
    <col min="516" max="516" width="11.26953125" style="103" customWidth="1"/>
    <col min="517" max="517" width="12.81640625" style="103" customWidth="1"/>
    <col min="518" max="518" width="12.26953125" style="103" customWidth="1"/>
    <col min="519" max="519" width="13.26953125" style="103" customWidth="1"/>
    <col min="520" max="520" width="16.81640625" style="103" bestFit="1" customWidth="1"/>
    <col min="521" max="522" width="12.1796875" style="103" customWidth="1"/>
    <col min="523" max="525" width="13.1796875" style="103" customWidth="1"/>
    <col min="526" max="526" width="13.54296875" style="103" customWidth="1"/>
    <col min="527" max="527" width="12.7265625" style="103" customWidth="1"/>
    <col min="528" max="528" width="11.1796875" style="103" customWidth="1"/>
    <col min="529" max="529" width="7.54296875" style="103" customWidth="1"/>
    <col min="530" max="768" width="9.1796875" style="103"/>
    <col min="769" max="769" width="0" style="103" hidden="1" customWidth="1"/>
    <col min="770" max="770" width="22.54296875" style="103" customWidth="1"/>
    <col min="771" max="771" width="2.453125" style="103" customWidth="1"/>
    <col min="772" max="772" width="11.26953125" style="103" customWidth="1"/>
    <col min="773" max="773" width="12.81640625" style="103" customWidth="1"/>
    <col min="774" max="774" width="12.26953125" style="103" customWidth="1"/>
    <col min="775" max="775" width="13.26953125" style="103" customWidth="1"/>
    <col min="776" max="776" width="16.81640625" style="103" bestFit="1" customWidth="1"/>
    <col min="777" max="778" width="12.1796875" style="103" customWidth="1"/>
    <col min="779" max="781" width="13.1796875" style="103" customWidth="1"/>
    <col min="782" max="782" width="13.54296875" style="103" customWidth="1"/>
    <col min="783" max="783" width="12.7265625" style="103" customWidth="1"/>
    <col min="784" max="784" width="11.1796875" style="103" customWidth="1"/>
    <col min="785" max="785" width="7.54296875" style="103" customWidth="1"/>
    <col min="786" max="1024" width="9.1796875" style="103"/>
    <col min="1025" max="1025" width="0" style="103" hidden="1" customWidth="1"/>
    <col min="1026" max="1026" width="22.54296875" style="103" customWidth="1"/>
    <col min="1027" max="1027" width="2.453125" style="103" customWidth="1"/>
    <col min="1028" max="1028" width="11.26953125" style="103" customWidth="1"/>
    <col min="1029" max="1029" width="12.81640625" style="103" customWidth="1"/>
    <col min="1030" max="1030" width="12.26953125" style="103" customWidth="1"/>
    <col min="1031" max="1031" width="13.26953125" style="103" customWidth="1"/>
    <col min="1032" max="1032" width="16.81640625" style="103" bestFit="1" customWidth="1"/>
    <col min="1033" max="1034" width="12.1796875" style="103" customWidth="1"/>
    <col min="1035" max="1037" width="13.1796875" style="103" customWidth="1"/>
    <col min="1038" max="1038" width="13.54296875" style="103" customWidth="1"/>
    <col min="1039" max="1039" width="12.7265625" style="103" customWidth="1"/>
    <col min="1040" max="1040" width="11.1796875" style="103" customWidth="1"/>
    <col min="1041" max="1041" width="7.54296875" style="103" customWidth="1"/>
    <col min="1042" max="1280" width="9.1796875" style="103"/>
    <col min="1281" max="1281" width="0" style="103" hidden="1" customWidth="1"/>
    <col min="1282" max="1282" width="22.54296875" style="103" customWidth="1"/>
    <col min="1283" max="1283" width="2.453125" style="103" customWidth="1"/>
    <col min="1284" max="1284" width="11.26953125" style="103" customWidth="1"/>
    <col min="1285" max="1285" width="12.81640625" style="103" customWidth="1"/>
    <col min="1286" max="1286" width="12.26953125" style="103" customWidth="1"/>
    <col min="1287" max="1287" width="13.26953125" style="103" customWidth="1"/>
    <col min="1288" max="1288" width="16.81640625" style="103" bestFit="1" customWidth="1"/>
    <col min="1289" max="1290" width="12.1796875" style="103" customWidth="1"/>
    <col min="1291" max="1293" width="13.1796875" style="103" customWidth="1"/>
    <col min="1294" max="1294" width="13.54296875" style="103" customWidth="1"/>
    <col min="1295" max="1295" width="12.7265625" style="103" customWidth="1"/>
    <col min="1296" max="1296" width="11.1796875" style="103" customWidth="1"/>
    <col min="1297" max="1297" width="7.54296875" style="103" customWidth="1"/>
    <col min="1298" max="1536" width="9.1796875" style="103"/>
    <col min="1537" max="1537" width="0" style="103" hidden="1" customWidth="1"/>
    <col min="1538" max="1538" width="22.54296875" style="103" customWidth="1"/>
    <col min="1539" max="1539" width="2.453125" style="103" customWidth="1"/>
    <col min="1540" max="1540" width="11.26953125" style="103" customWidth="1"/>
    <col min="1541" max="1541" width="12.81640625" style="103" customWidth="1"/>
    <col min="1542" max="1542" width="12.26953125" style="103" customWidth="1"/>
    <col min="1543" max="1543" width="13.26953125" style="103" customWidth="1"/>
    <col min="1544" max="1544" width="16.81640625" style="103" bestFit="1" customWidth="1"/>
    <col min="1545" max="1546" width="12.1796875" style="103" customWidth="1"/>
    <col min="1547" max="1549" width="13.1796875" style="103" customWidth="1"/>
    <col min="1550" max="1550" width="13.54296875" style="103" customWidth="1"/>
    <col min="1551" max="1551" width="12.7265625" style="103" customWidth="1"/>
    <col min="1552" max="1552" width="11.1796875" style="103" customWidth="1"/>
    <col min="1553" max="1553" width="7.54296875" style="103" customWidth="1"/>
    <col min="1554" max="1792" width="9.1796875" style="103"/>
    <col min="1793" max="1793" width="0" style="103" hidden="1" customWidth="1"/>
    <col min="1794" max="1794" width="22.54296875" style="103" customWidth="1"/>
    <col min="1795" max="1795" width="2.453125" style="103" customWidth="1"/>
    <col min="1796" max="1796" width="11.26953125" style="103" customWidth="1"/>
    <col min="1797" max="1797" width="12.81640625" style="103" customWidth="1"/>
    <col min="1798" max="1798" width="12.26953125" style="103" customWidth="1"/>
    <col min="1799" max="1799" width="13.26953125" style="103" customWidth="1"/>
    <col min="1800" max="1800" width="16.81640625" style="103" bestFit="1" customWidth="1"/>
    <col min="1801" max="1802" width="12.1796875" style="103" customWidth="1"/>
    <col min="1803" max="1805" width="13.1796875" style="103" customWidth="1"/>
    <col min="1806" max="1806" width="13.54296875" style="103" customWidth="1"/>
    <col min="1807" max="1807" width="12.7265625" style="103" customWidth="1"/>
    <col min="1808" max="1808" width="11.1796875" style="103" customWidth="1"/>
    <col min="1809" max="1809" width="7.54296875" style="103" customWidth="1"/>
    <col min="1810" max="2048" width="9.1796875" style="103"/>
    <col min="2049" max="2049" width="0" style="103" hidden="1" customWidth="1"/>
    <col min="2050" max="2050" width="22.54296875" style="103" customWidth="1"/>
    <col min="2051" max="2051" width="2.453125" style="103" customWidth="1"/>
    <col min="2052" max="2052" width="11.26953125" style="103" customWidth="1"/>
    <col min="2053" max="2053" width="12.81640625" style="103" customWidth="1"/>
    <col min="2054" max="2054" width="12.26953125" style="103" customWidth="1"/>
    <col min="2055" max="2055" width="13.26953125" style="103" customWidth="1"/>
    <col min="2056" max="2056" width="16.81640625" style="103" bestFit="1" customWidth="1"/>
    <col min="2057" max="2058" width="12.1796875" style="103" customWidth="1"/>
    <col min="2059" max="2061" width="13.1796875" style="103" customWidth="1"/>
    <col min="2062" max="2062" width="13.54296875" style="103" customWidth="1"/>
    <col min="2063" max="2063" width="12.7265625" style="103" customWidth="1"/>
    <col min="2064" max="2064" width="11.1796875" style="103" customWidth="1"/>
    <col min="2065" max="2065" width="7.54296875" style="103" customWidth="1"/>
    <col min="2066" max="2304" width="9.1796875" style="103"/>
    <col min="2305" max="2305" width="0" style="103" hidden="1" customWidth="1"/>
    <col min="2306" max="2306" width="22.54296875" style="103" customWidth="1"/>
    <col min="2307" max="2307" width="2.453125" style="103" customWidth="1"/>
    <col min="2308" max="2308" width="11.26953125" style="103" customWidth="1"/>
    <col min="2309" max="2309" width="12.81640625" style="103" customWidth="1"/>
    <col min="2310" max="2310" width="12.26953125" style="103" customWidth="1"/>
    <col min="2311" max="2311" width="13.26953125" style="103" customWidth="1"/>
    <col min="2312" max="2312" width="16.81640625" style="103" bestFit="1" customWidth="1"/>
    <col min="2313" max="2314" width="12.1796875" style="103" customWidth="1"/>
    <col min="2315" max="2317" width="13.1796875" style="103" customWidth="1"/>
    <col min="2318" max="2318" width="13.54296875" style="103" customWidth="1"/>
    <col min="2319" max="2319" width="12.7265625" style="103" customWidth="1"/>
    <col min="2320" max="2320" width="11.1796875" style="103" customWidth="1"/>
    <col min="2321" max="2321" width="7.54296875" style="103" customWidth="1"/>
    <col min="2322" max="2560" width="9.1796875" style="103"/>
    <col min="2561" max="2561" width="0" style="103" hidden="1" customWidth="1"/>
    <col min="2562" max="2562" width="22.54296875" style="103" customWidth="1"/>
    <col min="2563" max="2563" width="2.453125" style="103" customWidth="1"/>
    <col min="2564" max="2564" width="11.26953125" style="103" customWidth="1"/>
    <col min="2565" max="2565" width="12.81640625" style="103" customWidth="1"/>
    <col min="2566" max="2566" width="12.26953125" style="103" customWidth="1"/>
    <col min="2567" max="2567" width="13.26953125" style="103" customWidth="1"/>
    <col min="2568" max="2568" width="16.81640625" style="103" bestFit="1" customWidth="1"/>
    <col min="2569" max="2570" width="12.1796875" style="103" customWidth="1"/>
    <col min="2571" max="2573" width="13.1796875" style="103" customWidth="1"/>
    <col min="2574" max="2574" width="13.54296875" style="103" customWidth="1"/>
    <col min="2575" max="2575" width="12.7265625" style="103" customWidth="1"/>
    <col min="2576" max="2576" width="11.1796875" style="103" customWidth="1"/>
    <col min="2577" max="2577" width="7.54296875" style="103" customWidth="1"/>
    <col min="2578" max="2816" width="9.1796875" style="103"/>
    <col min="2817" max="2817" width="0" style="103" hidden="1" customWidth="1"/>
    <col min="2818" max="2818" width="22.54296875" style="103" customWidth="1"/>
    <col min="2819" max="2819" width="2.453125" style="103" customWidth="1"/>
    <col min="2820" max="2820" width="11.26953125" style="103" customWidth="1"/>
    <col min="2821" max="2821" width="12.81640625" style="103" customWidth="1"/>
    <col min="2822" max="2822" width="12.26953125" style="103" customWidth="1"/>
    <col min="2823" max="2823" width="13.26953125" style="103" customWidth="1"/>
    <col min="2824" max="2824" width="16.81640625" style="103" bestFit="1" customWidth="1"/>
    <col min="2825" max="2826" width="12.1796875" style="103" customWidth="1"/>
    <col min="2827" max="2829" width="13.1796875" style="103" customWidth="1"/>
    <col min="2830" max="2830" width="13.54296875" style="103" customWidth="1"/>
    <col min="2831" max="2831" width="12.7265625" style="103" customWidth="1"/>
    <col min="2832" max="2832" width="11.1796875" style="103" customWidth="1"/>
    <col min="2833" max="2833" width="7.54296875" style="103" customWidth="1"/>
    <col min="2834" max="3072" width="9.1796875" style="103"/>
    <col min="3073" max="3073" width="0" style="103" hidden="1" customWidth="1"/>
    <col min="3074" max="3074" width="22.54296875" style="103" customWidth="1"/>
    <col min="3075" max="3075" width="2.453125" style="103" customWidth="1"/>
    <col min="3076" max="3076" width="11.26953125" style="103" customWidth="1"/>
    <col min="3077" max="3077" width="12.81640625" style="103" customWidth="1"/>
    <col min="3078" max="3078" width="12.26953125" style="103" customWidth="1"/>
    <col min="3079" max="3079" width="13.26953125" style="103" customWidth="1"/>
    <col min="3080" max="3080" width="16.81640625" style="103" bestFit="1" customWidth="1"/>
    <col min="3081" max="3082" width="12.1796875" style="103" customWidth="1"/>
    <col min="3083" max="3085" width="13.1796875" style="103" customWidth="1"/>
    <col min="3086" max="3086" width="13.54296875" style="103" customWidth="1"/>
    <col min="3087" max="3087" width="12.7265625" style="103" customWidth="1"/>
    <col min="3088" max="3088" width="11.1796875" style="103" customWidth="1"/>
    <col min="3089" max="3089" width="7.54296875" style="103" customWidth="1"/>
    <col min="3090" max="3328" width="9.1796875" style="103"/>
    <col min="3329" max="3329" width="0" style="103" hidden="1" customWidth="1"/>
    <col min="3330" max="3330" width="22.54296875" style="103" customWidth="1"/>
    <col min="3331" max="3331" width="2.453125" style="103" customWidth="1"/>
    <col min="3332" max="3332" width="11.26953125" style="103" customWidth="1"/>
    <col min="3333" max="3333" width="12.81640625" style="103" customWidth="1"/>
    <col min="3334" max="3334" width="12.26953125" style="103" customWidth="1"/>
    <col min="3335" max="3335" width="13.26953125" style="103" customWidth="1"/>
    <col min="3336" max="3336" width="16.81640625" style="103" bestFit="1" customWidth="1"/>
    <col min="3337" max="3338" width="12.1796875" style="103" customWidth="1"/>
    <col min="3339" max="3341" width="13.1796875" style="103" customWidth="1"/>
    <col min="3342" max="3342" width="13.54296875" style="103" customWidth="1"/>
    <col min="3343" max="3343" width="12.7265625" style="103" customWidth="1"/>
    <col min="3344" max="3344" width="11.1796875" style="103" customWidth="1"/>
    <col min="3345" max="3345" width="7.54296875" style="103" customWidth="1"/>
    <col min="3346" max="3584" width="9.1796875" style="103"/>
    <col min="3585" max="3585" width="0" style="103" hidden="1" customWidth="1"/>
    <col min="3586" max="3586" width="22.54296875" style="103" customWidth="1"/>
    <col min="3587" max="3587" width="2.453125" style="103" customWidth="1"/>
    <col min="3588" max="3588" width="11.26953125" style="103" customWidth="1"/>
    <col min="3589" max="3589" width="12.81640625" style="103" customWidth="1"/>
    <col min="3590" max="3590" width="12.26953125" style="103" customWidth="1"/>
    <col min="3591" max="3591" width="13.26953125" style="103" customWidth="1"/>
    <col min="3592" max="3592" width="16.81640625" style="103" bestFit="1" customWidth="1"/>
    <col min="3593" max="3594" width="12.1796875" style="103" customWidth="1"/>
    <col min="3595" max="3597" width="13.1796875" style="103" customWidth="1"/>
    <col min="3598" max="3598" width="13.54296875" style="103" customWidth="1"/>
    <col min="3599" max="3599" width="12.7265625" style="103" customWidth="1"/>
    <col min="3600" max="3600" width="11.1796875" style="103" customWidth="1"/>
    <col min="3601" max="3601" width="7.54296875" style="103" customWidth="1"/>
    <col min="3602" max="3840" width="9.1796875" style="103"/>
    <col min="3841" max="3841" width="0" style="103" hidden="1" customWidth="1"/>
    <col min="3842" max="3842" width="22.54296875" style="103" customWidth="1"/>
    <col min="3843" max="3843" width="2.453125" style="103" customWidth="1"/>
    <col min="3844" max="3844" width="11.26953125" style="103" customWidth="1"/>
    <col min="3845" max="3845" width="12.81640625" style="103" customWidth="1"/>
    <col min="3846" max="3846" width="12.26953125" style="103" customWidth="1"/>
    <col min="3847" max="3847" width="13.26953125" style="103" customWidth="1"/>
    <col min="3848" max="3848" width="16.81640625" style="103" bestFit="1" customWidth="1"/>
    <col min="3849" max="3850" width="12.1796875" style="103" customWidth="1"/>
    <col min="3851" max="3853" width="13.1796875" style="103" customWidth="1"/>
    <col min="3854" max="3854" width="13.54296875" style="103" customWidth="1"/>
    <col min="3855" max="3855" width="12.7265625" style="103" customWidth="1"/>
    <col min="3856" max="3856" width="11.1796875" style="103" customWidth="1"/>
    <col min="3857" max="3857" width="7.54296875" style="103" customWidth="1"/>
    <col min="3858" max="4096" width="9.1796875" style="103"/>
    <col min="4097" max="4097" width="0" style="103" hidden="1" customWidth="1"/>
    <col min="4098" max="4098" width="22.54296875" style="103" customWidth="1"/>
    <col min="4099" max="4099" width="2.453125" style="103" customWidth="1"/>
    <col min="4100" max="4100" width="11.26953125" style="103" customWidth="1"/>
    <col min="4101" max="4101" width="12.81640625" style="103" customWidth="1"/>
    <col min="4102" max="4102" width="12.26953125" style="103" customWidth="1"/>
    <col min="4103" max="4103" width="13.26953125" style="103" customWidth="1"/>
    <col min="4104" max="4104" width="16.81640625" style="103" bestFit="1" customWidth="1"/>
    <col min="4105" max="4106" width="12.1796875" style="103" customWidth="1"/>
    <col min="4107" max="4109" width="13.1796875" style="103" customWidth="1"/>
    <col min="4110" max="4110" width="13.54296875" style="103" customWidth="1"/>
    <col min="4111" max="4111" width="12.7265625" style="103" customWidth="1"/>
    <col min="4112" max="4112" width="11.1796875" style="103" customWidth="1"/>
    <col min="4113" max="4113" width="7.54296875" style="103" customWidth="1"/>
    <col min="4114" max="4352" width="9.1796875" style="103"/>
    <col min="4353" max="4353" width="0" style="103" hidden="1" customWidth="1"/>
    <col min="4354" max="4354" width="22.54296875" style="103" customWidth="1"/>
    <col min="4355" max="4355" width="2.453125" style="103" customWidth="1"/>
    <col min="4356" max="4356" width="11.26953125" style="103" customWidth="1"/>
    <col min="4357" max="4357" width="12.81640625" style="103" customWidth="1"/>
    <col min="4358" max="4358" width="12.26953125" style="103" customWidth="1"/>
    <col min="4359" max="4359" width="13.26953125" style="103" customWidth="1"/>
    <col min="4360" max="4360" width="16.81640625" style="103" bestFit="1" customWidth="1"/>
    <col min="4361" max="4362" width="12.1796875" style="103" customWidth="1"/>
    <col min="4363" max="4365" width="13.1796875" style="103" customWidth="1"/>
    <col min="4366" max="4366" width="13.54296875" style="103" customWidth="1"/>
    <col min="4367" max="4367" width="12.7265625" style="103" customWidth="1"/>
    <col min="4368" max="4368" width="11.1796875" style="103" customWidth="1"/>
    <col min="4369" max="4369" width="7.54296875" style="103" customWidth="1"/>
    <col min="4370" max="4608" width="9.1796875" style="103"/>
    <col min="4609" max="4609" width="0" style="103" hidden="1" customWidth="1"/>
    <col min="4610" max="4610" width="22.54296875" style="103" customWidth="1"/>
    <col min="4611" max="4611" width="2.453125" style="103" customWidth="1"/>
    <col min="4612" max="4612" width="11.26953125" style="103" customWidth="1"/>
    <col min="4613" max="4613" width="12.81640625" style="103" customWidth="1"/>
    <col min="4614" max="4614" width="12.26953125" style="103" customWidth="1"/>
    <col min="4615" max="4615" width="13.26953125" style="103" customWidth="1"/>
    <col min="4616" max="4616" width="16.81640625" style="103" bestFit="1" customWidth="1"/>
    <col min="4617" max="4618" width="12.1796875" style="103" customWidth="1"/>
    <col min="4619" max="4621" width="13.1796875" style="103" customWidth="1"/>
    <col min="4622" max="4622" width="13.54296875" style="103" customWidth="1"/>
    <col min="4623" max="4623" width="12.7265625" style="103" customWidth="1"/>
    <col min="4624" max="4624" width="11.1796875" style="103" customWidth="1"/>
    <col min="4625" max="4625" width="7.54296875" style="103" customWidth="1"/>
    <col min="4626" max="4864" width="9.1796875" style="103"/>
    <col min="4865" max="4865" width="0" style="103" hidden="1" customWidth="1"/>
    <col min="4866" max="4866" width="22.54296875" style="103" customWidth="1"/>
    <col min="4867" max="4867" width="2.453125" style="103" customWidth="1"/>
    <col min="4868" max="4868" width="11.26953125" style="103" customWidth="1"/>
    <col min="4869" max="4869" width="12.81640625" style="103" customWidth="1"/>
    <col min="4870" max="4870" width="12.26953125" style="103" customWidth="1"/>
    <col min="4871" max="4871" width="13.26953125" style="103" customWidth="1"/>
    <col min="4872" max="4872" width="16.81640625" style="103" bestFit="1" customWidth="1"/>
    <col min="4873" max="4874" width="12.1796875" style="103" customWidth="1"/>
    <col min="4875" max="4877" width="13.1796875" style="103" customWidth="1"/>
    <col min="4878" max="4878" width="13.54296875" style="103" customWidth="1"/>
    <col min="4879" max="4879" width="12.7265625" style="103" customWidth="1"/>
    <col min="4880" max="4880" width="11.1796875" style="103" customWidth="1"/>
    <col min="4881" max="4881" width="7.54296875" style="103" customWidth="1"/>
    <col min="4882" max="5120" width="9.1796875" style="103"/>
    <col min="5121" max="5121" width="0" style="103" hidden="1" customWidth="1"/>
    <col min="5122" max="5122" width="22.54296875" style="103" customWidth="1"/>
    <col min="5123" max="5123" width="2.453125" style="103" customWidth="1"/>
    <col min="5124" max="5124" width="11.26953125" style="103" customWidth="1"/>
    <col min="5125" max="5125" width="12.81640625" style="103" customWidth="1"/>
    <col min="5126" max="5126" width="12.26953125" style="103" customWidth="1"/>
    <col min="5127" max="5127" width="13.26953125" style="103" customWidth="1"/>
    <col min="5128" max="5128" width="16.81640625" style="103" bestFit="1" customWidth="1"/>
    <col min="5129" max="5130" width="12.1796875" style="103" customWidth="1"/>
    <col min="5131" max="5133" width="13.1796875" style="103" customWidth="1"/>
    <col min="5134" max="5134" width="13.54296875" style="103" customWidth="1"/>
    <col min="5135" max="5135" width="12.7265625" style="103" customWidth="1"/>
    <col min="5136" max="5136" width="11.1796875" style="103" customWidth="1"/>
    <col min="5137" max="5137" width="7.54296875" style="103" customWidth="1"/>
    <col min="5138" max="5376" width="9.1796875" style="103"/>
    <col min="5377" max="5377" width="0" style="103" hidden="1" customWidth="1"/>
    <col min="5378" max="5378" width="22.54296875" style="103" customWidth="1"/>
    <col min="5379" max="5379" width="2.453125" style="103" customWidth="1"/>
    <col min="5380" max="5380" width="11.26953125" style="103" customWidth="1"/>
    <col min="5381" max="5381" width="12.81640625" style="103" customWidth="1"/>
    <col min="5382" max="5382" width="12.26953125" style="103" customWidth="1"/>
    <col min="5383" max="5383" width="13.26953125" style="103" customWidth="1"/>
    <col min="5384" max="5384" width="16.81640625" style="103" bestFit="1" customWidth="1"/>
    <col min="5385" max="5386" width="12.1796875" style="103" customWidth="1"/>
    <col min="5387" max="5389" width="13.1796875" style="103" customWidth="1"/>
    <col min="5390" max="5390" width="13.54296875" style="103" customWidth="1"/>
    <col min="5391" max="5391" width="12.7265625" style="103" customWidth="1"/>
    <col min="5392" max="5392" width="11.1796875" style="103" customWidth="1"/>
    <col min="5393" max="5393" width="7.54296875" style="103" customWidth="1"/>
    <col min="5394" max="5632" width="9.1796875" style="103"/>
    <col min="5633" max="5633" width="0" style="103" hidden="1" customWidth="1"/>
    <col min="5634" max="5634" width="22.54296875" style="103" customWidth="1"/>
    <col min="5635" max="5635" width="2.453125" style="103" customWidth="1"/>
    <col min="5636" max="5636" width="11.26953125" style="103" customWidth="1"/>
    <col min="5637" max="5637" width="12.81640625" style="103" customWidth="1"/>
    <col min="5638" max="5638" width="12.26953125" style="103" customWidth="1"/>
    <col min="5639" max="5639" width="13.26953125" style="103" customWidth="1"/>
    <col min="5640" max="5640" width="16.81640625" style="103" bestFit="1" customWidth="1"/>
    <col min="5641" max="5642" width="12.1796875" style="103" customWidth="1"/>
    <col min="5643" max="5645" width="13.1796875" style="103" customWidth="1"/>
    <col min="5646" max="5646" width="13.54296875" style="103" customWidth="1"/>
    <col min="5647" max="5647" width="12.7265625" style="103" customWidth="1"/>
    <col min="5648" max="5648" width="11.1796875" style="103" customWidth="1"/>
    <col min="5649" max="5649" width="7.54296875" style="103" customWidth="1"/>
    <col min="5650" max="5888" width="9.1796875" style="103"/>
    <col min="5889" max="5889" width="0" style="103" hidden="1" customWidth="1"/>
    <col min="5890" max="5890" width="22.54296875" style="103" customWidth="1"/>
    <col min="5891" max="5891" width="2.453125" style="103" customWidth="1"/>
    <col min="5892" max="5892" width="11.26953125" style="103" customWidth="1"/>
    <col min="5893" max="5893" width="12.81640625" style="103" customWidth="1"/>
    <col min="5894" max="5894" width="12.26953125" style="103" customWidth="1"/>
    <col min="5895" max="5895" width="13.26953125" style="103" customWidth="1"/>
    <col min="5896" max="5896" width="16.81640625" style="103" bestFit="1" customWidth="1"/>
    <col min="5897" max="5898" width="12.1796875" style="103" customWidth="1"/>
    <col min="5899" max="5901" width="13.1796875" style="103" customWidth="1"/>
    <col min="5902" max="5902" width="13.54296875" style="103" customWidth="1"/>
    <col min="5903" max="5903" width="12.7265625" style="103" customWidth="1"/>
    <col min="5904" max="5904" width="11.1796875" style="103" customWidth="1"/>
    <col min="5905" max="5905" width="7.54296875" style="103" customWidth="1"/>
    <col min="5906" max="6144" width="9.1796875" style="103"/>
    <col min="6145" max="6145" width="0" style="103" hidden="1" customWidth="1"/>
    <col min="6146" max="6146" width="22.54296875" style="103" customWidth="1"/>
    <col min="6147" max="6147" width="2.453125" style="103" customWidth="1"/>
    <col min="6148" max="6148" width="11.26953125" style="103" customWidth="1"/>
    <col min="6149" max="6149" width="12.81640625" style="103" customWidth="1"/>
    <col min="6150" max="6150" width="12.26953125" style="103" customWidth="1"/>
    <col min="6151" max="6151" width="13.26953125" style="103" customWidth="1"/>
    <col min="6152" max="6152" width="16.81640625" style="103" bestFit="1" customWidth="1"/>
    <col min="6153" max="6154" width="12.1796875" style="103" customWidth="1"/>
    <col min="6155" max="6157" width="13.1796875" style="103" customWidth="1"/>
    <col min="6158" max="6158" width="13.54296875" style="103" customWidth="1"/>
    <col min="6159" max="6159" width="12.7265625" style="103" customWidth="1"/>
    <col min="6160" max="6160" width="11.1796875" style="103" customWidth="1"/>
    <col min="6161" max="6161" width="7.54296875" style="103" customWidth="1"/>
    <col min="6162" max="6400" width="9.1796875" style="103"/>
    <col min="6401" max="6401" width="0" style="103" hidden="1" customWidth="1"/>
    <col min="6402" max="6402" width="22.54296875" style="103" customWidth="1"/>
    <col min="6403" max="6403" width="2.453125" style="103" customWidth="1"/>
    <col min="6404" max="6404" width="11.26953125" style="103" customWidth="1"/>
    <col min="6405" max="6405" width="12.81640625" style="103" customWidth="1"/>
    <col min="6406" max="6406" width="12.26953125" style="103" customWidth="1"/>
    <col min="6407" max="6407" width="13.26953125" style="103" customWidth="1"/>
    <col min="6408" max="6408" width="16.81640625" style="103" bestFit="1" customWidth="1"/>
    <col min="6409" max="6410" width="12.1796875" style="103" customWidth="1"/>
    <col min="6411" max="6413" width="13.1796875" style="103" customWidth="1"/>
    <col min="6414" max="6414" width="13.54296875" style="103" customWidth="1"/>
    <col min="6415" max="6415" width="12.7265625" style="103" customWidth="1"/>
    <col min="6416" max="6416" width="11.1796875" style="103" customWidth="1"/>
    <col min="6417" max="6417" width="7.54296875" style="103" customWidth="1"/>
    <col min="6418" max="6656" width="9.1796875" style="103"/>
    <col min="6657" max="6657" width="0" style="103" hidden="1" customWidth="1"/>
    <col min="6658" max="6658" width="22.54296875" style="103" customWidth="1"/>
    <col min="6659" max="6659" width="2.453125" style="103" customWidth="1"/>
    <col min="6660" max="6660" width="11.26953125" style="103" customWidth="1"/>
    <col min="6661" max="6661" width="12.81640625" style="103" customWidth="1"/>
    <col min="6662" max="6662" width="12.26953125" style="103" customWidth="1"/>
    <col min="6663" max="6663" width="13.26953125" style="103" customWidth="1"/>
    <col min="6664" max="6664" width="16.81640625" style="103" bestFit="1" customWidth="1"/>
    <col min="6665" max="6666" width="12.1796875" style="103" customWidth="1"/>
    <col min="6667" max="6669" width="13.1796875" style="103" customWidth="1"/>
    <col min="6670" max="6670" width="13.54296875" style="103" customWidth="1"/>
    <col min="6671" max="6671" width="12.7265625" style="103" customWidth="1"/>
    <col min="6672" max="6672" width="11.1796875" style="103" customWidth="1"/>
    <col min="6673" max="6673" width="7.54296875" style="103" customWidth="1"/>
    <col min="6674" max="6912" width="9.1796875" style="103"/>
    <col min="6913" max="6913" width="0" style="103" hidden="1" customWidth="1"/>
    <col min="6914" max="6914" width="22.54296875" style="103" customWidth="1"/>
    <col min="6915" max="6915" width="2.453125" style="103" customWidth="1"/>
    <col min="6916" max="6916" width="11.26953125" style="103" customWidth="1"/>
    <col min="6917" max="6917" width="12.81640625" style="103" customWidth="1"/>
    <col min="6918" max="6918" width="12.26953125" style="103" customWidth="1"/>
    <col min="6919" max="6919" width="13.26953125" style="103" customWidth="1"/>
    <col min="6920" max="6920" width="16.81640625" style="103" bestFit="1" customWidth="1"/>
    <col min="6921" max="6922" width="12.1796875" style="103" customWidth="1"/>
    <col min="6923" max="6925" width="13.1796875" style="103" customWidth="1"/>
    <col min="6926" max="6926" width="13.54296875" style="103" customWidth="1"/>
    <col min="6927" max="6927" width="12.7265625" style="103" customWidth="1"/>
    <col min="6928" max="6928" width="11.1796875" style="103" customWidth="1"/>
    <col min="6929" max="6929" width="7.54296875" style="103" customWidth="1"/>
    <col min="6930" max="7168" width="9.1796875" style="103"/>
    <col min="7169" max="7169" width="0" style="103" hidden="1" customWidth="1"/>
    <col min="7170" max="7170" width="22.54296875" style="103" customWidth="1"/>
    <col min="7171" max="7171" width="2.453125" style="103" customWidth="1"/>
    <col min="7172" max="7172" width="11.26953125" style="103" customWidth="1"/>
    <col min="7173" max="7173" width="12.81640625" style="103" customWidth="1"/>
    <col min="7174" max="7174" width="12.26953125" style="103" customWidth="1"/>
    <col min="7175" max="7175" width="13.26953125" style="103" customWidth="1"/>
    <col min="7176" max="7176" width="16.81640625" style="103" bestFit="1" customWidth="1"/>
    <col min="7177" max="7178" width="12.1796875" style="103" customWidth="1"/>
    <col min="7179" max="7181" width="13.1796875" style="103" customWidth="1"/>
    <col min="7182" max="7182" width="13.54296875" style="103" customWidth="1"/>
    <col min="7183" max="7183" width="12.7265625" style="103" customWidth="1"/>
    <col min="7184" max="7184" width="11.1796875" style="103" customWidth="1"/>
    <col min="7185" max="7185" width="7.54296875" style="103" customWidth="1"/>
    <col min="7186" max="7424" width="9.1796875" style="103"/>
    <col min="7425" max="7425" width="0" style="103" hidden="1" customWidth="1"/>
    <col min="7426" max="7426" width="22.54296875" style="103" customWidth="1"/>
    <col min="7427" max="7427" width="2.453125" style="103" customWidth="1"/>
    <col min="7428" max="7428" width="11.26953125" style="103" customWidth="1"/>
    <col min="7429" max="7429" width="12.81640625" style="103" customWidth="1"/>
    <col min="7430" max="7430" width="12.26953125" style="103" customWidth="1"/>
    <col min="7431" max="7431" width="13.26953125" style="103" customWidth="1"/>
    <col min="7432" max="7432" width="16.81640625" style="103" bestFit="1" customWidth="1"/>
    <col min="7433" max="7434" width="12.1796875" style="103" customWidth="1"/>
    <col min="7435" max="7437" width="13.1796875" style="103" customWidth="1"/>
    <col min="7438" max="7438" width="13.54296875" style="103" customWidth="1"/>
    <col min="7439" max="7439" width="12.7265625" style="103" customWidth="1"/>
    <col min="7440" max="7440" width="11.1796875" style="103" customWidth="1"/>
    <col min="7441" max="7441" width="7.54296875" style="103" customWidth="1"/>
    <col min="7442" max="7680" width="9.1796875" style="103"/>
    <col min="7681" max="7681" width="0" style="103" hidden="1" customWidth="1"/>
    <col min="7682" max="7682" width="22.54296875" style="103" customWidth="1"/>
    <col min="7683" max="7683" width="2.453125" style="103" customWidth="1"/>
    <col min="7684" max="7684" width="11.26953125" style="103" customWidth="1"/>
    <col min="7685" max="7685" width="12.81640625" style="103" customWidth="1"/>
    <col min="7686" max="7686" width="12.26953125" style="103" customWidth="1"/>
    <col min="7687" max="7687" width="13.26953125" style="103" customWidth="1"/>
    <col min="7688" max="7688" width="16.81640625" style="103" bestFit="1" customWidth="1"/>
    <col min="7689" max="7690" width="12.1796875" style="103" customWidth="1"/>
    <col min="7691" max="7693" width="13.1796875" style="103" customWidth="1"/>
    <col min="7694" max="7694" width="13.54296875" style="103" customWidth="1"/>
    <col min="7695" max="7695" width="12.7265625" style="103" customWidth="1"/>
    <col min="7696" max="7696" width="11.1796875" style="103" customWidth="1"/>
    <col min="7697" max="7697" width="7.54296875" style="103" customWidth="1"/>
    <col min="7698" max="7936" width="9.1796875" style="103"/>
    <col min="7937" max="7937" width="0" style="103" hidden="1" customWidth="1"/>
    <col min="7938" max="7938" width="22.54296875" style="103" customWidth="1"/>
    <col min="7939" max="7939" width="2.453125" style="103" customWidth="1"/>
    <col min="7940" max="7940" width="11.26953125" style="103" customWidth="1"/>
    <col min="7941" max="7941" width="12.81640625" style="103" customWidth="1"/>
    <col min="7942" max="7942" width="12.26953125" style="103" customWidth="1"/>
    <col min="7943" max="7943" width="13.26953125" style="103" customWidth="1"/>
    <col min="7944" max="7944" width="16.81640625" style="103" bestFit="1" customWidth="1"/>
    <col min="7945" max="7946" width="12.1796875" style="103" customWidth="1"/>
    <col min="7947" max="7949" width="13.1796875" style="103" customWidth="1"/>
    <col min="7950" max="7950" width="13.54296875" style="103" customWidth="1"/>
    <col min="7951" max="7951" width="12.7265625" style="103" customWidth="1"/>
    <col min="7952" max="7952" width="11.1796875" style="103" customWidth="1"/>
    <col min="7953" max="7953" width="7.54296875" style="103" customWidth="1"/>
    <col min="7954" max="8192" width="9.1796875" style="103"/>
    <col min="8193" max="8193" width="0" style="103" hidden="1" customWidth="1"/>
    <col min="8194" max="8194" width="22.54296875" style="103" customWidth="1"/>
    <col min="8195" max="8195" width="2.453125" style="103" customWidth="1"/>
    <col min="8196" max="8196" width="11.26953125" style="103" customWidth="1"/>
    <col min="8197" max="8197" width="12.81640625" style="103" customWidth="1"/>
    <col min="8198" max="8198" width="12.26953125" style="103" customWidth="1"/>
    <col min="8199" max="8199" width="13.26953125" style="103" customWidth="1"/>
    <col min="8200" max="8200" width="16.81640625" style="103" bestFit="1" customWidth="1"/>
    <col min="8201" max="8202" width="12.1796875" style="103" customWidth="1"/>
    <col min="8203" max="8205" width="13.1796875" style="103" customWidth="1"/>
    <col min="8206" max="8206" width="13.54296875" style="103" customWidth="1"/>
    <col min="8207" max="8207" width="12.7265625" style="103" customWidth="1"/>
    <col min="8208" max="8208" width="11.1796875" style="103" customWidth="1"/>
    <col min="8209" max="8209" width="7.54296875" style="103" customWidth="1"/>
    <col min="8210" max="8448" width="9.1796875" style="103"/>
    <col min="8449" max="8449" width="0" style="103" hidden="1" customWidth="1"/>
    <col min="8450" max="8450" width="22.54296875" style="103" customWidth="1"/>
    <col min="8451" max="8451" width="2.453125" style="103" customWidth="1"/>
    <col min="8452" max="8452" width="11.26953125" style="103" customWidth="1"/>
    <col min="8453" max="8453" width="12.81640625" style="103" customWidth="1"/>
    <col min="8454" max="8454" width="12.26953125" style="103" customWidth="1"/>
    <col min="8455" max="8455" width="13.26953125" style="103" customWidth="1"/>
    <col min="8456" max="8456" width="16.81640625" style="103" bestFit="1" customWidth="1"/>
    <col min="8457" max="8458" width="12.1796875" style="103" customWidth="1"/>
    <col min="8459" max="8461" width="13.1796875" style="103" customWidth="1"/>
    <col min="8462" max="8462" width="13.54296875" style="103" customWidth="1"/>
    <col min="8463" max="8463" width="12.7265625" style="103" customWidth="1"/>
    <col min="8464" max="8464" width="11.1796875" style="103" customWidth="1"/>
    <col min="8465" max="8465" width="7.54296875" style="103" customWidth="1"/>
    <col min="8466" max="8704" width="9.1796875" style="103"/>
    <col min="8705" max="8705" width="0" style="103" hidden="1" customWidth="1"/>
    <col min="8706" max="8706" width="22.54296875" style="103" customWidth="1"/>
    <col min="8707" max="8707" width="2.453125" style="103" customWidth="1"/>
    <col min="8708" max="8708" width="11.26953125" style="103" customWidth="1"/>
    <col min="8709" max="8709" width="12.81640625" style="103" customWidth="1"/>
    <col min="8710" max="8710" width="12.26953125" style="103" customWidth="1"/>
    <col min="8711" max="8711" width="13.26953125" style="103" customWidth="1"/>
    <col min="8712" max="8712" width="16.81640625" style="103" bestFit="1" customWidth="1"/>
    <col min="8713" max="8714" width="12.1796875" style="103" customWidth="1"/>
    <col min="8715" max="8717" width="13.1796875" style="103" customWidth="1"/>
    <col min="8718" max="8718" width="13.54296875" style="103" customWidth="1"/>
    <col min="8719" max="8719" width="12.7265625" style="103" customWidth="1"/>
    <col min="8720" max="8720" width="11.1796875" style="103" customWidth="1"/>
    <col min="8721" max="8721" width="7.54296875" style="103" customWidth="1"/>
    <col min="8722" max="8960" width="9.1796875" style="103"/>
    <col min="8961" max="8961" width="0" style="103" hidden="1" customWidth="1"/>
    <col min="8962" max="8962" width="22.54296875" style="103" customWidth="1"/>
    <col min="8963" max="8963" width="2.453125" style="103" customWidth="1"/>
    <col min="8964" max="8964" width="11.26953125" style="103" customWidth="1"/>
    <col min="8965" max="8965" width="12.81640625" style="103" customWidth="1"/>
    <col min="8966" max="8966" width="12.26953125" style="103" customWidth="1"/>
    <col min="8967" max="8967" width="13.26953125" style="103" customWidth="1"/>
    <col min="8968" max="8968" width="16.81640625" style="103" bestFit="1" customWidth="1"/>
    <col min="8969" max="8970" width="12.1796875" style="103" customWidth="1"/>
    <col min="8971" max="8973" width="13.1796875" style="103" customWidth="1"/>
    <col min="8974" max="8974" width="13.54296875" style="103" customWidth="1"/>
    <col min="8975" max="8975" width="12.7265625" style="103" customWidth="1"/>
    <col min="8976" max="8976" width="11.1796875" style="103" customWidth="1"/>
    <col min="8977" max="8977" width="7.54296875" style="103" customWidth="1"/>
    <col min="8978" max="9216" width="9.1796875" style="103"/>
    <col min="9217" max="9217" width="0" style="103" hidden="1" customWidth="1"/>
    <col min="9218" max="9218" width="22.54296875" style="103" customWidth="1"/>
    <col min="9219" max="9219" width="2.453125" style="103" customWidth="1"/>
    <col min="9220" max="9220" width="11.26953125" style="103" customWidth="1"/>
    <col min="9221" max="9221" width="12.81640625" style="103" customWidth="1"/>
    <col min="9222" max="9222" width="12.26953125" style="103" customWidth="1"/>
    <col min="9223" max="9223" width="13.26953125" style="103" customWidth="1"/>
    <col min="9224" max="9224" width="16.81640625" style="103" bestFit="1" customWidth="1"/>
    <col min="9225" max="9226" width="12.1796875" style="103" customWidth="1"/>
    <col min="9227" max="9229" width="13.1796875" style="103" customWidth="1"/>
    <col min="9230" max="9230" width="13.54296875" style="103" customWidth="1"/>
    <col min="9231" max="9231" width="12.7265625" style="103" customWidth="1"/>
    <col min="9232" max="9232" width="11.1796875" style="103" customWidth="1"/>
    <col min="9233" max="9233" width="7.54296875" style="103" customWidth="1"/>
    <col min="9234" max="9472" width="9.1796875" style="103"/>
    <col min="9473" max="9473" width="0" style="103" hidden="1" customWidth="1"/>
    <col min="9474" max="9474" width="22.54296875" style="103" customWidth="1"/>
    <col min="9475" max="9475" width="2.453125" style="103" customWidth="1"/>
    <col min="9476" max="9476" width="11.26953125" style="103" customWidth="1"/>
    <col min="9477" max="9477" width="12.81640625" style="103" customWidth="1"/>
    <col min="9478" max="9478" width="12.26953125" style="103" customWidth="1"/>
    <col min="9479" max="9479" width="13.26953125" style="103" customWidth="1"/>
    <col min="9480" max="9480" width="16.81640625" style="103" bestFit="1" customWidth="1"/>
    <col min="9481" max="9482" width="12.1796875" style="103" customWidth="1"/>
    <col min="9483" max="9485" width="13.1796875" style="103" customWidth="1"/>
    <col min="9486" max="9486" width="13.54296875" style="103" customWidth="1"/>
    <col min="9487" max="9487" width="12.7265625" style="103" customWidth="1"/>
    <col min="9488" max="9488" width="11.1796875" style="103" customWidth="1"/>
    <col min="9489" max="9489" width="7.54296875" style="103" customWidth="1"/>
    <col min="9490" max="9728" width="9.1796875" style="103"/>
    <col min="9729" max="9729" width="0" style="103" hidden="1" customWidth="1"/>
    <col min="9730" max="9730" width="22.54296875" style="103" customWidth="1"/>
    <col min="9731" max="9731" width="2.453125" style="103" customWidth="1"/>
    <col min="9732" max="9732" width="11.26953125" style="103" customWidth="1"/>
    <col min="9733" max="9733" width="12.81640625" style="103" customWidth="1"/>
    <col min="9734" max="9734" width="12.26953125" style="103" customWidth="1"/>
    <col min="9735" max="9735" width="13.26953125" style="103" customWidth="1"/>
    <col min="9736" max="9736" width="16.81640625" style="103" bestFit="1" customWidth="1"/>
    <col min="9737" max="9738" width="12.1796875" style="103" customWidth="1"/>
    <col min="9739" max="9741" width="13.1796875" style="103" customWidth="1"/>
    <col min="9742" max="9742" width="13.54296875" style="103" customWidth="1"/>
    <col min="9743" max="9743" width="12.7265625" style="103" customWidth="1"/>
    <col min="9744" max="9744" width="11.1796875" style="103" customWidth="1"/>
    <col min="9745" max="9745" width="7.54296875" style="103" customWidth="1"/>
    <col min="9746" max="9984" width="9.1796875" style="103"/>
    <col min="9985" max="9985" width="0" style="103" hidden="1" customWidth="1"/>
    <col min="9986" max="9986" width="22.54296875" style="103" customWidth="1"/>
    <col min="9987" max="9987" width="2.453125" style="103" customWidth="1"/>
    <col min="9988" max="9988" width="11.26953125" style="103" customWidth="1"/>
    <col min="9989" max="9989" width="12.81640625" style="103" customWidth="1"/>
    <col min="9990" max="9990" width="12.26953125" style="103" customWidth="1"/>
    <col min="9991" max="9991" width="13.26953125" style="103" customWidth="1"/>
    <col min="9992" max="9992" width="16.81640625" style="103" bestFit="1" customWidth="1"/>
    <col min="9993" max="9994" width="12.1796875" style="103" customWidth="1"/>
    <col min="9995" max="9997" width="13.1796875" style="103" customWidth="1"/>
    <col min="9998" max="9998" width="13.54296875" style="103" customWidth="1"/>
    <col min="9999" max="9999" width="12.7265625" style="103" customWidth="1"/>
    <col min="10000" max="10000" width="11.1796875" style="103" customWidth="1"/>
    <col min="10001" max="10001" width="7.54296875" style="103" customWidth="1"/>
    <col min="10002" max="10240" width="9.1796875" style="103"/>
    <col min="10241" max="10241" width="0" style="103" hidden="1" customWidth="1"/>
    <col min="10242" max="10242" width="22.54296875" style="103" customWidth="1"/>
    <col min="10243" max="10243" width="2.453125" style="103" customWidth="1"/>
    <col min="10244" max="10244" width="11.26953125" style="103" customWidth="1"/>
    <col min="10245" max="10245" width="12.81640625" style="103" customWidth="1"/>
    <col min="10246" max="10246" width="12.26953125" style="103" customWidth="1"/>
    <col min="10247" max="10247" width="13.26953125" style="103" customWidth="1"/>
    <col min="10248" max="10248" width="16.81640625" style="103" bestFit="1" customWidth="1"/>
    <col min="10249" max="10250" width="12.1796875" style="103" customWidth="1"/>
    <col min="10251" max="10253" width="13.1796875" style="103" customWidth="1"/>
    <col min="10254" max="10254" width="13.54296875" style="103" customWidth="1"/>
    <col min="10255" max="10255" width="12.7265625" style="103" customWidth="1"/>
    <col min="10256" max="10256" width="11.1796875" style="103" customWidth="1"/>
    <col min="10257" max="10257" width="7.54296875" style="103" customWidth="1"/>
    <col min="10258" max="10496" width="9.1796875" style="103"/>
    <col min="10497" max="10497" width="0" style="103" hidden="1" customWidth="1"/>
    <col min="10498" max="10498" width="22.54296875" style="103" customWidth="1"/>
    <col min="10499" max="10499" width="2.453125" style="103" customWidth="1"/>
    <col min="10500" max="10500" width="11.26953125" style="103" customWidth="1"/>
    <col min="10501" max="10501" width="12.81640625" style="103" customWidth="1"/>
    <col min="10502" max="10502" width="12.26953125" style="103" customWidth="1"/>
    <col min="10503" max="10503" width="13.26953125" style="103" customWidth="1"/>
    <col min="10504" max="10504" width="16.81640625" style="103" bestFit="1" customWidth="1"/>
    <col min="10505" max="10506" width="12.1796875" style="103" customWidth="1"/>
    <col min="10507" max="10509" width="13.1796875" style="103" customWidth="1"/>
    <col min="10510" max="10510" width="13.54296875" style="103" customWidth="1"/>
    <col min="10511" max="10511" width="12.7265625" style="103" customWidth="1"/>
    <col min="10512" max="10512" width="11.1796875" style="103" customWidth="1"/>
    <col min="10513" max="10513" width="7.54296875" style="103" customWidth="1"/>
    <col min="10514" max="10752" width="9.1796875" style="103"/>
    <col min="10753" max="10753" width="0" style="103" hidden="1" customWidth="1"/>
    <col min="10754" max="10754" width="22.54296875" style="103" customWidth="1"/>
    <col min="10755" max="10755" width="2.453125" style="103" customWidth="1"/>
    <col min="10756" max="10756" width="11.26953125" style="103" customWidth="1"/>
    <col min="10757" max="10757" width="12.81640625" style="103" customWidth="1"/>
    <col min="10758" max="10758" width="12.26953125" style="103" customWidth="1"/>
    <col min="10759" max="10759" width="13.26953125" style="103" customWidth="1"/>
    <col min="10760" max="10760" width="16.81640625" style="103" bestFit="1" customWidth="1"/>
    <col min="10761" max="10762" width="12.1796875" style="103" customWidth="1"/>
    <col min="10763" max="10765" width="13.1796875" style="103" customWidth="1"/>
    <col min="10766" max="10766" width="13.54296875" style="103" customWidth="1"/>
    <col min="10767" max="10767" width="12.7265625" style="103" customWidth="1"/>
    <col min="10768" max="10768" width="11.1796875" style="103" customWidth="1"/>
    <col min="10769" max="10769" width="7.54296875" style="103" customWidth="1"/>
    <col min="10770" max="11008" width="9.1796875" style="103"/>
    <col min="11009" max="11009" width="0" style="103" hidden="1" customWidth="1"/>
    <col min="11010" max="11010" width="22.54296875" style="103" customWidth="1"/>
    <col min="11011" max="11011" width="2.453125" style="103" customWidth="1"/>
    <col min="11012" max="11012" width="11.26953125" style="103" customWidth="1"/>
    <col min="11013" max="11013" width="12.81640625" style="103" customWidth="1"/>
    <col min="11014" max="11014" width="12.26953125" style="103" customWidth="1"/>
    <col min="11015" max="11015" width="13.26953125" style="103" customWidth="1"/>
    <col min="11016" max="11016" width="16.81640625" style="103" bestFit="1" customWidth="1"/>
    <col min="11017" max="11018" width="12.1796875" style="103" customWidth="1"/>
    <col min="11019" max="11021" width="13.1796875" style="103" customWidth="1"/>
    <col min="11022" max="11022" width="13.54296875" style="103" customWidth="1"/>
    <col min="11023" max="11023" width="12.7265625" style="103" customWidth="1"/>
    <col min="11024" max="11024" width="11.1796875" style="103" customWidth="1"/>
    <col min="11025" max="11025" width="7.54296875" style="103" customWidth="1"/>
    <col min="11026" max="11264" width="9.1796875" style="103"/>
    <col min="11265" max="11265" width="0" style="103" hidden="1" customWidth="1"/>
    <col min="11266" max="11266" width="22.54296875" style="103" customWidth="1"/>
    <col min="11267" max="11267" width="2.453125" style="103" customWidth="1"/>
    <col min="11268" max="11268" width="11.26953125" style="103" customWidth="1"/>
    <col min="11269" max="11269" width="12.81640625" style="103" customWidth="1"/>
    <col min="11270" max="11270" width="12.26953125" style="103" customWidth="1"/>
    <col min="11271" max="11271" width="13.26953125" style="103" customWidth="1"/>
    <col min="11272" max="11272" width="16.81640625" style="103" bestFit="1" customWidth="1"/>
    <col min="11273" max="11274" width="12.1796875" style="103" customWidth="1"/>
    <col min="11275" max="11277" width="13.1796875" style="103" customWidth="1"/>
    <col min="11278" max="11278" width="13.54296875" style="103" customWidth="1"/>
    <col min="11279" max="11279" width="12.7265625" style="103" customWidth="1"/>
    <col min="11280" max="11280" width="11.1796875" style="103" customWidth="1"/>
    <col min="11281" max="11281" width="7.54296875" style="103" customWidth="1"/>
    <col min="11282" max="11520" width="9.1796875" style="103"/>
    <col min="11521" max="11521" width="0" style="103" hidden="1" customWidth="1"/>
    <col min="11522" max="11522" width="22.54296875" style="103" customWidth="1"/>
    <col min="11523" max="11523" width="2.453125" style="103" customWidth="1"/>
    <col min="11524" max="11524" width="11.26953125" style="103" customWidth="1"/>
    <col min="11525" max="11525" width="12.81640625" style="103" customWidth="1"/>
    <col min="11526" max="11526" width="12.26953125" style="103" customWidth="1"/>
    <col min="11527" max="11527" width="13.26953125" style="103" customWidth="1"/>
    <col min="11528" max="11528" width="16.81640625" style="103" bestFit="1" customWidth="1"/>
    <col min="11529" max="11530" width="12.1796875" style="103" customWidth="1"/>
    <col min="11531" max="11533" width="13.1796875" style="103" customWidth="1"/>
    <col min="11534" max="11534" width="13.54296875" style="103" customWidth="1"/>
    <col min="11535" max="11535" width="12.7265625" style="103" customWidth="1"/>
    <col min="11536" max="11536" width="11.1796875" style="103" customWidth="1"/>
    <col min="11537" max="11537" width="7.54296875" style="103" customWidth="1"/>
    <col min="11538" max="11776" width="9.1796875" style="103"/>
    <col min="11777" max="11777" width="0" style="103" hidden="1" customWidth="1"/>
    <col min="11778" max="11778" width="22.54296875" style="103" customWidth="1"/>
    <col min="11779" max="11779" width="2.453125" style="103" customWidth="1"/>
    <col min="11780" max="11780" width="11.26953125" style="103" customWidth="1"/>
    <col min="11781" max="11781" width="12.81640625" style="103" customWidth="1"/>
    <col min="11782" max="11782" width="12.26953125" style="103" customWidth="1"/>
    <col min="11783" max="11783" width="13.26953125" style="103" customWidth="1"/>
    <col min="11784" max="11784" width="16.81640625" style="103" bestFit="1" customWidth="1"/>
    <col min="11785" max="11786" width="12.1796875" style="103" customWidth="1"/>
    <col min="11787" max="11789" width="13.1796875" style="103" customWidth="1"/>
    <col min="11790" max="11790" width="13.54296875" style="103" customWidth="1"/>
    <col min="11791" max="11791" width="12.7265625" style="103" customWidth="1"/>
    <col min="11792" max="11792" width="11.1796875" style="103" customWidth="1"/>
    <col min="11793" max="11793" width="7.54296875" style="103" customWidth="1"/>
    <col min="11794" max="12032" width="9.1796875" style="103"/>
    <col min="12033" max="12033" width="0" style="103" hidden="1" customWidth="1"/>
    <col min="12034" max="12034" width="22.54296875" style="103" customWidth="1"/>
    <col min="12035" max="12035" width="2.453125" style="103" customWidth="1"/>
    <col min="12036" max="12036" width="11.26953125" style="103" customWidth="1"/>
    <col min="12037" max="12037" width="12.81640625" style="103" customWidth="1"/>
    <col min="12038" max="12038" width="12.26953125" style="103" customWidth="1"/>
    <col min="12039" max="12039" width="13.26953125" style="103" customWidth="1"/>
    <col min="12040" max="12040" width="16.81640625" style="103" bestFit="1" customWidth="1"/>
    <col min="12041" max="12042" width="12.1796875" style="103" customWidth="1"/>
    <col min="12043" max="12045" width="13.1796875" style="103" customWidth="1"/>
    <col min="12046" max="12046" width="13.54296875" style="103" customWidth="1"/>
    <col min="12047" max="12047" width="12.7265625" style="103" customWidth="1"/>
    <col min="12048" max="12048" width="11.1796875" style="103" customWidth="1"/>
    <col min="12049" max="12049" width="7.54296875" style="103" customWidth="1"/>
    <col min="12050" max="12288" width="9.1796875" style="103"/>
    <col min="12289" max="12289" width="0" style="103" hidden="1" customWidth="1"/>
    <col min="12290" max="12290" width="22.54296875" style="103" customWidth="1"/>
    <col min="12291" max="12291" width="2.453125" style="103" customWidth="1"/>
    <col min="12292" max="12292" width="11.26953125" style="103" customWidth="1"/>
    <col min="12293" max="12293" width="12.81640625" style="103" customWidth="1"/>
    <col min="12294" max="12294" width="12.26953125" style="103" customWidth="1"/>
    <col min="12295" max="12295" width="13.26953125" style="103" customWidth="1"/>
    <col min="12296" max="12296" width="16.81640625" style="103" bestFit="1" customWidth="1"/>
    <col min="12297" max="12298" width="12.1796875" style="103" customWidth="1"/>
    <col min="12299" max="12301" width="13.1796875" style="103" customWidth="1"/>
    <col min="12302" max="12302" width="13.54296875" style="103" customWidth="1"/>
    <col min="12303" max="12303" width="12.7265625" style="103" customWidth="1"/>
    <col min="12304" max="12304" width="11.1796875" style="103" customWidth="1"/>
    <col min="12305" max="12305" width="7.54296875" style="103" customWidth="1"/>
    <col min="12306" max="12544" width="9.1796875" style="103"/>
    <col min="12545" max="12545" width="0" style="103" hidden="1" customWidth="1"/>
    <col min="12546" max="12546" width="22.54296875" style="103" customWidth="1"/>
    <col min="12547" max="12547" width="2.453125" style="103" customWidth="1"/>
    <col min="12548" max="12548" width="11.26953125" style="103" customWidth="1"/>
    <col min="12549" max="12549" width="12.81640625" style="103" customWidth="1"/>
    <col min="12550" max="12550" width="12.26953125" style="103" customWidth="1"/>
    <col min="12551" max="12551" width="13.26953125" style="103" customWidth="1"/>
    <col min="12552" max="12552" width="16.81640625" style="103" bestFit="1" customWidth="1"/>
    <col min="12553" max="12554" width="12.1796875" style="103" customWidth="1"/>
    <col min="12555" max="12557" width="13.1796875" style="103" customWidth="1"/>
    <col min="12558" max="12558" width="13.54296875" style="103" customWidth="1"/>
    <col min="12559" max="12559" width="12.7265625" style="103" customWidth="1"/>
    <col min="12560" max="12560" width="11.1796875" style="103" customWidth="1"/>
    <col min="12561" max="12561" width="7.54296875" style="103" customWidth="1"/>
    <col min="12562" max="12800" width="9.1796875" style="103"/>
    <col min="12801" max="12801" width="0" style="103" hidden="1" customWidth="1"/>
    <col min="12802" max="12802" width="22.54296875" style="103" customWidth="1"/>
    <col min="12803" max="12803" width="2.453125" style="103" customWidth="1"/>
    <col min="12804" max="12804" width="11.26953125" style="103" customWidth="1"/>
    <col min="12805" max="12805" width="12.81640625" style="103" customWidth="1"/>
    <col min="12806" max="12806" width="12.26953125" style="103" customWidth="1"/>
    <col min="12807" max="12807" width="13.26953125" style="103" customWidth="1"/>
    <col min="12808" max="12808" width="16.81640625" style="103" bestFit="1" customWidth="1"/>
    <col min="12809" max="12810" width="12.1796875" style="103" customWidth="1"/>
    <col min="12811" max="12813" width="13.1796875" style="103" customWidth="1"/>
    <col min="12814" max="12814" width="13.54296875" style="103" customWidth="1"/>
    <col min="12815" max="12815" width="12.7265625" style="103" customWidth="1"/>
    <col min="12816" max="12816" width="11.1796875" style="103" customWidth="1"/>
    <col min="12817" max="12817" width="7.54296875" style="103" customWidth="1"/>
    <col min="12818" max="13056" width="9.1796875" style="103"/>
    <col min="13057" max="13057" width="0" style="103" hidden="1" customWidth="1"/>
    <col min="13058" max="13058" width="22.54296875" style="103" customWidth="1"/>
    <col min="13059" max="13059" width="2.453125" style="103" customWidth="1"/>
    <col min="13060" max="13060" width="11.26953125" style="103" customWidth="1"/>
    <col min="13061" max="13061" width="12.81640625" style="103" customWidth="1"/>
    <col min="13062" max="13062" width="12.26953125" style="103" customWidth="1"/>
    <col min="13063" max="13063" width="13.26953125" style="103" customWidth="1"/>
    <col min="13064" max="13064" width="16.81640625" style="103" bestFit="1" customWidth="1"/>
    <col min="13065" max="13066" width="12.1796875" style="103" customWidth="1"/>
    <col min="13067" max="13069" width="13.1796875" style="103" customWidth="1"/>
    <col min="13070" max="13070" width="13.54296875" style="103" customWidth="1"/>
    <col min="13071" max="13071" width="12.7265625" style="103" customWidth="1"/>
    <col min="13072" max="13072" width="11.1796875" style="103" customWidth="1"/>
    <col min="13073" max="13073" width="7.54296875" style="103" customWidth="1"/>
    <col min="13074" max="13312" width="9.1796875" style="103"/>
    <col min="13313" max="13313" width="0" style="103" hidden="1" customWidth="1"/>
    <col min="13314" max="13314" width="22.54296875" style="103" customWidth="1"/>
    <col min="13315" max="13315" width="2.453125" style="103" customWidth="1"/>
    <col min="13316" max="13316" width="11.26953125" style="103" customWidth="1"/>
    <col min="13317" max="13317" width="12.81640625" style="103" customWidth="1"/>
    <col min="13318" max="13318" width="12.26953125" style="103" customWidth="1"/>
    <col min="13319" max="13319" width="13.26953125" style="103" customWidth="1"/>
    <col min="13320" max="13320" width="16.81640625" style="103" bestFit="1" customWidth="1"/>
    <col min="13321" max="13322" width="12.1796875" style="103" customWidth="1"/>
    <col min="13323" max="13325" width="13.1796875" style="103" customWidth="1"/>
    <col min="13326" max="13326" width="13.54296875" style="103" customWidth="1"/>
    <col min="13327" max="13327" width="12.7265625" style="103" customWidth="1"/>
    <col min="13328" max="13328" width="11.1796875" style="103" customWidth="1"/>
    <col min="13329" max="13329" width="7.54296875" style="103" customWidth="1"/>
    <col min="13330" max="13568" width="9.1796875" style="103"/>
    <col min="13569" max="13569" width="0" style="103" hidden="1" customWidth="1"/>
    <col min="13570" max="13570" width="22.54296875" style="103" customWidth="1"/>
    <col min="13571" max="13571" width="2.453125" style="103" customWidth="1"/>
    <col min="13572" max="13572" width="11.26953125" style="103" customWidth="1"/>
    <col min="13573" max="13573" width="12.81640625" style="103" customWidth="1"/>
    <col min="13574" max="13574" width="12.26953125" style="103" customWidth="1"/>
    <col min="13575" max="13575" width="13.26953125" style="103" customWidth="1"/>
    <col min="13576" max="13576" width="16.81640625" style="103" bestFit="1" customWidth="1"/>
    <col min="13577" max="13578" width="12.1796875" style="103" customWidth="1"/>
    <col min="13579" max="13581" width="13.1796875" style="103" customWidth="1"/>
    <col min="13582" max="13582" width="13.54296875" style="103" customWidth="1"/>
    <col min="13583" max="13583" width="12.7265625" style="103" customWidth="1"/>
    <col min="13584" max="13584" width="11.1796875" style="103" customWidth="1"/>
    <col min="13585" max="13585" width="7.54296875" style="103" customWidth="1"/>
    <col min="13586" max="13824" width="9.1796875" style="103"/>
    <col min="13825" max="13825" width="0" style="103" hidden="1" customWidth="1"/>
    <col min="13826" max="13826" width="22.54296875" style="103" customWidth="1"/>
    <col min="13827" max="13827" width="2.453125" style="103" customWidth="1"/>
    <col min="13828" max="13828" width="11.26953125" style="103" customWidth="1"/>
    <col min="13829" max="13829" width="12.81640625" style="103" customWidth="1"/>
    <col min="13830" max="13830" width="12.26953125" style="103" customWidth="1"/>
    <col min="13831" max="13831" width="13.26953125" style="103" customWidth="1"/>
    <col min="13832" max="13832" width="16.81640625" style="103" bestFit="1" customWidth="1"/>
    <col min="13833" max="13834" width="12.1796875" style="103" customWidth="1"/>
    <col min="13835" max="13837" width="13.1796875" style="103" customWidth="1"/>
    <col min="13838" max="13838" width="13.54296875" style="103" customWidth="1"/>
    <col min="13839" max="13839" width="12.7265625" style="103" customWidth="1"/>
    <col min="13840" max="13840" width="11.1796875" style="103" customWidth="1"/>
    <col min="13841" max="13841" width="7.54296875" style="103" customWidth="1"/>
    <col min="13842" max="14080" width="9.1796875" style="103"/>
    <col min="14081" max="14081" width="0" style="103" hidden="1" customWidth="1"/>
    <col min="14082" max="14082" width="22.54296875" style="103" customWidth="1"/>
    <col min="14083" max="14083" width="2.453125" style="103" customWidth="1"/>
    <col min="14084" max="14084" width="11.26953125" style="103" customWidth="1"/>
    <col min="14085" max="14085" width="12.81640625" style="103" customWidth="1"/>
    <col min="14086" max="14086" width="12.26953125" style="103" customWidth="1"/>
    <col min="14087" max="14087" width="13.26953125" style="103" customWidth="1"/>
    <col min="14088" max="14088" width="16.81640625" style="103" bestFit="1" customWidth="1"/>
    <col min="14089" max="14090" width="12.1796875" style="103" customWidth="1"/>
    <col min="14091" max="14093" width="13.1796875" style="103" customWidth="1"/>
    <col min="14094" max="14094" width="13.54296875" style="103" customWidth="1"/>
    <col min="14095" max="14095" width="12.7265625" style="103" customWidth="1"/>
    <col min="14096" max="14096" width="11.1796875" style="103" customWidth="1"/>
    <col min="14097" max="14097" width="7.54296875" style="103" customWidth="1"/>
    <col min="14098" max="14336" width="9.1796875" style="103"/>
    <col min="14337" max="14337" width="0" style="103" hidden="1" customWidth="1"/>
    <col min="14338" max="14338" width="22.54296875" style="103" customWidth="1"/>
    <col min="14339" max="14339" width="2.453125" style="103" customWidth="1"/>
    <col min="14340" max="14340" width="11.26953125" style="103" customWidth="1"/>
    <col min="14341" max="14341" width="12.81640625" style="103" customWidth="1"/>
    <col min="14342" max="14342" width="12.26953125" style="103" customWidth="1"/>
    <col min="14343" max="14343" width="13.26953125" style="103" customWidth="1"/>
    <col min="14344" max="14344" width="16.81640625" style="103" bestFit="1" customWidth="1"/>
    <col min="14345" max="14346" width="12.1796875" style="103" customWidth="1"/>
    <col min="14347" max="14349" width="13.1796875" style="103" customWidth="1"/>
    <col min="14350" max="14350" width="13.54296875" style="103" customWidth="1"/>
    <col min="14351" max="14351" width="12.7265625" style="103" customWidth="1"/>
    <col min="14352" max="14352" width="11.1796875" style="103" customWidth="1"/>
    <col min="14353" max="14353" width="7.54296875" style="103" customWidth="1"/>
    <col min="14354" max="14592" width="9.1796875" style="103"/>
    <col min="14593" max="14593" width="0" style="103" hidden="1" customWidth="1"/>
    <col min="14594" max="14594" width="22.54296875" style="103" customWidth="1"/>
    <col min="14595" max="14595" width="2.453125" style="103" customWidth="1"/>
    <col min="14596" max="14596" width="11.26953125" style="103" customWidth="1"/>
    <col min="14597" max="14597" width="12.81640625" style="103" customWidth="1"/>
    <col min="14598" max="14598" width="12.26953125" style="103" customWidth="1"/>
    <col min="14599" max="14599" width="13.26953125" style="103" customWidth="1"/>
    <col min="14600" max="14600" width="16.81640625" style="103" bestFit="1" customWidth="1"/>
    <col min="14601" max="14602" width="12.1796875" style="103" customWidth="1"/>
    <col min="14603" max="14605" width="13.1796875" style="103" customWidth="1"/>
    <col min="14606" max="14606" width="13.54296875" style="103" customWidth="1"/>
    <col min="14607" max="14607" width="12.7265625" style="103" customWidth="1"/>
    <col min="14608" max="14608" width="11.1796875" style="103" customWidth="1"/>
    <col min="14609" max="14609" width="7.54296875" style="103" customWidth="1"/>
    <col min="14610" max="14848" width="9.1796875" style="103"/>
    <col min="14849" max="14849" width="0" style="103" hidden="1" customWidth="1"/>
    <col min="14850" max="14850" width="22.54296875" style="103" customWidth="1"/>
    <col min="14851" max="14851" width="2.453125" style="103" customWidth="1"/>
    <col min="14852" max="14852" width="11.26953125" style="103" customWidth="1"/>
    <col min="14853" max="14853" width="12.81640625" style="103" customWidth="1"/>
    <col min="14854" max="14854" width="12.26953125" style="103" customWidth="1"/>
    <col min="14855" max="14855" width="13.26953125" style="103" customWidth="1"/>
    <col min="14856" max="14856" width="16.81640625" style="103" bestFit="1" customWidth="1"/>
    <col min="14857" max="14858" width="12.1796875" style="103" customWidth="1"/>
    <col min="14859" max="14861" width="13.1796875" style="103" customWidth="1"/>
    <col min="14862" max="14862" width="13.54296875" style="103" customWidth="1"/>
    <col min="14863" max="14863" width="12.7265625" style="103" customWidth="1"/>
    <col min="14864" max="14864" width="11.1796875" style="103" customWidth="1"/>
    <col min="14865" max="14865" width="7.54296875" style="103" customWidth="1"/>
    <col min="14866" max="15104" width="9.1796875" style="103"/>
    <col min="15105" max="15105" width="0" style="103" hidden="1" customWidth="1"/>
    <col min="15106" max="15106" width="22.54296875" style="103" customWidth="1"/>
    <col min="15107" max="15107" width="2.453125" style="103" customWidth="1"/>
    <col min="15108" max="15108" width="11.26953125" style="103" customWidth="1"/>
    <col min="15109" max="15109" width="12.81640625" style="103" customWidth="1"/>
    <col min="15110" max="15110" width="12.26953125" style="103" customWidth="1"/>
    <col min="15111" max="15111" width="13.26953125" style="103" customWidth="1"/>
    <col min="15112" max="15112" width="16.81640625" style="103" bestFit="1" customWidth="1"/>
    <col min="15113" max="15114" width="12.1796875" style="103" customWidth="1"/>
    <col min="15115" max="15117" width="13.1796875" style="103" customWidth="1"/>
    <col min="15118" max="15118" width="13.54296875" style="103" customWidth="1"/>
    <col min="15119" max="15119" width="12.7265625" style="103" customWidth="1"/>
    <col min="15120" max="15120" width="11.1796875" style="103" customWidth="1"/>
    <col min="15121" max="15121" width="7.54296875" style="103" customWidth="1"/>
    <col min="15122" max="15360" width="9.1796875" style="103"/>
    <col min="15361" max="15361" width="0" style="103" hidden="1" customWidth="1"/>
    <col min="15362" max="15362" width="22.54296875" style="103" customWidth="1"/>
    <col min="15363" max="15363" width="2.453125" style="103" customWidth="1"/>
    <col min="15364" max="15364" width="11.26953125" style="103" customWidth="1"/>
    <col min="15365" max="15365" width="12.81640625" style="103" customWidth="1"/>
    <col min="15366" max="15366" width="12.26953125" style="103" customWidth="1"/>
    <col min="15367" max="15367" width="13.26953125" style="103" customWidth="1"/>
    <col min="15368" max="15368" width="16.81640625" style="103" bestFit="1" customWidth="1"/>
    <col min="15369" max="15370" width="12.1796875" style="103" customWidth="1"/>
    <col min="15371" max="15373" width="13.1796875" style="103" customWidth="1"/>
    <col min="15374" max="15374" width="13.54296875" style="103" customWidth="1"/>
    <col min="15375" max="15375" width="12.7265625" style="103" customWidth="1"/>
    <col min="15376" max="15376" width="11.1796875" style="103" customWidth="1"/>
    <col min="15377" max="15377" width="7.54296875" style="103" customWidth="1"/>
    <col min="15378" max="15616" width="9.1796875" style="103"/>
    <col min="15617" max="15617" width="0" style="103" hidden="1" customWidth="1"/>
    <col min="15618" max="15618" width="22.54296875" style="103" customWidth="1"/>
    <col min="15619" max="15619" width="2.453125" style="103" customWidth="1"/>
    <col min="15620" max="15620" width="11.26953125" style="103" customWidth="1"/>
    <col min="15621" max="15621" width="12.81640625" style="103" customWidth="1"/>
    <col min="15622" max="15622" width="12.26953125" style="103" customWidth="1"/>
    <col min="15623" max="15623" width="13.26953125" style="103" customWidth="1"/>
    <col min="15624" max="15624" width="16.81640625" style="103" bestFit="1" customWidth="1"/>
    <col min="15625" max="15626" width="12.1796875" style="103" customWidth="1"/>
    <col min="15627" max="15629" width="13.1796875" style="103" customWidth="1"/>
    <col min="15630" max="15630" width="13.54296875" style="103" customWidth="1"/>
    <col min="15631" max="15631" width="12.7265625" style="103" customWidth="1"/>
    <col min="15632" max="15632" width="11.1796875" style="103" customWidth="1"/>
    <col min="15633" max="15633" width="7.54296875" style="103" customWidth="1"/>
    <col min="15634" max="15872" width="9.1796875" style="103"/>
    <col min="15873" max="15873" width="0" style="103" hidden="1" customWidth="1"/>
    <col min="15874" max="15874" width="22.54296875" style="103" customWidth="1"/>
    <col min="15875" max="15875" width="2.453125" style="103" customWidth="1"/>
    <col min="15876" max="15876" width="11.26953125" style="103" customWidth="1"/>
    <col min="15877" max="15877" width="12.81640625" style="103" customWidth="1"/>
    <col min="15878" max="15878" width="12.26953125" style="103" customWidth="1"/>
    <col min="15879" max="15879" width="13.26953125" style="103" customWidth="1"/>
    <col min="15880" max="15880" width="16.81640625" style="103" bestFit="1" customWidth="1"/>
    <col min="15881" max="15882" width="12.1796875" style="103" customWidth="1"/>
    <col min="15883" max="15885" width="13.1796875" style="103" customWidth="1"/>
    <col min="15886" max="15886" width="13.54296875" style="103" customWidth="1"/>
    <col min="15887" max="15887" width="12.7265625" style="103" customWidth="1"/>
    <col min="15888" max="15888" width="11.1796875" style="103" customWidth="1"/>
    <col min="15889" max="15889" width="7.54296875" style="103" customWidth="1"/>
    <col min="15890" max="16128" width="9.1796875" style="103"/>
    <col min="16129" max="16129" width="0" style="103" hidden="1" customWidth="1"/>
    <col min="16130" max="16130" width="22.54296875" style="103" customWidth="1"/>
    <col min="16131" max="16131" width="2.453125" style="103" customWidth="1"/>
    <col min="16132" max="16132" width="11.26953125" style="103" customWidth="1"/>
    <col min="16133" max="16133" width="12.81640625" style="103" customWidth="1"/>
    <col min="16134" max="16134" width="12.26953125" style="103" customWidth="1"/>
    <col min="16135" max="16135" width="13.26953125" style="103" customWidth="1"/>
    <col min="16136" max="16136" width="16.81640625" style="103" bestFit="1" customWidth="1"/>
    <col min="16137" max="16138" width="12.1796875" style="103" customWidth="1"/>
    <col min="16139" max="16141" width="13.1796875" style="103" customWidth="1"/>
    <col min="16142" max="16142" width="13.54296875" style="103" customWidth="1"/>
    <col min="16143" max="16143" width="12.7265625" style="103" customWidth="1"/>
    <col min="16144" max="16144" width="11.1796875" style="103" customWidth="1"/>
    <col min="16145" max="16145" width="7.54296875" style="103" customWidth="1"/>
    <col min="16146" max="16384" width="9.1796875" style="103"/>
  </cols>
  <sheetData>
    <row r="1" spans="1:43" s="52" customFormat="1" ht="24.75" customHeight="1" x14ac:dyDescent="0.35">
      <c r="A1" s="48"/>
      <c r="B1" s="49" t="s">
        <v>198</v>
      </c>
      <c r="C1" s="50"/>
      <c r="D1" s="50"/>
      <c r="E1" s="51"/>
      <c r="F1" s="51"/>
      <c r="G1" s="51"/>
      <c r="H1" s="50"/>
      <c r="I1" s="50"/>
      <c r="J1" s="50"/>
      <c r="K1" s="50"/>
      <c r="L1" s="50"/>
      <c r="M1" s="50"/>
      <c r="N1" s="50"/>
      <c r="O1" s="50"/>
      <c r="P1" s="50"/>
      <c r="S1" s="53"/>
      <c r="T1" s="53"/>
    </row>
    <row r="2" spans="1:43" s="57" customFormat="1" ht="34.5" customHeight="1" x14ac:dyDescent="0.35">
      <c r="A2" s="48"/>
      <c r="B2" s="54"/>
      <c r="C2" s="55"/>
      <c r="D2" s="378"/>
      <c r="E2" s="378"/>
      <c r="F2" s="378"/>
      <c r="G2" s="378"/>
      <c r="H2" s="378" t="s">
        <v>167</v>
      </c>
      <c r="I2" s="378"/>
      <c r="J2" s="56"/>
      <c r="K2" s="376" t="s">
        <v>168</v>
      </c>
      <c r="L2" s="376"/>
      <c r="M2" s="376"/>
      <c r="N2" s="376" t="s">
        <v>169</v>
      </c>
      <c r="O2" s="376"/>
      <c r="P2" s="376"/>
      <c r="S2" s="58"/>
      <c r="T2" s="58"/>
    </row>
    <row r="3" spans="1:43" s="57" customFormat="1" ht="56" x14ac:dyDescent="0.35">
      <c r="A3" s="48"/>
      <c r="B3" s="54"/>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457</v>
      </c>
      <c r="I4" s="64">
        <f t="shared" si="0"/>
        <v>723</v>
      </c>
      <c r="J4" s="64">
        <f t="shared" si="0"/>
        <v>220</v>
      </c>
      <c r="K4" s="64">
        <f t="shared" si="0"/>
        <v>1969</v>
      </c>
      <c r="L4" s="64">
        <f t="shared" si="0"/>
        <v>135</v>
      </c>
      <c r="M4" s="64">
        <f t="shared" si="0"/>
        <v>1285</v>
      </c>
      <c r="N4" s="64">
        <f t="shared" si="0"/>
        <v>5089</v>
      </c>
      <c r="O4" s="64">
        <f t="shared" si="0"/>
        <v>355</v>
      </c>
      <c r="P4" s="64">
        <f t="shared" si="0"/>
        <v>248</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212</v>
      </c>
      <c r="I5" s="70">
        <f t="shared" si="1"/>
        <v>709</v>
      </c>
      <c r="J5" s="70">
        <f t="shared" si="1"/>
        <v>196</v>
      </c>
      <c r="K5" s="70">
        <f t="shared" si="1"/>
        <v>1562</v>
      </c>
      <c r="L5" s="70">
        <f t="shared" si="1"/>
        <v>96</v>
      </c>
      <c r="M5" s="70">
        <f t="shared" si="1"/>
        <v>1019</v>
      </c>
      <c r="N5" s="70">
        <f t="shared" si="1"/>
        <v>4086</v>
      </c>
      <c r="O5" s="70">
        <f t="shared" si="1"/>
        <v>246</v>
      </c>
      <c r="P5" s="70">
        <f t="shared" si="1"/>
        <v>162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106">
        <f>'(2015)'!H6</f>
        <v>7</v>
      </c>
      <c r="I6" s="106">
        <f>'(2015)'!I6</f>
        <v>12</v>
      </c>
      <c r="J6" s="106">
        <f>'(2015)'!J6</f>
        <v>6</v>
      </c>
      <c r="K6" s="106">
        <f>'(2015)'!K6</f>
        <v>31</v>
      </c>
      <c r="L6" s="106">
        <f>'(2015)'!L6</f>
        <v>4</v>
      </c>
      <c r="M6" s="106">
        <f>'(2015)'!M6</f>
        <v>15</v>
      </c>
      <c r="N6" s="106">
        <f>'(2015)'!N6</f>
        <v>72</v>
      </c>
      <c r="O6" s="106">
        <f>'(2015)'!O6</f>
        <v>8</v>
      </c>
      <c r="P6" s="106">
        <f>'(2015)'!P6</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106">
        <f>'(2015)'!H7</f>
        <v>3</v>
      </c>
      <c r="I7" s="106">
        <f>'(2015)'!I7</f>
        <v>8</v>
      </c>
      <c r="J7" s="106">
        <f>'(2015)'!J7</f>
        <v>3</v>
      </c>
      <c r="K7" s="106">
        <f>'(2015)'!K7</f>
        <v>22</v>
      </c>
      <c r="L7" s="106">
        <f>'(2015)'!L7</f>
        <v>2</v>
      </c>
      <c r="M7" s="106">
        <f>'(2015)'!M7</f>
        <v>19</v>
      </c>
      <c r="N7" s="106">
        <f>'(2015)'!N7</f>
        <v>47</v>
      </c>
      <c r="O7" s="106">
        <f>'(2015)'!O7</f>
        <v>4</v>
      </c>
      <c r="P7" s="106">
        <f>'(2015)'!P7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106">
        <f>'(2015)'!H8</f>
        <v>11</v>
      </c>
      <c r="I8" s="106">
        <f>'(2015)'!I8</f>
        <v>6</v>
      </c>
      <c r="J8" s="106">
        <f>'(2015)'!J8</f>
        <v>1</v>
      </c>
      <c r="K8" s="106">
        <f>'(2015)'!K8</f>
        <v>21</v>
      </c>
      <c r="L8" s="106">
        <f>'(2015)'!L8</f>
        <v>1</v>
      </c>
      <c r="M8" s="106">
        <f>'(2015)'!M8</f>
        <v>10</v>
      </c>
      <c r="N8" s="106">
        <f>'(2015)'!N8</f>
        <v>81</v>
      </c>
      <c r="O8" s="106">
        <f>'(2015)'!O8</f>
        <v>5</v>
      </c>
      <c r="P8" s="106">
        <f>'(2015)'!P8</f>
        <v>3</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VLOOKUP($B9,Fire2016!$C$10:$I$55,5,FALSE)</f>
        <v>6</v>
      </c>
      <c r="I9" s="75">
        <f>VLOOKUP($B9,Fire2016!$C$10:$I$55,4,FALSE)</f>
        <v>10</v>
      </c>
      <c r="J9" s="75">
        <f>VLOOKUP($B9,Fire2016!$C$10:$I$55,6,FALSE)</f>
        <v>4</v>
      </c>
      <c r="K9" s="75">
        <f>VLOOKUP($B9,Fire2016!$C$10:$O$55,13,FALSE)</f>
        <v>29</v>
      </c>
      <c r="L9" s="75">
        <f>VLOOKUP($B9,Fire2016!$C$10:$Q$55,14,FALSE)+VLOOKUP($B9,Fire2016!$C$10:$Q$55,15,FALSE)</f>
        <v>2</v>
      </c>
      <c r="M9" s="75">
        <f>VLOOKUP($B9,Fire2016!$C$10:$BA$55,51,FALSE)</f>
        <v>14</v>
      </c>
      <c r="N9" s="75">
        <f>VLOOKUP($B9,Fire2016!$C$10:$AZ$55,45,FALSE)</f>
        <v>78</v>
      </c>
      <c r="O9" s="75">
        <f>VLOOKUP($B9,Fire2016!$C$10:$AZ$55,46,FALSE)</f>
        <v>5</v>
      </c>
      <c r="P9" s="75">
        <f>VLOOKUP($B9,Fire2016!$C$10:$AZ$55,47,FALSE)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VLOOKUP($B10,Fire2016!$C$10:$I$55,5,FALSE)</f>
        <v>3</v>
      </c>
      <c r="I10" s="75">
        <f>VLOOKUP($B10,Fire2016!$C$10:$I$55,4,FALSE)</f>
        <v>20</v>
      </c>
      <c r="J10" s="75">
        <f>VLOOKUP($B10,Fire2016!$C$10:$I$55,6,FALSE)</f>
        <v>4</v>
      </c>
      <c r="K10" s="75">
        <f>VLOOKUP($B10,Fire2016!$C$10:$O$55,13,FALSE)</f>
        <v>36</v>
      </c>
      <c r="L10" s="75">
        <f>VLOOKUP($B10,Fire2016!$C$10:$Q$55,14,FALSE)+VLOOKUP($B10,Fire2016!$C$10:$Q$55,15,FALSE)</f>
        <v>2</v>
      </c>
      <c r="M10" s="75">
        <f>VLOOKUP($B10,Fire2016!$C$10:$BA$55,51,FALSE)</f>
        <v>18</v>
      </c>
      <c r="N10" s="75">
        <f>VLOOKUP($B10,Fire2016!$C$10:$AZ$55,45,FALSE)</f>
        <v>112</v>
      </c>
      <c r="O10" s="75">
        <f>VLOOKUP($B10,Fire2016!$C$10:$AZ$55,46,FALSE)</f>
        <v>3</v>
      </c>
      <c r="P10" s="75">
        <f>VLOOKUP($B10,Fire2016!$C$10:$AZ$55,47,FALSE)</f>
        <v>4</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VLOOKUP($B11,Fire2016!$C$10:$I$55,5,FALSE)</f>
        <v>5</v>
      </c>
      <c r="I11" s="75">
        <f>VLOOKUP($B11,Fire2016!$C$10:$I$55,4,FALSE)</f>
        <v>11</v>
      </c>
      <c r="J11" s="75">
        <f>VLOOKUP($B11,Fire2016!$C$10:$I$55,6,FALSE)</f>
        <v>9</v>
      </c>
      <c r="K11" s="75">
        <f>VLOOKUP($B11,Fire2016!$C$10:$O$55,13,FALSE)</f>
        <v>34</v>
      </c>
      <c r="L11" s="75">
        <f>VLOOKUP($B11,Fire2016!$C$10:$Q$55,14,FALSE)+VLOOKUP($B11,Fire2016!$C$10:$Q$55,15,FALSE)</f>
        <v>3</v>
      </c>
      <c r="M11" s="75">
        <f>VLOOKUP($B11,Fire2016!$C$10:$BA$55,51,FALSE)</f>
        <v>33</v>
      </c>
      <c r="N11" s="75">
        <f>VLOOKUP($B11,Fire2016!$C$10:$AZ$55,45,FALSE)</f>
        <v>136</v>
      </c>
      <c r="O11" s="75">
        <f>VLOOKUP($B11,Fire2016!$C$10:$AZ$55,46,FALSE)</f>
        <v>8</v>
      </c>
      <c r="P11" s="75">
        <f>VLOOKUP($B11,Fire2016!$C$10:$AZ$55,47,FALSE)</f>
        <v>3</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VLOOKUP($B12,Fire2016!$C$10:$I$55,5,FALSE)</f>
        <v>9</v>
      </c>
      <c r="I12" s="75">
        <f>VLOOKUP($B12,Fire2016!$C$10:$I$55,4,FALSE)</f>
        <v>6</v>
      </c>
      <c r="J12" s="75">
        <f>VLOOKUP($B12,Fire2016!$C$10:$I$55,6,FALSE)</f>
        <v>0</v>
      </c>
      <c r="K12" s="75">
        <f>VLOOKUP($B12,Fire2016!$C$10:$O$55,13,FALSE)</f>
        <v>21</v>
      </c>
      <c r="L12" s="75">
        <f>VLOOKUP($B12,Fire2016!$C$10:$Q$55,14,FALSE)+VLOOKUP($B12,Fire2016!$C$10:$Q$55,15,FALSE)</f>
        <v>4</v>
      </c>
      <c r="M12" s="75">
        <f>VLOOKUP($B12,Fire2016!$C$10:$BA$55,51,FALSE)</f>
        <v>13</v>
      </c>
      <c r="N12" s="75">
        <f>VLOOKUP($B12,Fire2016!$C$10:$AZ$55,45,FALSE)</f>
        <v>79</v>
      </c>
      <c r="O12" s="75">
        <f>VLOOKUP($B12,Fire2016!$C$10:$AZ$55,46,FALSE)</f>
        <v>6</v>
      </c>
      <c r="P12" s="75">
        <f>VLOOKUP($B12,Fire2016!$C$10:$AZ$55,47,FALSE)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VLOOKUP($B13,Fire2016!$C$10:$I$55,5,FALSE)</f>
        <v>2</v>
      </c>
      <c r="I13" s="75">
        <f>VLOOKUP($B13,Fire2016!$C$10:$I$55,4,FALSE)</f>
        <v>24</v>
      </c>
      <c r="J13" s="75">
        <f>VLOOKUP($B13,Fire2016!$C$10:$I$55,6,FALSE)</f>
        <v>5</v>
      </c>
      <c r="K13" s="75">
        <f>VLOOKUP($B13,Fire2016!$C$10:$O$55,13,FALSE)</f>
        <v>44</v>
      </c>
      <c r="L13" s="75">
        <f>VLOOKUP($B13,Fire2016!$C$10:$Q$55,14,FALSE)+VLOOKUP($B13,Fire2016!$C$10:$Q$55,15,FALSE)</f>
        <v>2</v>
      </c>
      <c r="M13" s="75">
        <f>VLOOKUP($B13,Fire2016!$C$10:$BA$55,51,FALSE)</f>
        <v>50</v>
      </c>
      <c r="N13" s="75">
        <f>VLOOKUP($B13,Fire2016!$C$10:$AZ$55,45,FALSE)</f>
        <v>113</v>
      </c>
      <c r="O13" s="75">
        <f>VLOOKUP($B13,Fire2016!$C$10:$AZ$55,46,FALSE)</f>
        <v>7</v>
      </c>
      <c r="P13" s="75">
        <f>VLOOKUP($B13,Fire2016!$C$10:$AZ$55,47,FALSE)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VLOOKUP($B14,Fire2016!$C$10:$I$55,5,FALSE)</f>
        <v>3</v>
      </c>
      <c r="I14" s="75">
        <f>VLOOKUP($B14,Fire2016!$C$10:$I$55,4,FALSE)</f>
        <v>30</v>
      </c>
      <c r="J14" s="75">
        <f>VLOOKUP($B14,Fire2016!$C$10:$I$55,6,FALSE)</f>
        <v>5</v>
      </c>
      <c r="K14" s="75">
        <f>VLOOKUP($B14,Fire2016!$C$10:$O$55,13,FALSE)</f>
        <v>45</v>
      </c>
      <c r="L14" s="75">
        <f>VLOOKUP($B14,Fire2016!$C$10:$Q$55,14,FALSE)+VLOOKUP($B14,Fire2016!$C$10:$Q$55,15,FALSE)</f>
        <v>2</v>
      </c>
      <c r="M14" s="75">
        <f>VLOOKUP($B14,Fire2016!$C$10:$BA$55,51,FALSE)</f>
        <v>29</v>
      </c>
      <c r="N14" s="75">
        <f>VLOOKUP($B14,Fire2016!$C$10:$AZ$55,45,FALSE)</f>
        <v>114</v>
      </c>
      <c r="O14" s="75">
        <f>VLOOKUP($B14,Fire2016!$C$10:$AZ$55,46,FALSE)</f>
        <v>5</v>
      </c>
      <c r="P14" s="75">
        <f>VLOOKUP($B14,Fire2016!$C$10:$AZ$55,47,FALSE)</f>
        <v>5</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VLOOKUP($B15,Fire2016!$C$10:$I$55,5,FALSE)</f>
        <v>4</v>
      </c>
      <c r="I15" s="75">
        <f>VLOOKUP($B15,Fire2016!$C$10:$I$55,4,FALSE)</f>
        <v>19</v>
      </c>
      <c r="J15" s="75">
        <f>VLOOKUP($B15,Fire2016!$C$10:$I$55,6,FALSE)</f>
        <v>8</v>
      </c>
      <c r="K15" s="75">
        <f>VLOOKUP($B15,Fire2016!$C$10:$O$55,13,FALSE)</f>
        <v>44</v>
      </c>
      <c r="L15" s="75">
        <f>VLOOKUP($B15,Fire2016!$C$10:$Q$55,14,FALSE)+VLOOKUP($B15,Fire2016!$C$10:$Q$55,15,FALSE)</f>
        <v>3</v>
      </c>
      <c r="M15" s="75">
        <f>VLOOKUP($B15,Fire2016!$C$10:$BA$55,51,FALSE)</f>
        <v>17</v>
      </c>
      <c r="N15" s="75">
        <f>VLOOKUP($B15,Fire2016!$C$10:$AZ$55,45,FALSE)</f>
        <v>166</v>
      </c>
      <c r="O15" s="75">
        <f>VLOOKUP($B15,Fire2016!$C$10:$AZ$55,46,FALSE)</f>
        <v>5</v>
      </c>
      <c r="P15" s="75">
        <f>VLOOKUP($B15,Fire2016!$C$10:$AZ$55,47,FALSE)</f>
        <v>4</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VLOOKUP($B16,Fire2016!$C$10:$I$55,5,FALSE)</f>
        <v>3</v>
      </c>
      <c r="I16" s="75">
        <f>VLOOKUP($B16,Fire2016!$C$10:$I$55,4,FALSE)</f>
        <v>73</v>
      </c>
      <c r="J16" s="75">
        <f>VLOOKUP($B16,Fire2016!$C$10:$I$55,6,FALSE)</f>
        <v>9</v>
      </c>
      <c r="K16" s="75">
        <f>VLOOKUP($B16,Fire2016!$C$10:$O$55,13,FALSE)</f>
        <v>121</v>
      </c>
      <c r="L16" s="75">
        <f>VLOOKUP($B16,Fire2016!$C$10:$Q$55,14,FALSE)+VLOOKUP($B16,Fire2016!$C$10:$Q$55,15,FALSE)</f>
        <v>7</v>
      </c>
      <c r="M16" s="75">
        <f>VLOOKUP($B16,Fire2016!$C$10:$BA$55,51,FALSE)</f>
        <v>50</v>
      </c>
      <c r="N16" s="75">
        <f>VLOOKUP($B16,Fire2016!$C$10:$AZ$55,45,FALSE)</f>
        <v>320</v>
      </c>
      <c r="O16" s="75">
        <f>VLOOKUP($B16,Fire2016!$C$10:$AZ$55,46,FALSE)</f>
        <v>17</v>
      </c>
      <c r="P16" s="75">
        <f>VLOOKUP($B16,Fire2016!$C$10:$AZ$55,47,FALSE)</f>
        <v>15</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265" t="s">
        <v>358</v>
      </c>
      <c r="C17" s="266"/>
      <c r="D17" s="267"/>
      <c r="E17" s="267"/>
      <c r="F17" s="268"/>
      <c r="G17" s="267"/>
      <c r="H17" s="267">
        <f>H66+H67</f>
        <v>6</v>
      </c>
      <c r="I17" s="267">
        <f t="shared" ref="I17:P17" si="2">I66+I67</f>
        <v>37</v>
      </c>
      <c r="J17" s="267">
        <f t="shared" si="2"/>
        <v>7</v>
      </c>
      <c r="K17" s="267">
        <f t="shared" si="2"/>
        <v>74</v>
      </c>
      <c r="L17" s="267">
        <f t="shared" si="2"/>
        <v>4</v>
      </c>
      <c r="M17" s="267">
        <f t="shared" si="2"/>
        <v>47</v>
      </c>
      <c r="N17" s="267">
        <f t="shared" si="2"/>
        <v>242</v>
      </c>
      <c r="O17" s="267">
        <f t="shared" si="2"/>
        <v>9</v>
      </c>
      <c r="P17" s="267">
        <f t="shared" si="2"/>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VLOOKUP($B18,Fire2016!$C$10:$I$55,5,FALSE)</f>
        <v>2</v>
      </c>
      <c r="I18" s="75">
        <f>VLOOKUP($B18,Fire2016!$C$10:$I$55,4,FALSE)</f>
        <v>6</v>
      </c>
      <c r="J18" s="75">
        <f>VLOOKUP($B18,Fire2016!$C$10:$I$55,6,FALSE)</f>
        <v>7</v>
      </c>
      <c r="K18" s="75">
        <f>VLOOKUP($B18,Fire2016!$C$10:$O$55,13,FALSE)</f>
        <v>27</v>
      </c>
      <c r="L18" s="75">
        <f>VLOOKUP($B18,Fire2016!$C$10:$Q$55,14,FALSE)+VLOOKUP($B18,Fire2016!$C$10:$Q$55,15,FALSE)</f>
        <v>2</v>
      </c>
      <c r="M18" s="75">
        <f>VLOOKUP($B18,Fire2016!$C$10:$BA$55,51,FALSE)</f>
        <v>14</v>
      </c>
      <c r="N18" s="75">
        <f>VLOOKUP($B18,Fire2016!$C$10:$AZ$55,45,FALSE)</f>
        <v>80</v>
      </c>
      <c r="O18" s="75">
        <f>VLOOKUP($B18,Fire2016!$C$10:$AZ$55,46,FALSE)</f>
        <v>5</v>
      </c>
      <c r="P18" s="75">
        <f>VLOOKUP($B18,Fire2016!$C$10:$AZ$55,47,FALSE)</f>
        <v>3</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VLOOKUP($B19,Fire2016!$C$10:$I$55,5,FALSE)</f>
        <v>6</v>
      </c>
      <c r="I19" s="75">
        <f>VLOOKUP($B19,Fire2016!$C$10:$I$55,4,FALSE)</f>
        <v>12</v>
      </c>
      <c r="J19" s="75">
        <f>VLOOKUP($B19,Fire2016!$C$10:$I$55,6,FALSE)</f>
        <v>6</v>
      </c>
      <c r="K19" s="75">
        <f>VLOOKUP($B19,Fire2016!$C$10:$O$55,13,FALSE)</f>
        <v>42</v>
      </c>
      <c r="L19" s="75">
        <f>VLOOKUP($B19,Fire2016!$C$10:$Q$55,14,FALSE)+VLOOKUP($B19,Fire2016!$C$10:$Q$55,15,FALSE)</f>
        <v>3</v>
      </c>
      <c r="M19" s="75">
        <f>VLOOKUP($B19,Fire2016!$C$10:$BA$55,51,FALSE)</f>
        <v>5</v>
      </c>
      <c r="N19" s="75">
        <f>VLOOKUP($B19,Fire2016!$C$10:$AZ$55,45,FALSE)</f>
        <v>118</v>
      </c>
      <c r="O19" s="75">
        <f>VLOOKUP($B19,Fire2016!$C$10:$AZ$55,46,FALSE)</f>
        <v>7</v>
      </c>
      <c r="P19" s="75">
        <f>VLOOKUP($B19,Fire2016!$C$10:$AZ$55,47,FALSE)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VLOOKUP($B20,Fire2016!$C$10:$I$55,5,FALSE)</f>
        <v>17</v>
      </c>
      <c r="I20" s="75">
        <f>VLOOKUP($B20,Fire2016!$C$10:$I$55,4,FALSE)</f>
        <v>32</v>
      </c>
      <c r="J20" s="75">
        <f>VLOOKUP($B20,Fire2016!$C$10:$I$55,6,FALSE)</f>
        <v>1</v>
      </c>
      <c r="K20" s="75">
        <f>VLOOKUP($B20,Fire2016!$C$10:$O$55,13,FALSE)</f>
        <v>75</v>
      </c>
      <c r="L20" s="75">
        <f>VLOOKUP($B20,Fire2016!$C$10:$Q$55,14,FALSE)+VLOOKUP($B20,Fire2016!$C$10:$Q$55,15,FALSE)</f>
        <v>5</v>
      </c>
      <c r="M20" s="75">
        <f>VLOOKUP($B20,Fire2016!$C$10:$BA$55,51,FALSE)</f>
        <v>38</v>
      </c>
      <c r="N20" s="75">
        <f>VLOOKUP($B20,Fire2016!$C$10:$AZ$55,45,FALSE)</f>
        <v>186</v>
      </c>
      <c r="O20" s="75">
        <f>VLOOKUP($B20,Fire2016!$C$10:$AZ$55,46,FALSE)</f>
        <v>12</v>
      </c>
      <c r="P20" s="75">
        <f>VLOOKUP($B20,Fire2016!$C$10:$AZ$55,47,FALSE)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VLOOKUP($B21,Fire2016!$C$10:$I$55,5,FALSE)</f>
        <v>2</v>
      </c>
      <c r="I21" s="75">
        <f>VLOOKUP($B21,Fire2016!$C$10:$I$55,4,FALSE)</f>
        <v>16</v>
      </c>
      <c r="J21" s="75">
        <f>VLOOKUP($B21,Fire2016!$C$10:$I$55,6,FALSE)</f>
        <v>3</v>
      </c>
      <c r="K21" s="75">
        <f>VLOOKUP($B21,Fire2016!$C$10:$O$55,13,FALSE)</f>
        <v>32</v>
      </c>
      <c r="L21" s="75">
        <f>VLOOKUP($B21,Fire2016!$C$10:$Q$55,14,FALSE)+VLOOKUP($B21,Fire2016!$C$10:$Q$55,15,FALSE)</f>
        <v>2</v>
      </c>
      <c r="M21" s="75">
        <f>VLOOKUP($B21,Fire2016!$C$10:$BA$55,51,FALSE)</f>
        <v>18</v>
      </c>
      <c r="N21" s="75">
        <f>VLOOKUP($B21,Fire2016!$C$10:$AZ$55,45,FALSE)</f>
        <v>69</v>
      </c>
      <c r="O21" s="75">
        <f>VLOOKUP($B21,Fire2016!$C$10:$AZ$55,46,FALSE)</f>
        <v>7</v>
      </c>
      <c r="P21" s="75">
        <f>VLOOKUP($B21,Fire2016!$C$10:$AZ$55,47,FALSE)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106">
        <f>'(2015)'!H22</f>
        <v>13</v>
      </c>
      <c r="I22" s="106">
        <f>'(2015)'!I22</f>
        <v>38</v>
      </c>
      <c r="J22" s="106">
        <v>0</v>
      </c>
      <c r="K22" s="106">
        <f>'(2015)'!K22</f>
        <v>76</v>
      </c>
      <c r="L22" s="106">
        <f>'(2015)'!L22</f>
        <v>0</v>
      </c>
      <c r="M22" s="106">
        <f>'(2015)'!M22</f>
        <v>64</v>
      </c>
      <c r="N22" s="106">
        <f>'(2015)'!N22</f>
        <v>136</v>
      </c>
      <c r="O22" s="106">
        <f>'(2015)'!O22</f>
        <v>12</v>
      </c>
      <c r="P22" s="106">
        <f>'(2015)'!P22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106">
        <f>'(2015)'!H23</f>
        <v>8</v>
      </c>
      <c r="I23" s="106">
        <f>'(2015)'!I23</f>
        <v>19</v>
      </c>
      <c r="J23" s="106">
        <v>0</v>
      </c>
      <c r="K23" s="106">
        <f>'(2015)'!K23</f>
        <v>41</v>
      </c>
      <c r="L23" s="106">
        <f>'(2015)'!L23</f>
        <v>2</v>
      </c>
      <c r="M23" s="106">
        <f>'(2015)'!M23</f>
        <v>32</v>
      </c>
      <c r="N23" s="106">
        <f>'(2015)'!N23</f>
        <v>88</v>
      </c>
      <c r="O23" s="106">
        <f>'(2015)'!O23</f>
        <v>6</v>
      </c>
      <c r="P23" s="106">
        <f>'(2015)'!P23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VLOOKUP($B24,Fire2016!$C$10:$I$55,5,FALSE)</f>
        <v>9</v>
      </c>
      <c r="I24" s="75">
        <f>VLOOKUP($B24,Fire2016!$C$10:$I$55,4,FALSE)</f>
        <v>13</v>
      </c>
      <c r="J24" s="75">
        <f>VLOOKUP($B24,Fire2016!$C$10:$I$55,6,FALSE)</f>
        <v>7</v>
      </c>
      <c r="K24" s="75">
        <f>VLOOKUP($B24,Fire2016!$C$10:$O$55,13,FALSE)</f>
        <v>40</v>
      </c>
      <c r="L24" s="75">
        <f>VLOOKUP($B24,Fire2016!$C$10:$Q$55,14,FALSE)+VLOOKUP($B24,Fire2016!$C$10:$Q$55,15,FALSE)</f>
        <v>2</v>
      </c>
      <c r="M24" s="75">
        <f>VLOOKUP($B24,Fire2016!$C$10:$BA$55,51,FALSE)</f>
        <v>11</v>
      </c>
      <c r="N24" s="75">
        <f>VLOOKUP($B24,Fire2016!$C$10:$AZ$55,45,FALSE)</f>
        <v>117</v>
      </c>
      <c r="O24" s="75">
        <f>VLOOKUP($B24,Fire2016!$C$10:$AZ$55,46,FALSE)</f>
        <v>7</v>
      </c>
      <c r="P24" s="75">
        <f>VLOOKUP($B24,Fire2016!$C$10:$AZ$55,47,FALSE)</f>
        <v>8</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106">
        <f>'(2015)'!H25</f>
        <v>8</v>
      </c>
      <c r="I25" s="106">
        <f>'(2015)'!I25</f>
        <v>18</v>
      </c>
      <c r="J25" s="106">
        <f>'(2015)'!J25</f>
        <v>3</v>
      </c>
      <c r="K25" s="106">
        <f>'(2015)'!K25</f>
        <v>48</v>
      </c>
      <c r="L25" s="106">
        <f>'(2015)'!L25</f>
        <v>4</v>
      </c>
      <c r="M25" s="106">
        <f>'(2015)'!M25</f>
        <v>29</v>
      </c>
      <c r="N25" s="106">
        <f>'(2015)'!N25</f>
        <v>170</v>
      </c>
      <c r="O25" s="106">
        <f>'(2015)'!O25</f>
        <v>9</v>
      </c>
      <c r="P25" s="106">
        <f>'(2015)'!P25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VLOOKUP($B26,Fire2016!$C$10:$I$55,5,FALSE)</f>
        <v>1</v>
      </c>
      <c r="I26" s="75">
        <f>VLOOKUP($B26,Fire2016!$C$10:$I$55,4,FALSE)</f>
        <v>8</v>
      </c>
      <c r="J26" s="75">
        <f>VLOOKUP($B26,Fire2016!$C$10:$I$55,6,FALSE)</f>
        <v>1</v>
      </c>
      <c r="K26" s="75">
        <f>VLOOKUP($B26,Fire2016!$C$10:$O$55,13,FALSE)</f>
        <v>13</v>
      </c>
      <c r="L26" s="75">
        <f>VLOOKUP($B26,Fire2016!$C$10:$Q$55,14,FALSE)+VLOOKUP($B26,Fire2016!$C$10:$Q$55,15,FALSE)</f>
        <v>2</v>
      </c>
      <c r="M26" s="75">
        <f>VLOOKUP($B26,Fire2016!$C$10:$BA$55,51,FALSE)</f>
        <v>24</v>
      </c>
      <c r="N26" s="75">
        <f>VLOOKUP($B26,Fire2016!$C$10:$AZ$55,45,FALSE)</f>
        <v>16</v>
      </c>
      <c r="O26" s="75">
        <f>VLOOKUP($B26,Fire2016!$C$10:$AZ$55,46,FALSE)</f>
        <v>2</v>
      </c>
      <c r="P26" s="75">
        <f>VLOOKUP($B26,Fire2016!$C$10:$AZ$55,47,FALSE)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VLOOKUP($B27,Fire2016!$C$10:$I$55,5,FALSE)</f>
        <v>14</v>
      </c>
      <c r="I27" s="75">
        <f>VLOOKUP($B27,Fire2016!$C$10:$I$55,4,FALSE)</f>
        <v>34</v>
      </c>
      <c r="J27" s="75">
        <f>VLOOKUP($B27,Fire2016!$C$10:$I$55,6,FALSE)</f>
        <v>9</v>
      </c>
      <c r="K27" s="75">
        <f>VLOOKUP($B27,Fire2016!$C$10:$O$55,13,FALSE)</f>
        <v>95</v>
      </c>
      <c r="L27" s="75">
        <f>VLOOKUP($B27,Fire2016!$C$10:$Q$55,14,FALSE)+VLOOKUP($B27,Fire2016!$C$10:$Q$55,15,FALSE)</f>
        <v>6</v>
      </c>
      <c r="M27" s="75">
        <f>VLOOKUP($B27,Fire2016!$C$10:$BA$55,51,FALSE)</f>
        <v>42</v>
      </c>
      <c r="N27" s="75">
        <f>VLOOKUP($B27,Fire2016!$C$10:$AZ$55,45,FALSE)</f>
        <v>273</v>
      </c>
      <c r="O27" s="75">
        <f>VLOOKUP($B27,Fire2016!$C$10:$AZ$55,46,FALSE)</f>
        <v>13</v>
      </c>
      <c r="P27" s="75">
        <f>VLOOKUP($B27,Fire2016!$C$10:$AZ$55,47,FALSE)</f>
        <v>9</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VLOOKUP($B28,Fire2016!$C$10:$I$55,5,FALSE)</f>
        <v>10</v>
      </c>
      <c r="I28" s="75">
        <f>VLOOKUP($B28,Fire2016!$C$10:$I$55,4,FALSE)</f>
        <v>17</v>
      </c>
      <c r="J28" s="75">
        <f>VLOOKUP($B28,Fire2016!$C$10:$I$55,6,FALSE)</f>
        <v>12</v>
      </c>
      <c r="K28" s="75">
        <f>VLOOKUP($B28,Fire2016!$C$10:$O$55,13,FALSE)</f>
        <v>59</v>
      </c>
      <c r="L28" s="75">
        <f>VLOOKUP($B28,Fire2016!$C$10:$Q$55,14,FALSE)+VLOOKUP($B28,Fire2016!$C$10:$Q$55,15,FALSE)</f>
        <v>4</v>
      </c>
      <c r="M28" s="75">
        <f>VLOOKUP($B28,Fire2016!$C$10:$BA$55,51,FALSE)</f>
        <v>33</v>
      </c>
      <c r="N28" s="75">
        <f>VLOOKUP($B28,Fire2016!$C$10:$AZ$55,45,FALSE)</f>
        <v>92</v>
      </c>
      <c r="O28" s="75">
        <f>VLOOKUP($B28,Fire2016!$C$10:$AZ$55,46,FALSE)</f>
        <v>7</v>
      </c>
      <c r="P28" s="75">
        <f>VLOOKUP($B28,Fire2016!$C$10:$AZ$55,47,FALSE)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VLOOKUP($B29,Fire2016!$C$10:$I$55,5,FALSE)</f>
        <v>7</v>
      </c>
      <c r="I29" s="75">
        <f>VLOOKUP($B29,Fire2016!$C$10:$I$55,4,FALSE)</f>
        <v>8</v>
      </c>
      <c r="J29" s="75">
        <f>VLOOKUP($B29,Fire2016!$C$10:$I$55,6,FALSE)</f>
        <v>5</v>
      </c>
      <c r="K29" s="75">
        <f>VLOOKUP($B29,Fire2016!$C$10:$O$55,13,FALSE)</f>
        <v>28</v>
      </c>
      <c r="L29" s="75">
        <f>VLOOKUP($B29,Fire2016!$C$10:$Q$55,14,FALSE)+VLOOKUP($B29,Fire2016!$C$10:$Q$55,15,FALSE)</f>
        <v>3</v>
      </c>
      <c r="M29" s="75">
        <f>VLOOKUP($B29,Fire2016!$C$10:$BA$55,51,FALSE)</f>
        <v>9</v>
      </c>
      <c r="N29" s="75">
        <f>VLOOKUP($B29,Fire2016!$C$10:$AZ$55,45,FALSE)</f>
        <v>101</v>
      </c>
      <c r="O29" s="75">
        <f>VLOOKUP($B29,Fire2016!$C$10:$AZ$55,46,FALSE)</f>
        <v>3</v>
      </c>
      <c r="P29" s="75">
        <f>VLOOKUP($B29,Fire2016!$C$10:$AZ$55,47,FALSE)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VLOOKUP($B30,Fire2016!$C$10:$I$55,5,FALSE)</f>
        <v>0</v>
      </c>
      <c r="I30" s="75">
        <f>VLOOKUP($B30,Fire2016!$C$10:$I$55,4,FALSE)</f>
        <v>29</v>
      </c>
      <c r="J30" s="75">
        <f>VLOOKUP($B30,Fire2016!$C$10:$I$55,6,FALSE)</f>
        <v>9</v>
      </c>
      <c r="K30" s="75">
        <f>VLOOKUP($B30,Fire2016!$C$10:$O$55,13,FALSE)</f>
        <v>48</v>
      </c>
      <c r="L30" s="75">
        <f>VLOOKUP($B30,Fire2016!$C$10:$Q$55,14,FALSE)+VLOOKUP($B30,Fire2016!$C$10:$Q$55,15,FALSE)</f>
        <v>2</v>
      </c>
      <c r="M30" s="75">
        <f>VLOOKUP($B30,Fire2016!$C$10:$BA$55,51,FALSE)</f>
        <v>63</v>
      </c>
      <c r="N30" s="75">
        <f>VLOOKUP($B30,Fire2016!$C$10:$AZ$55,45,FALSE)</f>
        <v>98</v>
      </c>
      <c r="O30" s="75">
        <f>VLOOKUP($B30,Fire2016!$C$10:$AZ$55,46,FALSE)</f>
        <v>5</v>
      </c>
      <c r="P30" s="75">
        <f>VLOOKUP($B30,Fire2016!$C$10:$AZ$55,47,FALSE)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VLOOKUP($B31,Fire2016!$C$10:$I$55,5,FALSE)</f>
        <v>3</v>
      </c>
      <c r="I31" s="75">
        <f>VLOOKUP($B31,Fire2016!$C$10:$I$55,4,FALSE)</f>
        <v>34</v>
      </c>
      <c r="J31" s="75">
        <f>VLOOKUP($B31,Fire2016!$C$10:$I$55,6,FALSE)</f>
        <v>5</v>
      </c>
      <c r="K31" s="75">
        <f>VLOOKUP($B31,Fire2016!$C$10:$O$55,13,FALSE)</f>
        <v>42</v>
      </c>
      <c r="L31" s="75">
        <f>VLOOKUP($B31,Fire2016!$C$10:$Q$55,14,FALSE)+VLOOKUP($B31,Fire2016!$C$10:$Q$55,15,FALSE)</f>
        <v>3</v>
      </c>
      <c r="M31" s="75">
        <f>VLOOKUP($B31,Fire2016!$C$10:$BA$55,51,FALSE)</f>
        <v>52</v>
      </c>
      <c r="N31" s="75">
        <f>VLOOKUP($B31,Fire2016!$C$10:$AZ$55,45,FALSE)</f>
        <v>46</v>
      </c>
      <c r="O31" s="75">
        <f>VLOOKUP($B31,Fire2016!$C$10:$AZ$55,46,FALSE)</f>
        <v>9</v>
      </c>
      <c r="P31" s="75">
        <f>VLOOKUP($B31,Fire2016!$C$10:$AZ$55,47,FALSE)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VLOOKUP($B32,Fire2016!$C$10:$I$55,5,FALSE)</f>
        <v>5</v>
      </c>
      <c r="I32" s="75">
        <f>VLOOKUP($B32,Fire2016!$C$10:$I$55,4,FALSE)</f>
        <v>24</v>
      </c>
      <c r="J32" s="75">
        <f>VLOOKUP($B32,Fire2016!$C$10:$I$55,6,FALSE)</f>
        <v>7</v>
      </c>
      <c r="K32" s="75">
        <f>VLOOKUP($B32,Fire2016!$C$10:$O$55,13,FALSE)</f>
        <v>46</v>
      </c>
      <c r="L32" s="75">
        <f>VLOOKUP($B32,Fire2016!$C$10:$Q$55,14,FALSE)+VLOOKUP($B32,Fire2016!$C$10:$Q$55,15,FALSE)</f>
        <v>3</v>
      </c>
      <c r="M32" s="75">
        <f>VLOOKUP($B32,Fire2016!$C$10:$BA$55,51,FALSE)</f>
        <v>31</v>
      </c>
      <c r="N32" s="75">
        <f>VLOOKUP($B32,Fire2016!$C$10:$AZ$55,45,FALSE)</f>
        <v>104</v>
      </c>
      <c r="O32" s="75">
        <f>VLOOKUP($B32,Fire2016!$C$10:$AZ$55,46,FALSE)</f>
        <v>3</v>
      </c>
      <c r="P32" s="75">
        <f>VLOOKUP($B32,Fire2016!$C$10:$AZ$55,47,FALSE)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VLOOKUP($B33,Fire2016!$C$10:$I$55,5,FALSE)</f>
        <v>3</v>
      </c>
      <c r="I33" s="75">
        <f>VLOOKUP($B33,Fire2016!$C$10:$I$55,4,FALSE)</f>
        <v>14</v>
      </c>
      <c r="J33" s="75">
        <f>VLOOKUP($B33,Fire2016!$C$10:$I$55,6,FALSE)</f>
        <v>5</v>
      </c>
      <c r="K33" s="75">
        <f>VLOOKUP($B33,Fire2016!$C$10:$O$55,13,FALSE)</f>
        <v>26</v>
      </c>
      <c r="L33" s="75">
        <f>VLOOKUP($B33,Fire2016!$C$10:$Q$55,14,FALSE)+VLOOKUP($B33,Fire2016!$C$10:$Q$55,15,FALSE)</f>
        <v>2</v>
      </c>
      <c r="M33" s="75">
        <f>VLOOKUP($B33,Fire2016!$C$10:$BA$55,51,FALSE)</f>
        <v>31</v>
      </c>
      <c r="N33" s="75">
        <f>VLOOKUP($B33,Fire2016!$C$10:$AZ$55,45,FALSE)</f>
        <v>92</v>
      </c>
      <c r="O33" s="75">
        <f>VLOOKUP($B33,Fire2016!$C$10:$AZ$55,46,FALSE)</f>
        <v>4</v>
      </c>
      <c r="P33" s="75">
        <f>VLOOKUP($B33,Fire2016!$C$10:$AZ$55,47,FALSE)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VLOOKUP($B34,Fire2016!$C$10:$I$55,5,FALSE)</f>
        <v>0</v>
      </c>
      <c r="I34" s="75">
        <f>VLOOKUP($B34,Fire2016!$C$10:$I$55,4,FALSE)</f>
        <v>12</v>
      </c>
      <c r="J34" s="75">
        <f>VLOOKUP($B34,Fire2016!$C$10:$I$55,6,FALSE)</f>
        <v>4</v>
      </c>
      <c r="K34" s="75">
        <f>VLOOKUP($B34,Fire2016!$C$10:$O$55,13,FALSE)</f>
        <v>24</v>
      </c>
      <c r="L34" s="75">
        <f>VLOOKUP($B34,Fire2016!$C$10:$Q$55,14,FALSE)+VLOOKUP($B34,Fire2016!$C$10:$Q$55,15,FALSE)</f>
        <v>0</v>
      </c>
      <c r="M34" s="75">
        <f>VLOOKUP($B34,Fire2016!$C$10:$BA$55,51,FALSE)</f>
        <v>26</v>
      </c>
      <c r="N34" s="75">
        <f>VLOOKUP($B34,Fire2016!$C$10:$AZ$55,45,FALSE)</f>
        <v>24</v>
      </c>
      <c r="O34" s="75">
        <f>VLOOKUP($B34,Fire2016!$C$10:$AZ$55,46,FALSE)</f>
        <v>3</v>
      </c>
      <c r="P34" s="75">
        <f>VLOOKUP($B34,Fire2016!$C$10:$AZ$55,47,FALSE)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VLOOKUP($B35,Fire2016!$C$10:$I$55,5,FALSE)</f>
        <v>8</v>
      </c>
      <c r="I35" s="75">
        <f>VLOOKUP($B35,Fire2016!$C$10:$I$55,4,FALSE)</f>
        <v>12</v>
      </c>
      <c r="J35" s="75">
        <f>VLOOKUP($B35,Fire2016!$C$10:$I$55,6,FALSE)</f>
        <v>4</v>
      </c>
      <c r="K35" s="75">
        <f>VLOOKUP($B35,Fire2016!$C$10:$O$55,13,FALSE)</f>
        <v>30</v>
      </c>
      <c r="L35" s="75">
        <f>VLOOKUP($B35,Fire2016!$C$10:$Q$55,14,FALSE)+VLOOKUP($B35,Fire2016!$C$10:$Q$55,15,FALSE)</f>
        <v>2</v>
      </c>
      <c r="M35" s="75">
        <f>VLOOKUP($B35,Fire2016!$C$10:$BA$55,51,FALSE)</f>
        <v>16</v>
      </c>
      <c r="N35" s="75">
        <f>VLOOKUP($B35,Fire2016!$C$10:$AZ$55,45,FALSE)</f>
        <v>95</v>
      </c>
      <c r="O35" s="75">
        <f>VLOOKUP($B35,Fire2016!$C$10:$AZ$55,46,FALSE)</f>
        <v>8</v>
      </c>
      <c r="P35" s="75">
        <f>VLOOKUP($B35,Fire2016!$C$10:$AZ$55,47,FALSE)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VLOOKUP($B36,Fire2016!$C$10:$I$55,5,FALSE)</f>
        <v>0</v>
      </c>
      <c r="I36" s="75">
        <f>VLOOKUP($B36,Fire2016!$C$10:$I$55,4,FALSE)</f>
        <v>0</v>
      </c>
      <c r="J36" s="75">
        <f>VLOOKUP($B36,Fire2016!$C$10:$I$55,6,FALSE)</f>
        <v>24</v>
      </c>
      <c r="K36" s="75">
        <f>VLOOKUP($B36,Fire2016!$C$10:$O$55,13,FALSE)</f>
        <v>35</v>
      </c>
      <c r="L36" s="75">
        <f>VLOOKUP($B36,Fire2016!$C$10:$Q$55,14,FALSE)+VLOOKUP($B36,Fire2016!$C$10:$Q$55,15,FALSE)</f>
        <v>2</v>
      </c>
      <c r="M36" s="75">
        <f>VLOOKUP($B36,Fire2016!$C$10:$BA$55,51,FALSE)</f>
        <v>5</v>
      </c>
      <c r="N36" s="75">
        <f>VLOOKUP($B36,Fire2016!$C$10:$AZ$55,45,FALSE)</f>
        <v>93</v>
      </c>
      <c r="O36" s="75">
        <f>VLOOKUP($B36,Fire2016!$C$10:$AZ$55,46,FALSE)</f>
        <v>5</v>
      </c>
      <c r="P36" s="75">
        <f>VLOOKUP($B36,Fire2016!$C$10:$AZ$55,47,FALSE)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VLOOKUP($B37,Fire2016!$C$10:$I$55,5,FALSE)</f>
        <v>1</v>
      </c>
      <c r="I37" s="75">
        <f>VLOOKUP($B37,Fire2016!$C$10:$I$55,4,FALSE)</f>
        <v>20</v>
      </c>
      <c r="J37" s="75">
        <f>VLOOKUP($B37,Fire2016!$C$10:$I$55,6,FALSE)</f>
        <v>2</v>
      </c>
      <c r="K37" s="75">
        <f>VLOOKUP($B37,Fire2016!$C$10:$O$55,13,FALSE)</f>
        <v>28</v>
      </c>
      <c r="L37" s="75">
        <f>VLOOKUP($B37,Fire2016!$C$10:$Q$55,14,FALSE)+VLOOKUP($B37,Fire2016!$C$10:$Q$55,15,FALSE)</f>
        <v>1</v>
      </c>
      <c r="M37" s="75">
        <f>VLOOKUP($B37,Fire2016!$C$10:$BA$55,51,FALSE)</f>
        <v>21</v>
      </c>
      <c r="N37" s="75">
        <f>VLOOKUP($B37,Fire2016!$C$10:$AZ$55,45,FALSE)</f>
        <v>53</v>
      </c>
      <c r="O37" s="75">
        <f>VLOOKUP($B37,Fire2016!$C$10:$AZ$55,46,FALSE)</f>
        <v>7</v>
      </c>
      <c r="P37" s="75">
        <f>VLOOKUP($B37,Fire2016!$C$10:$AZ$55,47,FALSE)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VLOOKUP($B38,Fire2016!$C$10:$I$55,5,FALSE)</f>
        <v>8</v>
      </c>
      <c r="I38" s="75">
        <f>VLOOKUP($B38,Fire2016!$C$10:$I$55,4,FALSE)</f>
        <v>23</v>
      </c>
      <c r="J38" s="75">
        <f>VLOOKUP($B38,Fire2016!$C$10:$I$55,6,FALSE)</f>
        <v>2</v>
      </c>
      <c r="K38" s="75">
        <f>VLOOKUP($B38,Fire2016!$C$10:$O$55,13,FALSE)</f>
        <v>42</v>
      </c>
      <c r="L38" s="75">
        <f>VLOOKUP($B38,Fire2016!$C$10:$Q$55,14,FALSE)+VLOOKUP($B38,Fire2016!$C$10:$Q$55,15,FALSE)</f>
        <v>2</v>
      </c>
      <c r="M38" s="75">
        <f>VLOOKUP($B38,Fire2016!$C$10:$BA$55,51,FALSE)</f>
        <v>22</v>
      </c>
      <c r="N38" s="75">
        <f>VLOOKUP($B38,Fire2016!$C$10:$AZ$55,45,FALSE)</f>
        <v>118</v>
      </c>
      <c r="O38" s="75">
        <f>VLOOKUP($B38,Fire2016!$C$10:$AZ$55,46,FALSE)</f>
        <v>9</v>
      </c>
      <c r="P38" s="75">
        <f>VLOOKUP($B38,Fire2016!$C$10:$AZ$55,47,FALSE)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VLOOKUP($B39,Fire2016!$C$10:$I$55,5,FALSE)</f>
        <v>0</v>
      </c>
      <c r="I39" s="75">
        <f>VLOOKUP($B39,Fire2016!$C$10:$I$55,4,FALSE)</f>
        <v>29</v>
      </c>
      <c r="J39" s="75">
        <f>VLOOKUP($B39,Fire2016!$C$10:$I$55,6,FALSE)</f>
        <v>6</v>
      </c>
      <c r="K39" s="75">
        <f>VLOOKUP($B39,Fire2016!$C$10:$O$55,13,FALSE)</f>
        <v>47</v>
      </c>
      <c r="L39" s="75">
        <f>VLOOKUP($B39,Fire2016!$C$10:$Q$55,14,FALSE)+VLOOKUP($B39,Fire2016!$C$10:$Q$55,15,FALSE)</f>
        <v>2</v>
      </c>
      <c r="M39" s="75">
        <f>VLOOKUP($B39,Fire2016!$C$10:$BA$55,51,FALSE)</f>
        <v>22</v>
      </c>
      <c r="N39" s="75">
        <f>VLOOKUP($B39,Fire2016!$C$10:$AZ$55,45,FALSE)</f>
        <v>82</v>
      </c>
      <c r="O39" s="75">
        <f>VLOOKUP($B39,Fire2016!$C$10:$AZ$55,46,FALSE)</f>
        <v>4</v>
      </c>
      <c r="P39" s="75">
        <f>VLOOKUP($B39,Fire2016!$C$10:$AZ$55,47,FALSE)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VLOOKUP($B40,Fire2016!$C$10:$I$55,5,FALSE)</f>
        <v>18</v>
      </c>
      <c r="I40" s="75">
        <f>VLOOKUP($B40,Fire2016!$C$10:$I$55,4,FALSE)</f>
        <v>7</v>
      </c>
      <c r="J40" s="75">
        <f>VLOOKUP($B40,Fire2016!$C$10:$I$55,6,FALSE)</f>
        <v>1</v>
      </c>
      <c r="K40" s="75">
        <f>VLOOKUP($B40,Fire2016!$C$10:$O$55,13,FALSE)</f>
        <v>31</v>
      </c>
      <c r="L40" s="75">
        <f>VLOOKUP($B40,Fire2016!$C$10:$Q$55,14,FALSE)+VLOOKUP($B40,Fire2016!$C$10:$Q$55,15,FALSE)</f>
        <v>2</v>
      </c>
      <c r="M40" s="75">
        <f>VLOOKUP($B40,Fire2016!$C$10:$BA$55,51,FALSE)</f>
        <v>56</v>
      </c>
      <c r="N40" s="75">
        <f>VLOOKUP($B40,Fire2016!$C$10:$AZ$55,45,FALSE)</f>
        <v>112</v>
      </c>
      <c r="O40" s="75">
        <f>VLOOKUP($B40,Fire2016!$C$10:$AZ$55,46,FALSE)</f>
        <v>7</v>
      </c>
      <c r="P40" s="75">
        <f>VLOOKUP($B40,Fire2016!$C$10:$AZ$55,47,FALSE)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VLOOKUP($B41,Fire2016!$C$10:$I$55,5,FALSE)</f>
        <v>4</v>
      </c>
      <c r="I41" s="75">
        <f>VLOOKUP($B41,Fire2016!$C$10:$I$55,4,FALSE)</f>
        <v>9</v>
      </c>
      <c r="J41" s="75">
        <f>VLOOKUP($B41,Fire2016!$C$10:$I$55,6,FALSE)</f>
        <v>3</v>
      </c>
      <c r="K41" s="75">
        <f>VLOOKUP($B41,Fire2016!$C$10:$O$55,13,FALSE)</f>
        <v>23</v>
      </c>
      <c r="L41" s="75">
        <f>VLOOKUP($B41,Fire2016!$C$10:$Q$55,14,FALSE)+VLOOKUP($B41,Fire2016!$C$10:$Q$55,15,FALSE)</f>
        <v>2</v>
      </c>
      <c r="M41" s="75">
        <f>VLOOKUP($B41,Fire2016!$C$10:$BA$55,51,FALSE)</f>
        <v>13</v>
      </c>
      <c r="N41" s="75">
        <f>VLOOKUP($B41,Fire2016!$C$10:$AZ$55,45,FALSE)</f>
        <v>53</v>
      </c>
      <c r="O41" s="75">
        <f>VLOOKUP($B41,Fire2016!$C$10:$AZ$55,46,FALSE)</f>
        <v>4</v>
      </c>
      <c r="P41" s="75">
        <f>VLOOKUP($B41,Fire2016!$C$10:$AZ$55,47,FALSE)</f>
        <v>4</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VLOOKUP($B42,Fire2016!$C$10:$I$55,5,FALSE)</f>
        <v>2</v>
      </c>
      <c r="I42" s="75">
        <f>VLOOKUP($B42,Fire2016!$C$10:$I$55,4,FALSE)</f>
        <v>14</v>
      </c>
      <c r="J42" s="75">
        <f>VLOOKUP($B42,Fire2016!$C$10:$I$55,6,FALSE)</f>
        <v>9</v>
      </c>
      <c r="K42" s="75">
        <f>VLOOKUP($B42,Fire2016!$C$10:$O$55,13,FALSE)</f>
        <v>35</v>
      </c>
      <c r="L42" s="75">
        <f>VLOOKUP($B42,Fire2016!$C$10:$Q$55,14,FALSE)+VLOOKUP($B42,Fire2016!$C$10:$Q$55,15,FALSE)</f>
        <v>2</v>
      </c>
      <c r="M42" s="75">
        <f>VLOOKUP($B42,Fire2016!$C$10:$BA$55,51,FALSE)</f>
        <v>27</v>
      </c>
      <c r="N42" s="75">
        <f>VLOOKUP($B42,Fire2016!$C$10:$AZ$55,45,FALSE)</f>
        <v>107</v>
      </c>
      <c r="O42" s="75">
        <f>VLOOKUP($B42,Fire2016!$C$10:$AZ$55,46,FALSE)</f>
        <v>5</v>
      </c>
      <c r="P42" s="75">
        <f>VLOOKUP($B42,Fire2016!$C$10:$AZ$55,47,FALSE)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'(2015)'!H43</f>
        <v>1</v>
      </c>
      <c r="I43" s="106">
        <f>'(2015)'!I43</f>
        <v>5</v>
      </c>
      <c r="J43" s="106">
        <v>0</v>
      </c>
      <c r="K43" s="106">
        <f>'(2015)'!K43</f>
        <v>7</v>
      </c>
      <c r="L43" s="106">
        <f>'(2015)'!L43</f>
        <v>0</v>
      </c>
      <c r="M43" s="106">
        <f>'(2015)'!M43</f>
        <v>0</v>
      </c>
      <c r="N43" s="106">
        <f>'(2015)'!N43</f>
        <v>3</v>
      </c>
      <c r="O43" s="106">
        <f>'(2015)'!O43</f>
        <v>1</v>
      </c>
      <c r="P43" s="106">
        <f>'(2015)'!P43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3">SUM(H45:H51)</f>
        <v>245</v>
      </c>
      <c r="I44" s="70">
        <f t="shared" si="3"/>
        <v>14</v>
      </c>
      <c r="J44" s="70">
        <f t="shared" si="3"/>
        <v>24</v>
      </c>
      <c r="K44" s="70">
        <f t="shared" si="3"/>
        <v>407</v>
      </c>
      <c r="L44" s="70">
        <f t="shared" si="3"/>
        <v>39</v>
      </c>
      <c r="M44" s="70">
        <f t="shared" si="3"/>
        <v>266</v>
      </c>
      <c r="N44" s="70">
        <f t="shared" si="3"/>
        <v>1003</v>
      </c>
      <c r="O44" s="70">
        <f t="shared" si="3"/>
        <v>109</v>
      </c>
      <c r="P44" s="70">
        <f t="shared" si="3"/>
        <v>86</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VLOOKUP($B45,Fire2016!$C$10:$I$55,5,FALSE)</f>
        <v>35</v>
      </c>
      <c r="I45" s="75">
        <f>VLOOKUP($B45,Fire2016!$C$10:$I$55,4,FALSE)</f>
        <v>1</v>
      </c>
      <c r="J45" s="75">
        <f>VLOOKUP($B45,Fire2016!$C$10:$I$55,6,FALSE)</f>
        <v>5</v>
      </c>
      <c r="K45" s="75">
        <f>VLOOKUP($B45,Fire2016!$C$10:$O$55,13,FALSE)</f>
        <v>72</v>
      </c>
      <c r="L45" s="75">
        <f>VLOOKUP($B45,Fire2016!$C$10:$Q$55,14,FALSE)+VLOOKUP($B45,Fire2016!$C$10:$Q$55,15,FALSE)</f>
        <v>7</v>
      </c>
      <c r="M45" s="75">
        <f>VLOOKUP($B45,Fire2016!$C$10:$BA$55,51,FALSE)</f>
        <v>28</v>
      </c>
      <c r="N45" s="75">
        <f>VLOOKUP($B45,Fire2016!$C$10:$AZ$55,45,FALSE)</f>
        <v>157</v>
      </c>
      <c r="O45" s="75">
        <f>VLOOKUP($B45,Fire2016!$C$10:$AZ$55,46,FALSE)</f>
        <v>14</v>
      </c>
      <c r="P45" s="75">
        <f>VLOOKUP($B45,Fire2016!$C$10:$AZ$55,47,FALSE)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VLOOKUP($B46,Fire2016!$C$10:$I$55,5,FALSE)</f>
        <v>13</v>
      </c>
      <c r="I46" s="75">
        <f>VLOOKUP($B46,Fire2016!$C$10:$I$55,4,FALSE)</f>
        <v>0</v>
      </c>
      <c r="J46" s="75">
        <f>VLOOKUP($B46,Fire2016!$C$10:$I$55,6,FALSE)</f>
        <v>9</v>
      </c>
      <c r="K46" s="75">
        <f>VLOOKUP($B46,Fire2016!$C$10:$O$55,13,FALSE)</f>
        <v>31</v>
      </c>
      <c r="L46" s="75">
        <f>VLOOKUP($B46,Fire2016!$C$10:$Q$55,14,FALSE)+VLOOKUP($B46,Fire2016!$C$10:$Q$55,15,FALSE)</f>
        <v>4</v>
      </c>
      <c r="M46" s="75">
        <f>VLOOKUP($B46,Fire2016!$C$10:$BA$55,51,FALSE)</f>
        <v>27</v>
      </c>
      <c r="N46" s="75">
        <f>VLOOKUP($B46,Fire2016!$C$10:$AZ$55,45,FALSE)</f>
        <v>147</v>
      </c>
      <c r="O46" s="75">
        <f>VLOOKUP($B46,Fire2016!$C$10:$AZ$55,46,FALSE)</f>
        <v>12</v>
      </c>
      <c r="P46" s="75">
        <f>VLOOKUP($B46,Fire2016!$C$10:$AZ$55,47,FALSE)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VLOOKUP($B47,Fire2016!$C$10:$I$55,5,FALSE)</f>
        <v>14</v>
      </c>
      <c r="I47" s="75">
        <f>VLOOKUP($B47,Fire2016!$C$10:$I$55,4,FALSE)</f>
        <v>4</v>
      </c>
      <c r="J47" s="75">
        <f>VLOOKUP($B47,Fire2016!$C$10:$I$55,6,FALSE)</f>
        <v>3</v>
      </c>
      <c r="K47" s="75">
        <f>VLOOKUP($B47,Fire2016!$C$10:$O$55,13,FALSE)</f>
        <v>28</v>
      </c>
      <c r="L47" s="75">
        <f>VLOOKUP($B47,Fire2016!$C$10:$Q$55,14,FALSE)+VLOOKUP($B47,Fire2016!$C$10:$Q$55,15,FALSE)</f>
        <v>2</v>
      </c>
      <c r="M47" s="75">
        <f>VLOOKUP($B47,Fire2016!$C$10:$BA$55,51,FALSE)</f>
        <v>10</v>
      </c>
      <c r="N47" s="75">
        <f>VLOOKUP($B47,Fire2016!$C$10:$AZ$55,45,FALSE)</f>
        <v>145</v>
      </c>
      <c r="O47" s="75">
        <f>VLOOKUP($B47,Fire2016!$C$10:$AZ$55,46,FALSE)</f>
        <v>2</v>
      </c>
      <c r="P47" s="75">
        <f>VLOOKUP($B47,Fire2016!$C$10:$AZ$55,47,FALSE)</f>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VLOOKUP($B48,Fire2016!$C$10:$I$55,5,FALSE)</f>
        <v>16</v>
      </c>
      <c r="I48" s="75">
        <f>VLOOKUP($B48,Fire2016!$C$10:$I$55,4,FALSE)</f>
        <v>1</v>
      </c>
      <c r="J48" s="75">
        <f>VLOOKUP($B48,Fire2016!$C$10:$I$55,6,FALSE)</f>
        <v>0</v>
      </c>
      <c r="K48" s="75">
        <f>VLOOKUP($B48,Fire2016!$C$10:$O$55,13,FALSE)</f>
        <v>30</v>
      </c>
      <c r="L48" s="75">
        <f>VLOOKUP($B48,Fire2016!$C$10:$Q$55,14,FALSE)+VLOOKUP($B48,Fire2016!$C$10:$Q$55,15,FALSE)</f>
        <v>3</v>
      </c>
      <c r="M48" s="75">
        <f>VLOOKUP($B48,Fire2016!$C$10:$BA$55,51,FALSE)</f>
        <v>20</v>
      </c>
      <c r="N48" s="75">
        <f>VLOOKUP($B48,Fire2016!$C$10:$AZ$55,45,FALSE)</f>
        <v>105</v>
      </c>
      <c r="O48" s="75">
        <f>VLOOKUP($B48,Fire2016!$C$10:$AZ$55,46,FALSE)</f>
        <v>6</v>
      </c>
      <c r="P48" s="75">
        <f>VLOOKUP($B48,Fire2016!$C$10:$AZ$55,47,FALSE)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VLOOKUP($B49,Fire2016!$C$10:$I$55,5,FALSE)</f>
        <v>38</v>
      </c>
      <c r="I49" s="75">
        <f>VLOOKUP($B49,Fire2016!$C$10:$I$55,4,FALSE)</f>
        <v>0</v>
      </c>
      <c r="J49" s="75">
        <f>VLOOKUP($B49,Fire2016!$C$10:$I$55,6,FALSE)</f>
        <v>0</v>
      </c>
      <c r="K49" s="75">
        <f>VLOOKUP($B49,Fire2016!$C$10:$O$55,13,FALSE)</f>
        <v>41</v>
      </c>
      <c r="L49" s="75">
        <f>VLOOKUP($B49,Fire2016!$C$10:$Q$55,14,FALSE)+VLOOKUP($B49,Fire2016!$C$10:$Q$55,15,FALSE)</f>
        <v>4</v>
      </c>
      <c r="M49" s="75">
        <f>VLOOKUP($B49,Fire2016!$C$10:$BA$55,51,FALSE)</f>
        <v>36</v>
      </c>
      <c r="N49" s="75">
        <f>VLOOKUP($B49,Fire2016!$C$10:$AZ$55,45,FALSE)</f>
        <v>104</v>
      </c>
      <c r="O49" s="75">
        <f>VLOOKUP($B49,Fire2016!$C$10:$AZ$55,46,FALSE)</f>
        <v>19</v>
      </c>
      <c r="P49" s="75">
        <f>VLOOKUP($B49,Fire2016!$C$10:$AZ$55,47,FALSE)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VLOOKUP($B50,Fire2016!$C$10:$I$55,5,FALSE)</f>
        <v>26</v>
      </c>
      <c r="I50" s="75">
        <f>VLOOKUP($B50,Fire2016!$C$10:$I$55,4,FALSE)</f>
        <v>8</v>
      </c>
      <c r="J50" s="75">
        <f>VLOOKUP($B50,Fire2016!$C$10:$I$55,6,FALSE)</f>
        <v>7</v>
      </c>
      <c r="K50" s="75">
        <f>VLOOKUP($B50,Fire2016!$C$10:$O$55,13,FALSE)</f>
        <v>63</v>
      </c>
      <c r="L50" s="75">
        <f>VLOOKUP($B50,Fire2016!$C$10:$Q$55,14,FALSE)+VLOOKUP($B50,Fire2016!$C$10:$Q$55,15,FALSE)</f>
        <v>8</v>
      </c>
      <c r="M50" s="75">
        <f>VLOOKUP($B50,Fire2016!$C$10:$BA$55,51,FALSE)</f>
        <v>21</v>
      </c>
      <c r="N50" s="75">
        <f>VLOOKUP($B50,Fire2016!$C$10:$AZ$55,45,FALSE)</f>
        <v>285</v>
      </c>
      <c r="O50" s="75">
        <f>VLOOKUP($B50,Fire2016!$C$10:$AZ$55,46,FALSE)</f>
        <v>11</v>
      </c>
      <c r="P50" s="75">
        <f>VLOOKUP($B50,Fire2016!$C$10:$AZ$55,47,FALSE)</f>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15</v>
      </c>
      <c r="C51" s="90"/>
      <c r="D51" s="91"/>
      <c r="E51" s="91"/>
      <c r="F51" s="91"/>
      <c r="G51" s="75" t="str">
        <f>IF(VLOOKUP($B51,Fire2016!$C$10:$I$55,4,FALSE)="..","Imputed","")</f>
        <v/>
      </c>
      <c r="H51" s="75">
        <f>VLOOKUP($B51,Fire2016!$C$10:$I$55,5,FALSE)</f>
        <v>103</v>
      </c>
      <c r="I51" s="75">
        <f>VLOOKUP($B51,Fire2016!$C$10:$I$55,4,FALSE)</f>
        <v>0</v>
      </c>
      <c r="J51" s="75">
        <f>VLOOKUP($B51,Fire2016!$C$10:$I$55,6,FALSE)</f>
        <v>0</v>
      </c>
      <c r="K51" s="75">
        <f>VLOOKUP($B51,Fire2016!$C$10:$O$55,13,FALSE)</f>
        <v>142</v>
      </c>
      <c r="L51" s="75">
        <f>VLOOKUP($B51,Fire2016!$C$10:$Q$55,14,FALSE)+VLOOKUP($B51,Fire2016!$C$10:$Q$55,15,FALSE)</f>
        <v>11</v>
      </c>
      <c r="M51" s="75">
        <f>VLOOKUP($B51,Fire2016!$C$10:$BA$55,51,FALSE)</f>
        <v>124</v>
      </c>
      <c r="N51" s="75">
        <f>VLOOKUP($B51,Fire2016!$C$10:$AZ$55,45,FALSE)</f>
        <v>60</v>
      </c>
      <c r="O51" s="75">
        <f>VLOOKUP($B51,Fire2016!$C$10:$AZ$55,46,FALSE)</f>
        <v>45</v>
      </c>
      <c r="P51" s="75">
        <f>VLOOKUP($B51,Fire2016!$C$10:$AZ$55,47,FALSE)</f>
        <v>31</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203" t="s">
        <v>343</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381" t="s">
        <v>344</v>
      </c>
      <c r="C55" s="381"/>
      <c r="D55" s="381"/>
      <c r="E55" s="381"/>
      <c r="F55" s="381"/>
      <c r="G55" s="381"/>
      <c r="H55" s="381"/>
      <c r="I55" s="381"/>
      <c r="J55" s="381"/>
      <c r="K55" s="381"/>
      <c r="L55" s="381"/>
      <c r="M55" s="381"/>
      <c r="N55" s="381"/>
      <c r="O55" s="381"/>
      <c r="P55" s="381"/>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B66" s="265" t="s">
        <v>59</v>
      </c>
      <c r="C66" s="266"/>
      <c r="D66" s="267"/>
      <c r="E66" s="267"/>
      <c r="F66" s="268"/>
      <c r="G66" s="267"/>
      <c r="H66" s="267">
        <f>VLOOKUP($B66,Fire2016!$C$10:$I$55,5,FALSE)</f>
        <v>6</v>
      </c>
      <c r="I66" s="267">
        <f>VLOOKUP($B66,Fire2016!$C$10:$I$55,4,FALSE)</f>
        <v>19</v>
      </c>
      <c r="J66" s="267">
        <f>VLOOKUP($B66,Fire2016!$C$10:$I$55,6,FALSE)</f>
        <v>1</v>
      </c>
      <c r="K66" s="267">
        <f>VLOOKUP($B66,Fire2016!$C$10:$O$55,13,FALSE)</f>
        <v>40</v>
      </c>
      <c r="L66" s="267">
        <f>VLOOKUP($B66,Fire2016!$C$10:$Q$55,14,FALSE)+VLOOKUP($B66,Fire2016!$C$10:$Q$55,15,FALSE)</f>
        <v>2</v>
      </c>
      <c r="M66" s="267">
        <f>VLOOKUP($B66,Fire2016!$C$10:$BA$55,51,FALSE)</f>
        <v>28</v>
      </c>
      <c r="N66" s="267">
        <f>VLOOKUP($B66,Fire2016!$C$10:$AZ$55,45,FALSE)</f>
        <v>105</v>
      </c>
      <c r="O66" s="267">
        <f>VLOOKUP($B66,Fire2016!$C$10:$AZ$55,46,FALSE)</f>
        <v>4</v>
      </c>
      <c r="P66" s="267">
        <f>VLOOKUP($B66,Fire2016!$C$10:$AZ$55,47,FALSE)</f>
        <v>4</v>
      </c>
      <c r="S66" s="72"/>
      <c r="T66" s="72"/>
    </row>
    <row r="67" spans="1:26" s="65" customFormat="1" ht="14.5" x14ac:dyDescent="0.35">
      <c r="A67" s="48"/>
      <c r="B67" s="265" t="s">
        <v>30</v>
      </c>
      <c r="C67" s="266"/>
      <c r="D67" s="267"/>
      <c r="E67" s="267"/>
      <c r="F67" s="268"/>
      <c r="G67" s="267"/>
      <c r="H67" s="267">
        <f>VLOOKUP($B67,Fire2016!$C$10:$I$55,5,FALSE)</f>
        <v>0</v>
      </c>
      <c r="I67" s="267">
        <f>VLOOKUP($B67,Fire2016!$C$10:$I$55,4,FALSE)</f>
        <v>18</v>
      </c>
      <c r="J67" s="267">
        <f>VLOOKUP($B67,Fire2016!$C$10:$I$55,6,FALSE)</f>
        <v>6</v>
      </c>
      <c r="K67" s="267">
        <f>VLOOKUP($B67,Fire2016!$C$10:$O$55,13,FALSE)</f>
        <v>34</v>
      </c>
      <c r="L67" s="267">
        <f>VLOOKUP($B67,Fire2016!$C$10:$Q$55,14,FALSE)+VLOOKUP($B67,Fire2016!$C$10:$Q$55,15,FALSE)</f>
        <v>2</v>
      </c>
      <c r="M67" s="267">
        <f>VLOOKUP($B67,Fire2016!$C$10:$BA$55,51,FALSE)</f>
        <v>19</v>
      </c>
      <c r="N67" s="267">
        <f>VLOOKUP($B67,Fire2016!$C$10:$AZ$55,45,FALSE)</f>
        <v>137</v>
      </c>
      <c r="O67" s="267">
        <f>VLOOKUP($B67,Fire2016!$C$10:$AZ$55,46,FALSE)</f>
        <v>5</v>
      </c>
      <c r="P67" s="267">
        <f>VLOOKUP($B67,Fire2016!$C$10:$AZ$55,47,FALSE)</f>
        <v>2</v>
      </c>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X71"/>
  <sheetViews>
    <sheetView showGridLines="0" zoomScaleNormal="100" zoomScaleSheetLayoutView="100" workbookViewId="0">
      <pane xSplit="3" ySplit="12" topLeftCell="F31" activePane="bottomRight" state="frozen"/>
      <selection activeCell="A4" sqref="A4:H4"/>
      <selection pane="topRight" activeCell="A4" sqref="A4:H4"/>
      <selection pane="bottomLeft" activeCell="A4" sqref="A4:H4"/>
      <selection pane="bottomRight" activeCell="A4" sqref="A4:H4"/>
    </sheetView>
  </sheetViews>
  <sheetFormatPr defaultColWidth="9.1796875" defaultRowHeight="15" customHeight="1" x14ac:dyDescent="0.2"/>
  <cols>
    <col min="1" max="2" width="7.1796875" style="207" customWidth="1"/>
    <col min="3" max="3" width="24.26953125" style="207" customWidth="1"/>
    <col min="4" max="24" width="14.26953125" style="207" customWidth="1"/>
    <col min="25" max="16384" width="9.1796875" style="207"/>
  </cols>
  <sheetData>
    <row r="1" spans="1:24" s="259" customFormat="1" ht="15" customHeight="1" x14ac:dyDescent="0.2">
      <c r="D1" s="260" t="s">
        <v>155</v>
      </c>
      <c r="E1" s="260" t="s">
        <v>156</v>
      </c>
      <c r="F1" s="260" t="s">
        <v>154</v>
      </c>
      <c r="G1" s="260" t="s">
        <v>153</v>
      </c>
      <c r="H1" s="260" t="s">
        <v>397</v>
      </c>
      <c r="I1" s="260" t="s">
        <v>147</v>
      </c>
      <c r="J1" s="260" t="s">
        <v>130</v>
      </c>
      <c r="K1" s="260" t="s">
        <v>396</v>
      </c>
      <c r="L1" s="260" t="s">
        <v>395</v>
      </c>
      <c r="M1" s="260" t="s">
        <v>145</v>
      </c>
      <c r="N1" s="260" t="s">
        <v>128</v>
      </c>
      <c r="O1" s="260" t="s">
        <v>394</v>
      </c>
      <c r="P1" s="260" t="s">
        <v>393</v>
      </c>
      <c r="Q1" s="260" t="s">
        <v>132</v>
      </c>
      <c r="R1" s="260" t="s">
        <v>131</v>
      </c>
      <c r="S1" s="260" t="s">
        <v>115</v>
      </c>
      <c r="T1" s="260" t="s">
        <v>112</v>
      </c>
      <c r="U1" s="260" t="s">
        <v>114</v>
      </c>
      <c r="V1" s="260" t="s">
        <v>111</v>
      </c>
      <c r="W1" s="260" t="s">
        <v>113</v>
      </c>
      <c r="X1" s="260" t="s">
        <v>110</v>
      </c>
    </row>
    <row r="2" spans="1:24" ht="17.5" x14ac:dyDescent="0.2">
      <c r="A2" s="258" t="s">
        <v>392</v>
      </c>
      <c r="B2" s="257"/>
      <c r="D2" s="256"/>
      <c r="E2" s="256"/>
      <c r="F2" s="256"/>
      <c r="G2" s="255"/>
      <c r="H2" s="255"/>
      <c r="I2" s="215"/>
      <c r="L2" s="255"/>
      <c r="M2" s="215"/>
      <c r="P2" s="255"/>
      <c r="S2" s="256"/>
      <c r="V2" s="256"/>
      <c r="W2" s="256"/>
      <c r="X2" s="255"/>
    </row>
    <row r="3" spans="1:24" ht="11.25" customHeight="1" x14ac:dyDescent="0.2">
      <c r="C3" s="232"/>
      <c r="D3" s="254" t="s">
        <v>391</v>
      </c>
      <c r="E3" s="250"/>
      <c r="F3" s="250"/>
      <c r="G3" s="250"/>
      <c r="H3" s="249"/>
      <c r="I3" s="251" t="s">
        <v>390</v>
      </c>
      <c r="J3" s="250"/>
      <c r="K3" s="250"/>
      <c r="L3" s="249"/>
      <c r="M3" s="251"/>
      <c r="N3" s="250"/>
      <c r="O3" s="250"/>
      <c r="P3" s="250"/>
      <c r="Q3" s="250"/>
      <c r="R3" s="249"/>
      <c r="S3" s="247" t="s">
        <v>390</v>
      </c>
      <c r="T3" s="247"/>
      <c r="U3" s="247"/>
      <c r="V3" s="247"/>
      <c r="W3" s="247"/>
      <c r="X3" s="243"/>
    </row>
    <row r="4" spans="1:24" ht="11.25" customHeight="1" x14ac:dyDescent="0.2">
      <c r="C4" s="232"/>
      <c r="D4" s="253" t="s">
        <v>378</v>
      </c>
      <c r="E4" s="236" t="s">
        <v>378</v>
      </c>
      <c r="F4" s="236" t="s">
        <v>378</v>
      </c>
      <c r="G4" s="236" t="s">
        <v>378</v>
      </c>
      <c r="H4" s="252"/>
      <c r="I4" s="251" t="s">
        <v>217</v>
      </c>
      <c r="J4" s="250"/>
      <c r="K4" s="250"/>
      <c r="L4" s="249"/>
      <c r="M4" s="251"/>
      <c r="N4" s="250"/>
      <c r="O4" s="250"/>
      <c r="P4" s="250"/>
      <c r="Q4" s="249"/>
      <c r="R4" s="248" t="s">
        <v>378</v>
      </c>
      <c r="S4" s="244" t="s">
        <v>389</v>
      </c>
      <c r="T4" s="247"/>
      <c r="U4" s="247"/>
      <c r="V4" s="247"/>
      <c r="W4" s="247"/>
      <c r="X4" s="243"/>
    </row>
    <row r="5" spans="1:24" ht="11.25" customHeight="1" x14ac:dyDescent="0.2">
      <c r="C5" s="232"/>
      <c r="D5" s="238"/>
      <c r="E5" s="237"/>
      <c r="F5" s="237"/>
      <c r="G5" s="237"/>
      <c r="H5" s="229" t="s">
        <v>388</v>
      </c>
      <c r="I5" s="246" t="s">
        <v>387</v>
      </c>
      <c r="J5" s="245"/>
      <c r="K5" s="246" t="s">
        <v>386</v>
      </c>
      <c r="L5" s="245"/>
      <c r="M5" s="246" t="s">
        <v>375</v>
      </c>
      <c r="N5" s="245"/>
      <c r="O5" s="246" t="s">
        <v>385</v>
      </c>
      <c r="P5" s="245"/>
      <c r="Q5" s="236" t="s">
        <v>378</v>
      </c>
      <c r="R5" s="227"/>
      <c r="S5" s="244" t="s">
        <v>384</v>
      </c>
      <c r="T5" s="243"/>
      <c r="U5" s="244" t="s">
        <v>383</v>
      </c>
      <c r="V5" s="243"/>
      <c r="W5" s="244" t="s">
        <v>382</v>
      </c>
      <c r="X5" s="243"/>
    </row>
    <row r="6" spans="1:24" ht="11.25" customHeight="1" x14ac:dyDescent="0.2">
      <c r="C6" s="232"/>
      <c r="D6" s="238"/>
      <c r="E6" s="237"/>
      <c r="F6" s="237"/>
      <c r="G6" s="229" t="s">
        <v>216</v>
      </c>
      <c r="H6" s="229" t="s">
        <v>381</v>
      </c>
      <c r="I6" s="242" t="s">
        <v>364</v>
      </c>
      <c r="J6" s="241"/>
      <c r="K6" s="242" t="s">
        <v>380</v>
      </c>
      <c r="L6" s="241"/>
      <c r="M6" s="242" t="s">
        <v>364</v>
      </c>
      <c r="N6" s="241"/>
      <c r="O6" s="242" t="s">
        <v>379</v>
      </c>
      <c r="P6" s="241"/>
      <c r="Q6" s="240" t="s">
        <v>378</v>
      </c>
      <c r="R6" s="227"/>
      <c r="S6" s="239"/>
      <c r="T6" s="239"/>
      <c r="U6" s="239"/>
      <c r="V6" s="239"/>
      <c r="W6" s="239"/>
      <c r="X6" s="239"/>
    </row>
    <row r="7" spans="1:24" ht="11.25" customHeight="1" x14ac:dyDescent="0.2">
      <c r="C7" s="232"/>
      <c r="D7" s="238"/>
      <c r="E7" s="237"/>
      <c r="F7" s="237"/>
      <c r="G7" s="229" t="s">
        <v>363</v>
      </c>
      <c r="H7" s="229" t="s">
        <v>377</v>
      </c>
      <c r="I7" s="236"/>
      <c r="J7" s="236"/>
      <c r="K7" s="236"/>
      <c r="L7" s="236"/>
      <c r="M7" s="236"/>
      <c r="N7" s="236"/>
      <c r="O7" s="236"/>
      <c r="P7" s="236"/>
      <c r="Q7" s="235"/>
      <c r="R7" s="227"/>
      <c r="S7" s="234"/>
      <c r="T7" s="234"/>
      <c r="U7" s="233"/>
      <c r="V7" s="233"/>
      <c r="W7" s="233"/>
      <c r="X7" s="233"/>
    </row>
    <row r="8" spans="1:24" ht="11.25" customHeight="1" x14ac:dyDescent="0.2">
      <c r="C8" s="232"/>
      <c r="D8" s="231"/>
      <c r="E8" s="229" t="s">
        <v>367</v>
      </c>
      <c r="F8" s="229" t="s">
        <v>222</v>
      </c>
      <c r="G8" s="229" t="s">
        <v>376</v>
      </c>
      <c r="H8" s="229" t="s">
        <v>375</v>
      </c>
      <c r="I8" s="229"/>
      <c r="J8" s="229"/>
      <c r="K8" s="229"/>
      <c r="L8" s="229"/>
      <c r="M8" s="229"/>
      <c r="N8" s="229"/>
      <c r="O8" s="229"/>
      <c r="P8" s="229"/>
      <c r="Q8" s="229"/>
      <c r="R8" s="227" t="s">
        <v>216</v>
      </c>
      <c r="S8" s="228"/>
      <c r="T8" s="228"/>
      <c r="U8" s="228"/>
      <c r="V8" s="228"/>
      <c r="W8" s="228"/>
      <c r="X8" s="228"/>
    </row>
    <row r="9" spans="1:24" ht="11.25" customHeight="1" x14ac:dyDescent="0.2">
      <c r="C9" s="232"/>
      <c r="D9" s="231"/>
      <c r="E9" s="229" t="s">
        <v>374</v>
      </c>
      <c r="F9" s="229" t="s">
        <v>373</v>
      </c>
      <c r="G9" s="229" t="s">
        <v>372</v>
      </c>
      <c r="H9" s="229" t="s">
        <v>371</v>
      </c>
      <c r="I9" s="229"/>
      <c r="J9" s="229" t="s">
        <v>369</v>
      </c>
      <c r="K9" s="229"/>
      <c r="L9" s="229" t="s">
        <v>369</v>
      </c>
      <c r="M9" s="229"/>
      <c r="N9" s="229" t="s">
        <v>369</v>
      </c>
      <c r="O9" s="229"/>
      <c r="P9" s="229" t="s">
        <v>369</v>
      </c>
      <c r="Q9" s="229" t="s">
        <v>216</v>
      </c>
      <c r="R9" s="227" t="s">
        <v>370</v>
      </c>
      <c r="S9" s="228"/>
      <c r="T9" s="228" t="s">
        <v>369</v>
      </c>
      <c r="U9" s="228"/>
      <c r="V9" s="228" t="s">
        <v>369</v>
      </c>
      <c r="W9" s="228"/>
      <c r="X9" s="228" t="s">
        <v>369</v>
      </c>
    </row>
    <row r="10" spans="1:24" ht="11.25" customHeight="1" x14ac:dyDescent="0.2">
      <c r="C10" s="232"/>
      <c r="D10" s="231" t="s">
        <v>170</v>
      </c>
      <c r="E10" s="229" t="s">
        <v>368</v>
      </c>
      <c r="F10" s="229" t="s">
        <v>367</v>
      </c>
      <c r="G10" s="229" t="s">
        <v>321</v>
      </c>
      <c r="H10" s="230" t="s">
        <v>366</v>
      </c>
      <c r="I10" s="229" t="s">
        <v>363</v>
      </c>
      <c r="J10" s="229" t="s">
        <v>362</v>
      </c>
      <c r="K10" s="229" t="s">
        <v>363</v>
      </c>
      <c r="L10" s="229" t="s">
        <v>362</v>
      </c>
      <c r="M10" s="345" t="s">
        <v>363</v>
      </c>
      <c r="N10" s="229" t="s">
        <v>362</v>
      </c>
      <c r="O10" s="349" t="s">
        <v>363</v>
      </c>
      <c r="P10" s="229" t="s">
        <v>362</v>
      </c>
      <c r="Q10" s="345" t="s">
        <v>365</v>
      </c>
      <c r="R10" s="227" t="s">
        <v>364</v>
      </c>
      <c r="S10" s="347" t="s">
        <v>363</v>
      </c>
      <c r="T10" s="228" t="s">
        <v>362</v>
      </c>
      <c r="U10" s="228" t="s">
        <v>363</v>
      </c>
      <c r="V10" s="228" t="s">
        <v>362</v>
      </c>
      <c r="W10" s="228" t="s">
        <v>363</v>
      </c>
      <c r="X10" s="228" t="s">
        <v>362</v>
      </c>
    </row>
    <row r="11" spans="1:24" ht="11.25" customHeight="1" x14ac:dyDescent="0.2">
      <c r="C11" s="227"/>
      <c r="D11" s="226">
        <v>-61</v>
      </c>
      <c r="E11" s="225">
        <v>-62</v>
      </c>
      <c r="F11" s="225">
        <v>-63</v>
      </c>
      <c r="G11" s="225">
        <v>-64</v>
      </c>
      <c r="H11" s="225">
        <v>-65</v>
      </c>
      <c r="I11" s="225">
        <v>-66</v>
      </c>
      <c r="J11" s="225">
        <v>-67</v>
      </c>
      <c r="K11" s="225">
        <v>-68</v>
      </c>
      <c r="L11" s="225">
        <v>-69</v>
      </c>
      <c r="M11" s="225">
        <v>-70</v>
      </c>
      <c r="N11" s="225">
        <v>-71</v>
      </c>
      <c r="O11" s="225">
        <v>-72</v>
      </c>
      <c r="P11" s="225">
        <v>-73</v>
      </c>
      <c r="Q11" s="225">
        <v>-74</v>
      </c>
      <c r="R11" s="224">
        <v>-75</v>
      </c>
      <c r="S11" s="223">
        <v>-76</v>
      </c>
      <c r="T11" s="223">
        <v>-77</v>
      </c>
      <c r="U11" s="223">
        <v>-78</v>
      </c>
      <c r="V11" s="223">
        <v>-79</v>
      </c>
      <c r="W11" s="223">
        <v>-80</v>
      </c>
      <c r="X11" s="223">
        <v>-81</v>
      </c>
    </row>
    <row r="12" spans="1:24" ht="11.25" customHeight="1" x14ac:dyDescent="0.2">
      <c r="A12" s="207" t="s">
        <v>361</v>
      </c>
      <c r="B12" s="207" t="s">
        <v>160</v>
      </c>
      <c r="C12" s="222" t="s">
        <v>159</v>
      </c>
      <c r="D12" s="222"/>
      <c r="E12" s="222"/>
      <c r="F12" s="222"/>
      <c r="G12" s="222"/>
      <c r="H12" s="222"/>
      <c r="I12" s="222"/>
      <c r="J12" s="221" t="s">
        <v>360</v>
      </c>
      <c r="K12" s="222"/>
      <c r="L12" s="221" t="s">
        <v>360</v>
      </c>
      <c r="M12" s="222"/>
      <c r="N12" s="221" t="s">
        <v>360</v>
      </c>
      <c r="O12" s="222"/>
      <c r="P12" s="221" t="s">
        <v>360</v>
      </c>
      <c r="Q12" s="222"/>
      <c r="R12" s="222"/>
      <c r="S12" s="222"/>
      <c r="T12" s="221" t="s">
        <v>360</v>
      </c>
      <c r="U12" s="222"/>
      <c r="V12" s="221" t="s">
        <v>360</v>
      </c>
      <c r="W12" s="222"/>
      <c r="X12" s="221" t="s">
        <v>360</v>
      </c>
    </row>
    <row r="13" spans="1:24" ht="15" customHeight="1" x14ac:dyDescent="0.2">
      <c r="A13" s="220" t="s">
        <v>81</v>
      </c>
      <c r="B13" s="220" t="s">
        <v>109</v>
      </c>
      <c r="C13" s="219" t="s">
        <v>108</v>
      </c>
      <c r="D13" s="216">
        <v>2</v>
      </c>
      <c r="E13" s="216">
        <v>24</v>
      </c>
      <c r="F13" s="216">
        <v>5</v>
      </c>
      <c r="G13" s="216">
        <v>31</v>
      </c>
      <c r="H13" s="216">
        <v>6</v>
      </c>
      <c r="I13" s="216">
        <v>45</v>
      </c>
      <c r="J13" s="216">
        <v>15</v>
      </c>
      <c r="K13" s="216">
        <v>2</v>
      </c>
      <c r="L13" s="216">
        <v>6</v>
      </c>
      <c r="M13" s="216">
        <v>43</v>
      </c>
      <c r="N13" s="216">
        <v>11</v>
      </c>
      <c r="O13" s="216">
        <v>36</v>
      </c>
      <c r="P13" s="216">
        <v>5</v>
      </c>
      <c r="Q13" s="216">
        <v>6</v>
      </c>
      <c r="R13" s="216">
        <v>130</v>
      </c>
      <c r="S13" s="216">
        <v>64</v>
      </c>
      <c r="T13" s="216">
        <v>8</v>
      </c>
      <c r="U13" s="216">
        <v>7</v>
      </c>
      <c r="V13" s="216">
        <v>18</v>
      </c>
      <c r="W13" s="216">
        <v>3</v>
      </c>
      <c r="X13" s="216">
        <v>14</v>
      </c>
    </row>
    <row r="14" spans="1:24" ht="15" customHeight="1" x14ac:dyDescent="0.2">
      <c r="A14" s="220" t="s">
        <v>81</v>
      </c>
      <c r="B14" s="220" t="s">
        <v>107</v>
      </c>
      <c r="C14" s="219" t="s">
        <v>106</v>
      </c>
      <c r="D14" s="216">
        <v>3</v>
      </c>
      <c r="E14" s="216">
        <v>30</v>
      </c>
      <c r="F14" s="216">
        <v>5</v>
      </c>
      <c r="G14" s="216">
        <v>38</v>
      </c>
      <c r="H14" s="216">
        <v>2</v>
      </c>
      <c r="I14" s="216">
        <v>45</v>
      </c>
      <c r="J14" s="216">
        <v>9.6999999999999993</v>
      </c>
      <c r="K14" s="216">
        <v>2</v>
      </c>
      <c r="L14" s="216">
        <v>10</v>
      </c>
      <c r="M14" s="216">
        <v>7</v>
      </c>
      <c r="N14" s="216">
        <v>9</v>
      </c>
      <c r="O14" s="216">
        <v>47</v>
      </c>
      <c r="P14" s="216">
        <v>4.5</v>
      </c>
      <c r="Q14" s="216">
        <v>1</v>
      </c>
      <c r="R14" s="216">
        <v>100</v>
      </c>
      <c r="S14" s="216">
        <v>55</v>
      </c>
      <c r="T14" s="216">
        <v>6.5</v>
      </c>
      <c r="U14" s="216">
        <v>4</v>
      </c>
      <c r="V14" s="216">
        <v>16</v>
      </c>
      <c r="W14" s="216">
        <v>4</v>
      </c>
      <c r="X14" s="216">
        <v>16</v>
      </c>
    </row>
    <row r="15" spans="1:24" ht="15" customHeight="1" x14ac:dyDescent="0.2">
      <c r="A15" s="220" t="s">
        <v>81</v>
      </c>
      <c r="B15" s="220" t="s">
        <v>105</v>
      </c>
      <c r="C15" s="219" t="s">
        <v>104</v>
      </c>
      <c r="D15" s="216">
        <v>2</v>
      </c>
      <c r="E15" s="216">
        <v>16</v>
      </c>
      <c r="F15" s="216">
        <v>3</v>
      </c>
      <c r="G15" s="216">
        <v>21</v>
      </c>
      <c r="H15" s="216">
        <v>7</v>
      </c>
      <c r="I15" s="216">
        <v>32</v>
      </c>
      <c r="J15" s="216">
        <v>8</v>
      </c>
      <c r="K15" s="216">
        <v>2</v>
      </c>
      <c r="L15" s="216">
        <v>13</v>
      </c>
      <c r="M15" s="216">
        <v>9</v>
      </c>
      <c r="N15" s="216">
        <v>8</v>
      </c>
      <c r="O15" s="216">
        <v>23</v>
      </c>
      <c r="P15" s="216">
        <v>3</v>
      </c>
      <c r="Q15" s="216">
        <v>4</v>
      </c>
      <c r="R15" s="216">
        <v>68</v>
      </c>
      <c r="S15" s="216">
        <v>48</v>
      </c>
      <c r="T15" s="216">
        <v>9</v>
      </c>
      <c r="U15" s="216">
        <v>5</v>
      </c>
      <c r="V15" s="216">
        <v>14</v>
      </c>
      <c r="W15" s="216">
        <v>1</v>
      </c>
      <c r="X15" s="216">
        <v>11</v>
      </c>
    </row>
    <row r="16" spans="1:24" ht="15" customHeight="1" x14ac:dyDescent="0.2">
      <c r="A16" s="220" t="s">
        <v>81</v>
      </c>
      <c r="B16" s="220" t="s">
        <v>103</v>
      </c>
      <c r="C16" s="219" t="s">
        <v>102</v>
      </c>
      <c r="D16" s="216">
        <v>13</v>
      </c>
      <c r="E16" s="216">
        <v>9</v>
      </c>
      <c r="F16" s="216">
        <v>7</v>
      </c>
      <c r="G16" s="216">
        <v>29</v>
      </c>
      <c r="H16" s="216">
        <v>19</v>
      </c>
      <c r="I16" s="216">
        <v>40</v>
      </c>
      <c r="J16" s="216">
        <v>6</v>
      </c>
      <c r="K16" s="216">
        <v>0</v>
      </c>
      <c r="L16" s="216">
        <v>0</v>
      </c>
      <c r="M16" s="216">
        <v>6</v>
      </c>
      <c r="N16" s="216">
        <v>9</v>
      </c>
      <c r="O16" s="216">
        <v>44</v>
      </c>
      <c r="P16" s="216">
        <v>2</v>
      </c>
      <c r="Q16" s="216">
        <v>4</v>
      </c>
      <c r="R16" s="216">
        <v>94</v>
      </c>
      <c r="S16" s="216">
        <v>73</v>
      </c>
      <c r="T16" s="216">
        <v>4</v>
      </c>
      <c r="U16" s="216">
        <v>6</v>
      </c>
      <c r="V16" s="216">
        <v>13</v>
      </c>
      <c r="W16" s="216">
        <v>7</v>
      </c>
      <c r="X16" s="216">
        <v>12</v>
      </c>
    </row>
    <row r="17" spans="1:24" ht="15" customHeight="1" x14ac:dyDescent="0.2">
      <c r="A17" s="220" t="s">
        <v>81</v>
      </c>
      <c r="B17" s="220" t="s">
        <v>101</v>
      </c>
      <c r="C17" s="219" t="s">
        <v>100</v>
      </c>
      <c r="D17" s="216">
        <v>1</v>
      </c>
      <c r="E17" s="216">
        <v>8</v>
      </c>
      <c r="F17" s="216">
        <v>1</v>
      </c>
      <c r="G17" s="216">
        <v>10</v>
      </c>
      <c r="H17" s="216">
        <v>1</v>
      </c>
      <c r="I17" s="216">
        <v>13</v>
      </c>
      <c r="J17" s="216">
        <v>11</v>
      </c>
      <c r="K17" s="216">
        <v>0</v>
      </c>
      <c r="L17" s="216">
        <v>0</v>
      </c>
      <c r="M17" s="216">
        <v>2</v>
      </c>
      <c r="N17" s="216">
        <v>6</v>
      </c>
      <c r="O17" s="216">
        <v>17</v>
      </c>
      <c r="P17" s="216">
        <v>7</v>
      </c>
      <c r="Q17" s="216">
        <v>18</v>
      </c>
      <c r="R17" s="216">
        <v>50</v>
      </c>
      <c r="S17" s="216">
        <v>16</v>
      </c>
      <c r="T17" s="216">
        <v>12</v>
      </c>
      <c r="U17" s="216">
        <v>2</v>
      </c>
      <c r="V17" s="216">
        <v>15</v>
      </c>
      <c r="W17" s="216">
        <v>2</v>
      </c>
      <c r="X17" s="216">
        <v>15</v>
      </c>
    </row>
    <row r="18" spans="1:24" ht="15" customHeight="1" x14ac:dyDescent="0.2">
      <c r="A18" s="220" t="s">
        <v>81</v>
      </c>
      <c r="B18" s="220" t="s">
        <v>99</v>
      </c>
      <c r="C18" s="219" t="s">
        <v>98</v>
      </c>
      <c r="D18" s="216">
        <v>0</v>
      </c>
      <c r="E18" s="216">
        <v>29</v>
      </c>
      <c r="F18" s="216">
        <v>9</v>
      </c>
      <c r="G18" s="216">
        <v>38</v>
      </c>
      <c r="H18" s="216">
        <v>2</v>
      </c>
      <c r="I18" s="216">
        <v>50</v>
      </c>
      <c r="J18" s="216">
        <v>5</v>
      </c>
      <c r="K18" s="216">
        <v>2</v>
      </c>
      <c r="L18" s="216">
        <v>4</v>
      </c>
      <c r="M18" s="216">
        <v>35</v>
      </c>
      <c r="N18" s="216">
        <v>10</v>
      </c>
      <c r="O18" s="216">
        <v>48</v>
      </c>
      <c r="P18" s="216">
        <v>1</v>
      </c>
      <c r="Q18" s="216">
        <v>7</v>
      </c>
      <c r="R18" s="216">
        <v>140</v>
      </c>
      <c r="S18" s="216">
        <v>44</v>
      </c>
      <c r="T18" s="216">
        <v>3</v>
      </c>
      <c r="U18" s="216">
        <v>5</v>
      </c>
      <c r="V18" s="216">
        <v>8</v>
      </c>
      <c r="W18" s="216">
        <v>3</v>
      </c>
      <c r="X18" s="216">
        <v>8</v>
      </c>
    </row>
    <row r="19" spans="1:24" ht="15" customHeight="1" x14ac:dyDescent="0.2">
      <c r="A19" s="220" t="s">
        <v>81</v>
      </c>
      <c r="B19" s="220" t="s">
        <v>97</v>
      </c>
      <c r="C19" s="219" t="s">
        <v>96</v>
      </c>
      <c r="D19" s="216">
        <v>3</v>
      </c>
      <c r="E19" s="216">
        <v>33</v>
      </c>
      <c r="F19" s="216">
        <v>6</v>
      </c>
      <c r="G19" s="216">
        <v>42</v>
      </c>
      <c r="H19" s="216">
        <v>7</v>
      </c>
      <c r="I19" s="216">
        <v>53</v>
      </c>
      <c r="J19" s="216">
        <v>8</v>
      </c>
      <c r="K19" s="216">
        <v>3</v>
      </c>
      <c r="L19" s="216">
        <v>17</v>
      </c>
      <c r="M19" s="216">
        <v>5</v>
      </c>
      <c r="N19" s="216">
        <v>15</v>
      </c>
      <c r="O19" s="216">
        <v>44</v>
      </c>
      <c r="P19" s="216">
        <v>3</v>
      </c>
      <c r="Q19" s="216">
        <v>7</v>
      </c>
      <c r="R19" s="216">
        <v>109</v>
      </c>
      <c r="S19" s="216">
        <v>62</v>
      </c>
      <c r="T19" s="216">
        <v>3</v>
      </c>
      <c r="U19" s="216">
        <v>4</v>
      </c>
      <c r="V19" s="216">
        <v>12</v>
      </c>
      <c r="W19" s="216">
        <v>4</v>
      </c>
      <c r="X19" s="216">
        <v>15</v>
      </c>
    </row>
    <row r="20" spans="1:24" ht="15" customHeight="1" x14ac:dyDescent="0.2">
      <c r="A20" s="220" t="s">
        <v>81</v>
      </c>
      <c r="B20" s="220" t="s">
        <v>95</v>
      </c>
      <c r="C20" s="219" t="s">
        <v>94</v>
      </c>
      <c r="D20" s="216">
        <v>3</v>
      </c>
      <c r="E20" s="216">
        <v>14</v>
      </c>
      <c r="F20" s="216">
        <v>5</v>
      </c>
      <c r="G20" s="216">
        <v>22</v>
      </c>
      <c r="H20" s="216">
        <v>2</v>
      </c>
      <c r="I20" s="216">
        <v>26</v>
      </c>
      <c r="J20" s="216">
        <v>9</v>
      </c>
      <c r="K20" s="216">
        <v>2</v>
      </c>
      <c r="L20" s="216">
        <v>8</v>
      </c>
      <c r="M20" s="216">
        <v>28</v>
      </c>
      <c r="N20" s="216">
        <v>5</v>
      </c>
      <c r="O20" s="216">
        <v>36</v>
      </c>
      <c r="P20" s="216">
        <v>3</v>
      </c>
      <c r="Q20" s="216">
        <v>6</v>
      </c>
      <c r="R20" s="216">
        <v>96</v>
      </c>
      <c r="S20" s="216">
        <v>50</v>
      </c>
      <c r="T20" s="216">
        <v>7</v>
      </c>
      <c r="U20" s="216">
        <v>4</v>
      </c>
      <c r="V20" s="216">
        <v>15</v>
      </c>
      <c r="W20" s="216">
        <v>3</v>
      </c>
      <c r="X20" s="216">
        <v>14</v>
      </c>
    </row>
    <row r="21" spans="1:24" ht="15" customHeight="1" x14ac:dyDescent="0.2">
      <c r="A21" s="220" t="s">
        <v>81</v>
      </c>
      <c r="B21" s="220" t="s">
        <v>93</v>
      </c>
      <c r="C21" s="219" t="s">
        <v>92</v>
      </c>
      <c r="D21" s="216">
        <v>1</v>
      </c>
      <c r="E21" s="216">
        <v>11</v>
      </c>
      <c r="F21" s="216">
        <v>3</v>
      </c>
      <c r="G21" s="216">
        <v>15</v>
      </c>
      <c r="H21" s="216">
        <v>7</v>
      </c>
      <c r="I21" s="216">
        <v>22</v>
      </c>
      <c r="J21" s="216">
        <v>7</v>
      </c>
      <c r="K21" s="216">
        <v>0</v>
      </c>
      <c r="L21" s="216">
        <v>0</v>
      </c>
      <c r="M21" s="216">
        <v>11</v>
      </c>
      <c r="N21" s="216">
        <v>6</v>
      </c>
      <c r="O21" s="216">
        <v>18</v>
      </c>
      <c r="P21" s="216">
        <v>2</v>
      </c>
      <c r="Q21" s="216">
        <v>3</v>
      </c>
      <c r="R21" s="216">
        <v>54</v>
      </c>
      <c r="S21" s="216">
        <v>22</v>
      </c>
      <c r="T21" s="216">
        <v>3</v>
      </c>
      <c r="U21" s="216">
        <v>3</v>
      </c>
      <c r="V21" s="216">
        <v>13</v>
      </c>
      <c r="W21" s="216">
        <v>3</v>
      </c>
      <c r="X21" s="216">
        <v>14</v>
      </c>
    </row>
    <row r="22" spans="1:24" ht="15" customHeight="1" x14ac:dyDescent="0.2">
      <c r="A22" s="220" t="s">
        <v>81</v>
      </c>
      <c r="B22" s="220" t="s">
        <v>91</v>
      </c>
      <c r="C22" s="219" t="s">
        <v>90</v>
      </c>
      <c r="D22" s="216">
        <v>0</v>
      </c>
      <c r="E22" s="216">
        <v>0</v>
      </c>
      <c r="F22" s="216">
        <v>24</v>
      </c>
      <c r="G22" s="216">
        <v>24</v>
      </c>
      <c r="H22" s="216">
        <v>0</v>
      </c>
      <c r="I22" s="216">
        <v>34</v>
      </c>
      <c r="J22" s="216">
        <v>7</v>
      </c>
      <c r="K22" s="216">
        <v>0</v>
      </c>
      <c r="L22" s="216">
        <v>0</v>
      </c>
      <c r="M22" s="216">
        <v>5</v>
      </c>
      <c r="N22" s="216">
        <v>14</v>
      </c>
      <c r="O22" s="216">
        <v>32</v>
      </c>
      <c r="P22" s="216">
        <v>2</v>
      </c>
      <c r="Q22" s="216">
        <v>2</v>
      </c>
      <c r="R22" s="216">
        <v>73</v>
      </c>
      <c r="S22" s="216">
        <v>72</v>
      </c>
      <c r="T22" s="216">
        <v>4</v>
      </c>
      <c r="U22" s="216">
        <v>6</v>
      </c>
      <c r="V22" s="216">
        <v>12</v>
      </c>
      <c r="W22" s="216">
        <v>4</v>
      </c>
      <c r="X22" s="216">
        <v>14</v>
      </c>
    </row>
    <row r="23" spans="1:24" ht="15" customHeight="1" x14ac:dyDescent="0.2">
      <c r="A23" s="220" t="s">
        <v>81</v>
      </c>
      <c r="B23" s="220" t="s">
        <v>89</v>
      </c>
      <c r="C23" s="219" t="s">
        <v>88</v>
      </c>
      <c r="D23" s="344">
        <v>0</v>
      </c>
      <c r="E23" s="344">
        <v>29</v>
      </c>
      <c r="F23" s="216">
        <v>6</v>
      </c>
      <c r="G23" s="216">
        <v>35</v>
      </c>
      <c r="H23" s="216">
        <v>9</v>
      </c>
      <c r="I23" s="216">
        <v>42</v>
      </c>
      <c r="J23" s="216">
        <v>8.5</v>
      </c>
      <c r="K23" s="216">
        <v>2</v>
      </c>
      <c r="L23" s="216">
        <v>6.5</v>
      </c>
      <c r="M23" s="216">
        <v>13</v>
      </c>
      <c r="N23" s="216">
        <v>8.4</v>
      </c>
      <c r="O23" s="216">
        <v>28</v>
      </c>
      <c r="P23" s="216">
        <v>2.2999999999999998</v>
      </c>
      <c r="Q23" s="216">
        <v>3</v>
      </c>
      <c r="R23" s="216">
        <v>86</v>
      </c>
      <c r="S23" s="216">
        <v>47</v>
      </c>
      <c r="T23" s="216">
        <v>2.9</v>
      </c>
      <c r="U23" s="216">
        <v>4</v>
      </c>
      <c r="V23" s="216">
        <v>10.7</v>
      </c>
      <c r="W23" s="216">
        <v>3</v>
      </c>
      <c r="X23" s="216">
        <v>12</v>
      </c>
    </row>
    <row r="24" spans="1:24" ht="15" customHeight="1" x14ac:dyDescent="0.2">
      <c r="A24" s="220" t="s">
        <v>81</v>
      </c>
      <c r="B24" s="220" t="s">
        <v>87</v>
      </c>
      <c r="C24" s="219" t="s">
        <v>86</v>
      </c>
      <c r="D24" s="216">
        <v>18</v>
      </c>
      <c r="E24" s="216">
        <v>7</v>
      </c>
      <c r="F24" s="216">
        <v>1</v>
      </c>
      <c r="G24" s="216">
        <v>26</v>
      </c>
      <c r="H24" s="216">
        <v>9</v>
      </c>
      <c r="I24" s="344">
        <v>32</v>
      </c>
      <c r="J24" s="216">
        <v>10</v>
      </c>
      <c r="K24" s="344">
        <v>2</v>
      </c>
      <c r="L24" s="216">
        <v>0</v>
      </c>
      <c r="M24" s="344">
        <v>39</v>
      </c>
      <c r="N24" s="216">
        <v>4</v>
      </c>
      <c r="O24" s="216">
        <v>39</v>
      </c>
      <c r="P24" s="216">
        <v>2</v>
      </c>
      <c r="Q24" s="216">
        <v>6</v>
      </c>
      <c r="R24" s="216">
        <v>116</v>
      </c>
      <c r="S24" s="216">
        <v>73</v>
      </c>
      <c r="T24" s="216">
        <v>6</v>
      </c>
      <c r="U24" s="216">
        <v>7</v>
      </c>
      <c r="V24" s="216">
        <v>14</v>
      </c>
      <c r="W24" s="216">
        <v>3</v>
      </c>
      <c r="X24" s="216">
        <v>16</v>
      </c>
    </row>
    <row r="25" spans="1:24" ht="15" customHeight="1" x14ac:dyDescent="0.2">
      <c r="A25" s="220" t="s">
        <v>81</v>
      </c>
      <c r="B25" s="220" t="s">
        <v>85</v>
      </c>
      <c r="C25" s="219" t="s">
        <v>84</v>
      </c>
      <c r="D25" s="216">
        <v>5</v>
      </c>
      <c r="E25" s="216">
        <v>9</v>
      </c>
      <c r="F25" s="216">
        <v>3</v>
      </c>
      <c r="G25" s="216">
        <v>17</v>
      </c>
      <c r="H25" s="216">
        <v>0</v>
      </c>
      <c r="I25" s="216">
        <v>23</v>
      </c>
      <c r="J25" s="216">
        <v>8</v>
      </c>
      <c r="K25" s="216">
        <v>2</v>
      </c>
      <c r="L25" s="216">
        <v>8</v>
      </c>
      <c r="M25" s="216">
        <v>4</v>
      </c>
      <c r="N25" s="216">
        <v>9</v>
      </c>
      <c r="O25" s="216">
        <v>14</v>
      </c>
      <c r="P25" s="216">
        <v>2</v>
      </c>
      <c r="Q25" s="216">
        <v>8</v>
      </c>
      <c r="R25" s="216">
        <v>49</v>
      </c>
      <c r="S25" s="216">
        <v>37</v>
      </c>
      <c r="T25" s="216">
        <v>6</v>
      </c>
      <c r="U25" s="216">
        <v>4</v>
      </c>
      <c r="V25" s="216">
        <v>6</v>
      </c>
      <c r="W25" s="216">
        <v>6</v>
      </c>
      <c r="X25" s="216">
        <v>12</v>
      </c>
    </row>
    <row r="26" spans="1:24" ht="15" customHeight="1" x14ac:dyDescent="0.2">
      <c r="A26" s="220" t="s">
        <v>81</v>
      </c>
      <c r="B26" s="220" t="s">
        <v>83</v>
      </c>
      <c r="C26" s="219" t="s">
        <v>82</v>
      </c>
      <c r="D26" s="216">
        <v>2</v>
      </c>
      <c r="E26" s="216">
        <v>14</v>
      </c>
      <c r="F26" s="216">
        <v>9</v>
      </c>
      <c r="G26" s="216">
        <v>25</v>
      </c>
      <c r="H26" s="216">
        <v>0</v>
      </c>
      <c r="I26" s="216">
        <v>37</v>
      </c>
      <c r="J26" s="216">
        <v>9</v>
      </c>
      <c r="K26" s="216">
        <v>2</v>
      </c>
      <c r="L26" s="216">
        <v>10</v>
      </c>
      <c r="M26" s="216">
        <v>13</v>
      </c>
      <c r="N26" s="216">
        <v>15</v>
      </c>
      <c r="O26" s="216">
        <v>35</v>
      </c>
      <c r="P26" s="216">
        <v>2</v>
      </c>
      <c r="Q26" s="216">
        <v>9</v>
      </c>
      <c r="R26" s="216">
        <v>94</v>
      </c>
      <c r="S26" s="216">
        <v>101</v>
      </c>
      <c r="T26" s="216">
        <v>3</v>
      </c>
      <c r="U26" s="216">
        <v>6</v>
      </c>
      <c r="V26" s="216">
        <v>13</v>
      </c>
      <c r="W26" s="216">
        <v>6</v>
      </c>
      <c r="X26" s="216">
        <v>13</v>
      </c>
    </row>
    <row r="27" spans="1:24" ht="15" customHeight="1" x14ac:dyDescent="0.2">
      <c r="A27" s="220" t="s">
        <v>81</v>
      </c>
      <c r="B27" s="220" t="s">
        <v>80</v>
      </c>
      <c r="C27" s="219" t="s">
        <v>79</v>
      </c>
      <c r="D27" s="216">
        <v>0</v>
      </c>
      <c r="E27" s="216">
        <v>5</v>
      </c>
      <c r="F27" s="216">
        <v>0</v>
      </c>
      <c r="G27" s="216">
        <v>5</v>
      </c>
      <c r="H27" s="216">
        <v>0</v>
      </c>
      <c r="I27" s="216" t="s">
        <v>3</v>
      </c>
      <c r="J27" s="216" t="s">
        <v>3</v>
      </c>
      <c r="K27" s="216" t="s">
        <v>3</v>
      </c>
      <c r="L27" s="216" t="s">
        <v>3</v>
      </c>
      <c r="M27" s="216" t="s">
        <v>3</v>
      </c>
      <c r="N27" s="216" t="s">
        <v>3</v>
      </c>
      <c r="O27" s="216" t="s">
        <v>3</v>
      </c>
      <c r="P27" s="216" t="s">
        <v>3</v>
      </c>
      <c r="Q27" s="216" t="s">
        <v>3</v>
      </c>
      <c r="R27" s="216" t="s">
        <v>3</v>
      </c>
      <c r="S27" s="216" t="s">
        <v>3</v>
      </c>
      <c r="T27" s="216" t="s">
        <v>3</v>
      </c>
      <c r="U27" s="216" t="s">
        <v>3</v>
      </c>
      <c r="V27" s="216" t="s">
        <v>3</v>
      </c>
      <c r="W27" s="216" t="s">
        <v>3</v>
      </c>
      <c r="X27" s="216" t="s">
        <v>3</v>
      </c>
    </row>
    <row r="28" spans="1:24" ht="15" customHeight="1" x14ac:dyDescent="0.2">
      <c r="A28" s="218" t="s">
        <v>32</v>
      </c>
      <c r="B28" s="218" t="s">
        <v>78</v>
      </c>
      <c r="C28" s="217" t="s">
        <v>77</v>
      </c>
      <c r="D28" s="216">
        <v>7</v>
      </c>
      <c r="E28" s="216">
        <v>11</v>
      </c>
      <c r="F28" s="216">
        <v>3</v>
      </c>
      <c r="G28" s="216">
        <v>21</v>
      </c>
      <c r="H28" s="216">
        <v>5</v>
      </c>
      <c r="I28" s="216">
        <v>34</v>
      </c>
      <c r="J28" s="216">
        <v>7</v>
      </c>
      <c r="K28" s="216">
        <v>4</v>
      </c>
      <c r="L28" s="216">
        <v>3</v>
      </c>
      <c r="M28" s="216">
        <v>27</v>
      </c>
      <c r="N28" s="216">
        <v>10</v>
      </c>
      <c r="O28" s="216">
        <v>0</v>
      </c>
      <c r="P28" s="216">
        <v>0</v>
      </c>
      <c r="Q28" s="216">
        <v>11</v>
      </c>
      <c r="R28" s="216">
        <v>72</v>
      </c>
      <c r="S28" s="216">
        <v>72</v>
      </c>
      <c r="T28" s="216">
        <v>6</v>
      </c>
      <c r="U28" s="216">
        <v>8</v>
      </c>
      <c r="V28" s="216">
        <v>11</v>
      </c>
      <c r="W28" s="216">
        <v>4</v>
      </c>
      <c r="X28" s="216">
        <v>12</v>
      </c>
    </row>
    <row r="29" spans="1:24" ht="15" customHeight="1" x14ac:dyDescent="0.2">
      <c r="A29" s="218" t="s">
        <v>32</v>
      </c>
      <c r="B29" s="218" t="s">
        <v>76</v>
      </c>
      <c r="C29" s="217" t="s">
        <v>75</v>
      </c>
      <c r="D29" s="216">
        <v>3</v>
      </c>
      <c r="E29" s="216">
        <v>8</v>
      </c>
      <c r="F29" s="216">
        <v>3</v>
      </c>
      <c r="G29" s="216">
        <v>14</v>
      </c>
      <c r="H29" s="216">
        <v>6</v>
      </c>
      <c r="I29" s="216">
        <v>26</v>
      </c>
      <c r="J29" s="216">
        <v>7</v>
      </c>
      <c r="K29" s="216">
        <v>2</v>
      </c>
      <c r="L29" s="216">
        <v>5</v>
      </c>
      <c r="M29" s="216">
        <v>16</v>
      </c>
      <c r="N29" s="216">
        <v>7</v>
      </c>
      <c r="O29" s="216">
        <v>2</v>
      </c>
      <c r="P29" s="216">
        <v>1</v>
      </c>
      <c r="Q29" s="216">
        <v>5</v>
      </c>
      <c r="R29" s="216">
        <v>49</v>
      </c>
      <c r="S29" s="216">
        <v>42</v>
      </c>
      <c r="T29" s="216">
        <v>7</v>
      </c>
      <c r="U29" s="216">
        <v>4</v>
      </c>
      <c r="V29" s="216">
        <v>13</v>
      </c>
      <c r="W29" s="216">
        <v>2</v>
      </c>
      <c r="X29" s="216">
        <v>8</v>
      </c>
    </row>
    <row r="30" spans="1:24" ht="15" customHeight="1" x14ac:dyDescent="0.2">
      <c r="A30" s="218" t="s">
        <v>32</v>
      </c>
      <c r="B30" s="218" t="s">
        <v>74</v>
      </c>
      <c r="C30" s="217" t="s">
        <v>73</v>
      </c>
      <c r="D30" s="216">
        <v>11</v>
      </c>
      <c r="E30" s="216">
        <v>6</v>
      </c>
      <c r="F30" s="216">
        <v>1</v>
      </c>
      <c r="G30" s="216">
        <v>18</v>
      </c>
      <c r="H30" s="216">
        <v>1</v>
      </c>
      <c r="I30" s="216">
        <v>20</v>
      </c>
      <c r="J30" s="216">
        <v>9.3000000000000007</v>
      </c>
      <c r="K30" s="216">
        <v>1</v>
      </c>
      <c r="L30" s="216">
        <v>8</v>
      </c>
      <c r="M30" s="216">
        <v>12</v>
      </c>
      <c r="N30" s="216">
        <v>12.6</v>
      </c>
      <c r="O30" s="216">
        <v>7</v>
      </c>
      <c r="P30" s="216">
        <v>5.8</v>
      </c>
      <c r="Q30" s="216">
        <v>3</v>
      </c>
      <c r="R30" s="216">
        <v>42</v>
      </c>
      <c r="S30" s="216">
        <v>62</v>
      </c>
      <c r="T30" s="216">
        <v>9.8000000000000007</v>
      </c>
      <c r="U30" s="216">
        <v>8</v>
      </c>
      <c r="V30" s="216">
        <v>13.5</v>
      </c>
      <c r="W30" s="216">
        <v>4</v>
      </c>
      <c r="X30" s="216">
        <v>17</v>
      </c>
    </row>
    <row r="31" spans="1:24" ht="15" customHeight="1" x14ac:dyDescent="0.2">
      <c r="A31" s="218" t="s">
        <v>32</v>
      </c>
      <c r="B31" s="218" t="s">
        <v>72</v>
      </c>
      <c r="C31" s="217" t="s">
        <v>71</v>
      </c>
      <c r="D31" s="216">
        <v>6</v>
      </c>
      <c r="E31" s="216">
        <v>10</v>
      </c>
      <c r="F31" s="216">
        <v>4</v>
      </c>
      <c r="G31" s="216">
        <v>20</v>
      </c>
      <c r="H31" s="216">
        <v>0</v>
      </c>
      <c r="I31" s="216">
        <v>30</v>
      </c>
      <c r="J31" s="216">
        <v>12</v>
      </c>
      <c r="K31" s="216">
        <v>2</v>
      </c>
      <c r="L31" s="216">
        <v>4</v>
      </c>
      <c r="M31" s="216">
        <v>7</v>
      </c>
      <c r="N31" s="216">
        <v>7</v>
      </c>
      <c r="O31" s="216">
        <v>36</v>
      </c>
      <c r="P31" s="216">
        <v>3</v>
      </c>
      <c r="Q31" s="216">
        <v>6</v>
      </c>
      <c r="R31" s="216">
        <v>79</v>
      </c>
      <c r="S31" s="216">
        <v>35</v>
      </c>
      <c r="T31" s="216">
        <v>4</v>
      </c>
      <c r="U31" s="216">
        <v>3</v>
      </c>
      <c r="V31" s="216">
        <v>13</v>
      </c>
      <c r="W31" s="216">
        <v>3</v>
      </c>
      <c r="X31" s="216">
        <v>14</v>
      </c>
    </row>
    <row r="32" spans="1:24" ht="15" customHeight="1" x14ac:dyDescent="0.2">
      <c r="A32" s="218" t="s">
        <v>32</v>
      </c>
      <c r="B32" s="218" t="s">
        <v>70</v>
      </c>
      <c r="C32" s="217" t="s">
        <v>69</v>
      </c>
      <c r="D32" s="216">
        <v>3</v>
      </c>
      <c r="E32" s="216">
        <v>20</v>
      </c>
      <c r="F32" s="216">
        <v>4</v>
      </c>
      <c r="G32" s="216">
        <v>27</v>
      </c>
      <c r="H32" s="216">
        <v>7</v>
      </c>
      <c r="I32" s="216">
        <v>36</v>
      </c>
      <c r="J32" s="216">
        <v>5</v>
      </c>
      <c r="K32" s="216">
        <v>2</v>
      </c>
      <c r="L32" s="216">
        <v>8</v>
      </c>
      <c r="M32" s="216">
        <v>5</v>
      </c>
      <c r="N32" s="216">
        <v>11</v>
      </c>
      <c r="O32" s="216">
        <v>42</v>
      </c>
      <c r="P32" s="216">
        <v>2</v>
      </c>
      <c r="Q32" s="216">
        <v>3</v>
      </c>
      <c r="R32" s="216">
        <v>86</v>
      </c>
      <c r="S32" s="216">
        <v>0</v>
      </c>
      <c r="T32" s="216">
        <v>0</v>
      </c>
      <c r="U32" s="216">
        <v>4</v>
      </c>
      <c r="V32" s="216">
        <v>10</v>
      </c>
      <c r="W32" s="216">
        <v>3</v>
      </c>
      <c r="X32" s="216">
        <v>4</v>
      </c>
    </row>
    <row r="33" spans="1:24" ht="15" customHeight="1" x14ac:dyDescent="0.2">
      <c r="A33" s="218" t="s">
        <v>32</v>
      </c>
      <c r="B33" s="218" t="s">
        <v>68</v>
      </c>
      <c r="C33" s="217" t="s">
        <v>67</v>
      </c>
      <c r="D33" s="216">
        <v>6</v>
      </c>
      <c r="E33" s="216">
        <v>11</v>
      </c>
      <c r="F33" s="216">
        <v>10</v>
      </c>
      <c r="G33" s="216">
        <v>27</v>
      </c>
      <c r="H33" s="216">
        <v>5</v>
      </c>
      <c r="I33" s="344">
        <v>40</v>
      </c>
      <c r="J33" s="216">
        <v>10</v>
      </c>
      <c r="K33" s="344">
        <v>3</v>
      </c>
      <c r="L33" s="216">
        <v>0</v>
      </c>
      <c r="M33" s="344">
        <v>16</v>
      </c>
      <c r="N33" s="216">
        <v>10</v>
      </c>
      <c r="O33" s="216">
        <v>38</v>
      </c>
      <c r="P33" s="216">
        <v>3</v>
      </c>
      <c r="Q33" s="344">
        <v>14</v>
      </c>
      <c r="R33" s="216">
        <v>107</v>
      </c>
      <c r="S33" s="216">
        <v>133</v>
      </c>
      <c r="T33" s="216">
        <v>5</v>
      </c>
      <c r="U33" s="216">
        <v>5</v>
      </c>
      <c r="V33" s="216">
        <v>20</v>
      </c>
      <c r="W33" s="216">
        <v>4</v>
      </c>
      <c r="X33" s="216">
        <v>17</v>
      </c>
    </row>
    <row r="34" spans="1:24" ht="15" customHeight="1" x14ac:dyDescent="0.2">
      <c r="A34" s="218" t="s">
        <v>32</v>
      </c>
      <c r="B34" s="218" t="s">
        <v>66</v>
      </c>
      <c r="C34" s="217" t="s">
        <v>65</v>
      </c>
      <c r="D34" s="216">
        <v>7</v>
      </c>
      <c r="E34" s="216">
        <v>6</v>
      </c>
      <c r="F34" s="216">
        <v>1</v>
      </c>
      <c r="G34" s="216">
        <v>14</v>
      </c>
      <c r="H34" s="216">
        <v>0</v>
      </c>
      <c r="I34" s="216">
        <v>23</v>
      </c>
      <c r="J34" s="216">
        <v>11</v>
      </c>
      <c r="K34" s="216">
        <v>4</v>
      </c>
      <c r="L34" s="216">
        <v>13</v>
      </c>
      <c r="M34" s="216">
        <v>8</v>
      </c>
      <c r="N34" s="216">
        <v>7</v>
      </c>
      <c r="O34" s="216">
        <v>27</v>
      </c>
      <c r="P34" s="216">
        <v>2</v>
      </c>
      <c r="Q34" s="216">
        <v>5</v>
      </c>
      <c r="R34" s="216">
        <v>63</v>
      </c>
      <c r="S34" s="216">
        <v>36</v>
      </c>
      <c r="T34" s="216">
        <v>5</v>
      </c>
      <c r="U34" s="216">
        <v>6</v>
      </c>
      <c r="V34" s="216">
        <v>19</v>
      </c>
      <c r="W34" s="216">
        <v>2</v>
      </c>
      <c r="X34" s="216">
        <v>15</v>
      </c>
    </row>
    <row r="35" spans="1:24" ht="15" customHeight="1" x14ac:dyDescent="0.2">
      <c r="A35" s="218" t="s">
        <v>32</v>
      </c>
      <c r="B35" s="218" t="s">
        <v>64</v>
      </c>
      <c r="C35" s="217" t="s">
        <v>63</v>
      </c>
      <c r="D35" s="216">
        <v>4</v>
      </c>
      <c r="E35" s="216">
        <v>19</v>
      </c>
      <c r="F35" s="216">
        <v>8</v>
      </c>
      <c r="G35" s="216">
        <v>31</v>
      </c>
      <c r="H35" s="216">
        <v>7</v>
      </c>
      <c r="I35" s="216">
        <v>45</v>
      </c>
      <c r="J35" s="216">
        <v>6</v>
      </c>
      <c r="K35" s="216">
        <v>3</v>
      </c>
      <c r="L35" s="216">
        <v>8</v>
      </c>
      <c r="M35" s="216">
        <v>5</v>
      </c>
      <c r="N35" s="216">
        <v>3</v>
      </c>
      <c r="O35" s="216">
        <v>37</v>
      </c>
      <c r="P35" s="216">
        <v>1</v>
      </c>
      <c r="Q35" s="216">
        <v>13</v>
      </c>
      <c r="R35" s="216">
        <v>100</v>
      </c>
      <c r="S35" s="216">
        <v>135</v>
      </c>
      <c r="T35" s="216">
        <v>6</v>
      </c>
      <c r="U35" s="216">
        <v>4</v>
      </c>
      <c r="V35" s="216">
        <v>7</v>
      </c>
      <c r="W35" s="216">
        <v>8</v>
      </c>
      <c r="X35" s="216">
        <v>9</v>
      </c>
    </row>
    <row r="36" spans="1:24" ht="15" customHeight="1" x14ac:dyDescent="0.2">
      <c r="A36" s="218" t="s">
        <v>32</v>
      </c>
      <c r="B36" s="218" t="s">
        <v>62</v>
      </c>
      <c r="C36" s="217" t="s">
        <v>61</v>
      </c>
      <c r="D36" s="216">
        <v>3</v>
      </c>
      <c r="E36" s="216">
        <v>73</v>
      </c>
      <c r="F36" s="216">
        <v>9</v>
      </c>
      <c r="G36" s="216">
        <v>85</v>
      </c>
      <c r="H36" s="216">
        <v>11</v>
      </c>
      <c r="I36" s="216">
        <v>128</v>
      </c>
      <c r="J36" s="216">
        <v>9</v>
      </c>
      <c r="K36" s="216">
        <v>7</v>
      </c>
      <c r="L36" s="216">
        <v>11</v>
      </c>
      <c r="M36" s="216">
        <v>55</v>
      </c>
      <c r="N36" s="216">
        <v>7</v>
      </c>
      <c r="O36" s="216">
        <v>84</v>
      </c>
      <c r="P36" s="216">
        <v>3</v>
      </c>
      <c r="Q36" s="216">
        <v>14</v>
      </c>
      <c r="R36" s="216">
        <v>281</v>
      </c>
      <c r="S36" s="216">
        <v>243</v>
      </c>
      <c r="T36" s="216">
        <v>6</v>
      </c>
      <c r="U36" s="216">
        <v>19</v>
      </c>
      <c r="V36" s="216">
        <v>13</v>
      </c>
      <c r="W36" s="216">
        <v>12</v>
      </c>
      <c r="X36" s="216">
        <v>9</v>
      </c>
    </row>
    <row r="37" spans="1:24" ht="15" customHeight="1" x14ac:dyDescent="0.2">
      <c r="A37" s="218" t="s">
        <v>32</v>
      </c>
      <c r="B37" s="218" t="s">
        <v>359</v>
      </c>
      <c r="C37" s="217" t="s">
        <v>358</v>
      </c>
      <c r="D37" s="344">
        <v>3</v>
      </c>
      <c r="E37" s="216">
        <v>37</v>
      </c>
      <c r="F37" s="344">
        <v>10</v>
      </c>
      <c r="G37" s="216">
        <v>50</v>
      </c>
      <c r="H37" s="216">
        <v>4</v>
      </c>
      <c r="I37" s="344">
        <v>78</v>
      </c>
      <c r="J37" s="216">
        <v>10</v>
      </c>
      <c r="K37" s="344">
        <v>4</v>
      </c>
      <c r="L37" s="216">
        <v>0</v>
      </c>
      <c r="M37" s="216">
        <v>53</v>
      </c>
      <c r="N37" s="216">
        <v>10</v>
      </c>
      <c r="O37" s="216">
        <v>54</v>
      </c>
      <c r="P37" s="216">
        <v>4</v>
      </c>
      <c r="Q37" s="216">
        <v>7</v>
      </c>
      <c r="R37" s="216">
        <v>202</v>
      </c>
      <c r="S37" s="216">
        <v>168</v>
      </c>
      <c r="T37" s="216">
        <v>7</v>
      </c>
      <c r="U37" s="216">
        <v>7</v>
      </c>
      <c r="V37" s="216">
        <v>16</v>
      </c>
      <c r="W37" s="216">
        <v>6</v>
      </c>
      <c r="X37" s="216">
        <v>12</v>
      </c>
    </row>
    <row r="38" spans="1:24" ht="15" customHeight="1" x14ac:dyDescent="0.2">
      <c r="A38" s="218" t="s">
        <v>32</v>
      </c>
      <c r="B38" s="218" t="s">
        <v>58</v>
      </c>
      <c r="C38" s="217" t="s">
        <v>57</v>
      </c>
      <c r="D38" s="216">
        <v>2</v>
      </c>
      <c r="E38" s="216">
        <v>6</v>
      </c>
      <c r="F38" s="216">
        <v>7</v>
      </c>
      <c r="G38" s="216">
        <v>15</v>
      </c>
      <c r="H38" s="216">
        <v>5</v>
      </c>
      <c r="I38" s="216">
        <v>29</v>
      </c>
      <c r="J38" s="216">
        <v>7</v>
      </c>
      <c r="K38" s="216">
        <v>2</v>
      </c>
      <c r="L38" s="216">
        <v>5</v>
      </c>
      <c r="M38" s="216">
        <v>11</v>
      </c>
      <c r="N38" s="216">
        <v>8</v>
      </c>
      <c r="O38" s="216">
        <v>38</v>
      </c>
      <c r="P38" s="216">
        <v>2</v>
      </c>
      <c r="Q38" s="216">
        <v>4</v>
      </c>
      <c r="R38" s="216">
        <v>82</v>
      </c>
      <c r="S38" s="216">
        <v>38</v>
      </c>
      <c r="T38" s="216">
        <v>6</v>
      </c>
      <c r="U38" s="216">
        <v>5</v>
      </c>
      <c r="V38" s="216">
        <v>12</v>
      </c>
      <c r="W38" s="216">
        <v>4</v>
      </c>
      <c r="X38" s="216">
        <v>7</v>
      </c>
    </row>
    <row r="39" spans="1:24" ht="15" customHeight="1" x14ac:dyDescent="0.2">
      <c r="A39" s="218" t="s">
        <v>32</v>
      </c>
      <c r="B39" s="218" t="s">
        <v>56</v>
      </c>
      <c r="C39" s="217" t="s">
        <v>55</v>
      </c>
      <c r="D39" s="216">
        <v>6</v>
      </c>
      <c r="E39" s="216">
        <v>12</v>
      </c>
      <c r="F39" s="216">
        <v>6</v>
      </c>
      <c r="G39" s="216">
        <v>24</v>
      </c>
      <c r="H39" s="216">
        <v>1</v>
      </c>
      <c r="I39" s="216">
        <v>46</v>
      </c>
      <c r="J39" s="216">
        <v>9</v>
      </c>
      <c r="K39" s="216">
        <v>3</v>
      </c>
      <c r="L39" s="216">
        <v>9</v>
      </c>
      <c r="M39" s="216">
        <v>5</v>
      </c>
      <c r="N39" s="216">
        <v>14</v>
      </c>
      <c r="O39" s="216">
        <v>45</v>
      </c>
      <c r="P39" s="216">
        <v>6</v>
      </c>
      <c r="Q39" s="216">
        <v>6</v>
      </c>
      <c r="R39" s="216">
        <v>102</v>
      </c>
      <c r="S39" s="216">
        <v>73</v>
      </c>
      <c r="T39" s="216">
        <v>6</v>
      </c>
      <c r="U39" s="216" t="s">
        <v>3</v>
      </c>
      <c r="V39" s="216" t="s">
        <v>3</v>
      </c>
      <c r="W39" s="216">
        <v>3</v>
      </c>
      <c r="X39" s="216">
        <v>10</v>
      </c>
    </row>
    <row r="40" spans="1:24" ht="15" customHeight="1" x14ac:dyDescent="0.2">
      <c r="A40" s="218" t="s">
        <v>32</v>
      </c>
      <c r="B40" s="218" t="s">
        <v>54</v>
      </c>
      <c r="C40" s="217" t="s">
        <v>53</v>
      </c>
      <c r="D40" s="216">
        <v>13</v>
      </c>
      <c r="E40" s="216">
        <v>34</v>
      </c>
      <c r="F40" s="216">
        <v>3</v>
      </c>
      <c r="G40" s="216">
        <v>50</v>
      </c>
      <c r="H40" s="216">
        <v>15</v>
      </c>
      <c r="I40" s="216">
        <v>70</v>
      </c>
      <c r="J40" s="216">
        <v>7</v>
      </c>
      <c r="K40" s="216">
        <v>5</v>
      </c>
      <c r="L40" s="216">
        <v>11</v>
      </c>
      <c r="M40" s="216">
        <v>21</v>
      </c>
      <c r="N40" s="216">
        <v>6</v>
      </c>
      <c r="O40" s="216">
        <v>21</v>
      </c>
      <c r="P40" s="216">
        <v>2</v>
      </c>
      <c r="Q40" s="216">
        <v>15</v>
      </c>
      <c r="R40" s="216">
        <v>127</v>
      </c>
      <c r="S40" s="216">
        <v>143</v>
      </c>
      <c r="T40" s="216">
        <v>3</v>
      </c>
      <c r="U40" s="216">
        <v>16</v>
      </c>
      <c r="V40" s="216">
        <v>13</v>
      </c>
      <c r="W40" s="216">
        <v>7</v>
      </c>
      <c r="X40" s="216">
        <v>10</v>
      </c>
    </row>
    <row r="41" spans="1:24" ht="15" customHeight="1" x14ac:dyDescent="0.2">
      <c r="A41" s="218" t="s">
        <v>32</v>
      </c>
      <c r="B41" s="218" t="s">
        <v>52</v>
      </c>
      <c r="C41" s="217" t="s">
        <v>51</v>
      </c>
      <c r="D41" s="216" t="s">
        <v>3</v>
      </c>
      <c r="E41" s="216" t="s">
        <v>3</v>
      </c>
      <c r="F41" s="216" t="s">
        <v>3</v>
      </c>
      <c r="G41" s="216" t="s">
        <v>3</v>
      </c>
      <c r="H41" s="216" t="s">
        <v>3</v>
      </c>
      <c r="I41" s="216" t="s">
        <v>3</v>
      </c>
      <c r="J41" s="216" t="s">
        <v>3</v>
      </c>
      <c r="K41" s="216" t="s">
        <v>3</v>
      </c>
      <c r="L41" s="216" t="s">
        <v>3</v>
      </c>
      <c r="M41" s="216" t="s">
        <v>3</v>
      </c>
      <c r="N41" s="216" t="s">
        <v>3</v>
      </c>
      <c r="O41" s="216" t="s">
        <v>3</v>
      </c>
      <c r="P41" s="216" t="s">
        <v>3</v>
      </c>
      <c r="Q41" s="216" t="s">
        <v>3</v>
      </c>
      <c r="R41" s="216" t="s">
        <v>3</v>
      </c>
      <c r="S41" s="216" t="s">
        <v>3</v>
      </c>
      <c r="T41" s="216" t="s">
        <v>3</v>
      </c>
      <c r="U41" s="216" t="s">
        <v>3</v>
      </c>
      <c r="V41" s="216" t="s">
        <v>3</v>
      </c>
      <c r="W41" s="216" t="s">
        <v>3</v>
      </c>
      <c r="X41" s="216" t="s">
        <v>3</v>
      </c>
    </row>
    <row r="42" spans="1:24" ht="15" customHeight="1" x14ac:dyDescent="0.2">
      <c r="A42" s="218" t="s">
        <v>32</v>
      </c>
      <c r="B42" s="218" t="s">
        <v>50</v>
      </c>
      <c r="C42" s="217" t="s">
        <v>49</v>
      </c>
      <c r="D42" s="216" t="s">
        <v>3</v>
      </c>
      <c r="E42" s="216" t="s">
        <v>3</v>
      </c>
      <c r="F42" s="216" t="s">
        <v>3</v>
      </c>
      <c r="G42" s="216" t="s">
        <v>3</v>
      </c>
      <c r="H42" s="216" t="s">
        <v>3</v>
      </c>
      <c r="I42" s="216" t="s">
        <v>3</v>
      </c>
      <c r="J42" s="216" t="s">
        <v>3</v>
      </c>
      <c r="K42" s="216" t="s">
        <v>3</v>
      </c>
      <c r="L42" s="216" t="s">
        <v>3</v>
      </c>
      <c r="M42" s="216" t="s">
        <v>3</v>
      </c>
      <c r="N42" s="216" t="s">
        <v>3</v>
      </c>
      <c r="O42" s="216" t="s">
        <v>3</v>
      </c>
      <c r="P42" s="216" t="s">
        <v>3</v>
      </c>
      <c r="Q42" s="216" t="s">
        <v>3</v>
      </c>
      <c r="R42" s="216" t="s">
        <v>3</v>
      </c>
      <c r="S42" s="216" t="s">
        <v>3</v>
      </c>
      <c r="T42" s="216" t="s">
        <v>3</v>
      </c>
      <c r="U42" s="216" t="s">
        <v>3</v>
      </c>
      <c r="V42" s="216" t="s">
        <v>3</v>
      </c>
      <c r="W42" s="216" t="s">
        <v>3</v>
      </c>
      <c r="X42" s="216" t="s">
        <v>3</v>
      </c>
    </row>
    <row r="43" spans="1:24" ht="15" customHeight="1" x14ac:dyDescent="0.2">
      <c r="A43" s="218" t="s">
        <v>32</v>
      </c>
      <c r="B43" s="218" t="s">
        <v>48</v>
      </c>
      <c r="C43" s="217" t="s">
        <v>47</v>
      </c>
      <c r="D43" s="216" t="s">
        <v>3</v>
      </c>
      <c r="E43" s="216" t="s">
        <v>3</v>
      </c>
      <c r="F43" s="216" t="s">
        <v>3</v>
      </c>
      <c r="G43" s="216" t="s">
        <v>3</v>
      </c>
      <c r="H43" s="216" t="s">
        <v>3</v>
      </c>
      <c r="I43" s="216" t="s">
        <v>3</v>
      </c>
      <c r="J43" s="216" t="s">
        <v>3</v>
      </c>
      <c r="K43" s="216" t="s">
        <v>3</v>
      </c>
      <c r="L43" s="216" t="s">
        <v>3</v>
      </c>
      <c r="M43" s="216" t="s">
        <v>3</v>
      </c>
      <c r="N43" s="216" t="s">
        <v>3</v>
      </c>
      <c r="O43" s="216" t="s">
        <v>3</v>
      </c>
      <c r="P43" s="216" t="s">
        <v>3</v>
      </c>
      <c r="Q43" s="216" t="s">
        <v>3</v>
      </c>
      <c r="R43" s="216" t="s">
        <v>3</v>
      </c>
      <c r="S43" s="216" t="s">
        <v>3</v>
      </c>
      <c r="T43" s="216" t="s">
        <v>3</v>
      </c>
      <c r="U43" s="216" t="s">
        <v>3</v>
      </c>
      <c r="V43" s="216" t="s">
        <v>3</v>
      </c>
      <c r="W43" s="216" t="s">
        <v>3</v>
      </c>
      <c r="X43" s="216" t="s">
        <v>3</v>
      </c>
    </row>
    <row r="44" spans="1:24" ht="15" customHeight="1" x14ac:dyDescent="0.2">
      <c r="A44" s="218" t="s">
        <v>32</v>
      </c>
      <c r="B44" s="218" t="s">
        <v>46</v>
      </c>
      <c r="C44" s="217" t="s">
        <v>45</v>
      </c>
      <c r="D44" s="344">
        <v>14</v>
      </c>
      <c r="E44" s="344">
        <v>34</v>
      </c>
      <c r="F44" s="216">
        <v>9</v>
      </c>
      <c r="G44" s="216">
        <v>57</v>
      </c>
      <c r="H44" s="216">
        <v>0</v>
      </c>
      <c r="I44" s="216">
        <v>84</v>
      </c>
      <c r="J44" s="216">
        <v>6</v>
      </c>
      <c r="K44" s="216">
        <v>3</v>
      </c>
      <c r="L44" s="216">
        <v>2</v>
      </c>
      <c r="M44" s="216">
        <v>29</v>
      </c>
      <c r="N44" s="216">
        <v>11</v>
      </c>
      <c r="O44" s="216">
        <v>83</v>
      </c>
      <c r="P44" s="216">
        <v>5</v>
      </c>
      <c r="Q44" s="216">
        <v>14</v>
      </c>
      <c r="R44" s="216">
        <v>210</v>
      </c>
      <c r="S44" s="216">
        <v>180</v>
      </c>
      <c r="T44" s="216">
        <v>6</v>
      </c>
      <c r="U44" s="216">
        <v>15</v>
      </c>
      <c r="V44" s="216">
        <v>13</v>
      </c>
      <c r="W44" s="216">
        <v>10</v>
      </c>
      <c r="X44" s="216">
        <v>10</v>
      </c>
    </row>
    <row r="45" spans="1:24" ht="15" customHeight="1" x14ac:dyDescent="0.2">
      <c r="A45" s="218" t="s">
        <v>32</v>
      </c>
      <c r="B45" s="218" t="s">
        <v>44</v>
      </c>
      <c r="C45" s="217" t="s">
        <v>43</v>
      </c>
      <c r="D45" s="216">
        <v>9</v>
      </c>
      <c r="E45" s="216">
        <v>17</v>
      </c>
      <c r="F45" s="216">
        <v>13</v>
      </c>
      <c r="G45" s="216">
        <v>39</v>
      </c>
      <c r="H45" s="216">
        <v>3</v>
      </c>
      <c r="I45" s="216">
        <v>59</v>
      </c>
      <c r="J45" s="216">
        <v>5</v>
      </c>
      <c r="K45" s="216">
        <v>6</v>
      </c>
      <c r="L45" s="216">
        <v>12</v>
      </c>
      <c r="M45" s="216">
        <v>23</v>
      </c>
      <c r="N45" s="216">
        <v>8</v>
      </c>
      <c r="O45" s="216">
        <v>32</v>
      </c>
      <c r="P45" s="216">
        <v>1</v>
      </c>
      <c r="Q45" s="216">
        <v>12</v>
      </c>
      <c r="R45" s="216">
        <v>126</v>
      </c>
      <c r="S45" s="216">
        <v>91</v>
      </c>
      <c r="T45" s="216">
        <v>5</v>
      </c>
      <c r="U45" s="216">
        <v>7</v>
      </c>
      <c r="V45" s="216">
        <v>11</v>
      </c>
      <c r="W45" s="216">
        <v>6</v>
      </c>
      <c r="X45" s="216">
        <v>12</v>
      </c>
    </row>
    <row r="46" spans="1:24" ht="15" customHeight="1" x14ac:dyDescent="0.2">
      <c r="A46" s="218" t="s">
        <v>32</v>
      </c>
      <c r="B46" s="218" t="s">
        <v>42</v>
      </c>
      <c r="C46" s="217" t="s">
        <v>41</v>
      </c>
      <c r="D46" s="216">
        <v>6</v>
      </c>
      <c r="E46" s="216">
        <v>8</v>
      </c>
      <c r="F46" s="216">
        <v>6</v>
      </c>
      <c r="G46" s="216">
        <v>20</v>
      </c>
      <c r="H46" s="216">
        <v>0</v>
      </c>
      <c r="I46" s="216">
        <v>34</v>
      </c>
      <c r="J46" s="216" t="s">
        <v>3</v>
      </c>
      <c r="K46" s="216">
        <v>2</v>
      </c>
      <c r="L46" s="216" t="s">
        <v>3</v>
      </c>
      <c r="M46" s="216">
        <v>18</v>
      </c>
      <c r="N46" s="216" t="s">
        <v>3</v>
      </c>
      <c r="O46" s="216">
        <v>37</v>
      </c>
      <c r="P46" s="216" t="s">
        <v>3</v>
      </c>
      <c r="Q46" s="216">
        <v>10</v>
      </c>
      <c r="R46" s="216">
        <v>99</v>
      </c>
      <c r="S46" s="216">
        <v>64</v>
      </c>
      <c r="T46" s="216" t="s">
        <v>3</v>
      </c>
      <c r="U46" s="216">
        <v>3</v>
      </c>
      <c r="V46" s="216" t="s">
        <v>3</v>
      </c>
      <c r="W46" s="216">
        <v>5</v>
      </c>
      <c r="X46" s="216" t="s">
        <v>3</v>
      </c>
    </row>
    <row r="47" spans="1:24" ht="15" customHeight="1" x14ac:dyDescent="0.2">
      <c r="A47" s="218" t="s">
        <v>32</v>
      </c>
      <c r="B47" s="218" t="s">
        <v>40</v>
      </c>
      <c r="C47" s="217" t="s">
        <v>39</v>
      </c>
      <c r="D47" s="216">
        <v>5</v>
      </c>
      <c r="E47" s="216">
        <v>24</v>
      </c>
      <c r="F47" s="216">
        <v>7</v>
      </c>
      <c r="G47" s="216">
        <v>36</v>
      </c>
      <c r="H47" s="216">
        <v>1</v>
      </c>
      <c r="I47" s="216">
        <v>48</v>
      </c>
      <c r="J47" s="216">
        <v>7</v>
      </c>
      <c r="K47" s="216">
        <v>3</v>
      </c>
      <c r="L47" s="216">
        <v>14</v>
      </c>
      <c r="M47" s="216">
        <v>9</v>
      </c>
      <c r="N47" s="216">
        <v>5</v>
      </c>
      <c r="O47" s="216">
        <v>50</v>
      </c>
      <c r="P47" s="216">
        <v>3</v>
      </c>
      <c r="Q47" s="216">
        <v>13</v>
      </c>
      <c r="R47" s="216">
        <v>120</v>
      </c>
      <c r="S47" s="216">
        <v>69</v>
      </c>
      <c r="T47" s="216">
        <v>2</v>
      </c>
      <c r="U47" s="216">
        <v>4</v>
      </c>
      <c r="V47" s="216">
        <v>9</v>
      </c>
      <c r="W47" s="216">
        <v>5</v>
      </c>
      <c r="X47" s="216">
        <v>11</v>
      </c>
    </row>
    <row r="48" spans="1:24" ht="15" customHeight="1" x14ac:dyDescent="0.2">
      <c r="A48" s="218" t="s">
        <v>32</v>
      </c>
      <c r="B48" s="218" t="s">
        <v>38</v>
      </c>
      <c r="C48" s="217" t="s">
        <v>37</v>
      </c>
      <c r="D48" s="216" t="s">
        <v>3</v>
      </c>
      <c r="E48" s="216" t="s">
        <v>3</v>
      </c>
      <c r="F48" s="216" t="s">
        <v>3</v>
      </c>
      <c r="G48" s="216" t="s">
        <v>3</v>
      </c>
      <c r="H48" s="216" t="s">
        <v>3</v>
      </c>
      <c r="I48" s="370">
        <v>30</v>
      </c>
      <c r="J48" s="216">
        <v>9</v>
      </c>
      <c r="K48" s="216">
        <v>2</v>
      </c>
      <c r="L48" s="216">
        <v>10</v>
      </c>
      <c r="M48" s="216">
        <v>7</v>
      </c>
      <c r="N48" s="216">
        <v>9</v>
      </c>
      <c r="O48" s="216">
        <v>3</v>
      </c>
      <c r="P48" s="216">
        <v>2</v>
      </c>
      <c r="Q48" s="216">
        <v>4</v>
      </c>
      <c r="R48" s="370">
        <v>44</v>
      </c>
      <c r="S48" s="216">
        <v>84</v>
      </c>
      <c r="T48" s="216">
        <v>7</v>
      </c>
      <c r="U48" s="216">
        <v>10</v>
      </c>
      <c r="V48" s="216">
        <v>7</v>
      </c>
      <c r="W48" s="216">
        <v>4</v>
      </c>
      <c r="X48" s="216">
        <v>8</v>
      </c>
    </row>
    <row r="49" spans="1:24" ht="15" customHeight="1" x14ac:dyDescent="0.2">
      <c r="A49" s="218" t="s">
        <v>32</v>
      </c>
      <c r="B49" s="218" t="s">
        <v>36</v>
      </c>
      <c r="C49" s="217" t="s">
        <v>35</v>
      </c>
      <c r="D49" s="216">
        <v>1</v>
      </c>
      <c r="E49" s="216">
        <v>20</v>
      </c>
      <c r="F49" s="216">
        <v>2</v>
      </c>
      <c r="G49" s="216">
        <v>23</v>
      </c>
      <c r="H49" s="216">
        <v>0</v>
      </c>
      <c r="I49" s="216">
        <v>28</v>
      </c>
      <c r="J49" s="216">
        <v>10</v>
      </c>
      <c r="K49" s="216">
        <v>1</v>
      </c>
      <c r="L49" s="216">
        <v>13</v>
      </c>
      <c r="M49" s="216">
        <v>15</v>
      </c>
      <c r="N49" s="216">
        <v>8</v>
      </c>
      <c r="O49" s="216">
        <v>26</v>
      </c>
      <c r="P49" s="216">
        <v>2</v>
      </c>
      <c r="Q49" s="216">
        <v>4</v>
      </c>
      <c r="R49" s="216">
        <v>73</v>
      </c>
      <c r="S49" s="216">
        <v>53</v>
      </c>
      <c r="T49" s="216">
        <v>7</v>
      </c>
      <c r="U49" s="216">
        <v>7</v>
      </c>
      <c r="V49" s="216">
        <v>13</v>
      </c>
      <c r="W49" s="216">
        <v>2</v>
      </c>
      <c r="X49" s="216">
        <v>13</v>
      </c>
    </row>
    <row r="50" spans="1:24" ht="15" customHeight="1" x14ac:dyDescent="0.2">
      <c r="A50" s="218" t="s">
        <v>32</v>
      </c>
      <c r="B50" s="218" t="s">
        <v>34</v>
      </c>
      <c r="C50" s="217" t="s">
        <v>33</v>
      </c>
      <c r="D50" s="344">
        <v>8</v>
      </c>
      <c r="E50" s="344">
        <v>23</v>
      </c>
      <c r="F50" s="216">
        <v>2</v>
      </c>
      <c r="G50" s="216">
        <v>33</v>
      </c>
      <c r="H50" s="216">
        <v>0</v>
      </c>
      <c r="I50" s="216">
        <v>42</v>
      </c>
      <c r="J50" s="216">
        <v>9</v>
      </c>
      <c r="K50" s="216">
        <v>2</v>
      </c>
      <c r="L50" s="216">
        <v>12</v>
      </c>
      <c r="M50" s="216">
        <v>12</v>
      </c>
      <c r="N50" s="216">
        <v>7</v>
      </c>
      <c r="O50" s="216">
        <v>52</v>
      </c>
      <c r="P50" s="216">
        <v>6</v>
      </c>
      <c r="Q50" s="216">
        <v>7</v>
      </c>
      <c r="R50" s="216">
        <v>113</v>
      </c>
      <c r="S50" s="216">
        <v>61</v>
      </c>
      <c r="T50" s="216">
        <v>6</v>
      </c>
      <c r="U50" s="216">
        <v>8</v>
      </c>
      <c r="V50" s="216">
        <v>12</v>
      </c>
      <c r="W50" s="216">
        <v>4</v>
      </c>
      <c r="X50" s="216">
        <v>10</v>
      </c>
    </row>
    <row r="51" spans="1:24" ht="15" customHeight="1" x14ac:dyDescent="0.2">
      <c r="A51" s="220" t="s">
        <v>17</v>
      </c>
      <c r="B51" s="220" t="s">
        <v>29</v>
      </c>
      <c r="C51" s="219" t="s">
        <v>28</v>
      </c>
      <c r="D51" s="216">
        <v>35</v>
      </c>
      <c r="E51" s="216">
        <v>0</v>
      </c>
      <c r="F51" s="216">
        <v>6</v>
      </c>
      <c r="G51" s="216">
        <v>41</v>
      </c>
      <c r="H51" s="216">
        <v>11</v>
      </c>
      <c r="I51" s="216">
        <v>65</v>
      </c>
      <c r="J51" s="216">
        <v>9</v>
      </c>
      <c r="K51" s="216">
        <v>6</v>
      </c>
      <c r="L51" s="216">
        <v>15</v>
      </c>
      <c r="M51" s="216">
        <v>4</v>
      </c>
      <c r="N51" s="216">
        <v>10</v>
      </c>
      <c r="O51" s="216">
        <v>0</v>
      </c>
      <c r="P51" s="216">
        <v>0</v>
      </c>
      <c r="Q51" s="216">
        <v>14</v>
      </c>
      <c r="R51" s="216">
        <v>83</v>
      </c>
      <c r="S51" s="216">
        <v>143</v>
      </c>
      <c r="T51" s="216">
        <v>8</v>
      </c>
      <c r="U51" s="216">
        <v>13</v>
      </c>
      <c r="V51" s="216">
        <v>15</v>
      </c>
      <c r="W51" s="216">
        <v>6</v>
      </c>
      <c r="X51" s="216">
        <v>17</v>
      </c>
    </row>
    <row r="52" spans="1:24" ht="15" customHeight="1" x14ac:dyDescent="0.2">
      <c r="A52" s="220" t="s">
        <v>17</v>
      </c>
      <c r="B52" s="220" t="s">
        <v>27</v>
      </c>
      <c r="C52" s="219" t="s">
        <v>26</v>
      </c>
      <c r="D52" s="216">
        <v>8</v>
      </c>
      <c r="E52" s="216">
        <v>0</v>
      </c>
      <c r="F52" s="216">
        <v>15</v>
      </c>
      <c r="G52" s="216">
        <v>23</v>
      </c>
      <c r="H52" s="216">
        <v>6</v>
      </c>
      <c r="I52" s="216">
        <v>31</v>
      </c>
      <c r="J52" s="216">
        <v>9</v>
      </c>
      <c r="K52" s="216">
        <v>0</v>
      </c>
      <c r="L52" s="216">
        <v>0</v>
      </c>
      <c r="M52" s="216">
        <v>10</v>
      </c>
      <c r="N52" s="216">
        <v>13</v>
      </c>
      <c r="O52" s="216">
        <v>44</v>
      </c>
      <c r="P52" s="216">
        <v>4</v>
      </c>
      <c r="Q52" s="216">
        <v>18</v>
      </c>
      <c r="R52" s="216">
        <v>103</v>
      </c>
      <c r="S52" s="216">
        <v>107</v>
      </c>
      <c r="T52" s="216">
        <v>9</v>
      </c>
      <c r="U52" s="216">
        <v>10</v>
      </c>
      <c r="V52" s="216">
        <v>12</v>
      </c>
      <c r="W52" s="216">
        <v>6</v>
      </c>
      <c r="X52" s="216">
        <v>13</v>
      </c>
    </row>
    <row r="53" spans="1:24" ht="15" customHeight="1" x14ac:dyDescent="0.2">
      <c r="A53" s="220" t="s">
        <v>17</v>
      </c>
      <c r="B53" s="220" t="s">
        <v>25</v>
      </c>
      <c r="C53" s="219" t="s">
        <v>24</v>
      </c>
      <c r="D53" s="216">
        <v>14</v>
      </c>
      <c r="E53" s="216">
        <v>4</v>
      </c>
      <c r="F53" s="216">
        <v>3</v>
      </c>
      <c r="G53" s="216">
        <v>21</v>
      </c>
      <c r="H53" s="216">
        <v>0</v>
      </c>
      <c r="I53" s="216">
        <v>27</v>
      </c>
      <c r="J53" s="216">
        <v>6</v>
      </c>
      <c r="K53" s="216">
        <v>0</v>
      </c>
      <c r="L53" s="216">
        <v>0</v>
      </c>
      <c r="M53" s="216">
        <v>5</v>
      </c>
      <c r="N53" s="216">
        <v>4</v>
      </c>
      <c r="O53" s="216">
        <v>27</v>
      </c>
      <c r="P53" s="216">
        <v>2</v>
      </c>
      <c r="Q53" s="216">
        <v>5</v>
      </c>
      <c r="R53" s="216">
        <v>64</v>
      </c>
      <c r="S53" s="216">
        <v>165</v>
      </c>
      <c r="T53" s="216">
        <v>5</v>
      </c>
      <c r="U53" s="216">
        <v>4</v>
      </c>
      <c r="V53" s="216">
        <v>10</v>
      </c>
      <c r="W53" s="216">
        <v>3</v>
      </c>
      <c r="X53" s="216">
        <v>10</v>
      </c>
    </row>
    <row r="54" spans="1:24" ht="15" customHeight="1" x14ac:dyDescent="0.2">
      <c r="A54" s="220" t="s">
        <v>17</v>
      </c>
      <c r="B54" s="220" t="s">
        <v>23</v>
      </c>
      <c r="C54" s="219" t="s">
        <v>22</v>
      </c>
      <c r="D54" s="216">
        <v>16</v>
      </c>
      <c r="E54" s="216">
        <v>1</v>
      </c>
      <c r="F54" s="216">
        <v>0</v>
      </c>
      <c r="G54" s="216">
        <v>17</v>
      </c>
      <c r="H54" s="216">
        <v>10</v>
      </c>
      <c r="I54" s="216">
        <v>30</v>
      </c>
      <c r="J54" s="216">
        <v>7</v>
      </c>
      <c r="K54" s="216">
        <v>3</v>
      </c>
      <c r="L54" s="216">
        <v>13</v>
      </c>
      <c r="M54" s="216">
        <v>10</v>
      </c>
      <c r="N54" s="216">
        <v>7</v>
      </c>
      <c r="O54" s="216">
        <v>3</v>
      </c>
      <c r="P54" s="216">
        <v>3</v>
      </c>
      <c r="Q54" s="216">
        <v>10</v>
      </c>
      <c r="R54" s="216">
        <v>53</v>
      </c>
      <c r="S54" s="216">
        <v>105</v>
      </c>
      <c r="T54" s="216">
        <v>4</v>
      </c>
      <c r="U54" s="216">
        <v>6</v>
      </c>
      <c r="V54" s="216">
        <v>13</v>
      </c>
      <c r="W54" s="216">
        <v>13</v>
      </c>
      <c r="X54" s="216">
        <v>14</v>
      </c>
    </row>
    <row r="55" spans="1:24" ht="15" customHeight="1" x14ac:dyDescent="0.2">
      <c r="A55" s="220" t="s">
        <v>17</v>
      </c>
      <c r="B55" s="220" t="s">
        <v>21</v>
      </c>
      <c r="C55" s="219" t="s">
        <v>20</v>
      </c>
      <c r="D55" s="216">
        <v>38</v>
      </c>
      <c r="E55" s="216">
        <v>0</v>
      </c>
      <c r="F55" s="216">
        <v>0</v>
      </c>
      <c r="G55" s="216">
        <v>38</v>
      </c>
      <c r="H55" s="216">
        <v>10</v>
      </c>
      <c r="I55" s="216">
        <v>45</v>
      </c>
      <c r="J55" s="216">
        <v>8</v>
      </c>
      <c r="K55" s="216">
        <v>4</v>
      </c>
      <c r="L55" s="216">
        <v>5</v>
      </c>
      <c r="M55" s="216">
        <v>23</v>
      </c>
      <c r="N55" s="216">
        <v>5</v>
      </c>
      <c r="O55" s="216">
        <v>0</v>
      </c>
      <c r="P55" s="216">
        <v>0</v>
      </c>
      <c r="Q55" s="216">
        <v>11</v>
      </c>
      <c r="R55" s="216">
        <v>79</v>
      </c>
      <c r="S55" s="216">
        <v>104</v>
      </c>
      <c r="T55" s="216">
        <v>7</v>
      </c>
      <c r="U55" s="216">
        <v>16</v>
      </c>
      <c r="V55" s="216">
        <v>12</v>
      </c>
      <c r="W55" s="216">
        <v>10</v>
      </c>
      <c r="X55" s="216">
        <v>15</v>
      </c>
    </row>
    <row r="56" spans="1:24" ht="15" customHeight="1" x14ac:dyDescent="0.2">
      <c r="A56" s="220" t="s">
        <v>17</v>
      </c>
      <c r="B56" s="220" t="s">
        <v>19</v>
      </c>
      <c r="C56" s="219" t="s">
        <v>18</v>
      </c>
      <c r="D56" s="216">
        <v>27</v>
      </c>
      <c r="E56" s="344">
        <v>10</v>
      </c>
      <c r="F56" s="216">
        <v>7</v>
      </c>
      <c r="G56" s="216">
        <v>42</v>
      </c>
      <c r="H56" s="216">
        <v>8</v>
      </c>
      <c r="I56" s="216">
        <v>65</v>
      </c>
      <c r="J56" s="216">
        <v>6</v>
      </c>
      <c r="K56" s="216">
        <v>7</v>
      </c>
      <c r="L56" s="216">
        <v>7</v>
      </c>
      <c r="M56" s="216">
        <v>8</v>
      </c>
      <c r="N56" s="216">
        <v>5</v>
      </c>
      <c r="O56" s="216">
        <v>12</v>
      </c>
      <c r="P56" s="216">
        <v>5</v>
      </c>
      <c r="Q56" s="216">
        <v>17</v>
      </c>
      <c r="R56" s="216">
        <v>102</v>
      </c>
      <c r="S56" s="216">
        <v>298</v>
      </c>
      <c r="T56" s="216">
        <v>5</v>
      </c>
      <c r="U56" s="216">
        <v>9</v>
      </c>
      <c r="V56" s="216">
        <v>10</v>
      </c>
      <c r="W56" s="216">
        <v>10</v>
      </c>
      <c r="X56" s="216">
        <v>7</v>
      </c>
    </row>
    <row r="57" spans="1:24" ht="15" customHeight="1" x14ac:dyDescent="0.2">
      <c r="A57" s="220" t="s">
        <v>17</v>
      </c>
      <c r="B57" s="220" t="s">
        <v>16</v>
      </c>
      <c r="C57" s="219" t="s">
        <v>15</v>
      </c>
      <c r="D57" s="216">
        <v>103</v>
      </c>
      <c r="E57" s="216">
        <v>0</v>
      </c>
      <c r="F57" s="216">
        <v>0</v>
      </c>
      <c r="G57" s="216">
        <v>103</v>
      </c>
      <c r="H57" s="216">
        <v>4</v>
      </c>
      <c r="I57" s="216">
        <v>142</v>
      </c>
      <c r="J57" s="216">
        <v>11</v>
      </c>
      <c r="K57" s="216">
        <v>0</v>
      </c>
      <c r="L57" s="216">
        <v>0</v>
      </c>
      <c r="M57" s="216">
        <v>62</v>
      </c>
      <c r="N57" s="216">
        <v>9</v>
      </c>
      <c r="O57" s="216">
        <v>72</v>
      </c>
      <c r="P57" s="216">
        <v>3</v>
      </c>
      <c r="Q57" s="216">
        <v>44</v>
      </c>
      <c r="R57" s="216">
        <v>320</v>
      </c>
      <c r="S57" s="216">
        <v>39</v>
      </c>
      <c r="T57" s="216">
        <v>8</v>
      </c>
      <c r="U57" s="216">
        <v>45</v>
      </c>
      <c r="V57" s="216">
        <v>14</v>
      </c>
      <c r="W57" s="216">
        <v>33</v>
      </c>
      <c r="X57" s="216">
        <v>12</v>
      </c>
    </row>
    <row r="58" spans="1:24" ht="15" customHeight="1" x14ac:dyDescent="0.2">
      <c r="A58" s="218" t="s">
        <v>9</v>
      </c>
      <c r="B58" s="218" t="s">
        <v>14</v>
      </c>
      <c r="C58" s="217" t="s">
        <v>13</v>
      </c>
      <c r="D58" s="216">
        <v>7</v>
      </c>
      <c r="E58" s="216">
        <v>43</v>
      </c>
      <c r="F58" s="216">
        <v>8</v>
      </c>
      <c r="G58" s="216">
        <v>58</v>
      </c>
      <c r="H58" s="216">
        <v>15</v>
      </c>
      <c r="I58" s="216">
        <v>64</v>
      </c>
      <c r="J58" s="216">
        <v>9</v>
      </c>
      <c r="K58" s="216">
        <v>4</v>
      </c>
      <c r="L58" s="216">
        <v>15</v>
      </c>
      <c r="M58" s="216">
        <v>35</v>
      </c>
      <c r="N58" s="216">
        <v>8</v>
      </c>
      <c r="O58" s="216">
        <v>26</v>
      </c>
      <c r="P58" s="216">
        <v>5</v>
      </c>
      <c r="Q58" s="216">
        <v>16</v>
      </c>
      <c r="R58" s="216">
        <v>141</v>
      </c>
      <c r="S58" s="216">
        <v>174</v>
      </c>
      <c r="T58" s="216">
        <v>6</v>
      </c>
      <c r="U58" s="216">
        <v>14</v>
      </c>
      <c r="V58" s="216">
        <v>17</v>
      </c>
      <c r="W58" s="216">
        <v>7</v>
      </c>
      <c r="X58" s="216">
        <v>13</v>
      </c>
    </row>
    <row r="59" spans="1:24" ht="15" customHeight="1" x14ac:dyDescent="0.2">
      <c r="A59" s="218" t="s">
        <v>9</v>
      </c>
      <c r="B59" s="218" t="s">
        <v>11</v>
      </c>
      <c r="C59" s="217" t="s">
        <v>10</v>
      </c>
      <c r="D59" s="216">
        <v>36</v>
      </c>
      <c r="E59" s="216">
        <v>0</v>
      </c>
      <c r="F59" s="216">
        <v>8</v>
      </c>
      <c r="G59" s="216">
        <v>44</v>
      </c>
      <c r="H59" s="216">
        <v>10</v>
      </c>
      <c r="I59" s="216">
        <v>54</v>
      </c>
      <c r="J59" s="216">
        <v>6</v>
      </c>
      <c r="K59" s="216">
        <v>0</v>
      </c>
      <c r="L59" s="216">
        <v>0</v>
      </c>
      <c r="M59" s="216">
        <v>38</v>
      </c>
      <c r="N59" s="216">
        <v>8</v>
      </c>
      <c r="O59" s="216">
        <v>8</v>
      </c>
      <c r="P59" s="216">
        <v>7</v>
      </c>
      <c r="Q59" s="216">
        <v>4</v>
      </c>
      <c r="R59" s="216">
        <v>104</v>
      </c>
      <c r="S59" s="216">
        <v>123</v>
      </c>
      <c r="T59" s="216">
        <v>3</v>
      </c>
      <c r="U59" s="216">
        <v>12</v>
      </c>
      <c r="V59" s="216">
        <v>12</v>
      </c>
      <c r="W59" s="216">
        <v>3</v>
      </c>
      <c r="X59" s="216">
        <v>8</v>
      </c>
    </row>
    <row r="60" spans="1:24" ht="15" customHeight="1" x14ac:dyDescent="0.2">
      <c r="A60" s="218" t="s">
        <v>9</v>
      </c>
      <c r="B60" s="218" t="s">
        <v>8</v>
      </c>
      <c r="C60" s="217" t="s">
        <v>7</v>
      </c>
      <c r="D60" s="216">
        <v>11</v>
      </c>
      <c r="E60" s="216">
        <v>27</v>
      </c>
      <c r="F60" s="216">
        <v>9</v>
      </c>
      <c r="G60" s="216">
        <v>47</v>
      </c>
      <c r="H60" s="216">
        <v>7</v>
      </c>
      <c r="I60" s="216">
        <v>64</v>
      </c>
      <c r="J60" s="216">
        <v>8</v>
      </c>
      <c r="K60" s="216">
        <v>3</v>
      </c>
      <c r="L60" s="216">
        <v>6</v>
      </c>
      <c r="M60" s="216">
        <v>67</v>
      </c>
      <c r="N60" s="216">
        <v>7</v>
      </c>
      <c r="O60" s="216">
        <v>159</v>
      </c>
      <c r="P60" s="216">
        <v>3</v>
      </c>
      <c r="Q60" s="216">
        <v>13</v>
      </c>
      <c r="R60" s="216">
        <v>303</v>
      </c>
      <c r="S60" s="216">
        <v>82</v>
      </c>
      <c r="T60" s="216">
        <v>4</v>
      </c>
      <c r="U60" s="216">
        <v>11</v>
      </c>
      <c r="V60" s="216">
        <v>15</v>
      </c>
      <c r="W60" s="216">
        <v>8</v>
      </c>
      <c r="X60" s="216">
        <v>10</v>
      </c>
    </row>
    <row r="61" spans="1:24"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216" t="s">
        <v>3</v>
      </c>
      <c r="T61" s="216" t="s">
        <v>3</v>
      </c>
      <c r="U61" s="216" t="s">
        <v>3</v>
      </c>
      <c r="V61" s="216" t="s">
        <v>3</v>
      </c>
      <c r="W61" s="216" t="s">
        <v>3</v>
      </c>
      <c r="X61" s="216" t="s">
        <v>3</v>
      </c>
    </row>
    <row r="62" spans="1:24" ht="15" customHeight="1" x14ac:dyDescent="0.2">
      <c r="A62" s="218" t="s">
        <v>2</v>
      </c>
      <c r="B62" s="218" t="s">
        <v>1</v>
      </c>
      <c r="C62" s="217" t="s">
        <v>0</v>
      </c>
      <c r="D62" s="216">
        <v>8</v>
      </c>
      <c r="E62" s="216">
        <v>45</v>
      </c>
      <c r="F62" s="216">
        <v>15</v>
      </c>
      <c r="G62" s="216">
        <v>68</v>
      </c>
      <c r="H62" s="216">
        <v>12</v>
      </c>
      <c r="I62" s="216">
        <v>112</v>
      </c>
      <c r="J62" s="216">
        <v>6</v>
      </c>
      <c r="K62" s="216">
        <v>0</v>
      </c>
      <c r="L62" s="216">
        <v>0</v>
      </c>
      <c r="M62" s="216">
        <v>39</v>
      </c>
      <c r="N62" s="216">
        <v>9</v>
      </c>
      <c r="O62" s="216">
        <v>96</v>
      </c>
      <c r="P62" s="216">
        <v>3</v>
      </c>
      <c r="Q62" s="216">
        <v>9</v>
      </c>
      <c r="R62" s="216">
        <v>256</v>
      </c>
      <c r="S62" s="216">
        <v>93</v>
      </c>
      <c r="T62" s="216">
        <v>4</v>
      </c>
      <c r="U62" s="216">
        <v>15</v>
      </c>
      <c r="V62" s="216">
        <v>11</v>
      </c>
      <c r="W62" s="216">
        <v>9</v>
      </c>
      <c r="X62" s="216">
        <v>11</v>
      </c>
    </row>
    <row r="63" spans="1:24" ht="15" customHeight="1" x14ac:dyDescent="0.2">
      <c r="C63" s="215"/>
      <c r="D63" s="215"/>
      <c r="E63" s="215"/>
      <c r="F63" s="215"/>
      <c r="G63" s="215"/>
      <c r="H63" s="215"/>
      <c r="I63" s="215"/>
      <c r="J63" s="215"/>
      <c r="K63" s="215"/>
      <c r="L63" s="215"/>
      <c r="M63" s="215"/>
      <c r="N63" s="215"/>
      <c r="O63" s="215"/>
      <c r="P63" s="215"/>
      <c r="Q63" s="215"/>
      <c r="R63" s="215"/>
      <c r="S63" s="215"/>
      <c r="T63" s="215"/>
      <c r="U63" s="215"/>
      <c r="V63" s="215"/>
      <c r="W63" s="215"/>
      <c r="X63" s="215"/>
    </row>
    <row r="64" spans="1:24" s="209" customFormat="1" ht="15" customHeight="1" x14ac:dyDescent="0.2">
      <c r="A64" s="214" t="s">
        <v>357</v>
      </c>
      <c r="C64" s="214"/>
      <c r="D64" s="213"/>
      <c r="E64" s="213"/>
      <c r="F64" s="213"/>
      <c r="G64" s="213"/>
      <c r="H64" s="213"/>
      <c r="I64" s="213"/>
      <c r="J64" s="213"/>
      <c r="K64" s="213"/>
      <c r="L64" s="213"/>
      <c r="M64" s="213"/>
      <c r="N64" s="213"/>
      <c r="O64" s="213"/>
      <c r="P64" s="213"/>
      <c r="Q64" s="213"/>
      <c r="R64" s="213"/>
      <c r="S64" s="213"/>
      <c r="T64" s="213"/>
      <c r="U64" s="213"/>
      <c r="V64" s="213"/>
      <c r="W64" s="213"/>
      <c r="X64" s="213"/>
    </row>
    <row r="65" spans="2:24" s="209" customFormat="1" ht="15" customHeight="1" x14ac:dyDescent="0.2">
      <c r="B65" s="212" t="s">
        <v>356</v>
      </c>
      <c r="C65" s="211" t="s">
        <v>355</v>
      </c>
      <c r="D65" s="210">
        <v>266</v>
      </c>
      <c r="E65" s="210">
        <v>641</v>
      </c>
      <c r="F65" s="210">
        <v>206</v>
      </c>
      <c r="G65" s="210">
        <v>1113</v>
      </c>
      <c r="H65" s="210">
        <v>157</v>
      </c>
      <c r="I65" s="210">
        <v>1603</v>
      </c>
      <c r="J65" s="210">
        <v>8.9342105263157894</v>
      </c>
      <c r="K65" s="210" t="s">
        <v>3</v>
      </c>
      <c r="L65" s="210" t="s">
        <v>3</v>
      </c>
      <c r="M65" s="210" t="s">
        <v>3</v>
      </c>
      <c r="N65" s="210" t="s">
        <v>3</v>
      </c>
      <c r="O65" s="210" t="s">
        <v>3</v>
      </c>
      <c r="P65" s="210" t="s">
        <v>3</v>
      </c>
      <c r="Q65" s="210">
        <v>282</v>
      </c>
      <c r="R65" s="210">
        <v>3741</v>
      </c>
      <c r="S65" s="210">
        <v>2943</v>
      </c>
      <c r="T65" s="210">
        <v>5.7684210526315782</v>
      </c>
      <c r="U65" s="210">
        <v>245</v>
      </c>
      <c r="V65" s="210">
        <v>13.321052631578947</v>
      </c>
      <c r="W65" s="210">
        <v>165</v>
      </c>
      <c r="X65" s="210">
        <v>11.842105263157896</v>
      </c>
    </row>
    <row r="66" spans="2:24" s="209" customFormat="1" ht="15" customHeight="1" x14ac:dyDescent="0.2">
      <c r="B66" s="212" t="s">
        <v>354</v>
      </c>
      <c r="C66" s="211" t="s">
        <v>353</v>
      </c>
      <c r="D66" s="210">
        <v>138</v>
      </c>
      <c r="E66" s="210">
        <v>13</v>
      </c>
      <c r="F66" s="210">
        <v>31</v>
      </c>
      <c r="G66" s="210">
        <v>182</v>
      </c>
      <c r="H66" s="210">
        <v>45</v>
      </c>
      <c r="I66" s="210">
        <v>263</v>
      </c>
      <c r="J66" s="210">
        <v>7.5</v>
      </c>
      <c r="K66" s="210" t="s">
        <v>3</v>
      </c>
      <c r="L66" s="210" t="s">
        <v>3</v>
      </c>
      <c r="M66" s="210" t="s">
        <v>3</v>
      </c>
      <c r="N66" s="210" t="s">
        <v>3</v>
      </c>
      <c r="O66" s="210" t="s">
        <v>3</v>
      </c>
      <c r="P66" s="210" t="s">
        <v>3</v>
      </c>
      <c r="Q66" s="210">
        <v>75</v>
      </c>
      <c r="R66" s="210">
        <v>484</v>
      </c>
      <c r="S66" s="210">
        <v>922</v>
      </c>
      <c r="T66" s="210">
        <v>6.333333333333333</v>
      </c>
      <c r="U66" s="210">
        <v>58</v>
      </c>
      <c r="V66" s="210">
        <v>12</v>
      </c>
      <c r="W66" s="210">
        <v>48</v>
      </c>
      <c r="X66" s="210">
        <v>12.666666666666666</v>
      </c>
    </row>
    <row r="67" spans="2:24" s="209" customFormat="1" ht="15" customHeight="1" x14ac:dyDescent="0.2">
      <c r="B67" s="212" t="s">
        <v>352</v>
      </c>
      <c r="C67" s="211" t="s">
        <v>351</v>
      </c>
      <c r="D67" s="210">
        <v>507</v>
      </c>
      <c r="E67" s="210">
        <v>654</v>
      </c>
      <c r="F67" s="210">
        <v>237</v>
      </c>
      <c r="G67" s="210">
        <v>1398</v>
      </c>
      <c r="H67" s="210">
        <v>206</v>
      </c>
      <c r="I67" s="210">
        <v>2008</v>
      </c>
      <c r="J67" s="210">
        <v>8.7888888888888896</v>
      </c>
      <c r="K67" s="210" t="s">
        <v>3</v>
      </c>
      <c r="L67" s="210" t="s">
        <v>3</v>
      </c>
      <c r="M67" s="210" t="s">
        <v>3</v>
      </c>
      <c r="N67" s="210" t="s">
        <v>3</v>
      </c>
      <c r="O67" s="210" t="s">
        <v>3</v>
      </c>
      <c r="P67" s="210" t="s">
        <v>3</v>
      </c>
      <c r="Q67" s="210">
        <v>401</v>
      </c>
      <c r="R67" s="210">
        <v>4545</v>
      </c>
      <c r="S67" s="210">
        <v>3904</v>
      </c>
      <c r="T67" s="210">
        <v>5.8933333333333326</v>
      </c>
      <c r="U67" s="210">
        <v>348</v>
      </c>
      <c r="V67" s="210">
        <v>13.16</v>
      </c>
      <c r="W67" s="210">
        <v>246</v>
      </c>
      <c r="X67" s="210">
        <v>11.955555555555556</v>
      </c>
    </row>
    <row r="68" spans="2:24" s="209" customFormat="1" ht="15" customHeight="1" x14ac:dyDescent="0.2">
      <c r="B68" s="212" t="s">
        <v>350</v>
      </c>
      <c r="C68" s="211" t="s">
        <v>349</v>
      </c>
      <c r="D68" s="210">
        <v>54</v>
      </c>
      <c r="E68" s="210">
        <v>70</v>
      </c>
      <c r="F68" s="210">
        <v>25</v>
      </c>
      <c r="G68" s="210">
        <v>149</v>
      </c>
      <c r="H68" s="210">
        <v>32</v>
      </c>
      <c r="I68" s="210">
        <v>182</v>
      </c>
      <c r="J68" s="210">
        <v>7.666666666666667</v>
      </c>
      <c r="K68" s="210" t="s">
        <v>3</v>
      </c>
      <c r="L68" s="210" t="s">
        <v>3</v>
      </c>
      <c r="M68" s="210" t="s">
        <v>3</v>
      </c>
      <c r="N68" s="210" t="s">
        <v>3</v>
      </c>
      <c r="O68" s="210" t="s">
        <v>3</v>
      </c>
      <c r="P68" s="210" t="s">
        <v>3</v>
      </c>
      <c r="Q68" s="210">
        <v>33</v>
      </c>
      <c r="R68" s="210">
        <v>548</v>
      </c>
      <c r="S68" s="210">
        <v>379</v>
      </c>
      <c r="T68" s="210">
        <v>4.333333333333333</v>
      </c>
      <c r="U68" s="210">
        <v>37</v>
      </c>
      <c r="V68" s="210">
        <v>14.666666666666666</v>
      </c>
      <c r="W68" s="210">
        <v>18</v>
      </c>
      <c r="X68" s="210">
        <v>10.333333333333334</v>
      </c>
    </row>
    <row r="69" spans="2:24" s="209" customFormat="1" ht="15" customHeight="1" x14ac:dyDescent="0.2">
      <c r="B69" s="212" t="s">
        <v>348</v>
      </c>
      <c r="C69" s="211" t="s">
        <v>347</v>
      </c>
      <c r="D69" s="210">
        <v>561</v>
      </c>
      <c r="E69" s="210">
        <v>724</v>
      </c>
      <c r="F69" s="210">
        <v>262</v>
      </c>
      <c r="G69" s="210">
        <v>1547</v>
      </c>
      <c r="H69" s="210">
        <v>238</v>
      </c>
      <c r="I69" s="210">
        <v>2190</v>
      </c>
      <c r="J69" s="210">
        <v>8.71875</v>
      </c>
      <c r="K69" s="210" t="s">
        <v>3</v>
      </c>
      <c r="L69" s="210" t="s">
        <v>3</v>
      </c>
      <c r="M69" s="210" t="s">
        <v>3</v>
      </c>
      <c r="N69" s="210" t="s">
        <v>3</v>
      </c>
      <c r="O69" s="210" t="s">
        <v>3</v>
      </c>
      <c r="P69" s="210" t="s">
        <v>3</v>
      </c>
      <c r="Q69" s="210">
        <v>434</v>
      </c>
      <c r="R69" s="210">
        <v>5093</v>
      </c>
      <c r="S69" s="210">
        <v>4283</v>
      </c>
      <c r="T69" s="210">
        <v>5.7958333333333334</v>
      </c>
      <c r="U69" s="210">
        <v>385</v>
      </c>
      <c r="V69" s="210">
        <v>13.254166666666668</v>
      </c>
      <c r="W69" s="210">
        <v>264</v>
      </c>
      <c r="X69" s="210">
        <v>11.854166666666666</v>
      </c>
    </row>
    <row r="70" spans="2:24" s="209" customFormat="1" ht="15" customHeight="1" x14ac:dyDescent="0.2">
      <c r="B70" s="212" t="s">
        <v>346</v>
      </c>
      <c r="C70" s="211" t="s">
        <v>345</v>
      </c>
      <c r="D70" s="210">
        <v>643</v>
      </c>
      <c r="E70" s="210">
        <v>1009</v>
      </c>
      <c r="F70" s="210">
        <v>319</v>
      </c>
      <c r="G70" s="210">
        <v>1971</v>
      </c>
      <c r="H70" s="210">
        <v>250</v>
      </c>
      <c r="I70" s="210">
        <v>2740</v>
      </c>
      <c r="J70" s="210">
        <v>8.7360000000000007</v>
      </c>
      <c r="K70" s="210" t="s">
        <v>3</v>
      </c>
      <c r="L70" s="210" t="s">
        <v>3</v>
      </c>
      <c r="M70" s="210" t="s">
        <v>3</v>
      </c>
      <c r="N70" s="210" t="s">
        <v>3</v>
      </c>
      <c r="O70" s="210" t="s">
        <v>3</v>
      </c>
      <c r="P70" s="210" t="s">
        <v>3</v>
      </c>
      <c r="Q70" s="210">
        <v>457</v>
      </c>
      <c r="R70" s="210">
        <v>5941</v>
      </c>
      <c r="S70" s="210">
        <v>5187</v>
      </c>
      <c r="T70" s="210">
        <v>5.831999999999999</v>
      </c>
      <c r="U70" s="210">
        <v>465</v>
      </c>
      <c r="V70" s="210">
        <v>13.282</v>
      </c>
      <c r="W70" s="210">
        <v>315</v>
      </c>
      <c r="X70" s="210">
        <v>11.922000000000001</v>
      </c>
    </row>
    <row r="71" spans="2:24" ht="15" customHeight="1" x14ac:dyDescent="0.2">
      <c r="C71" s="208"/>
      <c r="D71" s="208"/>
      <c r="E71" s="208"/>
      <c r="F71" s="208"/>
      <c r="G71" s="208"/>
      <c r="H71" s="208"/>
      <c r="I71" s="208"/>
      <c r="J71" s="208"/>
      <c r="K71" s="208"/>
      <c r="L71" s="208"/>
      <c r="M71" s="208"/>
      <c r="N71" s="208"/>
      <c r="O71" s="208"/>
      <c r="P71" s="208"/>
      <c r="Q71" s="208"/>
      <c r="R71" s="208"/>
      <c r="S71" s="208"/>
      <c r="T71" s="208"/>
      <c r="U71" s="208"/>
      <c r="V71" s="208"/>
      <c r="W71" s="208"/>
      <c r="X71" s="208"/>
    </row>
  </sheetData>
  <autoFilter ref="A12:C12" xr:uid="{00000000-0009-0000-0000-000008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(2010)</vt:lpstr>
      <vt:lpstr>(2011)</vt:lpstr>
      <vt:lpstr>(2012)</vt:lpstr>
      <vt:lpstr>(2013)</vt:lpstr>
      <vt:lpstr>(2014)</vt:lpstr>
      <vt:lpstr>(2015)</vt:lpstr>
      <vt:lpstr>Fire2016</vt:lpstr>
      <vt:lpstr>(2016)</vt:lpstr>
      <vt:lpstr>Fire2017</vt:lpstr>
      <vt:lpstr>(2017)</vt:lpstr>
      <vt:lpstr>Fire2018</vt:lpstr>
      <vt:lpstr>(2018)</vt:lpstr>
      <vt:lpstr>Fire2019</vt:lpstr>
      <vt:lpstr>(2019)</vt:lpstr>
      <vt:lpstr>FIRE1403_raw</vt:lpstr>
      <vt:lpstr>FIRE1403</vt:lpstr>
      <vt:lpstr>QA</vt:lpstr>
      <vt:lpstr>oxford</vt:lpstr>
      <vt:lpstr>Fire2017!Print_Area</vt:lpstr>
      <vt:lpstr>Fire2018!Print_Area</vt:lpstr>
      <vt:lpstr>Fire2019!Print_Area</vt:lpstr>
      <vt:lpstr>Fire2017!Print_Titles</vt:lpstr>
      <vt:lpstr>Fire2018!Print_Titles</vt:lpstr>
      <vt:lpstr>Fire2019!Print_Titles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FIRE1403: Fire stations and appliances, by fire and rescue authority</dc:title>
  <dc:creator/>
  <cp:keywords>data tables, fire station, fire appliances, fire and rescue authority, 2018, 2019</cp:keywords>
  <cp:lastModifiedBy/>
  <dcterms:created xsi:type="dcterms:W3CDTF">2020-01-27T13:06:43Z</dcterms:created>
  <dcterms:modified xsi:type="dcterms:W3CDTF">2020-01-27T13:10:02Z</dcterms:modified>
</cp:coreProperties>
</file>